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rloxytin\SKRIPSI\EXCEL\baru\"/>
    </mc:Choice>
  </mc:AlternateContent>
  <xr:revisionPtr revIDLastSave="0" documentId="13_ncr:1_{1D2FB737-D008-4F0B-B881-DA45FB0D64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ktro" sheetId="28" r:id="rId1"/>
    <sheet name="CONTOH" sheetId="57" r:id="rId2"/>
    <sheet name="pH" sheetId="51" state="hidden" r:id="rId3"/>
    <sheet name="REAKSI" sheetId="30" state="hidden" r:id="rId4"/>
    <sheet name="Sheet1" sheetId="56" state="hidden" r:id="rId5"/>
    <sheet name="RUMUS" sheetId="34" state="hidden" r:id="rId6"/>
    <sheet name="HCl" sheetId="53" r:id="rId7"/>
    <sheet name="ZnSO4" sheetId="52" r:id="rId8"/>
    <sheet name="CuSO4" sheetId="55" r:id="rId9"/>
    <sheet name="KCl" sheetId="54" r:id="rId10"/>
    <sheet name="bagan" sheetId="50" state="hidden" r:id="rId11"/>
    <sheet name="CONTOH REAKSI" sheetId="48" state="hidden" r:id="rId12"/>
  </sheets>
  <definedNames>
    <definedName name="ACCU">IF(AND(Elektro!$W$14=1,Elektro!$E$8&gt;=7,Elektro!$C$16=TRUE,Elektro!$E$8=8),INDEX(REAKSI!$CM$3:$CM$172,MATCH(Elektro!$M$7,REAKSI!$B$3:$B$172,1)),IF(OR(Elektro!$W$14&lt;&gt;1,Elektro!$E$8&lt;7,Elektro!$C$16=FALSE,Elektro!$E$8&lt;8),INDEX(REAKSI!$CP$3:$CP$172,MATCH(Elektro!$M$7,REAKSI!$B$3:$B$172,1))))</definedName>
    <definedName name="ANODA2">IF(Elektro!$AF$6="Error",IF(AND(Elektro!$W$14=1,Elektro!$E$8&gt;=7,Elektro!$R$22=TRUE,Elektro!$C$12=TRUE),INDEX(REAKSI!$I$2:$I$172,MATCH(3,REAKSI!$B$2:$B$172,1)),IF(OR(Elektro!$W$14&lt;&gt;1,Elektro!$E$8&lt;7,Elektro!$R$22=FALSE,Elektro!$C$12=FALSE),INDEX(REAKSI!$L$2:$L$172,MATCH(3,REAKSI!$B$2:$B$172,1)))),IF(AND(Elektro!$W$14=1,Elektro!$E$8&gt;=7,Elektro!$R$22=TRUE,Elektro!$C$12=TRUE),INDEX(REAKSI!$I$2:$I$172,MATCH(Elektro!$M$7,REAKSI!$B$2:$B$172,1)),IF(OR(Elektro!$W$14&lt;&gt;1,Elektro!$E$8&lt;7,Elektro!$R$22=FALSE,Elektro!$C$12=FALSE),INDEX(REAKSI!$L$2:$L$172,MATCH(Elektro!$M$7,REAKSI!$B$2:$B$172,1)))))</definedName>
    <definedName name="ANODA3">IF(Elektro!$AF$6="Error",IF(AND(Elektro!$W$14=1,Elektro!$E$8&gt;=7,Elektro!$R$22=TRUE),INDEX(REAKSI!$BH$3:$BH$172,MATCH(3,REAKSI!$B$3:$B$172,1)),IF(OR(Elektro!$W$14&lt;&gt;1,Elektro!$E$8&lt;7,Elektro!$R$22=FALSE),INDEX(REAKSI!$BL$3:$BL$172,MATCH(3,REAKSI!$B$3:$B$172,1)))),IF(AND(Elektro!$W$14=1,Elektro!$E$8&gt;=7,Elektro!$R$22=TRUE),INDEX(REAKSI!$BH$3:$BH$172,MATCH(Elektro!$M$7,REAKSI!$B$3:$B$172,1)),IF(OR(Elektro!$W$14&lt;&gt;1,Elektro!$E$8&lt;7,Elektro!$R$23=FALSE),INDEX(REAKSI!$BL$3:$BL$172,MATCH(Elektro!$L$7,REAKSI!$B$3:$B$172,1)))))</definedName>
    <definedName name="ANODA4">IF(Elektro!$AF$6="Error",IF(AND(Elektro!$W$14=1,Elektro!$E$8&gt;=7,Elektro!$R$22=TRUE),INDEX(REAKSI!$BI$3:$BI$172,MATCH(3,REAKSI!$B$3:$B$172,1)),IF(OR(Elektro!$W$14&lt;&gt;1,Elektro!$E$8&lt;7,Elektro!$R$23=FALSE),INDEX(REAKSI!$BL$3:$BL$172,MATCH(3,REAKSI!$B$3:$B$172,1)))),IF(AND(Elektro!$W$14=1,Elektro!$E$8&gt;=7,Elektro!$R$22=TRUE),INDEX(REAKSI!$BI$3:$BI$172,MATCH(Elektro!$M$7,REAKSI!$B$3:$B$172,1)),IF(OR(Elektro!$W$14&lt;&gt;1,Elektro!$E$8&lt;7,Elektro!$R$23=FALSE),INDEX(REAKSI!$BL$3:$BL$172,MATCH(Elektro!$L$7,REAKSI!$B$3:$B$172,1)))))</definedName>
    <definedName name="ANOION">IF(AND(Elektro!$W$14=1,Elektro!$E$8&gt;=7,Elektro!$R$22=TRUE),INDEX(REAKSI!$BB$3:$BB$172,MATCH(Elektro!$M$7,REAKSI!$B$3:$B$172,1)),IF(OR(Elektro!$W$14&lt;&gt;1,Elektro!$E$8&lt;7,Elektro!$R$22=FALSE),INDEX(REAKSI!$BM$3:$BM$172,MATCH(Elektro!$M$7,REAKSI!$B$3:$B$172,1))))</definedName>
    <definedName name="ANOION2">IF(Elektro!$AF$6="Error",IF(AND(Elektro!$W$14=1,Elektro!$E$8&gt;=7,Elektro!$R$22=TRUE),INDEX(REAKSI!$BC$3:$BC$172,MATCH(3,REAKSI!$B$3:$B$172,1)),IF(OR(Elektro!$W$14&lt;&gt;1,Elektro!$E$8&lt;7,Elektro!$R$22=FALSE),INDEX(REAKSI!$BM$3:$BM$172,MATCH(3,REAKSI!$B$3:$B$172,1)))),IF(AND(Elektro!$W$14=1,Elektro!$E$8&gt;=7,Elektro!$R$22=TRUE),INDEX(REAKSI!$BC$3:$BC$172,MATCH(Elektro!$M$7,REAKSI!$B$3:$B$172,1)),IF(OR(Elektro!$W$14&lt;&gt;1,Elektro!$E$8&lt;7,Elektro!$R$22=FALSE),INDEX(REAKSI!$BM$3:$BM$172,MATCH(Elektro!$M$7,REAKSI!$B$3:$B$172,1)))))</definedName>
    <definedName name="ANOION3">IF(AND(Elektro!$W$14=1,Elektro!$E$8&gt;=7,Elektro!$R$22=TRUE),INDEX(REAKSI!$BD$2:$BD$172,MATCH(Elektro!$M$7,REAKSI!$B$2:$B$172,1)),IF(OR(Elektro!$W$14&lt;&gt;1,Elektro!$E$8&lt;7,Elektro!$R$22=FALSE),INDEX(REAKSI!$BM$2:$BM$172,MATCH(Elektro!$M$7,REAKSI!$B$2:$B$172,1))))</definedName>
    <definedName name="ArAnoda">IF(AND(Elektro!$W$14=1,Elektro!$E$8&gt;=7,Elektro!$C$16=TRUE,Elektro!$E$8=8),INDEX(REAKSI!$BY$3:$BY$172,MATCH(Elektro!$M$7,REAKSI!$B$3:$B$172,1)),IF(OR(Elektro!$W$14&lt;&gt;1,Elektro!$E$8&lt;7,Elektro!$C$16=FALSE,Elektro!$E$8&lt;8),INDEX(REAKSI!$CA$3:$CA$172,MATCH(Elektro!$M$7,REAKSI!$B$3:$B$172,1))))</definedName>
    <definedName name="ArKatoda">IF(AND(Elektro!$W$14=1,Elektro!$E$8&gt;=7,Elektro!$C$16=TRUE,Elektro!$E$8=8),INDEX(REAKSI!$BW$3:$BW$172,MATCH(Elektro!$M$7,REAKSI!$B$3:$B$172,1)),IF(OR(Elektro!$W$14&lt;&gt;1,Elektro!$E$8&lt;7,Elektro!$C$16=FALSE,Elektro!$E$8&lt;8),INDEX(REAKSI!$CA$3:$CA$172,MATCH(Elektro!$M$7,REAKSI!$B$3:$B$172,1))))</definedName>
    <definedName name="BASA">IF(AND(Elektro!$W$14=1,Elektro!$E$8&gt;=7,Elektro!$R$22=TRUE),INDEX(REAKSI!$F$3:$F$172,MATCH(Elektro!$M$7,REAKSI!$B$3:$B$172,1)),IF(OR(Elektro!$W$14&lt;&gt;1,Elektro!$E$8&lt;7,Elektro!$R$22=FALSE),INDEX(REAKSI!$D$3:$D$172,MATCH(Elektro!$M$7,REAKSI!$B$3:$B$172,1))))</definedName>
    <definedName name="Coulomb">IF(AND(Elektro!$W$14=1,Elektro!$E$8&gt;=7,Elektro!$C$16=TRUE,Elektro!$E$8=8),INDEX(REAKSI!$CN$3:$CN$172,MATCH(Elektro!$M$7,REAKSI!$B$3:$B$172,1)),IF(OR(Elektro!$W$14&lt;&gt;1,Elektro!$E$8&lt;7,Elektro!$C$16=FALSE,Elektro!$E$8&lt;8),INDEX(REAKSI!$CP$3:$CP$172,MATCH(Elektro!$M$7,REAKSI!$B$3:$B$172,1))))</definedName>
    <definedName name="Faraday">IF(AND(Elektro!$W$14=1,Elektro!$E$8&gt;=7,Elektro!$C$16=TRUE,Elektro!$E$8=8),INDEX(REAKSI!$CL$3:$CL$172,MATCH(Elektro!$M$7,REAKSI!$B$3:$B$172,1)),IF(OR(Elektro!$W$14&lt;&gt;1,Elektro!$E$8&lt;7,Elektro!$C$16=FALSE,Elektro!$E$8&lt;8),INDEX(REAKSI!$CP$3:$CP$172,MATCH(Elektro!$M$7,REAKSI!$B$3:$B$172,1))))</definedName>
    <definedName name="HASIL5">IF(Elektro!$AF$6="error",INDEX(REAKSI!$K$3:$K$170,MATCH(3,REAKSI!$B$3:$B$172,1)),IF(OR(Elektro!$Q$24=FALSE,Elektro!$W$14&lt;&gt;1,Elektro!$Y$21=0,Elektro!$C$12=FALSE),INDEX(REAKSI!$N$3:$N$172,MATCH(Elektro!$M$7,REAKSI!$B$3:$B$172,1)),IF(AND(Elektro!$Q$24=TRUE,Elektro!$W$14=1,Elektro!$Y$21=1,Elektro!$C$12=TRUE),INDEX(REAKSI!$K$3:$K$172,MATCH(Elektro!$M$7,REAKSI!$B$3:$B$172,1)),IF(AND(Elektro!$Q$24=TRUE,Elektro!$W$14=1,Elektro!$Y$21=2,Elektro!$C$12=TRUE),INDEX(REAKSI!$M$3:$M$172,MATCH(Elektro!$M$7,REAKSI!$B$3:$B$172,1))))))</definedName>
    <definedName name="INFO">IF(Elektro!$W$14=1,INDEX(REAKSI!$CV$3:$CV$172,MATCH(Elektro!$M$7,REAKSI!$B$3:$B$172,1)),IF(Elektro!$W$14&lt;&gt;1,INDEX(REAKSI!$CW$3:$CW$172,MATCH(Elektro!$M$7,REAKSI!$B$3:$B$172,1))))</definedName>
    <definedName name="ion">IF(Elektro!$R$20=TRUE,INDEX(REAKSI!$C$3:$C$170,MATCH(Elektro!$M$7,REAKSI!$B$3:$B$170,1)),IF(Elektro!$R$20=FALSE,INDEX(REAKSI!$D$3:$D$170,MATCH(Elektro!$M$7,REAKSI!$B$3:$B$170,1))))</definedName>
    <definedName name="IONISASI">IF(Elektro!$AF$6="Error",IF(AND(Elektro!$W$14=1,Elektro!$E$8&gt;=7,Elektro!$R$20=TRUE,Elektro!$C$12=TRUE),INDEX(REAKSI!$H$2:$H$172,MATCH(3,REAKSI!$B$2:$B$172,1)),IF(OR(Elektro!$W$14&lt;&gt;1,Elektro!$E$8&lt;7,Elektro!$R$20=FALSE,Elektro!$C$12=FALSE),INDEX(REAKSI!$L$2:$L$172,MATCH(3,REAKSI!$B$2:$B$172,1)))),IF(AND(Elektro!$W$14=1,Elektro!$E$8&gt;=7,Elektro!$R$20=TRUE,Elektro!$C$12=TRUE),INDEX(REAKSI!$H$2:$H$172,MATCH(Elektro!$M$7,REAKSI!$B$2:$B$172,1)),IF(OR(Elektro!$W$14&lt;&gt;1,Elektro!$E$8&lt;7,Elektro!$R$20=FALSE,Elektro!$C$12=FALSE),INDEX(REAKSI!$L$2:$L$172,MATCH(Elektro!$M$7,REAKSI!$B$2:$B$172,1)))))</definedName>
    <definedName name="jawabana">IF(AND(Elektro!$W$14=1,Elektro!$E$8&gt;=7,Elektro!$C$18=TRUE),INDEX(REAKSI!$BO$3:$BO$172,MATCH(Elektro!$M$7,REAKSI!$B$3:$B$172,1)),IF(OR(Elektro!$W$14&lt;&gt;1,Elektro!$E$8&lt;7,Elektro!$C$18=FALSE),INDEX(REAKSI!$BV$3:$BV$172,MATCH(Elektro!$M$7,REAKSI!$B$3:$B$172,1))))</definedName>
    <definedName name="JawabanAA">IF(AND(Elektro!$W$14=1,Elektro!$E$8&gt;=7,Elektro!$G$21=TRUE),INDEX(REAKSI!$AA$3:$AA$172,MATCH(Elektro!$M$7,REAKSI!$B$3:$B$172,1)),IF(OR(Elektro!$W$14&lt;&gt;1,Elektro!$E$8&lt;7,Elektro!$G$21=FALSE),INDEX(REAKSI!$AQ$3:$AQ$172,MATCH(Elektro!$M$7,REAKSI!$B$3:$B$172,1))))</definedName>
    <definedName name="JawabanAAA">IF(AND(Elektro!$W$14=1,Elektro!$E$8&gt;=7,Elektro!$C$18=TRUE),INDEX(REAKSI!$X$3:$X$172,MATCH(Elektro!$M$7,REAKSI!$B$3:$B$172,1)),IF(OR(Elektro!$W$14&lt;&gt;1,Elektro!$E$8&lt;7,Elektro!$C$18=FALSE),INDEX(REAKSI!$AP$3:$AP$172,MATCH(Elektro!$M$7,REAKSI!$B$3:$B$172,1))))</definedName>
    <definedName name="jawabanB">IF(AND(Elektro!$W$14=1,Elektro!$E$8&gt;=7,Elektro!$C$18=TRUE),INDEX(REAKSI!$BN$3:$BN$172,MATCH(Elektro!$M$7,REAKSI!$B$3:$B$172,1)),IF(OR(Elektro!$W$14&lt;&gt;1,Elektro!$E$8&lt;7,Elektro!$C$18=FALSE),INDEX(REAKSI!$BV$3:$BV$172,MATCH(Elektro!$M$7,REAKSI!$B$3:$B$172,1))))</definedName>
    <definedName name="JawabanBB">IF(AND(Elektro!$W$14=1,Elektro!$E$8&gt;=7,Elektro!$G$20=TRUE),INDEX(REAKSI!$AM$3:$AM$172,MATCH(Elektro!$M$7,REAKSI!$B$3:$B$172,1)),IF(OR(Elektro!$W$14&lt;&gt;1,Elektro!$E$8&lt;7,Elektro!$G$20=FALSE),INDEX(REAKSI!$AQ$3:$AQ$172,MATCH(Elektro!$M$7,REAKSI!$B$3:$B$172,1))))</definedName>
    <definedName name="JawabanBBB">IF(AND(Elektro!$W$14=1,Elektro!$E$8&gt;=7,Elektro!$C$18=TRUE),INDEX(REAKSI!$AJ$3:$AJ$172,MATCH(Elektro!$M$7,REAKSI!$B$3:$B$172,1)),IF(OR(Elektro!$W$14&lt;&gt;1,Elektro!$E$8&lt;7,Elektro!$C$18=FALSE),INDEX(REAKSI!$AP$3:$AP$172,MATCH(Elektro!$M$7,REAKSI!$B$3:$B$172,1))))</definedName>
    <definedName name="JawabanC">IF(AND(Elektro!$W$14=1,Elektro!$E$8&gt;=7,Elektro!$C$18=TRUE),INDEX(REAKSI!$BP$3:$BP$172,MATCH(Elektro!$M$7,REAKSI!$B$3:$B$172,1)),IF(OR(Elektro!$W$14&lt;&gt;1,Elektro!$E$8&lt;7,Elektro!$C$18=FALSE),INDEX(REAKSI!$BV$3:$BV$172,MATCH(Elektro!$M$7,REAKSI!$B$3:$B$172,1))))</definedName>
    <definedName name="JawabanCC">IF(AND(Elektro!$W$14=1,Elektro!$E$8&gt;=7,Elektro!$G$22=TRUE),INDEX(REAKSI!$AD$3:$AD$172,MATCH(Elektro!$M$7,REAKSI!$B$3:$B$172,1)),IF(OR(Elektro!$W$14&lt;&gt;1,Elektro!$E$8&lt;7,Elektro!$G$22=FALSE),INDEX(REAKSI!$AQ$3:$AQ$172,MATCH(Elektro!$M$7,REAKSI!$B$3:$B$172,1))))</definedName>
    <definedName name="JawabanCCC">IF(AND(Elektro!$W$14=1,Elektro!$E$8&gt;=7,Elektro!$C$18=TRUE),INDEX(REAKSI!$AE$3:$AE$172,MATCH(Elektro!$M$7,REAKSI!$B$3:$B$172,1)),IF(OR(Elektro!$W$14&lt;&gt;1,Elektro!$E$8&lt;7,Elektro!$C$18=FALSE),INDEX(REAKSI!$AP$3:$AP$172,MATCH(Elektro!$M$7,REAKSI!$B$3:$B$172,1))))</definedName>
    <definedName name="JawabanD">IF(AND(Elektro!$W$14=1,Elektro!$E$8&gt;=7,Elektro!$C$18=TRUE),INDEX(REAKSI!$BQ$3:$BQ$172,MATCH(Elektro!$M$7,REAKSI!$B$3:$B$172,1)),IF(OR(Elektro!$W$14&lt;&gt;1,Elektro!$E$8&lt;7,Elektro!$C$18=FALSE),INDEX(REAKSI!$BV$3:$BV$172,MATCH(Elektro!$M$7,REAKSI!$B$3:$B$172,1))))</definedName>
    <definedName name="jawabanDD">IF(AND(Elektro!$W$14=1,Elektro!$E$8&gt;=7,Elektro!$G$23=TRUE),INDEX(REAKSI!$AF$3:$AF$172,MATCH(Elektro!$M$7,REAKSI!$B$3:$B$172,1)),IF(OR(Elektro!$W$14&lt;&gt;1,Elektro!$E$8&lt;7,Elektro!$G$23=FALSE),INDEX(REAKSI!$AQ$3:$AQ$172,MATCH(Elektro!$M$7,REAKSI!$B$3:$B$172,1))))</definedName>
    <definedName name="JawabanDDD">IF(AND(Elektro!$W$14=1,Elektro!$E$8&gt;=7,Elektro!$C$18=TRUE),INDEX(REAKSI!$AG$3:$AG$172,MATCH(Elektro!$M$7,REAKSI!$B$3:$B$172,1)),IF(OR(Elektro!$W$14&lt;&gt;1,Elektro!$E$8&lt;7,Elektro!$C$18=FALSE),INDEX(REAKSI!$AP$3:$AP$172,MATCH(Elektro!$M$7,REAKSI!$B$3:$B$172,1))))</definedName>
    <definedName name="JawabanE">IF(AND(Elektro!$W$14=1,Elektro!$E$8&gt;=7,Elektro!$C$18=TRUE),INDEX(REAKSI!$BS$3:$BS$172,MATCH(Elektro!$M$7,REAKSI!$B$3:$B$172,1)),IF(OR(Elektro!$W$14&lt;&gt;1,Elektro!$E$8&lt;7,Elektro!$C$18=FALSE),INDEX(REAKSI!$BV$3:$BV$172,MATCH(Elektro!$M$7,REAKSI!$B$3:$B$172,1))))</definedName>
    <definedName name="JawabanEE">IF(AND(Elektro!$W$14=1,Elektro!$E$8&gt;=7,Elektro!$K$21=TRUE),INDEX(REAKSI!$AB$3:$AB$172,MATCH(Elektro!$M$7,REAKSI!$B$3:$B$172,1)),IF(OR(Elektro!$W$14&lt;&gt;1,Elektro!$E$8&lt;7,Elektro!$K$21=FALSE),INDEX(REAKSI!$AR$3:$AR$172,MATCH(Elektro!$M$7,REAKSI!$B$3:$B$172,1))))</definedName>
    <definedName name="JawabanEEE">IF(AND(Elektro!$W$14=1,Elektro!$E$8&gt;=7,Elektro!$C$18=TRUE),INDEX(REAKSI!$AC$3:$AC$172,MATCH(Elektro!$M$7,REAKSI!$B$3:$B$172,1)),IF(OR(Elektro!$W$14&lt;&gt;1,Elektro!$E$8&lt;7,Elektro!$C$18=FALSE),INDEX(REAKSI!$AQ$3:$AQ$172,MATCH(Elektro!$M$7,REAKSI!$B$3:$B$172,1))))</definedName>
    <definedName name="JawabanF">IF(AND(Elektro!$W$14=1,Elektro!$E$8&gt;=7,Elektro!$C$18=TRUE),INDEX(REAKSI!$BR$3:$BR$172,MATCH(Elektro!$M$7,REAKSI!$B$3:$B$172,1)),IF(OR(Elektro!$W$14&lt;&gt;1,Elektro!$E$8&lt;7,Elektro!$C$18=FALSE),INDEX(REAKSI!$BV$3:$BV$172,MATCH(Elektro!$M$7,REAKSI!$B$3:$B$172,1))))</definedName>
    <definedName name="JawabanFF">IF(AND(Elektro!$W$14=1,Elektro!$E$8&gt;=7,Elektro!$K$20=TRUE),INDEX(REAKSI!$AN$3:$AN$172,MATCH(Elektro!$M$7,REAKSI!$B$3:$B$172,1)),IF(OR(Elektro!$W$14&lt;&gt;1,Elektro!$E$8&lt;7,Elektro!$K$20=FALSE),INDEX(REAKSI!$AR$3:$AR$172,MATCH(Elektro!$M$7,REAKSI!$B$3:$B$172,1))))</definedName>
    <definedName name="jawabanFFF">IF(AND(Elektro!$W$14=1,Elektro!$E$8&gt;=7,Elektro!$C$18=TRUE),INDEX(REAKSI!$AO$3:$AO$172,MATCH(Elektro!$M$7,REAKSI!$B$3:$B$172,1)),IF(OR(Elektro!$W$14&lt;&gt;1,Elektro!$E$8&lt;7,Elektro!$C$18=FALSE),INDEX(REAKSI!$AQ$3:$AQ$172,MATCH(Elektro!$M$7,REAKSI!$B$3:$B$172,1))))</definedName>
    <definedName name="JawabanG">IF(AND(Elektro!$W$14=1,Elektro!$E$8&gt;=7,Elektro!$C$18=TRUE),INDEX(REAKSI!$BT$3:$BT$172,MATCH(Elektro!$M$7,REAKSI!$B$3:$B$172,1)),IF(OR(Elektro!$W$14&lt;&gt;1,Elektro!$E$8&lt;7,Elektro!$C$18=FALSE),INDEX(REAKSI!$BV$3:$BV$172,MATCH(Elektro!$M$7,REAKSI!$B$3:$B$172,1))))</definedName>
    <definedName name="jawabanGG">IF(AND(Elektro!$W$14=1,Elektro!$E$8&gt;=7,Elektro!$K$22=TRUE),INDEX(REAKSI!$AV$3:$AV$172,MATCH(Elektro!$M$7,REAKSI!$B$3:$B$172,1)),IF(OR(Elektro!$W$14&lt;&gt;1,Elektro!$E$8&lt;7,Elektro!$K$22=FALSE),INDEX(REAKSI!$AZ$3:$AZ$172,MATCH(Elektro!$M$7,REAKSI!$B$3:$B$172,1))))</definedName>
    <definedName name="jawabanGGG">IF(AND(Elektro!$W$14=1,Elektro!$E$8&gt;=7,Elektro!$C$18=TRUE),INDEX(REAKSI!$AX$3:$AX$172,MATCH(Elektro!$M$7,REAKSI!$B$3:$B$172,1)),IF(OR(Elektro!$W$14&lt;&gt;1,Elektro!$E$8&lt;7,Elektro!$C$18=FALSE),INDEX(REAKSI!$AZ$3:$AZ$172,MATCH(Elektro!$M$7,REAKSI!$B$3:$B$172,1))))</definedName>
    <definedName name="JawabanH">IF(AND(Elektro!$W$14=1,Elektro!$E$8&gt;=7,Elektro!$C$18=TRUE),INDEX(REAKSI!$BU$3:$BU$172,MATCH(Elektro!$M$7,REAKSI!$B$3:$B$172,1)),IF(OR(Elektro!$W$14&lt;&gt;1,Elektro!$E$8&lt;7,Elektro!$C$18=FALSE),INDEX(REAKSI!$BV$3:$BV$172,MATCH(Elektro!$M$7,REAKSI!$B$3:$B$172,1))))</definedName>
    <definedName name="jawabanHH">IF(AND(Elektro!$W$14=1,Elektro!$E$8&gt;=7,Elektro!$K$23=TRUE),INDEX(REAKSI!$AY$3:$AY$172,MATCH(Elektro!$M$7,REAKSI!$B$3:$B$172,1)),IF(OR(Elektro!$W$14&lt;&gt;1,Elektro!$E$8&lt;7,Elektro!$K$23=FALSE),INDEX(REAKSI!$AZ$3:$AZ$172,MATCH(Elektro!$M$7,REAKSI!$B$3:$B$172,1))))</definedName>
    <definedName name="KATION2">IF(AND(Elektro!$W$14=1,Elektro!$E$8&gt;=7,Elektro!$R$23=TRUE),INDEX(REAKSI!$BE$3:$BE$172,MATCH(Elektro!$M$7,REAKSI!$B$3:$B$172,1)),IF(OR(Elektro!$W$14&lt;&gt;1,Elektro!$E$8&lt;7,Elektro!$R$23=FALSE),INDEX(REAKSI!$BM$3:$BM$172,MATCH(Elektro!$M$7,REAKSI!$B$3:$B$172,1))))</definedName>
    <definedName name="KATION3">IF(Elektro!$AF$6="Error",IF(AND(Elektro!$W$14=1,Elektro!$E$8&gt;=7,Elektro!$R$23=TRUE),INDEX(REAKSI!$BF$3:$BF$172,MATCH(3,REAKSI!$B$3:$B$172,1)),IF(OR(Elektro!$W$14&lt;&gt;1,Elektro!$E$8&lt;7,Elektro!$R$23=FALSE),INDEX(REAKSI!$BM$3:$BM$172,MATCH(3,REAKSI!$B$3:$B$172,1)))),IF(AND(Elektro!$W$14=1,Elektro!$E$8&gt;=7,Elektro!$R$23=TRUE),INDEX(REAKSI!$BF$3:$BF$172,MATCH(Elektro!$M$7,REAKSI!$B$3:$B$172,1)),IF(OR(Elektro!$W$14&lt;&gt;1,Elektro!$E$8&lt;7,Elektro!$R$23=FALSE),INDEX(REAKSI!$BM$3:$BM$172,MATCH(Elektro!$M$7,REAKSI!$B$3:$B$172,1)))))</definedName>
    <definedName name="KATODA2">IF(Elektro!$AF$6="Error",IF(AND(Elektro!$W$14=1,Elektro!$E$8&gt;=7,Elektro!$R$23=TRUE,Elektro!$C$12=TRUE),INDEX(REAKSI!$J$2:$J$172,MATCH(3,REAKSI!$B$2:$B$172,1)),IF(OR(Elektro!$W$14&lt;&gt;1,Elektro!$E$8&lt;7,Elektro!$R$23=FALSE,Elektro!$C$12=FALSE),INDEX(REAKSI!$L$2:$L$172,MATCH(3,REAKSI!$B$2:$B$172,1)))),IF(AND(Elektro!$W$14=1,Elektro!$E$8&gt;=7,Elektro!$R$23=TRUE,Elektro!$C$12=TRUE),INDEX(REAKSI!$J$2:$J$172,MATCH(Elektro!$M$7,REAKSI!$B$2:$B$172,1)),IF(OR(Elektro!$W$14&lt;&gt;1,Elektro!$E$8&lt;7,Elektro!$R$23=FALSE,Elektro!$C$12=FALSE),INDEX(REAKSI!$L$2:$L$172,MATCH(Elektro!$M$7,REAKSI!$B$2:$B$172,1)))))</definedName>
    <definedName name="KATODA3">IF(Elektro!$AF$6="Error",IF(AND(Elektro!$W$14=1,Elektro!$E$8&gt;=7,Elektro!$R$23=TRUE),INDEX(REAKSI!$BJ$3:$BJ$172,MATCH(3,REAKSI!$B$3:$B$172,1)),IF(OR(Elektro!$W$14&lt;&gt;1,Elektro!$E$8&lt;7,Elektro!$R$23=FALSE),INDEX(REAKSI!$BL$3:$BL$172,MATCH(3,REAKSI!$B$3:$B$172,1)))),IF(AND(Elektro!$W$14=1,Elektro!$E$8&gt;=7,Elektro!$R$23=TRUE),INDEX(REAKSI!$BJ$3:$BJ$172,MATCH(Elektro!$M$7,REAKSI!$B$3:$B$172,1)),IF(OR(Elektro!$W$14&lt;&gt;1,Elektro!$E$8&lt;7,Elektro!$R$23=FALSE),INDEX(REAKSI!$BL$3:$BL$172,MATCH(Elektro!$L$7,REAKSI!$B$3:$B$172,1)))))</definedName>
    <definedName name="KATODA4">IF(Elektro!$AF$6="Error",IF(AND(Elektro!$W$14=1,Elektro!$E$8&gt;=7,Elektro!$R$23=TRUE),INDEX(REAKSI!$BK$3:$BK$172,MATCH(3,REAKSI!$B$3:$B$172,1)),IF(OR(Elektro!$W$14&lt;&gt;1,Elektro!$E$8&lt;7,Elektro!$R$23=FALSE),INDEX(REAKSI!$BL$3:$BL$172,MATCH(3,REAKSI!$B$3:$B$172,1)))),IF(AND(Elektro!$W$14=1,Elektro!$E$8&gt;=7,Elektro!$R$23=TRUE),INDEX(REAKSI!$BK$3:$BK$172,MATCH(Elektro!$M$7,REAKSI!$B$3:$B$172,1)),IF(OR(Elektro!$W$14&lt;&gt;1,Elektro!$E$8&lt;7,Elektro!$R$23=FALSE),INDEX(REAKSI!$BL$3:$BL$172,MATCH(Elektro!$M$7,REAKSI!$B$3:$B$172,1)))))</definedName>
    <definedName name="Keterangan1">IF(AND(Elektro!$W$14=1,Elektro!$E$8&gt;=7,Elektro!$C$16=FALSE),INDEX(REAKSI!$CS$3:$CS$7,MATCH(REAKSI!$B$3,REAKSI!$B$3:$B$7,1)),IF(OR(Elektro!$W$14&lt;&gt;1,Elektro!$E$8&lt;7,Elektro!$C$16=TRUE),INDEX(REAKSI!$CT$3:$CT$7,MATCH(REAKSI!$B$3,REAKSI!$B$3:$B$7,1))))</definedName>
    <definedName name="Keterangan2">IF(AND(Elektro!$W$14=1,Elektro!$E$8&gt;=7,Elektro!$C$16=FALSE),INDEX(REAKSI!$CS$3:$CS$7,MATCH(REAKSI!$B$4,REAKSI!$B$3:$B$7,1)),IF(OR(Elektro!$W$14&lt;&gt;1,Elektro!$E$8&lt;7,Elektro!$C$16=TRUE),INDEX(REAKSI!$CT$3:$CT$7,MATCH(REAKSI!$B$4,REAKSI!$B$3:$B$7,1))))</definedName>
    <definedName name="Keterangan3">IF(AND(Elektro!$W$14=1,Elektro!$E$8&gt;=7,Elektro!$C$16=FALSE),INDEX(REAKSI!$CS$3:$CS$7,MATCH(REAKSI!$B$5,REAKSI!$B$3:$B$7,1)),IF(OR(Elektro!$W$14&lt;&gt;1,Elektro!$E$8&lt;7,Elektro!$C$16=TRUE),INDEX(REAKSI!$CT$3:$CT$7,MATCH(REAKSI!$B$5,REAKSI!$B$3:$B$7,1))))</definedName>
    <definedName name="Keterangan4">IF(AND(Elektro!$W$14=1,Elektro!$E$8&gt;=7,Elektro!$C$16=FALSE),INDEX(REAKSI!$CS$3:$CS$7,MATCH(REAKSI!$B$6,REAKSI!$B$3:$B$7,1)),IF(OR(Elektro!$W$14&lt;&gt;1,Elektro!$E$8&lt;7,Elektro!$C$16=TRUE),INDEX(REAKSI!$CT$3:$CT$7,MATCH(REAKSI!$B$6,REAKSI!$B$3:$B$7,1))))</definedName>
    <definedName name="Konsentrasi">IF(AND(Elektro!$W$14=1,Elektro!$E$8&gt;=7,Elektro!$C$16=TRUE,Elektro!$E$8=8),INDEX(REAKSI!$CG$3:$CG$172,MATCH(Elektro!$M$7,REAKSI!$B$3:$B$172,1)),IF(OR(Elektro!$W$14&lt;&gt;1,Elektro!$E$8&lt;7,Elektro!$C$16=FALSE,Elektro!$E$8&lt;8),INDEX(REAKSI!$CP$3:$CP$172,MATCH(Elektro!$M$7,REAKSI!$B$3:$B$172,1))))</definedName>
    <definedName name="kuatarus">IF(AND(Elektro!$W$14=1,Elektro!$E$8&gt;=7,Elektro!$C$16=TRUE,Elektro!$E$8=8),INDEX(REAKSI!$CH$3:$CH$172,MATCH(Elektro!$M$7,REAKSI!$B$3:$B$172,1)),IF(OR(Elektro!$W$14&lt;&gt;1,Elektro!$E$8&lt;7,Elektro!$C$16=FALSE,Elektro!$E$8&lt;8),INDEX(REAKSI!$CP$3:$CP$172,MATCH(Elektro!$M$7,REAKSI!$B$3:$B$172,1))))</definedName>
    <definedName name="mol">IF(AND(Elektro!$W$14=1,Elektro!$E$8&gt;=7,Elektro!$C$16=TRUE,Elektro!$E$8=8),INDEX(REAKSI!$CO$3:$CO$172,MATCH(Elektro!$M$7,REAKSI!$B$3:$B$172,1)),IF(OR(Elektro!$W$14&lt;&gt;1,Elektro!$E$8&lt;7,Elektro!$C$16=FALSE,Elektro!$E$8&lt;8),INDEX(REAKSI!$CP$3:$CP$172,MATCH(Elektro!$M$7,REAKSI!$B$3:$B$172,1))))</definedName>
    <definedName name="nanoda">IF(AND(Elektro!$W$14=1,Elektro!$E$8&gt;=7,Elektro!$C$16=TRUE,Elektro!$E$8=8),INDEX(REAKSI!$BZ$3:$BZ$172,MATCH(Elektro!$M$7,REAKSI!$B$3:$B$172,1)),IF(OR(Elektro!$W$14&lt;&gt;1,Elektro!$E$8&lt;7,Elektro!$C$16=FALSE,Elektro!$E$8&lt;8),INDEX(REAKSI!$CA$3:$CA$172,MATCH(Elektro!$M$7,REAKSI!$B$3:$B$172,1))))</definedName>
    <definedName name="nkatoda">IF(AND(Elektro!$W$14=1,Elektro!$E$8&gt;=7,Elektro!$C$16=TRUE,Elektro!$E$8=8),INDEX(REAKSI!$BX$3:$BX$172,MATCH(Elektro!$M$7,REAKSI!$B$3:$B$172,1)),IF(OR(Elektro!$W$14&lt;&gt;1,Elektro!$E$8&lt;7,Elektro!$C$16=FALSE,Elektro!$E$8&lt;8),INDEX(REAKSI!$CA$3:$CA$172,MATCH(Elektro!$M$7,REAKSI!$B$3:$B$172,1))))</definedName>
    <definedName name="PANAH1">IF(AND(Elektro!$W$14=1,Elektro!$E$8&gt;=7,Elektro!$R$22=TRUE),INDEX(REAKSI!$CC$2:$CC$172,MATCH(Elektro!$M$7,REAKSI!$B$2:$B$172,1)),IF(OR(Elektro!$W$14&lt;&gt;1,Elektro!$E$8&lt;7,Elektro!$R$22=FALSE),INDEX(REAKSI!$CB$2:$CB$172,MATCH(Elektro!$M$7,REAKSI!$B$2:$B$172,1))))</definedName>
    <definedName name="PANAH2">IF(AND(Elektro!$W$14=1,Elektro!$E$8&gt;=7,Elektro!$R$23=TRUE),INDEX(REAKSI!$CC$2:$CC$172,MATCH(Elektro!$M$7,REAKSI!$B$2:$B$172,1)),IF(OR(Elektro!$W$14&lt;&gt;1,Elektro!$E$8&lt;7,Elektro!$R$23=FALSE),INDEX(REAKSI!$CB$2:$CB$172,MATCH(Elektro!$M$7,REAKSI!$B$2:$B$172,1))))</definedName>
    <definedName name="PANAH3">IF(Elektro!$E$8&gt;=7,INDEX(REAKSI!#REF!,MATCH(Elektro!$AN$39,REAKSI!$B$3:$B$170,1)),IF(Elektro!$E$8&lt;7,INDEX(REAKSI!#REF!,MATCH(Elektro!$AN$39,REAKSI!$B$3:$B$170,1))))</definedName>
    <definedName name="PANAH4">IF(AND(Elektro!$W$14=1,Elektro!$E$8&gt;=7),INDEX(REAKSI!$CE$174:$CE$341,MATCH(Elektro!$E$8,REAKSI!$B$174:$B$341,1)),IF(OR(Elektro!$W$14=2,Elektro!$E$8&lt;7),INDEX(REAKSI!$CD$174:$CD$341,MATCH(Elektro!$E$8,REAKSI!$B$174:$B$341,1))))</definedName>
    <definedName name="PANAH5">IF(AND(Elektro!$W$14=1,Elektro!$E$8&gt;=7),INDEX(REAKSI!$CD$174:$CD$341,MATCH(Elektro!$E$8,REAKSI!$B$174:$B$341,1)),IF(OR(Elektro!$W$14=2,Elektro!$E$8&lt;7),INDEX(REAKSI!$CE$174:$CE$341,MATCH(Elektro!$E$8,REAKSI!$B$174:$B$341,1))))</definedName>
    <definedName name="PANAH6">IF(AND(Elektro!$W$14=1,Elektro!$E$9=5),INDEX(REAKSI!#REF!,MATCH(3,REAKSI!$B$174:$B$341,1)),IF(OR(Elektro!$W$14&lt;&gt;1,Elektro!$E$9&lt;&gt;5),INDEX(REAKSI!#REF!,MATCH(3,REAKSI!$B$174:$B$341,1))))</definedName>
    <definedName name="RUMUS">IF(Elektro!$E$21&gt;=1,INDEX(RUMUS!$C$3:$C$19,MATCH(Elektro!$E$21,RUMUS!$B$3:$B$19,1)),IF(Elektro!$E$21=0,INDEX(RUMUS!$D$3:$D$19,MATCH(Elektro!$E$21,RUMUS!$B$3:$B$19,1))))</definedName>
    <definedName name="SAMPEL">IF(AND(Elektro!$W$14=1,Elektro!$E$8&gt;=7),INDEX(REAKSI!$E$2:$E$172,MATCH(Elektro!$M$7,REAKSI!$B$2:$B$172,1)),IF(OR(Elektro!$W$14&lt;&gt;1,Elektro!$E$8&lt;7),INDEX(REAKSI!$CX$2:$CX$172,MATCH(Elektro!$M$7,REAKSI!$B$2:$B$172,1))))</definedName>
    <definedName name="suhu">IF(AND(Elektro!$W$14=1,Elektro!$E$8&gt;=7,Elektro!$C$16=TRUE,Elektro!$E$8=8),INDEX(REAKSI!$CJ$3:$CJ$172,MATCH(Elektro!$M$7,REAKSI!$B$3:$B$172,1)),IF(OR(Elektro!$W$14&lt;&gt;1,Elektro!$E$8&lt;7,Elektro!$C$16=FALSE,Elektro!$E$8&lt;8),INDEX(REAKSI!$CP$3:$CP$172,MATCH(Elektro!$M$7,REAKSI!$B$3:$B$172,1))))</definedName>
    <definedName name="Tekanan">IF(AND(Elektro!$W$14=1,Elektro!$E$8&gt;=7,Elektro!$C$16=TRUE,Elektro!$E$8=8),INDEX(REAKSI!$CK$3:$CK$172,MATCH(Elektro!$M$7,REAKSI!$B$3:$B$172,1)),IF(OR(Elektro!$W$14&lt;&gt;1,Elektro!$E$8&lt;7,Elektro!$C$16=FALSE,Elektro!$E$8&lt;8),INDEX(REAKSI!$CP$3:$CP$172,MATCH(Elektro!$M$7,REAKSI!$B$3:$B$172,1))))</definedName>
    <definedName name="TUGAS1">IF(AND(Elektro!$W$14=1,Elektro!$E$8=7,Elektro!$C$12=TRUE),INDEX(REAKSI!$CS$3:$CS$17,MATCH(11,REAKSI!$B$3:$B$17,1)),IF(OR(Elektro!$W$14&lt;&gt;1,Elektro!$E$8&lt;&gt;7,Elektro!$C$16=TRUE),INDEX(REAKSI!$CT$3:$CT$17,MATCH(11,REAKSI!$B$3:$B$17,1))))</definedName>
    <definedName name="TUGAS2">IF(AND(Elektro!$W$14=1,Elektro!$E$8=7,Elektro!$C$12=TRUE),INDEX(REAKSI!$CS$3:$CS$17,MATCH(12,REAKSI!$B$3:$B$17,1)),IF(OR(Elektro!$W$14&lt;&gt;1,Elektro!$E$8&lt;&gt;7,Elektro!$C$16=TRUE),INDEX(REAKSI!$CT$3:$CT$17,MATCH(12,REAKSI!$B$3:$B$17,1))))</definedName>
    <definedName name="TUGAS3">IF(AND(Elektro!$W$14=1,Elektro!$E$8=7,Elektro!$C$12=TRUE),INDEX(REAKSI!$CS$3:$CS$17,MATCH(13,REAKSI!$B$3:$B$17,1)),IF(OR(Elektro!$W$14&lt;&gt;1,Elektro!$E$8&lt;&gt;7,Elektro!$C$12=FALSE),INDEX(REAKSI!$CT$3:$CT$17,MATCH(13,REAKSI!$B$3:$B$17,1))))</definedName>
    <definedName name="TUGAS4">IF(AND(Elektro!$W$14=1,Elektro!$E$8=7,Elektro!$C$12=TRUE),INDEX(REAKSI!$CS$3:$CS$17,MATCH(14,REAKSI!$B$3:$B$17,1)),IF(OR(Elektro!$W$14&lt;&gt;1,Elektro!$E$8&lt;&gt;7,Elektro!$C$16=TRUE),INDEX(REAKSI!$CT$3:$CT$17,MATCH(14,REAKSI!$B$3:$B$17,1))))</definedName>
    <definedName name="Volume">IF(AND(Elektro!$W$14=1,Elektro!$E$8&gt;=7,Elektro!$C$16=TRUE,Elektro!$E$8=8),INDEX(REAKSI!$CF$3:$CF$172,MATCH(Elektro!$M$7,REAKSI!$B$3:$B$172,1)),IF(OR(Elektro!$W$14&lt;&gt;1,Elektro!$E$8&lt;7,Elektro!$C$16=FALSE,Elektro!$E$8&lt;8),INDEX(REAKSI!$CP$3:$CP$172,MATCH(Elektro!$M$7,REAKSI!$B$3:$B$172,1))))</definedName>
    <definedName name="Waktu">IF(AND(Elektro!$W$14=1,Elektro!$E$8&gt;=7,Elektro!$C$16=TRUE,Elektro!$E$8=8),INDEX(REAKSI!$CI$3:$CI$172,MATCH(Elektro!$M$7,REAKSI!$B$3:$B$172,1)),IF(OR(Elektro!$W$14&lt;&gt;1,Elektro!$E$8&lt;7,Elektro!$C$16=FALSE,Elektro!$E$8&lt;8),INDEX(REAKSI!$CP$3:$CP$172,MATCH(Elektro!$M$7,REAKSI!$B$3:$B$172,1)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28" l="1"/>
  <c r="AI12" i="28"/>
  <c r="AI11" i="28"/>
  <c r="AI10" i="28"/>
  <c r="AI9" i="28"/>
  <c r="AI6" i="28"/>
  <c r="AI13" i="28"/>
  <c r="H6" i="56" l="1"/>
  <c r="BM173" i="30" l="1"/>
  <c r="AO173" i="30"/>
  <c r="AC173" i="30"/>
  <c r="AY186" i="30" l="1"/>
  <c r="AY184" i="30"/>
  <c r="AY183" i="30"/>
  <c r="AY181" i="30"/>
  <c r="AE11" i="28" l="1"/>
  <c r="AE10" i="28"/>
  <c r="AE9" i="28"/>
  <c r="AE8" i="28"/>
  <c r="AE7" i="28"/>
  <c r="AE6" i="28"/>
  <c r="AC22" i="28" l="1"/>
  <c r="AD15" i="28"/>
  <c r="AB46" i="52" l="1"/>
  <c r="CS9" i="30" l="1"/>
  <c r="CS8" i="30"/>
  <c r="CS7" i="30" l="1"/>
  <c r="AO4" i="30" l="1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0" i="30"/>
  <c r="AO151" i="30"/>
  <c r="AO152" i="30"/>
  <c r="AO153" i="30"/>
  <c r="AO154" i="30"/>
  <c r="AO155" i="30"/>
  <c r="AO156" i="30"/>
  <c r="AO157" i="30"/>
  <c r="AO158" i="30"/>
  <c r="AO159" i="30"/>
  <c r="AO160" i="30"/>
  <c r="AO161" i="30"/>
  <c r="AO162" i="30"/>
  <c r="AO163" i="30"/>
  <c r="AO164" i="30"/>
  <c r="AO165" i="30"/>
  <c r="AO166" i="30"/>
  <c r="AO167" i="30"/>
  <c r="AO168" i="30"/>
  <c r="AO169" i="30"/>
  <c r="AO170" i="30"/>
  <c r="AO171" i="30"/>
  <c r="AO172" i="30"/>
  <c r="AO3" i="30"/>
  <c r="AC3" i="30"/>
  <c r="AC172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Y182" i="30" l="1"/>
  <c r="V26" i="52" l="1"/>
  <c r="G5" i="51" l="1"/>
  <c r="G6" i="51"/>
  <c r="G7" i="51"/>
  <c r="G8" i="51"/>
  <c r="G9" i="51"/>
  <c r="G10" i="51"/>
  <c r="G11" i="51"/>
  <c r="G12" i="51"/>
  <c r="G13" i="51"/>
  <c r="G14" i="51"/>
  <c r="G4" i="51"/>
  <c r="E26" i="51" l="1"/>
  <c r="E30" i="51"/>
  <c r="E22" i="51"/>
  <c r="D32" i="51"/>
  <c r="E32" i="51" s="1"/>
  <c r="D31" i="51"/>
  <c r="E31" i="51" s="1"/>
  <c r="D30" i="51"/>
  <c r="D29" i="51"/>
  <c r="E29" i="51" s="1"/>
  <c r="D28" i="51"/>
  <c r="E28" i="51" s="1"/>
  <c r="D27" i="51"/>
  <c r="E27" i="51" s="1"/>
  <c r="D26" i="51"/>
  <c r="D25" i="51"/>
  <c r="E25" i="51" s="1"/>
  <c r="D24" i="51"/>
  <c r="E24" i="51" s="1"/>
  <c r="D23" i="51"/>
  <c r="E23" i="51" s="1"/>
  <c r="D22" i="51"/>
  <c r="D6" i="51"/>
  <c r="D7" i="51"/>
  <c r="E7" i="51" s="1"/>
  <c r="D8" i="51"/>
  <c r="D9" i="51"/>
  <c r="E9" i="51" s="1"/>
  <c r="D10" i="51"/>
  <c r="E10" i="51" s="1"/>
  <c r="D11" i="51"/>
  <c r="E11" i="51" s="1"/>
  <c r="D12" i="51"/>
  <c r="D13" i="51"/>
  <c r="E13" i="51" s="1"/>
  <c r="D14" i="51"/>
  <c r="D5" i="51"/>
  <c r="E5" i="51" s="1"/>
  <c r="D4" i="51"/>
  <c r="E14" i="51"/>
  <c r="E12" i="51"/>
  <c r="E8" i="51"/>
  <c r="E6" i="51"/>
  <c r="E4" i="51"/>
  <c r="E9" i="28" l="1"/>
  <c r="AF24" i="28" l="1"/>
  <c r="AF23" i="28"/>
  <c r="AF22" i="28"/>
  <c r="D22" i="28"/>
  <c r="D21" i="28"/>
  <c r="D20" i="28"/>
  <c r="BM122" i="30" l="1"/>
  <c r="BM123" i="30"/>
  <c r="BM171" i="30"/>
  <c r="BM172" i="30" l="1"/>
  <c r="J5" i="28"/>
  <c r="D12" i="28"/>
  <c r="E8" i="28" l="1"/>
  <c r="AD21" i="28" l="1"/>
  <c r="AD20" i="28"/>
  <c r="AF4" i="28"/>
  <c r="AF5" i="28"/>
  <c r="AD23" i="28"/>
  <c r="AG22" i="28"/>
  <c r="AD22" i="28"/>
  <c r="AD19" i="28"/>
  <c r="CS6" i="30"/>
  <c r="CS4" i="30"/>
  <c r="CS5" i="30"/>
  <c r="CS3" i="30"/>
  <c r="G8" i="28"/>
  <c r="AI5" i="28" l="1"/>
  <c r="BM3" i="30" l="1"/>
  <c r="BM40" i="30"/>
  <c r="BM39" i="30"/>
  <c r="BM43" i="30"/>
  <c r="Y21" i="28"/>
  <c r="AC5" i="28" l="1"/>
  <c r="AC4" i="28"/>
  <c r="AC10" i="28"/>
  <c r="AC6" i="28"/>
  <c r="AC11" i="28"/>
  <c r="AC12" i="28"/>
  <c r="E17" i="28" l="1"/>
  <c r="CS15" i="30" l="1"/>
  <c r="CS14" i="30"/>
  <c r="L15" i="28"/>
  <c r="E15" i="28"/>
  <c r="W14" i="28"/>
  <c r="AG10" i="28" l="1"/>
  <c r="AG8" i="28"/>
  <c r="AG5" i="28"/>
  <c r="AG9" i="28"/>
  <c r="AG6" i="28"/>
  <c r="AI24" i="28"/>
  <c r="AI23" i="28"/>
  <c r="AC26" i="28"/>
  <c r="AL40" i="28"/>
  <c r="AC23" i="28"/>
  <c r="AC24" i="28"/>
  <c r="C23" i="28"/>
  <c r="I5" i="28"/>
  <c r="I3" i="28"/>
  <c r="I6" i="28"/>
  <c r="I4" i="28"/>
  <c r="P16" i="28"/>
  <c r="R16" i="28"/>
  <c r="P15" i="28"/>
  <c r="R15" i="28"/>
  <c r="P14" i="28"/>
  <c r="R14" i="28"/>
  <c r="AC25" i="28"/>
  <c r="C19" i="28"/>
  <c r="AD11" i="28"/>
  <c r="C20" i="28"/>
  <c r="C21" i="28"/>
  <c r="AD7" i="28"/>
  <c r="A4" i="28"/>
  <c r="A7" i="28"/>
  <c r="P11" i="28"/>
  <c r="A5" i="28"/>
  <c r="A11" i="28"/>
  <c r="A6" i="28"/>
  <c r="P12" i="28"/>
  <c r="R12" i="28"/>
  <c r="R11" i="28"/>
  <c r="Y24" i="28"/>
  <c r="Q22" i="28"/>
  <c r="Q20" i="28"/>
  <c r="Q23" i="28"/>
  <c r="Q21" i="28"/>
  <c r="AC15" i="28"/>
  <c r="AK13" i="28"/>
  <c r="AK9" i="28"/>
  <c r="AK5" i="28"/>
  <c r="AC20" i="28"/>
  <c r="AD5" i="28" s="1"/>
  <c r="AK10" i="28"/>
  <c r="AK6" i="28"/>
  <c r="AK11" i="28"/>
  <c r="AK7" i="28"/>
  <c r="AK12" i="28"/>
  <c r="AK8" i="28"/>
  <c r="AK4" i="28"/>
  <c r="R13" i="28"/>
  <c r="P13" i="28"/>
  <c r="J6" i="28" l="1"/>
  <c r="J3" i="28"/>
  <c r="D19" i="28" s="1"/>
  <c r="BM10" i="30" l="1"/>
  <c r="BM154" i="30"/>
  <c r="BM68" i="30" l="1"/>
  <c r="BM11" i="30" l="1"/>
  <c r="BM74" i="30"/>
  <c r="BM72" i="30"/>
  <c r="BM70" i="30"/>
  <c r="BM12" i="30"/>
  <c r="BM75" i="30"/>
  <c r="BM73" i="30"/>
  <c r="BM71" i="30"/>
  <c r="BM69" i="30"/>
  <c r="BM9" i="30"/>
  <c r="BM44" i="30"/>
  <c r="BM45" i="30"/>
  <c r="BM46" i="30"/>
  <c r="BM47" i="30"/>
  <c r="BM48" i="30"/>
  <c r="BM49" i="30"/>
  <c r="BM81" i="30"/>
  <c r="BM6" i="30"/>
  <c r="BM7" i="30" l="1"/>
  <c r="BM5" i="30"/>
  <c r="BM170" i="30"/>
  <c r="BM168" i="30"/>
  <c r="BM166" i="30"/>
  <c r="BM164" i="30"/>
  <c r="BM162" i="30"/>
  <c r="BM160" i="30"/>
  <c r="BM158" i="30"/>
  <c r="BM156" i="30"/>
  <c r="BM153" i="30"/>
  <c r="BM151" i="30"/>
  <c r="BM149" i="30"/>
  <c r="BM147" i="30"/>
  <c r="BM145" i="30"/>
  <c r="BM143" i="30"/>
  <c r="BM141" i="30"/>
  <c r="BM139" i="30"/>
  <c r="BM137" i="30"/>
  <c r="BM135" i="30"/>
  <c r="BM133" i="30"/>
  <c r="BM131" i="30"/>
  <c r="BM129" i="30"/>
  <c r="BM127" i="30"/>
  <c r="BM125" i="30"/>
  <c r="BM121" i="30"/>
  <c r="BM119" i="30"/>
  <c r="BM117" i="30"/>
  <c r="BM115" i="30"/>
  <c r="BM113" i="30"/>
  <c r="BM111" i="30"/>
  <c r="BM109" i="30"/>
  <c r="BM107" i="30"/>
  <c r="BM105" i="30"/>
  <c r="BM103" i="30"/>
  <c r="BM101" i="30"/>
  <c r="BM99" i="30"/>
  <c r="BM97" i="30"/>
  <c r="BM95" i="30"/>
  <c r="BM93" i="30"/>
  <c r="BM91" i="30"/>
  <c r="BM89" i="30"/>
  <c r="BM87" i="30"/>
  <c r="BM85" i="30"/>
  <c r="BM83" i="30"/>
  <c r="BM79" i="30"/>
  <c r="BM77" i="30"/>
  <c r="BM67" i="30"/>
  <c r="BM65" i="30"/>
  <c r="BM63" i="30"/>
  <c r="BM61" i="30"/>
  <c r="BM59" i="30"/>
  <c r="BM57" i="30"/>
  <c r="BM55" i="30"/>
  <c r="BM53" i="30"/>
  <c r="BM51" i="30"/>
  <c r="BM42" i="30"/>
  <c r="BM38" i="30"/>
  <c r="BM36" i="30"/>
  <c r="BM34" i="30"/>
  <c r="BM32" i="30"/>
  <c r="BM30" i="30"/>
  <c r="BM28" i="30"/>
  <c r="BM26" i="30"/>
  <c r="BM24" i="30"/>
  <c r="BM22" i="30"/>
  <c r="BM20" i="30"/>
  <c r="BM18" i="30"/>
  <c r="BM16" i="30"/>
  <c r="BM14" i="30"/>
  <c r="BM8" i="30"/>
  <c r="BM4" i="30"/>
  <c r="BM169" i="30"/>
  <c r="BM167" i="30"/>
  <c r="BM165" i="30"/>
  <c r="BM163" i="30"/>
  <c r="BM161" i="30"/>
  <c r="BM159" i="30"/>
  <c r="BM157" i="30"/>
  <c r="BM155" i="30"/>
  <c r="BM152" i="30"/>
  <c r="BM150" i="30"/>
  <c r="BM148" i="30"/>
  <c r="BM146" i="30"/>
  <c r="BM144" i="30"/>
  <c r="BM142" i="30"/>
  <c r="BM140" i="30"/>
  <c r="BM138" i="30"/>
  <c r="BM136" i="30"/>
  <c r="BM134" i="30"/>
  <c r="BM132" i="30"/>
  <c r="BM130" i="30"/>
  <c r="BM128" i="30"/>
  <c r="BM126" i="30"/>
  <c r="BM124" i="30"/>
  <c r="BM120" i="30"/>
  <c r="BM118" i="30"/>
  <c r="BM116" i="30"/>
  <c r="BM114" i="30"/>
  <c r="BM112" i="30"/>
  <c r="BM110" i="30"/>
  <c r="BM108" i="30"/>
  <c r="BM106" i="30"/>
  <c r="BM104" i="30"/>
  <c r="BM102" i="30"/>
  <c r="BM100" i="30"/>
  <c r="BM98" i="30"/>
  <c r="BM96" i="30"/>
  <c r="BM94" i="30"/>
  <c r="BM92" i="30"/>
  <c r="BM90" i="30"/>
  <c r="BM88" i="30"/>
  <c r="BM86" i="30"/>
  <c r="BM84" i="30"/>
  <c r="BM82" i="30"/>
  <c r="BM80" i="30"/>
  <c r="BM78" i="30"/>
  <c r="BM76" i="30"/>
  <c r="BM66" i="30"/>
  <c r="BM64" i="30"/>
  <c r="BM62" i="30"/>
  <c r="BM60" i="30"/>
  <c r="BM58" i="30"/>
  <c r="BM56" i="30"/>
  <c r="BM54" i="30"/>
  <c r="BM52" i="30"/>
  <c r="BM50" i="30"/>
  <c r="BM41" i="30"/>
  <c r="BM37" i="30"/>
  <c r="BM35" i="30"/>
  <c r="BM33" i="30"/>
  <c r="BM31" i="30"/>
  <c r="BM29" i="30"/>
  <c r="BM27" i="30"/>
  <c r="BM25" i="30"/>
  <c r="BM23" i="30"/>
  <c r="BM21" i="30"/>
  <c r="BM19" i="30"/>
  <c r="BM17" i="30"/>
  <c r="BM15" i="30"/>
  <c r="BM13" i="30"/>
  <c r="AC9" i="28" l="1"/>
  <c r="AC7" i="28"/>
  <c r="AC8" i="28"/>
  <c r="AD16" i="28"/>
  <c r="AC16" i="28"/>
  <c r="AD10" i="28"/>
  <c r="AC19" i="28"/>
  <c r="AD6" i="28" s="1"/>
  <c r="AC14" i="28"/>
  <c r="AC13" i="28"/>
  <c r="AI17" i="28" l="1"/>
  <c r="AI16" i="28"/>
  <c r="M4" i="28"/>
  <c r="M5" i="28"/>
  <c r="AH5" i="28" s="1"/>
  <c r="M6" i="28"/>
  <c r="M3" i="28"/>
  <c r="AG20" i="28" l="1"/>
  <c r="AG17" i="28"/>
  <c r="AG15" i="28"/>
  <c r="AG21" i="28"/>
  <c r="AG19" i="28"/>
  <c r="AG16" i="28"/>
  <c r="AG18" i="28"/>
  <c r="D16" i="28"/>
  <c r="D15" i="28"/>
  <c r="D14" i="28"/>
  <c r="D17" i="28"/>
  <c r="L7" i="28"/>
  <c r="D4" i="28" s="1"/>
  <c r="AF20" i="28"/>
  <c r="AF18" i="28"/>
  <c r="AF16" i="28"/>
  <c r="AF21" i="28"/>
  <c r="AF19" i="28"/>
  <c r="AF17" i="28"/>
  <c r="AF15" i="28"/>
  <c r="AH8" i="28"/>
  <c r="AH12" i="28"/>
  <c r="AH7" i="28"/>
  <c r="AH11" i="28"/>
  <c r="AH6" i="28"/>
  <c r="AH10" i="28"/>
  <c r="AH9" i="28"/>
  <c r="AH13" i="28"/>
  <c r="AF6" i="28" l="1"/>
  <c r="D7" i="28"/>
  <c r="D6" i="28"/>
  <c r="D8" i="28"/>
  <c r="AN27" i="28"/>
  <c r="C13" i="28"/>
  <c r="D5" i="28" l="1"/>
  <c r="M7" i="28" l="1"/>
  <c r="AF26" i="28" l="1"/>
  <c r="AF25" i="28"/>
  <c r="AD12" i="28"/>
  <c r="AD13" i="28"/>
  <c r="CS13" i="30"/>
  <c r="AO6" i="28"/>
  <c r="O3" i="28"/>
  <c r="AO9" i="28"/>
  <c r="AE5" i="28"/>
  <c r="AD4" i="28"/>
  <c r="AN7" i="28"/>
  <c r="AE4" i="28"/>
  <c r="AI20" i="28"/>
  <c r="AH19" i="28"/>
  <c r="AN6" i="28"/>
  <c r="AN9" i="28"/>
  <c r="AI15" i="28"/>
  <c r="AI19" i="28"/>
  <c r="AC21" i="28"/>
  <c r="A2" i="30"/>
  <c r="P82" i="30" s="1"/>
  <c r="AD8" i="28"/>
  <c r="AO5" i="28"/>
  <c r="AO8" i="28"/>
  <c r="AN4" i="28"/>
  <c r="W21" i="28"/>
  <c r="W22" i="28"/>
  <c r="AI18" i="28"/>
  <c r="W20" i="28"/>
  <c r="A2" i="28"/>
  <c r="AD9" i="28"/>
  <c r="AH17" i="28"/>
  <c r="AH15" i="28"/>
  <c r="AH16" i="28"/>
  <c r="S42" i="30" l="1"/>
  <c r="AY119" i="30"/>
  <c r="U6" i="30"/>
  <c r="AV75" i="30"/>
  <c r="AX75" i="30" s="1"/>
  <c r="AN161" i="30"/>
  <c r="AC17" i="28"/>
  <c r="Q167" i="30"/>
  <c r="AY55" i="30"/>
  <c r="AN97" i="30"/>
  <c r="S101" i="30"/>
  <c r="AY168" i="30"/>
  <c r="AV46" i="30"/>
  <c r="AX46" i="30" s="1"/>
  <c r="AB164" i="30"/>
  <c r="AB25" i="30"/>
  <c r="AD145" i="30"/>
  <c r="AY130" i="30"/>
  <c r="AV114" i="30"/>
  <c r="AX114" i="30" s="1"/>
  <c r="AN166" i="30"/>
  <c r="CM52" i="30"/>
  <c r="AV132" i="30"/>
  <c r="AX132" i="30" s="1"/>
  <c r="AY28" i="30"/>
  <c r="AF129" i="30"/>
  <c r="AB34" i="30"/>
  <c r="U128" i="30"/>
  <c r="T124" i="30"/>
  <c r="AY114" i="30"/>
  <c r="AY43" i="30"/>
  <c r="AV131" i="30"/>
  <c r="AX131" i="30" s="1"/>
  <c r="AV38" i="30"/>
  <c r="AX38" i="30" s="1"/>
  <c r="AB148" i="30"/>
  <c r="Q163" i="30"/>
  <c r="AD84" i="30"/>
  <c r="O22" i="30"/>
  <c r="AF114" i="30"/>
  <c r="T172" i="30"/>
  <c r="P114" i="30"/>
  <c r="CK30" i="30"/>
  <c r="AY152" i="30"/>
  <c r="AY111" i="30"/>
  <c r="AV166" i="30"/>
  <c r="AX166" i="30" s="1"/>
  <c r="AV106" i="30"/>
  <c r="AX106" i="30" s="1"/>
  <c r="AF113" i="30"/>
  <c r="AN89" i="30"/>
  <c r="AB18" i="30"/>
  <c r="AN102" i="30"/>
  <c r="U102" i="30"/>
  <c r="AY66" i="30"/>
  <c r="AY104" i="30"/>
  <c r="AY151" i="30"/>
  <c r="AY87" i="30"/>
  <c r="AY17" i="30"/>
  <c r="AV171" i="30"/>
  <c r="AX171" i="30" s="1"/>
  <c r="AV107" i="30"/>
  <c r="AX107" i="30" s="1"/>
  <c r="AV31" i="30"/>
  <c r="AX31" i="30" s="1"/>
  <c r="AV82" i="30"/>
  <c r="AX82" i="30" s="1"/>
  <c r="AV14" i="30"/>
  <c r="AX14" i="30" s="1"/>
  <c r="AF61" i="30"/>
  <c r="AN129" i="30"/>
  <c r="AN55" i="30"/>
  <c r="AB100" i="30"/>
  <c r="AD94" i="30"/>
  <c r="Q151" i="30"/>
  <c r="AN28" i="30"/>
  <c r="S161" i="30"/>
  <c r="O77" i="30"/>
  <c r="CL60" i="30"/>
  <c r="AA153" i="30"/>
  <c r="T156" i="30"/>
  <c r="U70" i="30"/>
  <c r="CF106" i="30"/>
  <c r="CK89" i="30"/>
  <c r="CN141" i="30"/>
  <c r="T56" i="30"/>
  <c r="P90" i="30"/>
  <c r="CN52" i="30"/>
  <c r="U14" i="30"/>
  <c r="U46" i="30"/>
  <c r="U78" i="30"/>
  <c r="U110" i="30"/>
  <c r="T128" i="30"/>
  <c r="T144" i="30"/>
  <c r="T160" i="30"/>
  <c r="AD41" i="30"/>
  <c r="AA11" i="30"/>
  <c r="AA105" i="30"/>
  <c r="AA169" i="30"/>
  <c r="AF146" i="30"/>
  <c r="U115" i="30"/>
  <c r="CO61" i="30"/>
  <c r="CL128" i="30"/>
  <c r="S30" i="30"/>
  <c r="S46" i="30"/>
  <c r="CJ46" i="30" s="1"/>
  <c r="S62" i="30"/>
  <c r="CJ62" i="30" s="1"/>
  <c r="S85" i="30"/>
  <c r="U116" i="30"/>
  <c r="O133" i="30"/>
  <c r="S149" i="30"/>
  <c r="S165" i="30"/>
  <c r="AD116" i="30"/>
  <c r="AB43" i="30"/>
  <c r="AB129" i="30"/>
  <c r="AN52" i="30"/>
  <c r="AN118" i="30"/>
  <c r="AF23" i="30"/>
  <c r="Q139" i="30"/>
  <c r="AV139" i="30" s="1"/>
  <c r="AX139" i="30" s="1"/>
  <c r="Q155" i="30"/>
  <c r="Q171" i="30"/>
  <c r="AD126" i="30"/>
  <c r="AB50" i="30"/>
  <c r="AB116" i="30"/>
  <c r="AN15" i="30"/>
  <c r="AN73" i="30"/>
  <c r="AN105" i="30"/>
  <c r="AN137" i="30"/>
  <c r="AN169" i="30"/>
  <c r="AF81" i="30"/>
  <c r="AF145" i="30"/>
  <c r="AV22" i="30"/>
  <c r="AX22" i="30" s="1"/>
  <c r="AV56" i="30"/>
  <c r="AX56" i="30" s="1"/>
  <c r="AV90" i="30"/>
  <c r="AX90" i="30" s="1"/>
  <c r="AV5" i="30"/>
  <c r="AV41" i="30"/>
  <c r="AX41" i="30" s="1"/>
  <c r="AV83" i="30"/>
  <c r="AX83" i="30" s="1"/>
  <c r="AV115" i="30"/>
  <c r="AX115" i="30" s="1"/>
  <c r="AV147" i="30"/>
  <c r="AX147" i="30" s="1"/>
  <c r="AV134" i="30"/>
  <c r="AX134" i="30" s="1"/>
  <c r="AV148" i="30"/>
  <c r="AX148" i="30" s="1"/>
  <c r="AY25" i="30"/>
  <c r="AY63" i="30"/>
  <c r="AY95" i="30"/>
  <c r="AY127" i="30"/>
  <c r="AY159" i="30"/>
  <c r="AY52" i="30"/>
  <c r="AY120" i="30"/>
  <c r="AY18" i="30"/>
  <c r="AY82" i="30"/>
  <c r="AY146" i="30"/>
  <c r="CV14" i="30"/>
  <c r="CL123" i="30"/>
  <c r="P106" i="30"/>
  <c r="U30" i="30"/>
  <c r="U94" i="30"/>
  <c r="T136" i="30"/>
  <c r="T168" i="30"/>
  <c r="AA72" i="30"/>
  <c r="AF82" i="30"/>
  <c r="Q131" i="30"/>
  <c r="O14" i="30"/>
  <c r="S70" i="30"/>
  <c r="S124" i="30"/>
  <c r="S157" i="30"/>
  <c r="AB9" i="30"/>
  <c r="AB161" i="30"/>
  <c r="AN150" i="30"/>
  <c r="Q147" i="30"/>
  <c r="CH60" i="30"/>
  <c r="CO55" i="30"/>
  <c r="V64" i="30"/>
  <c r="P98" i="30"/>
  <c r="CM143" i="30"/>
  <c r="U22" i="30"/>
  <c r="U54" i="30"/>
  <c r="U86" i="30"/>
  <c r="T116" i="30"/>
  <c r="T132" i="30"/>
  <c r="T148" i="30"/>
  <c r="T164" i="30"/>
  <c r="AD81" i="30"/>
  <c r="AA29" i="30"/>
  <c r="AA121" i="30"/>
  <c r="AF36" i="30"/>
  <c r="P3" i="30"/>
  <c r="CG3" i="30" s="1"/>
  <c r="S123" i="30"/>
  <c r="CN104" i="30"/>
  <c r="O6" i="30"/>
  <c r="CF6" i="30" s="1"/>
  <c r="S34" i="30"/>
  <c r="S50" i="30"/>
  <c r="S66" i="30"/>
  <c r="CJ66" i="30" s="1"/>
  <c r="S94" i="30"/>
  <c r="U120" i="30"/>
  <c r="O137" i="30"/>
  <c r="S153" i="30"/>
  <c r="S169" i="30"/>
  <c r="AD148" i="30"/>
  <c r="AB81" i="30"/>
  <c r="AB145" i="30"/>
  <c r="AN70" i="30"/>
  <c r="AN134" i="30"/>
  <c r="AF99" i="30"/>
  <c r="Q143" i="30"/>
  <c r="Q159" i="30"/>
  <c r="AD26" i="30"/>
  <c r="AB68" i="30"/>
  <c r="AB132" i="30"/>
  <c r="AN31" i="30"/>
  <c r="AN81" i="30"/>
  <c r="AN113" i="30"/>
  <c r="AN145" i="30"/>
  <c r="AF25" i="30"/>
  <c r="AF97" i="30"/>
  <c r="AF161" i="30"/>
  <c r="AV30" i="30"/>
  <c r="AX30" i="30" s="1"/>
  <c r="AV64" i="30"/>
  <c r="AX64" i="30" s="1"/>
  <c r="AV98" i="30"/>
  <c r="AX98" i="30" s="1"/>
  <c r="AV15" i="30"/>
  <c r="AX15" i="30" s="1"/>
  <c r="AV57" i="30"/>
  <c r="AX57" i="30" s="1"/>
  <c r="AV91" i="30"/>
  <c r="AX91" i="30" s="1"/>
  <c r="AV123" i="30"/>
  <c r="AX123" i="30" s="1"/>
  <c r="AV155" i="30"/>
  <c r="AX155" i="30" s="1"/>
  <c r="AV150" i="30"/>
  <c r="AX150" i="30" s="1"/>
  <c r="AV164" i="30"/>
  <c r="AX164" i="30" s="1"/>
  <c r="AY33" i="30"/>
  <c r="AY71" i="30"/>
  <c r="AY103" i="30"/>
  <c r="AY167" i="30"/>
  <c r="AY72" i="30"/>
  <c r="AY136" i="30"/>
  <c r="AY34" i="30"/>
  <c r="AY98" i="30"/>
  <c r="AY162" i="30"/>
  <c r="CJ138" i="30"/>
  <c r="V73" i="30"/>
  <c r="CL114" i="30"/>
  <c r="U62" i="30"/>
  <c r="T120" i="30"/>
  <c r="T152" i="30"/>
  <c r="AD113" i="30"/>
  <c r="O86" i="30"/>
  <c r="CM147" i="30"/>
  <c r="S38" i="30"/>
  <c r="S54" i="30"/>
  <c r="O102" i="30"/>
  <c r="S141" i="30"/>
  <c r="AD48" i="30"/>
  <c r="AF48" i="30" s="1"/>
  <c r="AB97" i="30"/>
  <c r="AN86" i="30"/>
  <c r="AF131" i="30"/>
  <c r="AY12" i="30"/>
  <c r="AV67" i="30"/>
  <c r="AX67" i="30" s="1"/>
  <c r="AN153" i="30"/>
  <c r="O111" i="30"/>
  <c r="AY50" i="30"/>
  <c r="AY88" i="30"/>
  <c r="AY143" i="30"/>
  <c r="AY79" i="30"/>
  <c r="AY9" i="30"/>
  <c r="AV163" i="30"/>
  <c r="AX163" i="30" s="1"/>
  <c r="AV99" i="30"/>
  <c r="AX99" i="30" s="1"/>
  <c r="AV23" i="30"/>
  <c r="AX23" i="30" s="1"/>
  <c r="AV74" i="30"/>
  <c r="AX74" i="30" s="1"/>
  <c r="O3" i="30"/>
  <c r="CF3" i="30" s="1"/>
  <c r="AF41" i="30"/>
  <c r="AN121" i="30"/>
  <c r="AN43" i="30"/>
  <c r="AB84" i="30"/>
  <c r="AD58" i="30"/>
  <c r="AF163" i="30"/>
  <c r="AB113" i="30"/>
  <c r="S145" i="30"/>
  <c r="S58" i="30"/>
  <c r="CI145" i="30"/>
  <c r="AA89" i="30"/>
  <c r="T140" i="30"/>
  <c r="U38" i="30"/>
  <c r="T31" i="30"/>
  <c r="G9" i="28"/>
  <c r="AE12" i="28"/>
  <c r="CV61" i="30"/>
  <c r="CQ124" i="30"/>
  <c r="AM73" i="30"/>
  <c r="CF28" i="30"/>
  <c r="CF170" i="30"/>
  <c r="CG71" i="30"/>
  <c r="CK17" i="30"/>
  <c r="CG148" i="30"/>
  <c r="CK52" i="30"/>
  <c r="CF131" i="30"/>
  <c r="CJ31" i="30"/>
  <c r="CJ79" i="30"/>
  <c r="CK97" i="30"/>
  <c r="CK113" i="30"/>
  <c r="CK129" i="30"/>
  <c r="CH38" i="30"/>
  <c r="CH82" i="30"/>
  <c r="CJ98" i="30"/>
  <c r="CJ114" i="30"/>
  <c r="CJ130" i="30"/>
  <c r="CJ146" i="30"/>
  <c r="CJ162" i="30"/>
  <c r="CM16" i="30"/>
  <c r="CN37" i="30"/>
  <c r="CM88" i="30"/>
  <c r="CN109" i="30"/>
  <c r="CO130" i="30"/>
  <c r="CM152" i="30"/>
  <c r="CL8" i="30"/>
  <c r="CN30" i="30"/>
  <c r="CM81" i="30"/>
  <c r="CO123" i="30"/>
  <c r="CN166" i="30"/>
  <c r="CL91" i="30"/>
  <c r="CL155" i="30"/>
  <c r="P11" i="30"/>
  <c r="T19" i="30"/>
  <c r="T27" i="30"/>
  <c r="T35" i="30"/>
  <c r="V43" i="30"/>
  <c r="P53" i="30"/>
  <c r="T55" i="30"/>
  <c r="T57" i="30"/>
  <c r="T59" i="30"/>
  <c r="T61" i="30"/>
  <c r="P66" i="30"/>
  <c r="CG66" i="30" s="1"/>
  <c r="T68" i="30"/>
  <c r="V70" i="30"/>
  <c r="V72" i="30"/>
  <c r="V74" i="30"/>
  <c r="V76" i="30"/>
  <c r="V78" i="30"/>
  <c r="P81" i="30"/>
  <c r="P83" i="30"/>
  <c r="P85" i="30"/>
  <c r="P87" i="30"/>
  <c r="P89" i="30"/>
  <c r="P91" i="30"/>
  <c r="P93" i="30"/>
  <c r="P95" i="30"/>
  <c r="P97" i="30"/>
  <c r="P99" i="30"/>
  <c r="P101" i="30"/>
  <c r="P103" i="30"/>
  <c r="P105" i="30"/>
  <c r="P107" i="30"/>
  <c r="P109" i="30"/>
  <c r="P111" i="30"/>
  <c r="P113" i="30"/>
  <c r="CI144" i="30"/>
  <c r="CM15" i="30"/>
  <c r="CN36" i="30"/>
  <c r="CM63" i="30"/>
  <c r="CO89" i="30"/>
  <c r="CM111" i="30"/>
  <c r="CN132" i="30"/>
  <c r="CO153" i="30"/>
  <c r="CL58" i="30"/>
  <c r="CL98" i="30"/>
  <c r="CL130" i="30"/>
  <c r="CQ111" i="30"/>
  <c r="AM87" i="30"/>
  <c r="CF145" i="30"/>
  <c r="CF159" i="30"/>
  <c r="CI73" i="30"/>
  <c r="CJ58" i="30"/>
  <c r="CK105" i="30"/>
  <c r="CJ90" i="30"/>
  <c r="CJ122" i="30"/>
  <c r="CJ154" i="30"/>
  <c r="CO26" i="30"/>
  <c r="CO76" i="30"/>
  <c r="CM120" i="30"/>
  <c r="CO162" i="30"/>
  <c r="CN102" i="30"/>
  <c r="CL55" i="30"/>
  <c r="R6" i="30"/>
  <c r="CI6" i="30" s="1"/>
  <c r="T23" i="30"/>
  <c r="T39" i="30"/>
  <c r="CK39" i="30" s="1"/>
  <c r="T54" i="30"/>
  <c r="T58" i="30"/>
  <c r="T62" i="30"/>
  <c r="CK62" i="30" s="1"/>
  <c r="R67" i="30"/>
  <c r="CI67" i="30" s="1"/>
  <c r="V71" i="30"/>
  <c r="V75" i="30"/>
  <c r="V79" i="30"/>
  <c r="P84" i="30"/>
  <c r="P88" i="30"/>
  <c r="P92" i="30"/>
  <c r="P96" i="30"/>
  <c r="P100" i="30"/>
  <c r="P104" i="30"/>
  <c r="P108" i="30"/>
  <c r="P112" i="30"/>
  <c r="CI152" i="30"/>
  <c r="CO25" i="30"/>
  <c r="CM79" i="30"/>
  <c r="CO121" i="30"/>
  <c r="CN164" i="30"/>
  <c r="CL82" i="30"/>
  <c r="CL146" i="30"/>
  <c r="U4" i="30"/>
  <c r="U8" i="30"/>
  <c r="U12" i="30"/>
  <c r="U16" i="30"/>
  <c r="U20" i="30"/>
  <c r="U24" i="30"/>
  <c r="U28" i="30"/>
  <c r="U32" i="30"/>
  <c r="U36" i="30"/>
  <c r="U40" i="30"/>
  <c r="U44" i="30"/>
  <c r="U48" i="30"/>
  <c r="U52" i="30"/>
  <c r="U56" i="30"/>
  <c r="U60" i="30"/>
  <c r="U64" i="30"/>
  <c r="U68" i="30"/>
  <c r="U72" i="30"/>
  <c r="U76" i="30"/>
  <c r="U80" i="30"/>
  <c r="U84" i="30"/>
  <c r="U88" i="30"/>
  <c r="U92" i="30"/>
  <c r="U96" i="30"/>
  <c r="U100" i="30"/>
  <c r="U104" i="30"/>
  <c r="U108" i="30"/>
  <c r="U112" i="30"/>
  <c r="T115" i="30"/>
  <c r="T117" i="30"/>
  <c r="T119" i="30"/>
  <c r="T121" i="30"/>
  <c r="T123" i="30"/>
  <c r="T125" i="30"/>
  <c r="T127" i="30"/>
  <c r="T129" i="30"/>
  <c r="T131" i="30"/>
  <c r="T133" i="30"/>
  <c r="T135" i="30"/>
  <c r="CK135" i="30" s="1"/>
  <c r="T137" i="30"/>
  <c r="CK137" i="30" s="1"/>
  <c r="T139" i="30"/>
  <c r="T141" i="30"/>
  <c r="T143" i="30"/>
  <c r="T145" i="30"/>
  <c r="T147" i="30"/>
  <c r="T149" i="30"/>
  <c r="T151" i="30"/>
  <c r="T153" i="30"/>
  <c r="T155" i="30"/>
  <c r="T157" i="30"/>
  <c r="T159" i="30"/>
  <c r="T161" i="30"/>
  <c r="T163" i="30"/>
  <c r="T165" i="30"/>
  <c r="T167" i="30"/>
  <c r="T169" i="30"/>
  <c r="T171" i="30"/>
  <c r="AD15" i="30"/>
  <c r="AD31" i="30"/>
  <c r="AD53" i="30"/>
  <c r="AD73" i="30"/>
  <c r="AD89" i="30"/>
  <c r="AD105" i="30"/>
  <c r="AD121" i="30"/>
  <c r="AD153" i="30"/>
  <c r="AD169" i="30"/>
  <c r="AA17" i="30"/>
  <c r="AA25" i="30"/>
  <c r="AA33" i="30"/>
  <c r="AA55" i="30"/>
  <c r="AA64" i="30"/>
  <c r="AA76" i="30"/>
  <c r="AA85" i="30"/>
  <c r="AA93" i="30"/>
  <c r="AA101" i="30"/>
  <c r="AA109" i="30"/>
  <c r="AA117" i="30"/>
  <c r="AA125" i="30"/>
  <c r="AA133" i="30"/>
  <c r="AA141" i="30"/>
  <c r="AA149" i="30"/>
  <c r="AA157" i="30"/>
  <c r="AF8" i="30"/>
  <c r="AF28" i="30"/>
  <c r="AF50" i="30"/>
  <c r="AF72" i="30"/>
  <c r="AF90" i="30"/>
  <c r="AF106" i="30"/>
  <c r="AF122" i="30"/>
  <c r="AF138" i="30"/>
  <c r="AF154" i="30"/>
  <c r="AF170" i="30"/>
  <c r="S74" i="30"/>
  <c r="O82" i="30"/>
  <c r="S89" i="30"/>
  <c r="S97" i="30"/>
  <c r="S105" i="30"/>
  <c r="S112" i="30"/>
  <c r="S117" i="30"/>
  <c r="S121" i="30"/>
  <c r="O126" i="30"/>
  <c r="S129" i="30"/>
  <c r="Q133" i="30"/>
  <c r="Q137" i="30"/>
  <c r="CI153" i="30"/>
  <c r="CI169" i="30"/>
  <c r="CM27" i="30"/>
  <c r="CM51" i="30"/>
  <c r="CN72" i="30"/>
  <c r="CO93" i="30"/>
  <c r="CM115" i="30"/>
  <c r="CN136" i="30"/>
  <c r="CO157" i="30"/>
  <c r="CL19" i="30"/>
  <c r="CL80" i="30"/>
  <c r="CL112" i="30"/>
  <c r="CL144" i="30"/>
  <c r="O4" i="30"/>
  <c r="CF4" i="30" s="1"/>
  <c r="O8" i="30"/>
  <c r="O12" i="30"/>
  <c r="O16" i="30"/>
  <c r="O20" i="30"/>
  <c r="O24" i="30"/>
  <c r="O28" i="30"/>
  <c r="CS17" i="30"/>
  <c r="AY170" i="30"/>
  <c r="AY154" i="30"/>
  <c r="AY138" i="30"/>
  <c r="AY122" i="30"/>
  <c r="AY106" i="30"/>
  <c r="AY90" i="30"/>
  <c r="AY74" i="30"/>
  <c r="AY58" i="30"/>
  <c r="AY26" i="30"/>
  <c r="AY10" i="30"/>
  <c r="AY160" i="30"/>
  <c r="AY144" i="30"/>
  <c r="AY128" i="30"/>
  <c r="AY112" i="30"/>
  <c r="AY96" i="30"/>
  <c r="AY80" i="30"/>
  <c r="AY60" i="30"/>
  <c r="AY36" i="30"/>
  <c r="AY20" i="30"/>
  <c r="AY171" i="30"/>
  <c r="AY163" i="30"/>
  <c r="AY155" i="30"/>
  <c r="AY147" i="30"/>
  <c r="AY131" i="30"/>
  <c r="AY123" i="30"/>
  <c r="AY115" i="30"/>
  <c r="AY107" i="30"/>
  <c r="AY99" i="30"/>
  <c r="AY91" i="30"/>
  <c r="AY83" i="30"/>
  <c r="AY75" i="30"/>
  <c r="AY67" i="30"/>
  <c r="AY59" i="30"/>
  <c r="AY51" i="30"/>
  <c r="AY37" i="30"/>
  <c r="AY29" i="30"/>
  <c r="AY21" i="30"/>
  <c r="AY13" i="30"/>
  <c r="AV172" i="30"/>
  <c r="AX172" i="30" s="1"/>
  <c r="AV140" i="30"/>
  <c r="AX140" i="30" s="1"/>
  <c r="AV124" i="30"/>
  <c r="AX124" i="30" s="1"/>
  <c r="AV142" i="30"/>
  <c r="AX142" i="30" s="1"/>
  <c r="AV126" i="30"/>
  <c r="AX126" i="30" s="1"/>
  <c r="AV167" i="30"/>
  <c r="AX167" i="30" s="1"/>
  <c r="AV159" i="30"/>
  <c r="AX159" i="30" s="1"/>
  <c r="AV143" i="30"/>
  <c r="AX143" i="30" s="1"/>
  <c r="AV127" i="30"/>
  <c r="AX127" i="30" s="1"/>
  <c r="AV119" i="30"/>
  <c r="AX119" i="30" s="1"/>
  <c r="AV111" i="30"/>
  <c r="AX111" i="30" s="1"/>
  <c r="AV103" i="30"/>
  <c r="AX103" i="30" s="1"/>
  <c r="AV95" i="30"/>
  <c r="AX95" i="30" s="1"/>
  <c r="AV87" i="30"/>
  <c r="AX87" i="30" s="1"/>
  <c r="AV79" i="30"/>
  <c r="AX79" i="30" s="1"/>
  <c r="AV71" i="30"/>
  <c r="AX71" i="30" s="1"/>
  <c r="AV61" i="30"/>
  <c r="AX61" i="30" s="1"/>
  <c r="AV53" i="30"/>
  <c r="AX53" i="30" s="1"/>
  <c r="AV35" i="30"/>
  <c r="AX35" i="30" s="1"/>
  <c r="AV27" i="30"/>
  <c r="AX27" i="30" s="1"/>
  <c r="AV19" i="30"/>
  <c r="AX19" i="30" s="1"/>
  <c r="AV11" i="30"/>
  <c r="AX11" i="30" s="1"/>
  <c r="AV118" i="30"/>
  <c r="AX118" i="30" s="1"/>
  <c r="AV110" i="30"/>
  <c r="AX110" i="30" s="1"/>
  <c r="AV102" i="30"/>
  <c r="AX102" i="30" s="1"/>
  <c r="AV94" i="30"/>
  <c r="AX94" i="30" s="1"/>
  <c r="AV86" i="30"/>
  <c r="AX86" i="30" s="1"/>
  <c r="AV78" i="30"/>
  <c r="AX78" i="30" s="1"/>
  <c r="AV70" i="30"/>
  <c r="AX70" i="30" s="1"/>
  <c r="AV60" i="30"/>
  <c r="AX60" i="30" s="1"/>
  <c r="AV52" i="30"/>
  <c r="AX52" i="30" s="1"/>
  <c r="AV34" i="30"/>
  <c r="AX34" i="30" s="1"/>
  <c r="AV26" i="30"/>
  <c r="AX26" i="30" s="1"/>
  <c r="AV18" i="30"/>
  <c r="AX18" i="30" s="1"/>
  <c r="AV10" i="30"/>
  <c r="AX10" i="30" s="1"/>
  <c r="AF169" i="30"/>
  <c r="AF153" i="30"/>
  <c r="AF121" i="30"/>
  <c r="AF105" i="30"/>
  <c r="AF89" i="30"/>
  <c r="AF73" i="30"/>
  <c r="AF53" i="30"/>
  <c r="AF33" i="30"/>
  <c r="AF17" i="30"/>
  <c r="AN165" i="30"/>
  <c r="AN157" i="30"/>
  <c r="AN149" i="30"/>
  <c r="AN141" i="30"/>
  <c r="AN133" i="30"/>
  <c r="AN125" i="30"/>
  <c r="AN117" i="30"/>
  <c r="AN109" i="30"/>
  <c r="AN101" i="30"/>
  <c r="AN93" i="30"/>
  <c r="AN85" i="30"/>
  <c r="AN77" i="30"/>
  <c r="AN69" i="30"/>
  <c r="AN59" i="30"/>
  <c r="AN37" i="30"/>
  <c r="AN23" i="30"/>
  <c r="AB172" i="30"/>
  <c r="AB140" i="30"/>
  <c r="AB124" i="30"/>
  <c r="AB108" i="30"/>
  <c r="AB92" i="30"/>
  <c r="AB76" i="30"/>
  <c r="AB58" i="30"/>
  <c r="AB26" i="30"/>
  <c r="AB8" i="30"/>
  <c r="AD142" i="30"/>
  <c r="AD110" i="30"/>
  <c r="AD78" i="30"/>
  <c r="AD10" i="30"/>
  <c r="Q169" i="30"/>
  <c r="Q165" i="30"/>
  <c r="AA165" i="30" s="1"/>
  <c r="Q161" i="30"/>
  <c r="Q157" i="30"/>
  <c r="Q153" i="30"/>
  <c r="Q149" i="30"/>
  <c r="Q145" i="30"/>
  <c r="Q141" i="30"/>
  <c r="Q3" i="30"/>
  <c r="AF147" i="30"/>
  <c r="AF115" i="30"/>
  <c r="AF83" i="30"/>
  <c r="AF43" i="30"/>
  <c r="AN142" i="30"/>
  <c r="AN126" i="30"/>
  <c r="AN110" i="30"/>
  <c r="AN94" i="30"/>
  <c r="AN78" i="30"/>
  <c r="AN60" i="30"/>
  <c r="AN36" i="30"/>
  <c r="AN20" i="30"/>
  <c r="AB169" i="30"/>
  <c r="AB153" i="30"/>
  <c r="AB137" i="30"/>
  <c r="AB121" i="30"/>
  <c r="AB105" i="30"/>
  <c r="AB89" i="30"/>
  <c r="AB73" i="30"/>
  <c r="AB55" i="30"/>
  <c r="AB33" i="30"/>
  <c r="AB17" i="30"/>
  <c r="AD164" i="30"/>
  <c r="AD132" i="30"/>
  <c r="AD100" i="30"/>
  <c r="AD64" i="30"/>
  <c r="AD28" i="30"/>
  <c r="S171" i="30"/>
  <c r="S167" i="30"/>
  <c r="S163" i="30"/>
  <c r="S159" i="30"/>
  <c r="S155" i="30"/>
  <c r="S151" i="30"/>
  <c r="S147" i="30"/>
  <c r="S143" i="30"/>
  <c r="S139" i="30"/>
  <c r="O135" i="30"/>
  <c r="O131" i="30"/>
  <c r="Q126" i="30"/>
  <c r="U122" i="30"/>
  <c r="U118" i="30"/>
  <c r="S114" i="30"/>
  <c r="O106" i="30"/>
  <c r="O98" i="30"/>
  <c r="O90" i="30"/>
  <c r="S81" i="30"/>
  <c r="O73" i="30"/>
  <c r="S68" i="30"/>
  <c r="CJ68" i="30" s="1"/>
  <c r="S64" i="30"/>
  <c r="S60" i="30"/>
  <c r="S56" i="30"/>
  <c r="S52" i="30"/>
  <c r="S48" i="30"/>
  <c r="AA48" i="30" s="1"/>
  <c r="S44" i="30"/>
  <c r="CJ44" i="30" s="1"/>
  <c r="S40" i="30"/>
  <c r="S36" i="30"/>
  <c r="S32" i="30"/>
  <c r="O26" i="30"/>
  <c r="O18" i="30"/>
  <c r="O10" i="30"/>
  <c r="CF10" i="30" s="1"/>
  <c r="CL96" i="30"/>
  <c r="CN168" i="30"/>
  <c r="CO125" i="30"/>
  <c r="CM83" i="30"/>
  <c r="CO37" i="30"/>
  <c r="CI161" i="30"/>
  <c r="Q135" i="30"/>
  <c r="AV135" i="30" s="1"/>
  <c r="AX135" i="30" s="1"/>
  <c r="U127" i="30"/>
  <c r="S119" i="30"/>
  <c r="S108" i="30"/>
  <c r="O93" i="30"/>
  <c r="S78" i="30"/>
  <c r="AF162" i="30"/>
  <c r="AF130" i="30"/>
  <c r="AF98" i="30"/>
  <c r="AF58" i="30"/>
  <c r="AF20" i="30"/>
  <c r="AA161" i="30"/>
  <c r="AA145" i="30"/>
  <c r="AA129" i="30"/>
  <c r="AA113" i="30"/>
  <c r="AA97" i="30"/>
  <c r="AA81" i="30"/>
  <c r="AA59" i="30"/>
  <c r="AA37" i="30"/>
  <c r="AA21" i="30"/>
  <c r="AD161" i="30"/>
  <c r="AD129" i="30"/>
  <c r="AD97" i="30"/>
  <c r="AD61" i="30"/>
  <c r="AD23" i="30"/>
  <c r="T170" i="30"/>
  <c r="T166" i="30"/>
  <c r="T162" i="30"/>
  <c r="T158" i="30"/>
  <c r="CK158" i="30" s="1"/>
  <c r="T154" i="30"/>
  <c r="T150" i="30"/>
  <c r="T146" i="30"/>
  <c r="T142" i="30"/>
  <c r="T138" i="30"/>
  <c r="T134" i="30"/>
  <c r="T130" i="30"/>
  <c r="T126" i="30"/>
  <c r="T122" i="30"/>
  <c r="T118" i="30"/>
  <c r="T114" i="30"/>
  <c r="U106" i="30"/>
  <c r="U98" i="30"/>
  <c r="U90" i="30"/>
  <c r="U82" i="30"/>
  <c r="U74" i="30"/>
  <c r="U66" i="30"/>
  <c r="U58" i="30"/>
  <c r="U50" i="30"/>
  <c r="U42" i="30"/>
  <c r="U34" i="30"/>
  <c r="U26" i="30"/>
  <c r="U18" i="30"/>
  <c r="U10" i="30"/>
  <c r="CL162" i="30"/>
  <c r="CL38" i="30"/>
  <c r="CN100" i="30"/>
  <c r="CI168" i="30"/>
  <c r="P110" i="30"/>
  <c r="P102" i="30"/>
  <c r="P94" i="30"/>
  <c r="P86" i="30"/>
  <c r="V77" i="30"/>
  <c r="V69" i="30"/>
  <c r="T60" i="30"/>
  <c r="T48" i="30"/>
  <c r="CK48" i="30" s="1"/>
  <c r="T15" i="30"/>
  <c r="CM145" i="30"/>
  <c r="CK142" i="30"/>
  <c r="CO98" i="30"/>
  <c r="CJ170" i="30"/>
  <c r="CJ106" i="30"/>
  <c r="CK121" i="30"/>
  <c r="CG130" i="30"/>
  <c r="AM64" i="30"/>
  <c r="CV146" i="30"/>
  <c r="CQ36" i="30"/>
  <c r="CQ53" i="30"/>
  <c r="AM134" i="30"/>
  <c r="AM11" i="30"/>
  <c r="CF72" i="30"/>
  <c r="CF138" i="30"/>
  <c r="CF81" i="30"/>
  <c r="CG29" i="30"/>
  <c r="CG103" i="30"/>
  <c r="CG167" i="30"/>
  <c r="CF15" i="30"/>
  <c r="CG84" i="30"/>
  <c r="CJ20" i="30"/>
  <c r="CK38" i="30"/>
  <c r="CK60" i="30"/>
  <c r="CI82" i="30"/>
  <c r="CG58" i="30"/>
  <c r="CJ50" i="30"/>
  <c r="CJ71" i="30"/>
  <c r="CK85" i="30"/>
  <c r="CK93" i="30"/>
  <c r="CK101" i="30"/>
  <c r="CK109" i="30"/>
  <c r="CK117" i="30"/>
  <c r="CK125" i="30"/>
  <c r="CK133" i="30"/>
  <c r="CH30" i="30"/>
  <c r="CH52" i="30"/>
  <c r="CH73" i="30"/>
  <c r="CJ86" i="30"/>
  <c r="CJ94" i="30"/>
  <c r="CJ102" i="30"/>
  <c r="CJ110" i="30"/>
  <c r="CJ118" i="30"/>
  <c r="CJ126" i="30"/>
  <c r="CJ134" i="30"/>
  <c r="CJ142" i="30"/>
  <c r="CJ150" i="30"/>
  <c r="CJ166" i="30"/>
  <c r="CM8" i="30"/>
  <c r="CN21" i="30"/>
  <c r="CM32" i="30"/>
  <c r="CN43" i="30"/>
  <c r="CN57" i="30"/>
  <c r="CN71" i="30"/>
  <c r="CO82" i="30"/>
  <c r="CN93" i="30"/>
  <c r="CM104" i="30"/>
  <c r="CO114" i="30"/>
  <c r="CN125" i="30"/>
  <c r="CM136" i="30"/>
  <c r="CO146" i="30"/>
  <c r="CN157" i="30"/>
  <c r="CM168" i="30"/>
  <c r="CL28" i="30"/>
  <c r="CK150" i="30"/>
  <c r="CK166" i="30"/>
  <c r="CO19" i="30"/>
  <c r="CN70" i="30"/>
  <c r="CO91" i="30"/>
  <c r="CM113" i="30"/>
  <c r="CN134" i="30"/>
  <c r="CO155" i="30"/>
  <c r="CL29" i="30"/>
  <c r="CL75" i="30"/>
  <c r="CL107" i="30"/>
  <c r="CL171" i="30"/>
  <c r="T8" i="30"/>
  <c r="R13" i="30"/>
  <c r="CI13" i="30" s="1"/>
  <c r="T17" i="30"/>
  <c r="T21" i="30"/>
  <c r="T25" i="30"/>
  <c r="T29" i="30"/>
  <c r="T33" i="30"/>
  <c r="T37" i="30"/>
  <c r="V41" i="30"/>
  <c r="P46" i="30"/>
  <c r="CG46" i="30" s="1"/>
  <c r="P51" i="30"/>
  <c r="CV20" i="30"/>
  <c r="CV24" i="30"/>
  <c r="CV28" i="30"/>
  <c r="CV32" i="30"/>
  <c r="CV36" i="30"/>
  <c r="CV46" i="30"/>
  <c r="CV50" i="30"/>
  <c r="CV54" i="30"/>
  <c r="CV58" i="30"/>
  <c r="CV62" i="30"/>
  <c r="CV66" i="30"/>
  <c r="CV72" i="30"/>
  <c r="CV76" i="30"/>
  <c r="CV80" i="30"/>
  <c r="CV84" i="30"/>
  <c r="CV88" i="30"/>
  <c r="CV92" i="30"/>
  <c r="CV96" i="30"/>
  <c r="CV100" i="30"/>
  <c r="CV104" i="30"/>
  <c r="CV108" i="30"/>
  <c r="CV112" i="30"/>
  <c r="CV116" i="30"/>
  <c r="CV120" i="30"/>
  <c r="CV124" i="30"/>
  <c r="CV128" i="30"/>
  <c r="CV132" i="30"/>
  <c r="CV136" i="30"/>
  <c r="CV140" i="30"/>
  <c r="CV144" i="30"/>
  <c r="CV148" i="30"/>
  <c r="CV152" i="30"/>
  <c r="CV164" i="30"/>
  <c r="CV168" i="30"/>
  <c r="CV172" i="30"/>
  <c r="CV11" i="30"/>
  <c r="CV19" i="30"/>
  <c r="CV27" i="30"/>
  <c r="CV35" i="30"/>
  <c r="CV59" i="30"/>
  <c r="CV67" i="30"/>
  <c r="CV75" i="30"/>
  <c r="CV83" i="30"/>
  <c r="CV91" i="30"/>
  <c r="CV99" i="30"/>
  <c r="CV107" i="30"/>
  <c r="CV115" i="30"/>
  <c r="CV123" i="30"/>
  <c r="CV131" i="30"/>
  <c r="CV147" i="30"/>
  <c r="CV155" i="30"/>
  <c r="CV163" i="30"/>
  <c r="CV171" i="30"/>
  <c r="CV21" i="30"/>
  <c r="CV29" i="30"/>
  <c r="CV37" i="30"/>
  <c r="CV57" i="30"/>
  <c r="CV65" i="30"/>
  <c r="CV73" i="30"/>
  <c r="CV81" i="30"/>
  <c r="CV89" i="30"/>
  <c r="CV97" i="30"/>
  <c r="CV105" i="30"/>
  <c r="CV113" i="30"/>
  <c r="CV121" i="30"/>
  <c r="CV129" i="30"/>
  <c r="CV145" i="30"/>
  <c r="CV153" i="30"/>
  <c r="CV161" i="30"/>
  <c r="CV169" i="30"/>
  <c r="AY173" i="30"/>
  <c r="T173" i="30"/>
  <c r="P173" i="30"/>
  <c r="AN173" i="30"/>
  <c r="S173" i="30"/>
  <c r="AM173" i="30" s="1"/>
  <c r="O173" i="30"/>
  <c r="AD173" i="30" s="1"/>
  <c r="AF173" i="30" s="1"/>
  <c r="CQ8" i="30"/>
  <c r="CV18" i="30"/>
  <c r="CV26" i="30"/>
  <c r="CV34" i="30"/>
  <c r="CV52" i="30"/>
  <c r="CV60" i="30"/>
  <c r="CV70" i="30"/>
  <c r="CV78" i="30"/>
  <c r="CV86" i="30"/>
  <c r="CV94" i="30"/>
  <c r="CV102" i="30"/>
  <c r="CV110" i="30"/>
  <c r="CV118" i="30"/>
  <c r="CV126" i="30"/>
  <c r="CV134" i="30"/>
  <c r="CV142" i="30"/>
  <c r="CV150" i="30"/>
  <c r="CV166" i="30"/>
  <c r="CV23" i="30"/>
  <c r="CV43" i="30"/>
  <c r="CV79" i="30"/>
  <c r="CV95" i="30"/>
  <c r="CV111" i="30"/>
  <c r="CV127" i="30"/>
  <c r="CV143" i="30"/>
  <c r="CV159" i="30"/>
  <c r="CV17" i="30"/>
  <c r="CV33" i="30"/>
  <c r="CV53" i="30"/>
  <c r="CV69" i="30"/>
  <c r="CV85" i="30"/>
  <c r="CV101" i="30"/>
  <c r="CV117" i="30"/>
  <c r="CV133" i="30"/>
  <c r="CV149" i="30"/>
  <c r="AB173" i="30"/>
  <c r="AV173" i="30"/>
  <c r="AX173" i="30" s="1"/>
  <c r="Q173" i="30"/>
  <c r="V173" i="30" s="1"/>
  <c r="CQ14" i="30"/>
  <c r="CQ18" i="30"/>
  <c r="CQ22" i="30"/>
  <c r="CQ26" i="30"/>
  <c r="CQ30" i="30"/>
  <c r="CQ34" i="30"/>
  <c r="CQ38" i="30"/>
  <c r="CQ52" i="30"/>
  <c r="CQ56" i="30"/>
  <c r="CQ60" i="30"/>
  <c r="CQ69" i="30"/>
  <c r="CQ73" i="30"/>
  <c r="CQ77" i="30"/>
  <c r="CQ81" i="30"/>
  <c r="CQ85" i="30"/>
  <c r="CQ89" i="30"/>
  <c r="CQ93" i="30"/>
  <c r="CQ97" i="30"/>
  <c r="CQ101" i="30"/>
  <c r="CQ105" i="30"/>
  <c r="CQ109" i="30"/>
  <c r="CQ113" i="30"/>
  <c r="CQ117" i="30"/>
  <c r="CQ121" i="30"/>
  <c r="CQ125" i="30"/>
  <c r="CQ129" i="30"/>
  <c r="CQ133" i="30"/>
  <c r="CQ11" i="30"/>
  <c r="CQ17" i="30"/>
  <c r="CQ21" i="30"/>
  <c r="CQ25" i="30"/>
  <c r="CQ29" i="30"/>
  <c r="CQ33" i="30"/>
  <c r="CQ37" i="30"/>
  <c r="CQ43" i="30"/>
  <c r="CQ55" i="30"/>
  <c r="CQ59" i="30"/>
  <c r="CQ72" i="30"/>
  <c r="CQ76" i="30"/>
  <c r="CQ82" i="30"/>
  <c r="CQ86" i="30"/>
  <c r="CQ90" i="30"/>
  <c r="CQ94" i="30"/>
  <c r="CQ98" i="30"/>
  <c r="CQ102" i="30"/>
  <c r="CQ106" i="30"/>
  <c r="CQ110" i="30"/>
  <c r="CQ114" i="30"/>
  <c r="CQ118" i="30"/>
  <c r="CQ122" i="30"/>
  <c r="CQ126" i="30"/>
  <c r="CQ130" i="30"/>
  <c r="CQ134" i="30"/>
  <c r="CQ138" i="30"/>
  <c r="CQ142" i="30"/>
  <c r="CQ146" i="30"/>
  <c r="CQ150" i="30"/>
  <c r="CQ154" i="30"/>
  <c r="CQ162" i="30"/>
  <c r="CQ166" i="30"/>
  <c r="CQ170" i="30"/>
  <c r="CQ145" i="30"/>
  <c r="CQ153" i="30"/>
  <c r="CQ161" i="30"/>
  <c r="CQ169" i="30"/>
  <c r="CQ147" i="30"/>
  <c r="CQ155" i="30"/>
  <c r="CQ163" i="30"/>
  <c r="CQ171" i="30"/>
  <c r="AM14" i="30"/>
  <c r="AM18" i="30"/>
  <c r="AM22" i="30"/>
  <c r="AM26" i="30"/>
  <c r="AM30" i="30"/>
  <c r="AM34" i="30"/>
  <c r="AM38" i="30"/>
  <c r="AM52" i="30"/>
  <c r="AM56" i="30"/>
  <c r="AM60" i="30"/>
  <c r="AM70" i="30"/>
  <c r="AM74" i="30"/>
  <c r="AM78" i="30"/>
  <c r="AM84" i="30"/>
  <c r="AM88" i="30"/>
  <c r="AM92" i="30"/>
  <c r="AM96" i="30"/>
  <c r="AM100" i="30"/>
  <c r="AM104" i="30"/>
  <c r="AM108" i="30"/>
  <c r="AM112" i="30"/>
  <c r="AM116" i="30"/>
  <c r="AM120" i="30"/>
  <c r="AM124" i="30"/>
  <c r="AM128" i="30"/>
  <c r="AM132" i="30"/>
  <c r="AM136" i="30"/>
  <c r="AM140" i="30"/>
  <c r="AM144" i="30"/>
  <c r="AM148" i="30"/>
  <c r="AM152" i="30"/>
  <c r="AM164" i="30"/>
  <c r="AM168" i="30"/>
  <c r="AM172" i="30"/>
  <c r="AM21" i="30"/>
  <c r="AM29" i="30"/>
  <c r="AM37" i="30"/>
  <c r="AM57" i="30"/>
  <c r="AM69" i="30"/>
  <c r="AM77" i="30"/>
  <c r="AM85" i="30"/>
  <c r="AM93" i="30"/>
  <c r="AM101" i="30"/>
  <c r="AM109" i="30"/>
  <c r="AM117" i="30"/>
  <c r="AM125" i="30"/>
  <c r="AM133" i="30"/>
  <c r="AM141" i="30"/>
  <c r="AM149" i="30"/>
  <c r="CV22" i="30"/>
  <c r="CV38" i="30"/>
  <c r="CV56" i="30"/>
  <c r="CV74" i="30"/>
  <c r="CV90" i="30"/>
  <c r="CV106" i="30"/>
  <c r="CV122" i="30"/>
  <c r="CV138" i="30"/>
  <c r="CV154" i="30"/>
  <c r="CV170" i="30"/>
  <c r="CV31" i="30"/>
  <c r="CV71" i="30"/>
  <c r="CV103" i="30"/>
  <c r="CV167" i="30"/>
  <c r="CV41" i="30"/>
  <c r="CV77" i="30"/>
  <c r="CV109" i="30"/>
  <c r="CV141" i="30"/>
  <c r="CV8" i="30"/>
  <c r="U173" i="30"/>
  <c r="CQ24" i="30"/>
  <c r="CQ32" i="30"/>
  <c r="CQ54" i="30"/>
  <c r="CQ64" i="30"/>
  <c r="CQ75" i="30"/>
  <c r="CQ83" i="30"/>
  <c r="CQ91" i="30"/>
  <c r="CQ99" i="30"/>
  <c r="CQ107" i="30"/>
  <c r="CQ115" i="30"/>
  <c r="CQ123" i="30"/>
  <c r="CQ131" i="30"/>
  <c r="CQ19" i="30"/>
  <c r="CQ27" i="30"/>
  <c r="CQ35" i="30"/>
  <c r="CQ57" i="30"/>
  <c r="CQ70" i="30"/>
  <c r="CQ78" i="30"/>
  <c r="CQ88" i="30"/>
  <c r="CQ96" i="30"/>
  <c r="CQ104" i="30"/>
  <c r="CQ112" i="30"/>
  <c r="CQ120" i="30"/>
  <c r="CQ128" i="30"/>
  <c r="CQ136" i="30"/>
  <c r="CQ144" i="30"/>
  <c r="CQ152" i="30"/>
  <c r="CQ168" i="30"/>
  <c r="CQ141" i="30"/>
  <c r="CQ157" i="30"/>
  <c r="CQ143" i="30"/>
  <c r="CQ159" i="30"/>
  <c r="AM8" i="30"/>
  <c r="AM20" i="30"/>
  <c r="AM28" i="30"/>
  <c r="AM36" i="30"/>
  <c r="AM50" i="30"/>
  <c r="AM58" i="30"/>
  <c r="AM72" i="30"/>
  <c r="AM82" i="30"/>
  <c r="AM90" i="30"/>
  <c r="AM98" i="30"/>
  <c r="AM106" i="30"/>
  <c r="AM114" i="30"/>
  <c r="AM122" i="30"/>
  <c r="AM130" i="30"/>
  <c r="AM138" i="30"/>
  <c r="AM146" i="30"/>
  <c r="AM154" i="30"/>
  <c r="AM162" i="30"/>
  <c r="AM170" i="30"/>
  <c r="AM25" i="30"/>
  <c r="AM41" i="30"/>
  <c r="AM61" i="30"/>
  <c r="AM81" i="30"/>
  <c r="AM97" i="30"/>
  <c r="AM113" i="30"/>
  <c r="AM129" i="30"/>
  <c r="AM145" i="30"/>
  <c r="AM157" i="30"/>
  <c r="AM15" i="30"/>
  <c r="AM23" i="30"/>
  <c r="AM31" i="30"/>
  <c r="AM43" i="30"/>
  <c r="AM55" i="30"/>
  <c r="AM75" i="30"/>
  <c r="AM83" i="30"/>
  <c r="AM91" i="30"/>
  <c r="AM99" i="30"/>
  <c r="AM107" i="30"/>
  <c r="AM115" i="30"/>
  <c r="AM123" i="30"/>
  <c r="AM131" i="30"/>
  <c r="AM147" i="30"/>
  <c r="AM155" i="30"/>
  <c r="AM163" i="30"/>
  <c r="AM171" i="30"/>
  <c r="AV2" i="30"/>
  <c r="CF14" i="30"/>
  <c r="CF18" i="30"/>
  <c r="CF22" i="30"/>
  <c r="CF26" i="30"/>
  <c r="CF30" i="30"/>
  <c r="CF34" i="30"/>
  <c r="CF38" i="30"/>
  <c r="CF52" i="30"/>
  <c r="CF56" i="30"/>
  <c r="CF60" i="30"/>
  <c r="CF70" i="30"/>
  <c r="CF74" i="30"/>
  <c r="CF78" i="30"/>
  <c r="CF84" i="30"/>
  <c r="CF88" i="30"/>
  <c r="CF92" i="30"/>
  <c r="CF96" i="30"/>
  <c r="CF100" i="30"/>
  <c r="CF104" i="30"/>
  <c r="CF108" i="30"/>
  <c r="CF112" i="30"/>
  <c r="CF116" i="30"/>
  <c r="CF120" i="30"/>
  <c r="CF124" i="30"/>
  <c r="CF128" i="30"/>
  <c r="CF132" i="30"/>
  <c r="CF136" i="30"/>
  <c r="CF140" i="30"/>
  <c r="CF144" i="30"/>
  <c r="CF148" i="30"/>
  <c r="CF152" i="30"/>
  <c r="CF164" i="30"/>
  <c r="CF168" i="30"/>
  <c r="CF172" i="30"/>
  <c r="CF21" i="30"/>
  <c r="CF29" i="30"/>
  <c r="CF37" i="30"/>
  <c r="CF57" i="30"/>
  <c r="CF69" i="30"/>
  <c r="CF77" i="30"/>
  <c r="CF85" i="30"/>
  <c r="CF93" i="30"/>
  <c r="CF101" i="30"/>
  <c r="CF109" i="30"/>
  <c r="CF117" i="30"/>
  <c r="CF125" i="30"/>
  <c r="CF133" i="30"/>
  <c r="CF141" i="30"/>
  <c r="CF149" i="30"/>
  <c r="CF157" i="30"/>
  <c r="CG15" i="30"/>
  <c r="CG19" i="30"/>
  <c r="CG23" i="30"/>
  <c r="CG27" i="30"/>
  <c r="CG31" i="30"/>
  <c r="CG35" i="30"/>
  <c r="CG41" i="30"/>
  <c r="CG53" i="30"/>
  <c r="CG57" i="30"/>
  <c r="CG61" i="30"/>
  <c r="CG69" i="30"/>
  <c r="CG73" i="30"/>
  <c r="CG77" i="30"/>
  <c r="CG81" i="30"/>
  <c r="CG85" i="30"/>
  <c r="CG89" i="30"/>
  <c r="CG93" i="30"/>
  <c r="CG97" i="30"/>
  <c r="CG101" i="30"/>
  <c r="CG105" i="30"/>
  <c r="CG109" i="30"/>
  <c r="CG113" i="30"/>
  <c r="CG117" i="30"/>
  <c r="CG121" i="30"/>
  <c r="CG125" i="30"/>
  <c r="CG129" i="30"/>
  <c r="CG133" i="30"/>
  <c r="CG141" i="30"/>
  <c r="CG145" i="30"/>
  <c r="CG149" i="30"/>
  <c r="CG153" i="30"/>
  <c r="CG157" i="30"/>
  <c r="CG161" i="30"/>
  <c r="CG169" i="30"/>
  <c r="CI8" i="30"/>
  <c r="CI11" i="30"/>
  <c r="CI14" i="30"/>
  <c r="CI15" i="30"/>
  <c r="CI17" i="30"/>
  <c r="CI18" i="30"/>
  <c r="CI19" i="30"/>
  <c r="CI20" i="30"/>
  <c r="CI21" i="30"/>
  <c r="CI22" i="30"/>
  <c r="CI23" i="30"/>
  <c r="CI24" i="30"/>
  <c r="CF23" i="30"/>
  <c r="CF55" i="30"/>
  <c r="CF71" i="30"/>
  <c r="CF87" i="30"/>
  <c r="CF103" i="30"/>
  <c r="CF119" i="30"/>
  <c r="CF167" i="30"/>
  <c r="CG24" i="30"/>
  <c r="CG32" i="30"/>
  <c r="CG56" i="30"/>
  <c r="CG64" i="30"/>
  <c r="CG76" i="30"/>
  <c r="CG88" i="30"/>
  <c r="CG96" i="30"/>
  <c r="CG104" i="30"/>
  <c r="CG112" i="30"/>
  <c r="CG120" i="30"/>
  <c r="CG128" i="30"/>
  <c r="CG136" i="30"/>
  <c r="CG144" i="30"/>
  <c r="CG152" i="30"/>
  <c r="CG168" i="30"/>
  <c r="CJ11" i="30"/>
  <c r="CJ15" i="30"/>
  <c r="CJ17" i="30"/>
  <c r="CJ19" i="30"/>
  <c r="CJ21" i="30"/>
  <c r="CJ23" i="30"/>
  <c r="CI25" i="30"/>
  <c r="CI26" i="30"/>
  <c r="CI27" i="30"/>
  <c r="CI28" i="30"/>
  <c r="CI29" i="30"/>
  <c r="CI30" i="30"/>
  <c r="CI31" i="30"/>
  <c r="CI32" i="30"/>
  <c r="CI33" i="30"/>
  <c r="CI34" i="30"/>
  <c r="CI35" i="30"/>
  <c r="CI36" i="30"/>
  <c r="CI37" i="30"/>
  <c r="CI38" i="30"/>
  <c r="CI41" i="30"/>
  <c r="CI43" i="30"/>
  <c r="CI50" i="30"/>
  <c r="CI52" i="30"/>
  <c r="CI53" i="30"/>
  <c r="CI54" i="30"/>
  <c r="CI55" i="30"/>
  <c r="CI56" i="30"/>
  <c r="CI57" i="30"/>
  <c r="CI58" i="30"/>
  <c r="CI59" i="30"/>
  <c r="CI60" i="30"/>
  <c r="CI61" i="30"/>
  <c r="CI64" i="30"/>
  <c r="CK68" i="30"/>
  <c r="CK69" i="30"/>
  <c r="CK70" i="30"/>
  <c r="CK71" i="30"/>
  <c r="CK72" i="30"/>
  <c r="CK73" i="30"/>
  <c r="CK74" i="30"/>
  <c r="CK75" i="30"/>
  <c r="CK76" i="30"/>
  <c r="CK77" i="30"/>
  <c r="CK78" i="30"/>
  <c r="CK79" i="30"/>
  <c r="CK81" i="30"/>
  <c r="CK82" i="30"/>
  <c r="CF19" i="30"/>
  <c r="CF35" i="30"/>
  <c r="CF75" i="30"/>
  <c r="CF91" i="30"/>
  <c r="CF107" i="30"/>
  <c r="CF123" i="30"/>
  <c r="CF155" i="30"/>
  <c r="CF171" i="30"/>
  <c r="CG18" i="30"/>
  <c r="CG26" i="30"/>
  <c r="CG34" i="30"/>
  <c r="CG54" i="30"/>
  <c r="CG70" i="30"/>
  <c r="CG78" i="30"/>
  <c r="CG86" i="30"/>
  <c r="CG94" i="30"/>
  <c r="CG102" i="30"/>
  <c r="CG110" i="30"/>
  <c r="CG118" i="30"/>
  <c r="CG126" i="30"/>
  <c r="CG134" i="30"/>
  <c r="CG142" i="30"/>
  <c r="CG150" i="30"/>
  <c r="CG166" i="30"/>
  <c r="CH11" i="30"/>
  <c r="CH15" i="30"/>
  <c r="CH17" i="30"/>
  <c r="CH19" i="30"/>
  <c r="CH21" i="30"/>
  <c r="CH23" i="30"/>
  <c r="CH25" i="30"/>
  <c r="CJ26" i="30"/>
  <c r="CJ28" i="30"/>
  <c r="CJ30" i="30"/>
  <c r="CJ32" i="30"/>
  <c r="CJ34" i="30"/>
  <c r="CJ36" i="30"/>
  <c r="CJ38" i="30"/>
  <c r="CJ41" i="30"/>
  <c r="CV30" i="30"/>
  <c r="CV64" i="30"/>
  <c r="CV98" i="30"/>
  <c r="CV130" i="30"/>
  <c r="CV162" i="30"/>
  <c r="CV55" i="30"/>
  <c r="CV119" i="30"/>
  <c r="CV25" i="30"/>
  <c r="CV93" i="30"/>
  <c r="CV157" i="30"/>
  <c r="CM173" i="30"/>
  <c r="CQ28" i="30"/>
  <c r="CQ50" i="30"/>
  <c r="CQ71" i="30"/>
  <c r="CQ87" i="30"/>
  <c r="CQ103" i="30"/>
  <c r="CQ119" i="30"/>
  <c r="CQ23" i="30"/>
  <c r="CQ41" i="30"/>
  <c r="CQ61" i="30"/>
  <c r="CQ84" i="30"/>
  <c r="CQ100" i="30"/>
  <c r="CQ116" i="30"/>
  <c r="CQ132" i="30"/>
  <c r="CQ148" i="30"/>
  <c r="CQ164" i="30"/>
  <c r="CQ149" i="30"/>
  <c r="AM32" i="30"/>
  <c r="AM54" i="30"/>
  <c r="AM76" i="30"/>
  <c r="AM94" i="30"/>
  <c r="AM110" i="30"/>
  <c r="AM126" i="30"/>
  <c r="AM142" i="30"/>
  <c r="AM17" i="30"/>
  <c r="AM53" i="30"/>
  <c r="AM89" i="30"/>
  <c r="AM121" i="30"/>
  <c r="AM153" i="30"/>
  <c r="AM169" i="30"/>
  <c r="AM19" i="30"/>
  <c r="AM35" i="30"/>
  <c r="AM59" i="30"/>
  <c r="AM79" i="30"/>
  <c r="AM95" i="30"/>
  <c r="AM111" i="30"/>
  <c r="AM127" i="30"/>
  <c r="AM143" i="30"/>
  <c r="AM159" i="30"/>
  <c r="AY2" i="30"/>
  <c r="CF16" i="30"/>
  <c r="CF24" i="30"/>
  <c r="CF32" i="30"/>
  <c r="CF54" i="30"/>
  <c r="CF64" i="30"/>
  <c r="CF76" i="30"/>
  <c r="CF86" i="30"/>
  <c r="CF94" i="30"/>
  <c r="CF102" i="30"/>
  <c r="CF110" i="30"/>
  <c r="CF118" i="30"/>
  <c r="CF126" i="30"/>
  <c r="CF134" i="30"/>
  <c r="CF142" i="30"/>
  <c r="CF150" i="30"/>
  <c r="CF166" i="30"/>
  <c r="CF17" i="30"/>
  <c r="CF33" i="30"/>
  <c r="CF53" i="30"/>
  <c r="CF73" i="30"/>
  <c r="CF89" i="30"/>
  <c r="CF105" i="30"/>
  <c r="CF121" i="30"/>
  <c r="CF137" i="30"/>
  <c r="CF153" i="30"/>
  <c r="CF169" i="30"/>
  <c r="CG17" i="30"/>
  <c r="CG25" i="30"/>
  <c r="CG33" i="30"/>
  <c r="CG43" i="30"/>
  <c r="CG55" i="30"/>
  <c r="CG75" i="30"/>
  <c r="CG83" i="30"/>
  <c r="CG91" i="30"/>
  <c r="CG99" i="30"/>
  <c r="CG107" i="30"/>
  <c r="CG115" i="30"/>
  <c r="CG123" i="30"/>
  <c r="CG131" i="30"/>
  <c r="CG147" i="30"/>
  <c r="CG155" i="30"/>
  <c r="CG163" i="30"/>
  <c r="CG171" i="30"/>
  <c r="CK8" i="30"/>
  <c r="CK14" i="30"/>
  <c r="CK18" i="30"/>
  <c r="CK20" i="30"/>
  <c r="CK22" i="30"/>
  <c r="CK24" i="30"/>
  <c r="CF31" i="30"/>
  <c r="CF79" i="30"/>
  <c r="CF111" i="30"/>
  <c r="CF143" i="30"/>
  <c r="CG8" i="30"/>
  <c r="CG28" i="30"/>
  <c r="CG52" i="30"/>
  <c r="CG72" i="30"/>
  <c r="CG92" i="30"/>
  <c r="CG108" i="30"/>
  <c r="CG124" i="30"/>
  <c r="CG140" i="30"/>
  <c r="CG172" i="30"/>
  <c r="CJ14" i="30"/>
  <c r="CJ18" i="30"/>
  <c r="CJ22" i="30"/>
  <c r="CK25" i="30"/>
  <c r="CK27" i="30"/>
  <c r="CK29" i="30"/>
  <c r="CK31" i="30"/>
  <c r="CK33" i="30"/>
  <c r="CK35" i="30"/>
  <c r="CK37" i="30"/>
  <c r="CK53" i="30"/>
  <c r="CK55" i="30"/>
  <c r="CK57" i="30"/>
  <c r="CK59" i="30"/>
  <c r="CK61" i="30"/>
  <c r="CK64" i="30"/>
  <c r="CI70" i="30"/>
  <c r="CI72" i="30"/>
  <c r="CI74" i="30"/>
  <c r="CI76" i="30"/>
  <c r="CI78" i="30"/>
  <c r="CI81" i="30"/>
  <c r="CF11" i="30"/>
  <c r="CF43" i="30"/>
  <c r="CF83" i="30"/>
  <c r="CF115" i="30"/>
  <c r="CF147" i="30"/>
  <c r="CG14" i="30"/>
  <c r="CG30" i="30"/>
  <c r="CG50" i="30"/>
  <c r="CG74" i="30"/>
  <c r="CG90" i="30"/>
  <c r="CG106" i="30"/>
  <c r="CG122" i="30"/>
  <c r="CG138" i="30"/>
  <c r="CG154" i="30"/>
  <c r="CG170" i="30"/>
  <c r="CH14" i="30"/>
  <c r="CH18" i="30"/>
  <c r="CH22" i="30"/>
  <c r="CJ25" i="30"/>
  <c r="CJ29" i="30"/>
  <c r="CJ33" i="30"/>
  <c r="CJ37" i="30"/>
  <c r="CJ42" i="30"/>
  <c r="CJ53" i="30"/>
  <c r="CJ55" i="30"/>
  <c r="CJ57" i="30"/>
  <c r="CJ59" i="30"/>
  <c r="CJ61" i="30"/>
  <c r="CJ64" i="30"/>
  <c r="CJ70" i="30"/>
  <c r="CJ72" i="30"/>
  <c r="CJ74" i="30"/>
  <c r="CJ76" i="30"/>
  <c r="CJ78" i="30"/>
  <c r="CJ81" i="30"/>
  <c r="CI83" i="30"/>
  <c r="CI84" i="30"/>
  <c r="CI85" i="30"/>
  <c r="CI86" i="30"/>
  <c r="CI87" i="30"/>
  <c r="CI88" i="30"/>
  <c r="CI89" i="30"/>
  <c r="CI90" i="30"/>
  <c r="CI91" i="30"/>
  <c r="CI92" i="30"/>
  <c r="CI93" i="30"/>
  <c r="CI94" i="30"/>
  <c r="CI95" i="30"/>
  <c r="CI96" i="30"/>
  <c r="CI97" i="30"/>
  <c r="CI98" i="30"/>
  <c r="CI99" i="30"/>
  <c r="CI100" i="30"/>
  <c r="CI101" i="30"/>
  <c r="CI102" i="30"/>
  <c r="CI103" i="30"/>
  <c r="CI104" i="30"/>
  <c r="CI105" i="30"/>
  <c r="CI106" i="30"/>
  <c r="CI107" i="30"/>
  <c r="CI108" i="30"/>
  <c r="CI109" i="30"/>
  <c r="CI110" i="30"/>
  <c r="CI111" i="30"/>
  <c r="CI112" i="30"/>
  <c r="CI113" i="30"/>
  <c r="CI114" i="30"/>
  <c r="CI115" i="30"/>
  <c r="CI116" i="30"/>
  <c r="CI117" i="30"/>
  <c r="CI118" i="30"/>
  <c r="CI119" i="30"/>
  <c r="CI120" i="30"/>
  <c r="CI121" i="30"/>
  <c r="CI122" i="30"/>
  <c r="CI123" i="30"/>
  <c r="CI124" i="30"/>
  <c r="CI125" i="30"/>
  <c r="CI126" i="30"/>
  <c r="CI127" i="30"/>
  <c r="CI128" i="30"/>
  <c r="CI129" i="30"/>
  <c r="CI130" i="30"/>
  <c r="CI131" i="30"/>
  <c r="CI132" i="30"/>
  <c r="CI133" i="30"/>
  <c r="CI134" i="30"/>
  <c r="CI136" i="30"/>
  <c r="CI138" i="30"/>
  <c r="CH27" i="30"/>
  <c r="CH29" i="30"/>
  <c r="CH31" i="30"/>
  <c r="CH33" i="30"/>
  <c r="CH35" i="30"/>
  <c r="CH37" i="30"/>
  <c r="CH53" i="30"/>
  <c r="CH55" i="30"/>
  <c r="CH57" i="30"/>
  <c r="CH59" i="30"/>
  <c r="CH61" i="30"/>
  <c r="CH64" i="30"/>
  <c r="CH70" i="30"/>
  <c r="CH72" i="30"/>
  <c r="CH74" i="30"/>
  <c r="CH76" i="30"/>
  <c r="CH78" i="30"/>
  <c r="CH81" i="30"/>
  <c r="CH83" i="30"/>
  <c r="CH84" i="30"/>
  <c r="CH85" i="30"/>
  <c r="CH86" i="30"/>
  <c r="CH87" i="30"/>
  <c r="CH88" i="30"/>
  <c r="CH89" i="30"/>
  <c r="CH90" i="30"/>
  <c r="CH91" i="30"/>
  <c r="CH92" i="30"/>
  <c r="CH93" i="30"/>
  <c r="CH94" i="30"/>
  <c r="CH95" i="30"/>
  <c r="CH96" i="30"/>
  <c r="CH97" i="30"/>
  <c r="CH98" i="30"/>
  <c r="CH99" i="30"/>
  <c r="CH100" i="30"/>
  <c r="CH101" i="30"/>
  <c r="CH102" i="30"/>
  <c r="CH103" i="30"/>
  <c r="CH104" i="30"/>
  <c r="CH105" i="30"/>
  <c r="CH106" i="30"/>
  <c r="CH107" i="30"/>
  <c r="CH108" i="30"/>
  <c r="CH109" i="30"/>
  <c r="CH110" i="30"/>
  <c r="CH111" i="30"/>
  <c r="CH112" i="30"/>
  <c r="CH113" i="30"/>
  <c r="CH114" i="30"/>
  <c r="CH115" i="30"/>
  <c r="CH116" i="30"/>
  <c r="CH117" i="30"/>
  <c r="CH118" i="30"/>
  <c r="CH119" i="30"/>
  <c r="CH120" i="30"/>
  <c r="CH121" i="30"/>
  <c r="CH122" i="30"/>
  <c r="CH123" i="30"/>
  <c r="CH124" i="30"/>
  <c r="CH125" i="30"/>
  <c r="CH126" i="30"/>
  <c r="CH127" i="30"/>
  <c r="CH128" i="30"/>
  <c r="CH129" i="30"/>
  <c r="CH130" i="30"/>
  <c r="CH131" i="30"/>
  <c r="CH132" i="30"/>
  <c r="CH133" i="30"/>
  <c r="CH134" i="30"/>
  <c r="CH135" i="30"/>
  <c r="CH136" i="30"/>
  <c r="CH137" i="30"/>
  <c r="CH138" i="30"/>
  <c r="CH139" i="30"/>
  <c r="CH140" i="30"/>
  <c r="CH141" i="30"/>
  <c r="CH142" i="30"/>
  <c r="CH143" i="30"/>
  <c r="CH144" i="30"/>
  <c r="CH145" i="30"/>
  <c r="CH146" i="30"/>
  <c r="CH147" i="30"/>
  <c r="CH148" i="30"/>
  <c r="CH149" i="30"/>
  <c r="CH150" i="30"/>
  <c r="CH151" i="30"/>
  <c r="CH152" i="30"/>
  <c r="CH153" i="30"/>
  <c r="CH154" i="30"/>
  <c r="CH155" i="30"/>
  <c r="CH157" i="30"/>
  <c r="CH159" i="30"/>
  <c r="CH161" i="30"/>
  <c r="CH162" i="30"/>
  <c r="CH163" i="30"/>
  <c r="CH164" i="30"/>
  <c r="CH165" i="30"/>
  <c r="CH166" i="30"/>
  <c r="CH167" i="30"/>
  <c r="CH168" i="30"/>
  <c r="CH169" i="30"/>
  <c r="CH170" i="30"/>
  <c r="CH171" i="30"/>
  <c r="CH172" i="30"/>
  <c r="CM4" i="30"/>
  <c r="CO8" i="30"/>
  <c r="CN11" i="30"/>
  <c r="CM14" i="30"/>
  <c r="CN15" i="30"/>
  <c r="CM18" i="30"/>
  <c r="CN19" i="30"/>
  <c r="CO20" i="30"/>
  <c r="CM22" i="30"/>
  <c r="CN23" i="30"/>
  <c r="CO24" i="30"/>
  <c r="CM26" i="30"/>
  <c r="CN27" i="30"/>
  <c r="CO28" i="30"/>
  <c r="CM30" i="30"/>
  <c r="CN31" i="30"/>
  <c r="CO32" i="30"/>
  <c r="CM34" i="30"/>
  <c r="CN35" i="30"/>
  <c r="CO36" i="30"/>
  <c r="CM38" i="30"/>
  <c r="CM40" i="30"/>
  <c r="CN41" i="30"/>
  <c r="CM44" i="30"/>
  <c r="CM46" i="30"/>
  <c r="CM50" i="30"/>
  <c r="CO52" i="30"/>
  <c r="CM54" i="30"/>
  <c r="CN55" i="30"/>
  <c r="CO56" i="30"/>
  <c r="CM58" i="30"/>
  <c r="CN59" i="30"/>
  <c r="CO60" i="30"/>
  <c r="CM62" i="30"/>
  <c r="CM64" i="30"/>
  <c r="CM66" i="30"/>
  <c r="CN69" i="30"/>
  <c r="CO70" i="30"/>
  <c r="CM72" i="30"/>
  <c r="CN73" i="30"/>
  <c r="CO74" i="30"/>
  <c r="CM76" i="30"/>
  <c r="CN77" i="30"/>
  <c r="CO78" i="30"/>
  <c r="CM80" i="30"/>
  <c r="CM82" i="30"/>
  <c r="CN83" i="30"/>
  <c r="CO84" i="30"/>
  <c r="CM86" i="30"/>
  <c r="CN87" i="30"/>
  <c r="CO88" i="30"/>
  <c r="CM90" i="30"/>
  <c r="CN91" i="30"/>
  <c r="CO92" i="30"/>
  <c r="CM94" i="30"/>
  <c r="CN95" i="30"/>
  <c r="CO96" i="30"/>
  <c r="CM98" i="30"/>
  <c r="CN99" i="30"/>
  <c r="CO100" i="30"/>
  <c r="CM102" i="30"/>
  <c r="CN103" i="30"/>
  <c r="CO104" i="30"/>
  <c r="CM106" i="30"/>
  <c r="CN107" i="30"/>
  <c r="CO108" i="30"/>
  <c r="CM110" i="30"/>
  <c r="CN111" i="30"/>
  <c r="CO112" i="30"/>
  <c r="CM114" i="30"/>
  <c r="CN115" i="30"/>
  <c r="CO116" i="30"/>
  <c r="CM118" i="30"/>
  <c r="CN119" i="30"/>
  <c r="CO120" i="30"/>
  <c r="CM122" i="30"/>
  <c r="CN123" i="30"/>
  <c r="CO124" i="30"/>
  <c r="CM126" i="30"/>
  <c r="CN127" i="30"/>
  <c r="CO128" i="30"/>
  <c r="CM130" i="30"/>
  <c r="CN131" i="30"/>
  <c r="CO132" i="30"/>
  <c r="CM134" i="30"/>
  <c r="CN135" i="30"/>
  <c r="CO136" i="30"/>
  <c r="CM138" i="30"/>
  <c r="CO140" i="30"/>
  <c r="CM142" i="30"/>
  <c r="CN143" i="30"/>
  <c r="CO144" i="30"/>
  <c r="CM146" i="30"/>
  <c r="CN147" i="30"/>
  <c r="CO148" i="30"/>
  <c r="CM150" i="30"/>
  <c r="CO152" i="30"/>
  <c r="CM154" i="30"/>
  <c r="CN155" i="30"/>
  <c r="CM158" i="30"/>
  <c r="CN159" i="30"/>
  <c r="CM162" i="30"/>
  <c r="CN163" i="30"/>
  <c r="CO164" i="30"/>
  <c r="CM166" i="30"/>
  <c r="CN167" i="30"/>
  <c r="CO168" i="30"/>
  <c r="CM170" i="30"/>
  <c r="CN171" i="30"/>
  <c r="CO172" i="30"/>
  <c r="CL14" i="30"/>
  <c r="CL18" i="30"/>
  <c r="CL22" i="30"/>
  <c r="CL26" i="30"/>
  <c r="CL30" i="30"/>
  <c r="CL34" i="30"/>
  <c r="CK139" i="30"/>
  <c r="CK141" i="30"/>
  <c r="CK143" i="30"/>
  <c r="CK145" i="30"/>
  <c r="CK147" i="30"/>
  <c r="CK149" i="30"/>
  <c r="CK151" i="30"/>
  <c r="CK153" i="30"/>
  <c r="CK155" i="30"/>
  <c r="CK157" i="30"/>
  <c r="CK159" i="30"/>
  <c r="CK161" i="30"/>
  <c r="CK163" i="30"/>
  <c r="CK165" i="30"/>
  <c r="CK167" i="30"/>
  <c r="CK169" i="30"/>
  <c r="CK171" i="30"/>
  <c r="CM5" i="30"/>
  <c r="CM9" i="30"/>
  <c r="CM13" i="30"/>
  <c r="CO15" i="30"/>
  <c r="CN18" i="30"/>
  <c r="CM21" i="30"/>
  <c r="CO23" i="30"/>
  <c r="CN26" i="30"/>
  <c r="CM29" i="30"/>
  <c r="CO31" i="30"/>
  <c r="CN34" i="30"/>
  <c r="CM37" i="30"/>
  <c r="CM41" i="30"/>
  <c r="CO43" i="30"/>
  <c r="CM49" i="30"/>
  <c r="CN54" i="30"/>
  <c r="CM57" i="30"/>
  <c r="CO59" i="30"/>
  <c r="CM69" i="30"/>
  <c r="CO71" i="30"/>
  <c r="CN74" i="30"/>
  <c r="CM77" i="30"/>
  <c r="CO79" i="30"/>
  <c r="CN82" i="30"/>
  <c r="CM85" i="30"/>
  <c r="CO87" i="30"/>
  <c r="CN90" i="30"/>
  <c r="CM93" i="30"/>
  <c r="CO95" i="30"/>
  <c r="CN98" i="30"/>
  <c r="CM101" i="30"/>
  <c r="CO103" i="30"/>
  <c r="CN106" i="30"/>
  <c r="CM109" i="30"/>
  <c r="CO111" i="30"/>
  <c r="CN114" i="30"/>
  <c r="CM117" i="30"/>
  <c r="CO119" i="30"/>
  <c r="CN122" i="30"/>
  <c r="CM125" i="30"/>
  <c r="CO127" i="30"/>
  <c r="CN130" i="30"/>
  <c r="CM133" i="30"/>
  <c r="CN138" i="30"/>
  <c r="CM141" i="30"/>
  <c r="CO143" i="30"/>
  <c r="CN146" i="30"/>
  <c r="CM149" i="30"/>
  <c r="CN154" i="30"/>
  <c r="CM157" i="30"/>
  <c r="CO159" i="30"/>
  <c r="CN162" i="30"/>
  <c r="CM165" i="30"/>
  <c r="CO167" i="30"/>
  <c r="CN170" i="30"/>
  <c r="CL17" i="30"/>
  <c r="CL25" i="30"/>
  <c r="CL33" i="30"/>
  <c r="CL41" i="30"/>
  <c r="CL53" i="30"/>
  <c r="CL57" i="30"/>
  <c r="CL61" i="30"/>
  <c r="CL69" i="30"/>
  <c r="CL73" i="30"/>
  <c r="CL77" i="30"/>
  <c r="CL81" i="30"/>
  <c r="CL85" i="30"/>
  <c r="CL89" i="30"/>
  <c r="CL93" i="30"/>
  <c r="CL97" i="30"/>
  <c r="CL101" i="30"/>
  <c r="CL105" i="30"/>
  <c r="CL109" i="30"/>
  <c r="CL113" i="30"/>
  <c r="CL117" i="30"/>
  <c r="CL121" i="30"/>
  <c r="CL125" i="30"/>
  <c r="CL129" i="30"/>
  <c r="CL133" i="30"/>
  <c r="CL141" i="30"/>
  <c r="CL145" i="30"/>
  <c r="CL149" i="30"/>
  <c r="CL153" i="30"/>
  <c r="CL157" i="30"/>
  <c r="CL161" i="30"/>
  <c r="CL169" i="30"/>
  <c r="P4" i="30"/>
  <c r="CG4" i="30" s="1"/>
  <c r="T4" i="30"/>
  <c r="CK4" i="30" s="1"/>
  <c r="R5" i="30"/>
  <c r="CI5" i="30" s="1"/>
  <c r="P6" i="30"/>
  <c r="CG6" i="30" s="1"/>
  <c r="T6" i="30"/>
  <c r="CK6" i="30" s="1"/>
  <c r="R7" i="30"/>
  <c r="R8" i="30"/>
  <c r="V8" i="30"/>
  <c r="R9" i="30"/>
  <c r="CI9" i="30" s="1"/>
  <c r="P10" i="30"/>
  <c r="CG10" i="30" s="1"/>
  <c r="T10" i="30"/>
  <c r="CK10" i="30" s="1"/>
  <c r="R11" i="30"/>
  <c r="V11" i="30"/>
  <c r="R12" i="30"/>
  <c r="CI12" i="30" s="1"/>
  <c r="P13" i="30"/>
  <c r="CG13" i="30" s="1"/>
  <c r="T13" i="30"/>
  <c r="CK13" i="30" s="1"/>
  <c r="R14" i="30"/>
  <c r="V14" i="30"/>
  <c r="R15" i="30"/>
  <c r="V15" i="30"/>
  <c r="R16" i="30"/>
  <c r="CI16" i="30" s="1"/>
  <c r="R17" i="30"/>
  <c r="V17" i="30"/>
  <c r="R18" i="30"/>
  <c r="V18" i="30"/>
  <c r="R19" i="30"/>
  <c r="V19" i="30"/>
  <c r="R20" i="30"/>
  <c r="V20" i="30"/>
  <c r="R21" i="30"/>
  <c r="V21" i="30"/>
  <c r="R22" i="30"/>
  <c r="V22" i="30"/>
  <c r="R23" i="30"/>
  <c r="V23" i="30"/>
  <c r="R24" i="30"/>
  <c r="V24" i="30"/>
  <c r="R25" i="30"/>
  <c r="V25" i="30"/>
  <c r="R26" i="30"/>
  <c r="V26" i="30"/>
  <c r="R27" i="30"/>
  <c r="V27" i="30"/>
  <c r="R28" i="30"/>
  <c r="V28" i="30"/>
  <c r="R29" i="30"/>
  <c r="V29" i="30"/>
  <c r="R30" i="30"/>
  <c r="V30" i="30"/>
  <c r="R31" i="30"/>
  <c r="V31" i="30"/>
  <c r="R32" i="30"/>
  <c r="V32" i="30"/>
  <c r="R33" i="30"/>
  <c r="V33" i="30"/>
  <c r="R34" i="30"/>
  <c r="V34" i="30"/>
  <c r="R35" i="30"/>
  <c r="V35" i="30"/>
  <c r="R36" i="30"/>
  <c r="V36" i="30"/>
  <c r="R37" i="30"/>
  <c r="V37" i="30"/>
  <c r="R38" i="30"/>
  <c r="V38" i="30"/>
  <c r="R39" i="30"/>
  <c r="CI39" i="30" s="1"/>
  <c r="P40" i="30"/>
  <c r="CG40" i="30" s="1"/>
  <c r="T40" i="30"/>
  <c r="CK40" i="30" s="1"/>
  <c r="P41" i="30"/>
  <c r="T41" i="30"/>
  <c r="P42" i="30"/>
  <c r="CG42" i="30" s="1"/>
  <c r="T42" i="30"/>
  <c r="CK42" i="30" s="1"/>
  <c r="P43" i="30"/>
  <c r="T43" i="30"/>
  <c r="P44" i="30"/>
  <c r="CG44" i="30" s="1"/>
  <c r="T44" i="30"/>
  <c r="CK44" i="30" s="1"/>
  <c r="R45" i="30"/>
  <c r="CI45" i="30" s="1"/>
  <c r="R46" i="30"/>
  <c r="CI46" i="30" s="1"/>
  <c r="P47" i="30"/>
  <c r="CG47" i="30" s="1"/>
  <c r="T47" i="30"/>
  <c r="CK47" i="30" s="1"/>
  <c r="R48" i="30"/>
  <c r="CI48" i="30" s="1"/>
  <c r="P49" i="30"/>
  <c r="CG49" i="30" s="1"/>
  <c r="T49" i="30"/>
  <c r="R50" i="30"/>
  <c r="V50" i="30"/>
  <c r="R51" i="30"/>
  <c r="CI51" i="30" s="1"/>
  <c r="R52" i="30"/>
  <c r="V52" i="30"/>
  <c r="R53" i="30"/>
  <c r="V53" i="30"/>
  <c r="CV48" i="30"/>
  <c r="CV114" i="30"/>
  <c r="CV15" i="30"/>
  <c r="CV125" i="30"/>
  <c r="CQ20" i="30"/>
  <c r="CQ58" i="30"/>
  <c r="CQ95" i="30"/>
  <c r="CQ127" i="30"/>
  <c r="CQ31" i="30"/>
  <c r="CQ74" i="30"/>
  <c r="CQ108" i="30"/>
  <c r="CQ140" i="30"/>
  <c r="CQ172" i="30"/>
  <c r="CQ167" i="30"/>
  <c r="AM86" i="30"/>
  <c r="AM118" i="30"/>
  <c r="AM150" i="30"/>
  <c r="AM33" i="30"/>
  <c r="AM105" i="30"/>
  <c r="AM161" i="30"/>
  <c r="AM27" i="30"/>
  <c r="AM71" i="30"/>
  <c r="AM103" i="30"/>
  <c r="AM135" i="30"/>
  <c r="AM167" i="30"/>
  <c r="CF20" i="30"/>
  <c r="CF36" i="30"/>
  <c r="CF58" i="30"/>
  <c r="CF82" i="30"/>
  <c r="CF98" i="30"/>
  <c r="CF114" i="30"/>
  <c r="CF130" i="30"/>
  <c r="CF146" i="30"/>
  <c r="CF162" i="30"/>
  <c r="CF25" i="30"/>
  <c r="CF61" i="30"/>
  <c r="CF97" i="30"/>
  <c r="CF129" i="30"/>
  <c r="CF161" i="30"/>
  <c r="CG21" i="30"/>
  <c r="CG37" i="30"/>
  <c r="CG59" i="30"/>
  <c r="CG79" i="30"/>
  <c r="CG95" i="30"/>
  <c r="CG111" i="30"/>
  <c r="CG127" i="30"/>
  <c r="CG143" i="30"/>
  <c r="CG159" i="30"/>
  <c r="CK15" i="30"/>
  <c r="CK19" i="30"/>
  <c r="CK23" i="30"/>
  <c r="CF127" i="30"/>
  <c r="CG20" i="30"/>
  <c r="CG60" i="30"/>
  <c r="CG100" i="30"/>
  <c r="CG132" i="30"/>
  <c r="CG164" i="30"/>
  <c r="CJ24" i="30"/>
  <c r="CK28" i="30"/>
  <c r="CK32" i="30"/>
  <c r="CK36" i="30"/>
  <c r="CK41" i="30"/>
  <c r="CK50" i="30"/>
  <c r="CK54" i="30"/>
  <c r="CK58" i="30"/>
  <c r="CI71" i="30"/>
  <c r="CI75" i="30"/>
  <c r="CI79" i="30"/>
  <c r="CF27" i="30"/>
  <c r="CF99" i="30"/>
  <c r="CF163" i="30"/>
  <c r="CG38" i="30"/>
  <c r="CG82" i="30"/>
  <c r="CG114" i="30"/>
  <c r="CG146" i="30"/>
  <c r="CH8" i="30"/>
  <c r="CH20" i="30"/>
  <c r="CJ27" i="30"/>
  <c r="CJ35" i="30"/>
  <c r="CJ43" i="30"/>
  <c r="CJ52" i="30"/>
  <c r="CJ56" i="30"/>
  <c r="CJ60" i="30"/>
  <c r="CJ69" i="30"/>
  <c r="CJ73" i="30"/>
  <c r="CJ77" i="30"/>
  <c r="CJ82" i="30"/>
  <c r="CK84" i="30"/>
  <c r="CK86" i="30"/>
  <c r="CK88" i="30"/>
  <c r="CK90" i="30"/>
  <c r="CK92" i="30"/>
  <c r="CK94" i="30"/>
  <c r="CK96" i="30"/>
  <c r="CK98" i="30"/>
  <c r="CK100" i="30"/>
  <c r="CK102" i="30"/>
  <c r="CK104" i="30"/>
  <c r="CK106" i="30"/>
  <c r="CK108" i="30"/>
  <c r="CK110" i="30"/>
  <c r="CK112" i="30"/>
  <c r="CK114" i="30"/>
  <c r="CK116" i="30"/>
  <c r="CK118" i="30"/>
  <c r="CK120" i="30"/>
  <c r="CK122" i="30"/>
  <c r="CK124" i="30"/>
  <c r="CK126" i="30"/>
  <c r="CK128" i="30"/>
  <c r="CK130" i="30"/>
  <c r="CK132" i="30"/>
  <c r="CK134" i="30"/>
  <c r="CK136" i="30"/>
  <c r="CK138" i="30"/>
  <c r="CH28" i="30"/>
  <c r="CH32" i="30"/>
  <c r="CH36" i="30"/>
  <c r="CH41" i="30"/>
  <c r="CH50" i="30"/>
  <c r="CH54" i="30"/>
  <c r="CH58" i="30"/>
  <c r="CH71" i="30"/>
  <c r="CH75" i="30"/>
  <c r="CH79" i="30"/>
  <c r="CJ83" i="30"/>
  <c r="CJ85" i="30"/>
  <c r="CJ87" i="30"/>
  <c r="CJ89" i="30"/>
  <c r="CJ91" i="30"/>
  <c r="CJ93" i="30"/>
  <c r="CJ95" i="30"/>
  <c r="CJ97" i="30"/>
  <c r="CJ99" i="30"/>
  <c r="CJ101" i="30"/>
  <c r="CJ103" i="30"/>
  <c r="CJ105" i="30"/>
  <c r="CJ107" i="30"/>
  <c r="CJ109" i="30"/>
  <c r="CJ111" i="30"/>
  <c r="CJ113" i="30"/>
  <c r="CJ115" i="30"/>
  <c r="CJ117" i="30"/>
  <c r="CJ119" i="30"/>
  <c r="CJ121" i="30"/>
  <c r="CJ123" i="30"/>
  <c r="CJ125" i="30"/>
  <c r="CJ127" i="30"/>
  <c r="CJ129" i="30"/>
  <c r="CJ131" i="30"/>
  <c r="CJ133" i="30"/>
  <c r="CJ135" i="30"/>
  <c r="CJ139" i="30"/>
  <c r="CJ141" i="30"/>
  <c r="CJ143" i="30"/>
  <c r="CJ145" i="30"/>
  <c r="CJ147" i="30"/>
  <c r="CJ149" i="30"/>
  <c r="CJ151" i="30"/>
  <c r="CJ153" i="30"/>
  <c r="CJ155" i="30"/>
  <c r="CJ157" i="30"/>
  <c r="CJ159" i="30"/>
  <c r="CJ161" i="30"/>
  <c r="CJ163" i="30"/>
  <c r="CJ165" i="30"/>
  <c r="CJ167" i="30"/>
  <c r="CJ169" i="30"/>
  <c r="CJ171" i="30"/>
  <c r="CM6" i="30"/>
  <c r="CM10" i="30"/>
  <c r="CO14" i="30"/>
  <c r="CN17" i="30"/>
  <c r="CM20" i="30"/>
  <c r="CO22" i="30"/>
  <c r="CN25" i="30"/>
  <c r="CM28" i="30"/>
  <c r="CO30" i="30"/>
  <c r="CN33" i="30"/>
  <c r="CM36" i="30"/>
  <c r="CO38" i="30"/>
  <c r="CM42" i="30"/>
  <c r="CO50" i="30"/>
  <c r="CN53" i="30"/>
  <c r="CM56" i="30"/>
  <c r="CO58" i="30"/>
  <c r="CN61" i="30"/>
  <c r="CO64" i="30"/>
  <c r="CM70" i="30"/>
  <c r="CO72" i="30"/>
  <c r="CN75" i="30"/>
  <c r="CM78" i="30"/>
  <c r="CN81" i="30"/>
  <c r="CM84" i="30"/>
  <c r="CO86" i="30"/>
  <c r="CN89" i="30"/>
  <c r="CM92" i="30"/>
  <c r="CO94" i="30"/>
  <c r="CN97" i="30"/>
  <c r="CM100" i="30"/>
  <c r="CO102" i="30"/>
  <c r="CN105" i="30"/>
  <c r="CM108" i="30"/>
  <c r="CO110" i="30"/>
  <c r="CN113" i="30"/>
  <c r="CM116" i="30"/>
  <c r="CO118" i="30"/>
  <c r="CN121" i="30"/>
  <c r="CM124" i="30"/>
  <c r="CO126" i="30"/>
  <c r="CN129" i="30"/>
  <c r="CM132" i="30"/>
  <c r="CO134" i="30"/>
  <c r="CM140" i="30"/>
  <c r="CO142" i="30"/>
  <c r="CN145" i="30"/>
  <c r="CM148" i="30"/>
  <c r="CO150" i="30"/>
  <c r="CN153" i="30"/>
  <c r="CM156" i="30"/>
  <c r="CN161" i="30"/>
  <c r="CM164" i="30"/>
  <c r="CO166" i="30"/>
  <c r="CN169" i="30"/>
  <c r="CM172" i="30"/>
  <c r="CL24" i="30"/>
  <c r="CL32" i="30"/>
  <c r="CK140" i="30"/>
  <c r="CK144" i="30"/>
  <c r="CK148" i="30"/>
  <c r="CK152" i="30"/>
  <c r="CK156" i="30"/>
  <c r="CK160" i="30"/>
  <c r="CK164" i="30"/>
  <c r="CK168" i="30"/>
  <c r="CK172" i="30"/>
  <c r="CO11" i="30"/>
  <c r="CM17" i="30"/>
  <c r="CN22" i="30"/>
  <c r="CO27" i="30"/>
  <c r="CM33" i="30"/>
  <c r="CN38" i="30"/>
  <c r="CM45" i="30"/>
  <c r="CM53" i="30"/>
  <c r="CN58" i="30"/>
  <c r="CM65" i="30"/>
  <c r="CM73" i="30"/>
  <c r="CN78" i="30"/>
  <c r="CO83" i="30"/>
  <c r="CM89" i="30"/>
  <c r="CN94" i="30"/>
  <c r="CO99" i="30"/>
  <c r="CM105" i="30"/>
  <c r="CN110" i="30"/>
  <c r="CO115" i="30"/>
  <c r="CM121" i="30"/>
  <c r="CN126" i="30"/>
  <c r="CO131" i="30"/>
  <c r="CM137" i="30"/>
  <c r="CN142" i="30"/>
  <c r="CO147" i="30"/>
  <c r="CM153" i="30"/>
  <c r="CO163" i="30"/>
  <c r="CM169" i="30"/>
  <c r="CL21" i="30"/>
  <c r="CL37" i="30"/>
  <c r="CL59" i="30"/>
  <c r="CL71" i="30"/>
  <c r="CL79" i="30"/>
  <c r="CL87" i="30"/>
  <c r="CL95" i="30"/>
  <c r="CL103" i="30"/>
  <c r="CL111" i="30"/>
  <c r="CL119" i="30"/>
  <c r="CL127" i="30"/>
  <c r="CL135" i="30"/>
  <c r="CL143" i="30"/>
  <c r="CL159" i="30"/>
  <c r="CL167" i="30"/>
  <c r="R4" i="30"/>
  <c r="CI4" i="30" s="1"/>
  <c r="T5" i="30"/>
  <c r="CK5" i="30" s="1"/>
  <c r="P7" i="30"/>
  <c r="CG7" i="30" s="1"/>
  <c r="P8" i="30"/>
  <c r="P9" i="30"/>
  <c r="CG9" i="30" s="1"/>
  <c r="R10" i="30"/>
  <c r="CI10" i="30" s="1"/>
  <c r="T11" i="30"/>
  <c r="T12" i="30"/>
  <c r="CK12" i="30" s="1"/>
  <c r="P14" i="30"/>
  <c r="P15" i="30"/>
  <c r="P16" i="30"/>
  <c r="CO16" i="30" s="1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CG39" i="30" s="1"/>
  <c r="R40" i="30"/>
  <c r="CI40" i="30" s="1"/>
  <c r="R41" i="30"/>
  <c r="R42" i="30"/>
  <c r="CI42" i="30" s="1"/>
  <c r="R43" i="30"/>
  <c r="R44" i="30"/>
  <c r="CI44" i="30" s="1"/>
  <c r="T45" i="30"/>
  <c r="CK45" i="30" s="1"/>
  <c r="T46" i="30"/>
  <c r="CK46" i="30" s="1"/>
  <c r="P48" i="30"/>
  <c r="CG48" i="30" s="1"/>
  <c r="R49" i="30"/>
  <c r="CI49" i="30" s="1"/>
  <c r="T50" i="30"/>
  <c r="T51" i="30"/>
  <c r="CK51" i="30" s="1"/>
  <c r="T52" i="30"/>
  <c r="T53" i="30"/>
  <c r="R54" i="30"/>
  <c r="V54" i="30"/>
  <c r="R55" i="30"/>
  <c r="V55" i="30"/>
  <c r="R56" i="30"/>
  <c r="V56" i="30"/>
  <c r="R57" i="30"/>
  <c r="V57" i="30"/>
  <c r="R58" i="30"/>
  <c r="V58" i="30"/>
  <c r="R59" i="30"/>
  <c r="V59" i="30"/>
  <c r="R60" i="30"/>
  <c r="V60" i="30"/>
  <c r="R61" i="30"/>
  <c r="V61" i="30"/>
  <c r="R62" i="30"/>
  <c r="CI62" i="30" s="1"/>
  <c r="P63" i="30"/>
  <c r="CG63" i="30" s="1"/>
  <c r="T63" i="30"/>
  <c r="CK63" i="30" s="1"/>
  <c r="P64" i="30"/>
  <c r="T64" i="30"/>
  <c r="P65" i="30"/>
  <c r="T65" i="30"/>
  <c r="CK65" i="30" s="1"/>
  <c r="R66" i="30"/>
  <c r="CI66" i="30" s="1"/>
  <c r="P67" i="30"/>
  <c r="CG67" i="30" s="1"/>
  <c r="T67" i="30"/>
  <c r="CK67" i="30" s="1"/>
  <c r="R68" i="30"/>
  <c r="CI68" i="30" s="1"/>
  <c r="P69" i="30"/>
  <c r="T69" i="30"/>
  <c r="P70" i="30"/>
  <c r="T70" i="30"/>
  <c r="P71" i="30"/>
  <c r="T71" i="30"/>
  <c r="P72" i="30"/>
  <c r="T72" i="30"/>
  <c r="P73" i="30"/>
  <c r="T73" i="30"/>
  <c r="P74" i="30"/>
  <c r="T74" i="30"/>
  <c r="P75" i="30"/>
  <c r="T75" i="30"/>
  <c r="P76" i="30"/>
  <c r="T76" i="30"/>
  <c r="P77" i="30"/>
  <c r="T77" i="30"/>
  <c r="P78" i="30"/>
  <c r="T78" i="30"/>
  <c r="P79" i="30"/>
  <c r="T79" i="30"/>
  <c r="P80" i="30"/>
  <c r="CG80" i="30" s="1"/>
  <c r="T80" i="30"/>
  <c r="CK80" i="30" s="1"/>
  <c r="R81" i="30"/>
  <c r="V81" i="30"/>
  <c r="R82" i="30"/>
  <c r="V82" i="30"/>
  <c r="R83" i="30"/>
  <c r="V83" i="30"/>
  <c r="R84" i="30"/>
  <c r="V84" i="30"/>
  <c r="R85" i="30"/>
  <c r="V85" i="30"/>
  <c r="R86" i="30"/>
  <c r="V86" i="30"/>
  <c r="R87" i="30"/>
  <c r="V87" i="30"/>
  <c r="R88" i="30"/>
  <c r="V88" i="30"/>
  <c r="R89" i="30"/>
  <c r="V89" i="30"/>
  <c r="R90" i="30"/>
  <c r="V90" i="30"/>
  <c r="R91" i="30"/>
  <c r="V91" i="30"/>
  <c r="R92" i="30"/>
  <c r="V92" i="30"/>
  <c r="R93" i="30"/>
  <c r="V93" i="30"/>
  <c r="R94" i="30"/>
  <c r="V94" i="30"/>
  <c r="R95" i="30"/>
  <c r="V95" i="30"/>
  <c r="R96" i="30"/>
  <c r="V96" i="30"/>
  <c r="R97" i="30"/>
  <c r="V97" i="30"/>
  <c r="R98" i="30"/>
  <c r="V98" i="30"/>
  <c r="R99" i="30"/>
  <c r="V99" i="30"/>
  <c r="R100" i="30"/>
  <c r="V100" i="30"/>
  <c r="R101" i="30"/>
  <c r="V101" i="30"/>
  <c r="R102" i="30"/>
  <c r="V102" i="30"/>
  <c r="R103" i="30"/>
  <c r="V103" i="30"/>
  <c r="R104" i="30"/>
  <c r="V104" i="30"/>
  <c r="R105" i="30"/>
  <c r="V105" i="30"/>
  <c r="R106" i="30"/>
  <c r="V106" i="30"/>
  <c r="R107" i="30"/>
  <c r="V107" i="30"/>
  <c r="R108" i="30"/>
  <c r="V108" i="30"/>
  <c r="R109" i="30"/>
  <c r="V109" i="30"/>
  <c r="R110" i="30"/>
  <c r="V110" i="30"/>
  <c r="R111" i="30"/>
  <c r="V111" i="30"/>
  <c r="R112" i="30"/>
  <c r="V112" i="30"/>
  <c r="R113" i="30"/>
  <c r="V113" i="30"/>
  <c r="R114" i="30"/>
  <c r="CI142" i="30"/>
  <c r="CI146" i="30"/>
  <c r="CI150" i="30"/>
  <c r="CI154" i="30"/>
  <c r="CI162" i="30"/>
  <c r="CI166" i="30"/>
  <c r="CI170" i="30"/>
  <c r="CM7" i="30"/>
  <c r="CO17" i="30"/>
  <c r="CM23" i="30"/>
  <c r="CN28" i="30"/>
  <c r="CO33" i="30"/>
  <c r="CM39" i="30"/>
  <c r="CM47" i="30"/>
  <c r="CM55" i="30"/>
  <c r="CN60" i="30"/>
  <c r="CM71" i="30"/>
  <c r="CN76" i="30"/>
  <c r="CO81" i="30"/>
  <c r="CM87" i="30"/>
  <c r="CN92" i="30"/>
  <c r="CO97" i="30"/>
  <c r="CM103" i="30"/>
  <c r="CN108" i="30"/>
  <c r="CO113" i="30"/>
  <c r="CM119" i="30"/>
  <c r="CN124" i="30"/>
  <c r="CO129" i="30"/>
  <c r="CM135" i="30"/>
  <c r="CN140" i="30"/>
  <c r="CO145" i="30"/>
  <c r="CM151" i="30"/>
  <c r="CO161" i="30"/>
  <c r="CM167" i="30"/>
  <c r="CN172" i="30"/>
  <c r="CL15" i="30"/>
  <c r="CL31" i="30"/>
  <c r="CL54" i="30"/>
  <c r="CL70" i="30"/>
  <c r="CL78" i="30"/>
  <c r="CL86" i="30"/>
  <c r="CL94" i="30"/>
  <c r="CL102" i="30"/>
  <c r="CL110" i="30"/>
  <c r="CL118" i="30"/>
  <c r="CL126" i="30"/>
  <c r="CL134" i="30"/>
  <c r="CL142" i="30"/>
  <c r="CL150" i="30"/>
  <c r="CL166" i="30"/>
  <c r="Q4" i="30"/>
  <c r="CH4" i="30" s="1"/>
  <c r="Q5" i="30"/>
  <c r="Q6" i="30"/>
  <c r="Q7" i="30"/>
  <c r="AB7" i="30" s="1"/>
  <c r="Q8" i="30"/>
  <c r="Q9" i="30"/>
  <c r="Q10" i="30"/>
  <c r="Q11" i="30"/>
  <c r="Q12" i="30"/>
  <c r="Q13" i="30"/>
  <c r="CQ13" i="30" s="1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AB39" i="30" s="1"/>
  <c r="Q40" i="30"/>
  <c r="Q41" i="30"/>
  <c r="Q42" i="30"/>
  <c r="AB42" i="30" s="1"/>
  <c r="Q43" i="30"/>
  <c r="Q44" i="30"/>
  <c r="Q45" i="30"/>
  <c r="AB45" i="30" s="1"/>
  <c r="Q46" i="30"/>
  <c r="Q47" i="30"/>
  <c r="AV47" i="30" s="1"/>
  <c r="AX47" i="30" s="1"/>
  <c r="Q48" i="30"/>
  <c r="Q49" i="30"/>
  <c r="CH49" i="30" s="1"/>
  <c r="Q50" i="30"/>
  <c r="Q51" i="30"/>
  <c r="CH51" i="30" s="1"/>
  <c r="Q52" i="30"/>
  <c r="Q53" i="30"/>
  <c r="Q54" i="30"/>
  <c r="Q55" i="30"/>
  <c r="Q56" i="30"/>
  <c r="Q57" i="30"/>
  <c r="Q58" i="30"/>
  <c r="Q59" i="30"/>
  <c r="Q60" i="30"/>
  <c r="Q61" i="30"/>
  <c r="Q62" i="30"/>
  <c r="V62" i="30" s="1"/>
  <c r="Q63" i="30"/>
  <c r="CN63" i="30" s="1"/>
  <c r="Q64" i="30"/>
  <c r="Q65" i="30"/>
  <c r="CH65" i="30" s="1"/>
  <c r="Q66" i="30"/>
  <c r="AM66" i="30" s="1"/>
  <c r="Q67" i="30"/>
  <c r="CQ67" i="30" s="1"/>
  <c r="Q68" i="30"/>
  <c r="CH68" i="30" s="1"/>
  <c r="Q69" i="30"/>
  <c r="Q70" i="30"/>
  <c r="Q71" i="30"/>
  <c r="Q72" i="30"/>
  <c r="Q73" i="30"/>
  <c r="Q74" i="30"/>
  <c r="Q75" i="30"/>
  <c r="Q76" i="30"/>
  <c r="Q77" i="30"/>
  <c r="Q78" i="30"/>
  <c r="Q79" i="30"/>
  <c r="Q80" i="30"/>
  <c r="CQ80" i="30" s="1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V114" i="30"/>
  <c r="R115" i="30"/>
  <c r="V115" i="30"/>
  <c r="R116" i="30"/>
  <c r="V116" i="30"/>
  <c r="R117" i="30"/>
  <c r="V117" i="30"/>
  <c r="R118" i="30"/>
  <c r="V118" i="30"/>
  <c r="R119" i="30"/>
  <c r="V119" i="30"/>
  <c r="R120" i="30"/>
  <c r="V120" i="30"/>
  <c r="R121" i="30"/>
  <c r="V121" i="30"/>
  <c r="R122" i="30"/>
  <c r="V122" i="30"/>
  <c r="R123" i="30"/>
  <c r="V123" i="30"/>
  <c r="R124" i="30"/>
  <c r="V124" i="30"/>
  <c r="R125" i="30"/>
  <c r="V125" i="30"/>
  <c r="R126" i="30"/>
  <c r="V126" i="30"/>
  <c r="R127" i="30"/>
  <c r="V127" i="30"/>
  <c r="R128" i="30"/>
  <c r="V128" i="30"/>
  <c r="R129" i="30"/>
  <c r="V129" i="30"/>
  <c r="R130" i="30"/>
  <c r="V130" i="30"/>
  <c r="R131" i="30"/>
  <c r="V131" i="30"/>
  <c r="R132" i="30"/>
  <c r="V132" i="30"/>
  <c r="R133" i="30"/>
  <c r="V133" i="30"/>
  <c r="R134" i="30"/>
  <c r="V134" i="30"/>
  <c r="R135" i="30"/>
  <c r="CQ135" i="30" s="1"/>
  <c r="V135" i="30"/>
  <c r="R136" i="30"/>
  <c r="V136" i="30"/>
  <c r="R137" i="30"/>
  <c r="CI137" i="30" s="1"/>
  <c r="R138" i="30"/>
  <c r="V138" i="30"/>
  <c r="R139" i="30"/>
  <c r="V139" i="30" s="1"/>
  <c r="R140" i="30"/>
  <c r="V140" i="30"/>
  <c r="R141" i="30"/>
  <c r="V141" i="30"/>
  <c r="R142" i="30"/>
  <c r="V142" i="30"/>
  <c r="R143" i="30"/>
  <c r="V143" i="30"/>
  <c r="R144" i="30"/>
  <c r="V144" i="30"/>
  <c r="R145" i="30"/>
  <c r="V145" i="30"/>
  <c r="R146" i="30"/>
  <c r="V146" i="30"/>
  <c r="R147" i="30"/>
  <c r="V147" i="30"/>
  <c r="R148" i="30"/>
  <c r="V148" i="30"/>
  <c r="R149" i="30"/>
  <c r="V149" i="30"/>
  <c r="R150" i="30"/>
  <c r="V150" i="30"/>
  <c r="R151" i="30"/>
  <c r="CQ151" i="30" s="1"/>
  <c r="R152" i="30"/>
  <c r="V152" i="30"/>
  <c r="R153" i="30"/>
  <c r="V153" i="30"/>
  <c r="R154" i="30"/>
  <c r="V154" i="30"/>
  <c r="R155" i="30"/>
  <c r="V155" i="30"/>
  <c r="R156" i="30"/>
  <c r="R157" i="30"/>
  <c r="V157" i="30"/>
  <c r="R158" i="30"/>
  <c r="CI158" i="30" s="1"/>
  <c r="R159" i="30"/>
  <c r="V159" i="30"/>
  <c r="R160" i="30"/>
  <c r="CI160" i="30" s="1"/>
  <c r="R161" i="30"/>
  <c r="V161" i="30"/>
  <c r="R162" i="30"/>
  <c r="V162" i="30"/>
  <c r="R163" i="30"/>
  <c r="V163" i="30"/>
  <c r="R164" i="30"/>
  <c r="V164" i="30"/>
  <c r="R165" i="30"/>
  <c r="AM165" i="30" s="1"/>
  <c r="V165" i="30"/>
  <c r="R166" i="30"/>
  <c r="V166" i="30"/>
  <c r="R167" i="30"/>
  <c r="V167" i="30"/>
  <c r="R168" i="30"/>
  <c r="V168" i="30"/>
  <c r="R169" i="30"/>
  <c r="V169" i="30"/>
  <c r="R170" i="30"/>
  <c r="V170" i="30"/>
  <c r="R171" i="30"/>
  <c r="V171" i="30"/>
  <c r="R172" i="30"/>
  <c r="V172" i="30"/>
  <c r="AD11" i="30"/>
  <c r="AD17" i="30"/>
  <c r="AD21" i="30"/>
  <c r="AD25" i="30"/>
  <c r="AD29" i="30"/>
  <c r="AD33" i="30"/>
  <c r="AD37" i="30"/>
  <c r="AD43" i="30"/>
  <c r="AD55" i="30"/>
  <c r="AD59" i="30"/>
  <c r="AD71" i="30"/>
  <c r="AD75" i="30"/>
  <c r="AD79" i="30"/>
  <c r="AD83" i="30"/>
  <c r="AD87" i="30"/>
  <c r="AD91" i="30"/>
  <c r="AD95" i="30"/>
  <c r="AD99" i="30"/>
  <c r="AD103" i="30"/>
  <c r="AD107" i="30"/>
  <c r="AD111" i="30"/>
  <c r="AD115" i="30"/>
  <c r="AD119" i="30"/>
  <c r="AD123" i="30"/>
  <c r="AD127" i="30"/>
  <c r="AD131" i="30"/>
  <c r="AD143" i="30"/>
  <c r="AD147" i="30"/>
  <c r="AD155" i="30"/>
  <c r="AD159" i="30"/>
  <c r="AD163" i="30"/>
  <c r="AD167" i="30"/>
  <c r="AD171" i="30"/>
  <c r="AA8" i="30"/>
  <c r="AA14" i="30"/>
  <c r="AA18" i="30"/>
  <c r="AA20" i="30"/>
  <c r="AA22" i="30"/>
  <c r="AA24" i="30"/>
  <c r="AA26" i="30"/>
  <c r="AA28" i="30"/>
  <c r="AA30" i="30"/>
  <c r="AA32" i="30"/>
  <c r="AA34" i="30"/>
  <c r="AA36" i="30"/>
  <c r="AA38" i="30"/>
  <c r="AA41" i="30"/>
  <c r="AA43" i="30"/>
  <c r="AA50" i="30"/>
  <c r="AA52" i="30"/>
  <c r="AA54" i="30"/>
  <c r="AA56" i="30"/>
  <c r="AA58" i="30"/>
  <c r="AA60" i="30"/>
  <c r="AA69" i="30"/>
  <c r="AA71" i="30"/>
  <c r="AA73" i="30"/>
  <c r="AA75" i="30"/>
  <c r="AA77" i="30"/>
  <c r="AA79" i="30"/>
  <c r="AA82" i="30"/>
  <c r="AA84" i="30"/>
  <c r="AA86" i="30"/>
  <c r="AA88" i="30"/>
  <c r="AA90" i="30"/>
  <c r="AA92" i="30"/>
  <c r="AA94" i="30"/>
  <c r="AA96" i="30"/>
  <c r="AA98" i="30"/>
  <c r="AA100" i="30"/>
  <c r="AA102" i="30"/>
  <c r="AA104" i="30"/>
  <c r="AA106" i="30"/>
  <c r="AA108" i="30"/>
  <c r="AA110" i="30"/>
  <c r="AA112" i="30"/>
  <c r="AA114" i="30"/>
  <c r="AA116" i="30"/>
  <c r="AA118" i="30"/>
  <c r="AA120" i="30"/>
  <c r="AA122" i="30"/>
  <c r="AA124" i="30"/>
  <c r="AA126" i="30"/>
  <c r="AA128" i="30"/>
  <c r="AA130" i="30"/>
  <c r="AA132" i="30"/>
  <c r="AA134" i="30"/>
  <c r="AA136" i="30"/>
  <c r="AA138" i="30"/>
  <c r="AA140" i="30"/>
  <c r="AA142" i="30"/>
  <c r="AA144" i="30"/>
  <c r="AA146" i="30"/>
  <c r="AA148" i="30"/>
  <c r="AA150" i="30"/>
  <c r="AA152" i="30"/>
  <c r="AA154" i="30"/>
  <c r="AA162" i="30"/>
  <c r="AA164" i="30"/>
  <c r="AA166" i="30"/>
  <c r="AA168" i="30"/>
  <c r="AA170" i="30"/>
  <c r="AA172" i="30"/>
  <c r="AF14" i="30"/>
  <c r="AF18" i="30"/>
  <c r="AF22" i="30"/>
  <c r="AF26" i="30"/>
  <c r="AF30" i="30"/>
  <c r="AF34" i="30"/>
  <c r="AF38" i="30"/>
  <c r="AF52" i="30"/>
  <c r="AF56" i="30"/>
  <c r="AF60" i="30"/>
  <c r="AF70" i="30"/>
  <c r="AF74" i="30"/>
  <c r="AF78" i="30"/>
  <c r="AF84" i="30"/>
  <c r="AF88" i="30"/>
  <c r="AF92" i="30"/>
  <c r="AF96" i="30"/>
  <c r="AF100" i="30"/>
  <c r="AF104" i="30"/>
  <c r="AF108" i="30"/>
  <c r="AF112" i="30"/>
  <c r="AF116" i="30"/>
  <c r="AF120" i="30"/>
  <c r="AF124" i="30"/>
  <c r="AF128" i="30"/>
  <c r="AF132" i="30"/>
  <c r="AF136" i="30"/>
  <c r="AF140" i="30"/>
  <c r="AF144" i="30"/>
  <c r="AF148" i="30"/>
  <c r="AF152" i="30"/>
  <c r="AF164" i="30"/>
  <c r="AF168" i="30"/>
  <c r="AF172" i="30"/>
  <c r="R3" i="30"/>
  <c r="CI3" i="30" s="1"/>
  <c r="O30" i="30"/>
  <c r="S73" i="30"/>
  <c r="S75" i="30"/>
  <c r="S77" i="30"/>
  <c r="S79" i="30"/>
  <c r="O81" i="30"/>
  <c r="S82" i="30"/>
  <c r="O85" i="30"/>
  <c r="S86" i="30"/>
  <c r="S88" i="30"/>
  <c r="S90" i="30"/>
  <c r="O92" i="30"/>
  <c r="O94" i="30"/>
  <c r="S96" i="30"/>
  <c r="S98" i="30"/>
  <c r="S100" i="30"/>
  <c r="S102" i="30"/>
  <c r="S104" i="30"/>
  <c r="S106" i="30"/>
  <c r="S107" i="30"/>
  <c r="S109" i="30"/>
  <c r="S111" i="30"/>
  <c r="O114" i="30"/>
  <c r="Q115" i="30"/>
  <c r="O116" i="30"/>
  <c r="O117" i="30"/>
  <c r="O118" i="30"/>
  <c r="O119" i="30"/>
  <c r="O120" i="30"/>
  <c r="O121" i="30"/>
  <c r="O122" i="30"/>
  <c r="O123" i="30"/>
  <c r="Q124" i="30"/>
  <c r="S125" i="30"/>
  <c r="S126" i="30"/>
  <c r="S127" i="30"/>
  <c r="Q128" i="30"/>
  <c r="O129" i="30"/>
  <c r="U129" i="30"/>
  <c r="U130" i="30"/>
  <c r="U131" i="30"/>
  <c r="U132" i="30"/>
  <c r="U133" i="30"/>
  <c r="U134" i="30"/>
  <c r="U135" i="30"/>
  <c r="U136" i="30"/>
  <c r="S137" i="30"/>
  <c r="CJ137" i="30" s="1"/>
  <c r="CI143" i="30"/>
  <c r="CI147" i="30"/>
  <c r="CI155" i="30"/>
  <c r="CI159" i="30"/>
  <c r="CI163" i="30"/>
  <c r="CI167" i="30"/>
  <c r="CI171" i="30"/>
  <c r="CM11" i="30"/>
  <c r="CM19" i="30"/>
  <c r="CN24" i="30"/>
  <c r="CO29" i="30"/>
  <c r="CM35" i="30"/>
  <c r="CN40" i="30"/>
  <c r="CO53" i="30"/>
  <c r="CM59" i="30"/>
  <c r="CN64" i="30"/>
  <c r="CO69" i="30"/>
  <c r="CM75" i="30"/>
  <c r="CN80" i="30"/>
  <c r="CO85" i="30"/>
  <c r="CM91" i="30"/>
  <c r="CN96" i="30"/>
  <c r="CO101" i="30"/>
  <c r="CM107" i="30"/>
  <c r="CN112" i="30"/>
  <c r="CO117" i="30"/>
  <c r="CM123" i="30"/>
  <c r="CN128" i="30"/>
  <c r="CO133" i="30"/>
  <c r="CM139" i="30"/>
  <c r="CN144" i="30"/>
  <c r="CO149" i="30"/>
  <c r="CM155" i="30"/>
  <c r="CM171" i="30"/>
  <c r="CL11" i="30"/>
  <c r="CL27" i="30"/>
  <c r="CL40" i="30"/>
  <c r="CL48" i="30"/>
  <c r="CL56" i="30"/>
  <c r="CL64" i="30"/>
  <c r="CL76" i="30"/>
  <c r="CL84" i="30"/>
  <c r="CL92" i="30"/>
  <c r="CL100" i="30"/>
  <c r="CL108" i="30"/>
  <c r="CL116" i="30"/>
  <c r="CL124" i="30"/>
  <c r="CL132" i="30"/>
  <c r="CL140" i="30"/>
  <c r="CL148" i="30"/>
  <c r="CL164" i="30"/>
  <c r="CL172" i="30"/>
  <c r="S4" i="30"/>
  <c r="S5" i="30"/>
  <c r="CJ5" i="30" s="1"/>
  <c r="S6" i="30"/>
  <c r="CJ6" i="30" s="1"/>
  <c r="S7" i="30"/>
  <c r="CJ7" i="30" s="1"/>
  <c r="S8" i="30"/>
  <c r="S9" i="30"/>
  <c r="CJ9" i="30" s="1"/>
  <c r="S10" i="30"/>
  <c r="AA10" i="30" s="1"/>
  <c r="S11" i="30"/>
  <c r="S12" i="30"/>
  <c r="CJ12" i="30" s="1"/>
  <c r="S13" i="30"/>
  <c r="CJ13" i="30" s="1"/>
  <c r="S14" i="30"/>
  <c r="S15" i="30"/>
  <c r="S16" i="30"/>
  <c r="CJ16" i="30" s="1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O31" i="30"/>
  <c r="O32" i="30"/>
  <c r="O33" i="30"/>
  <c r="O34" i="30"/>
  <c r="O35" i="30"/>
  <c r="O36" i="30"/>
  <c r="O37" i="30"/>
  <c r="O38" i="30"/>
  <c r="O39" i="30"/>
  <c r="CO39" i="30" s="1"/>
  <c r="O40" i="30"/>
  <c r="CF40" i="30" s="1"/>
  <c r="O41" i="30"/>
  <c r="O42" i="30"/>
  <c r="AV42" i="30" s="1"/>
  <c r="AX42" i="30" s="1"/>
  <c r="O43" i="30"/>
  <c r="O44" i="30"/>
  <c r="CO44" i="30" s="1"/>
  <c r="O45" i="30"/>
  <c r="CF45" i="30" s="1"/>
  <c r="O46" i="30"/>
  <c r="CF46" i="30" s="1"/>
  <c r="O47" i="30"/>
  <c r="CF47" i="30" s="1"/>
  <c r="O48" i="30"/>
  <c r="CF48" i="30" s="1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CO62" i="30" s="1"/>
  <c r="O63" i="30"/>
  <c r="O64" i="30"/>
  <c r="O65" i="30"/>
  <c r="CF65" i="30" s="1"/>
  <c r="O66" i="30"/>
  <c r="CF66" i="30" s="1"/>
  <c r="O67" i="30"/>
  <c r="CO67" i="30" s="1"/>
  <c r="O68" i="30"/>
  <c r="CF68" i="30" s="1"/>
  <c r="O69" i="30"/>
  <c r="O70" i="30"/>
  <c r="O71" i="30"/>
  <c r="S72" i="30"/>
  <c r="O74" i="30"/>
  <c r="O76" i="30"/>
  <c r="O78" i="30"/>
  <c r="S80" i="30"/>
  <c r="CJ80" i="30" s="1"/>
  <c r="O83" i="30"/>
  <c r="S84" i="30"/>
  <c r="O87" i="30"/>
  <c r="O89" i="30"/>
  <c r="O91" i="30"/>
  <c r="S93" i="30"/>
  <c r="S95" i="30"/>
  <c r="O97" i="30"/>
  <c r="O99" i="30"/>
  <c r="O101" i="30"/>
  <c r="O103" i="30"/>
  <c r="O105" i="30"/>
  <c r="O108" i="30"/>
  <c r="O110" i="30"/>
  <c r="O112" i="30"/>
  <c r="S113" i="30"/>
  <c r="O115" i="30"/>
  <c r="Q116" i="30"/>
  <c r="Q117" i="30"/>
  <c r="Q118" i="30"/>
  <c r="Q119" i="30"/>
  <c r="Q120" i="30"/>
  <c r="Q121" i="30"/>
  <c r="Q122" i="30"/>
  <c r="Q123" i="30"/>
  <c r="O124" i="30"/>
  <c r="U124" i="30"/>
  <c r="U125" i="30"/>
  <c r="U126" i="30"/>
  <c r="O128" i="30"/>
  <c r="Q129" i="30"/>
  <c r="S130" i="30"/>
  <c r="S131" i="30"/>
  <c r="S132" i="30"/>
  <c r="S133" i="30"/>
  <c r="S134" i="30"/>
  <c r="S135" i="30"/>
  <c r="S136" i="30"/>
  <c r="O138" i="30"/>
  <c r="O139" i="30"/>
  <c r="AD139" i="30" s="1"/>
  <c r="AF139" i="30" s="1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CF151" i="30" s="1"/>
  <c r="O152" i="30"/>
  <c r="O153" i="30"/>
  <c r="O154" i="30"/>
  <c r="O155" i="30"/>
  <c r="O156" i="30"/>
  <c r="O157" i="30"/>
  <c r="O158" i="30"/>
  <c r="AD158" i="30" s="1"/>
  <c r="AF158" i="30" s="1"/>
  <c r="O159" i="30"/>
  <c r="O160" i="30"/>
  <c r="CF160" i="30" s="1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AD8" i="30"/>
  <c r="AD16" i="30"/>
  <c r="AD24" i="30"/>
  <c r="AD32" i="30"/>
  <c r="AD40" i="30"/>
  <c r="AD52" i="30"/>
  <c r="AD60" i="30"/>
  <c r="AD72" i="30"/>
  <c r="AD80" i="30"/>
  <c r="AF80" i="30" s="1"/>
  <c r="AD88" i="30"/>
  <c r="AD96" i="30"/>
  <c r="AD104" i="30"/>
  <c r="AD112" i="30"/>
  <c r="AD120" i="30"/>
  <c r="AD128" i="30"/>
  <c r="AD136" i="30"/>
  <c r="AD144" i="30"/>
  <c r="AD152" i="30"/>
  <c r="AD168" i="30"/>
  <c r="AB11" i="30"/>
  <c r="AB15" i="30"/>
  <c r="AB19" i="30"/>
  <c r="AB23" i="30"/>
  <c r="AB27" i="30"/>
  <c r="AB31" i="30"/>
  <c r="AB35" i="30"/>
  <c r="AB41" i="30"/>
  <c r="AB53" i="30"/>
  <c r="AB57" i="30"/>
  <c r="AB61" i="30"/>
  <c r="AB67" i="30"/>
  <c r="AB71" i="30"/>
  <c r="AB75" i="30"/>
  <c r="AB79" i="30"/>
  <c r="AB83" i="30"/>
  <c r="AB87" i="30"/>
  <c r="AB91" i="30"/>
  <c r="AB95" i="30"/>
  <c r="AB99" i="30"/>
  <c r="AB103" i="30"/>
  <c r="AB107" i="30"/>
  <c r="AB111" i="30"/>
  <c r="AB115" i="30"/>
  <c r="AB119" i="30"/>
  <c r="AB123" i="30"/>
  <c r="AB127" i="30"/>
  <c r="AB131" i="30"/>
  <c r="AB135" i="30"/>
  <c r="AB139" i="30"/>
  <c r="AB143" i="30"/>
  <c r="AB147" i="30"/>
  <c r="AB151" i="30"/>
  <c r="AB155" i="30"/>
  <c r="AB159" i="30"/>
  <c r="AB163" i="30"/>
  <c r="AB167" i="30"/>
  <c r="AB171" i="30"/>
  <c r="AN10" i="30"/>
  <c r="AN14" i="30"/>
  <c r="AN18" i="30"/>
  <c r="AN22" i="30"/>
  <c r="AN26" i="30"/>
  <c r="AN30" i="30"/>
  <c r="AN34" i="30"/>
  <c r="AN38" i="30"/>
  <c r="AN42" i="30"/>
  <c r="AN46" i="30"/>
  <c r="AN50" i="30"/>
  <c r="AN54" i="30"/>
  <c r="AN58" i="30"/>
  <c r="AN62" i="30"/>
  <c r="AN66" i="30"/>
  <c r="AN72" i="30"/>
  <c r="AN76" i="30"/>
  <c r="AN80" i="30"/>
  <c r="AN84" i="30"/>
  <c r="AN88" i="30"/>
  <c r="AN92" i="30"/>
  <c r="AN96" i="30"/>
  <c r="AN100" i="30"/>
  <c r="AN104" i="30"/>
  <c r="AN108" i="30"/>
  <c r="AN112" i="30"/>
  <c r="AN116" i="30"/>
  <c r="AN120" i="30"/>
  <c r="AN124" i="30"/>
  <c r="AN128" i="30"/>
  <c r="AN132" i="30"/>
  <c r="AN136" i="30"/>
  <c r="AN140" i="30"/>
  <c r="AN144" i="30"/>
  <c r="AN148" i="30"/>
  <c r="AN152" i="30"/>
  <c r="AN164" i="30"/>
  <c r="AN168" i="30"/>
  <c r="AN172" i="30"/>
  <c r="AF11" i="30"/>
  <c r="AF19" i="30"/>
  <c r="AF27" i="30"/>
  <c r="AF35" i="30"/>
  <c r="AF59" i="30"/>
  <c r="AF71" i="30"/>
  <c r="AF79" i="30"/>
  <c r="AF87" i="30"/>
  <c r="AF95" i="30"/>
  <c r="AF103" i="30"/>
  <c r="AF111" i="30"/>
  <c r="AF119" i="30"/>
  <c r="AF127" i="30"/>
  <c r="AF143" i="30"/>
  <c r="AF159" i="30"/>
  <c r="AF167" i="30"/>
  <c r="U3" i="30"/>
  <c r="U137" i="30"/>
  <c r="U138" i="30"/>
  <c r="U139" i="30"/>
  <c r="U140" i="30"/>
  <c r="U141" i="30"/>
  <c r="U142" i="30"/>
  <c r="U143" i="30"/>
  <c r="U144" i="30"/>
  <c r="U145" i="30"/>
  <c r="U146" i="30"/>
  <c r="U147" i="30"/>
  <c r="U148" i="30"/>
  <c r="U149" i="30"/>
  <c r="U150" i="30"/>
  <c r="U151" i="30"/>
  <c r="U152" i="30"/>
  <c r="U153" i="30"/>
  <c r="U154" i="30"/>
  <c r="U155" i="30"/>
  <c r="U156" i="30"/>
  <c r="U157" i="30"/>
  <c r="U158" i="30"/>
  <c r="U159" i="30"/>
  <c r="U160" i="30"/>
  <c r="U161" i="30"/>
  <c r="U162" i="30"/>
  <c r="U163" i="30"/>
  <c r="U164" i="30"/>
  <c r="U165" i="30"/>
  <c r="U166" i="30"/>
  <c r="U167" i="30"/>
  <c r="U168" i="30"/>
  <c r="U169" i="30"/>
  <c r="U170" i="30"/>
  <c r="U171" i="30"/>
  <c r="U172" i="30"/>
  <c r="AD14" i="30"/>
  <c r="AD22" i="30"/>
  <c r="AD30" i="30"/>
  <c r="AD38" i="30"/>
  <c r="AD46" i="30"/>
  <c r="AF46" i="30" s="1"/>
  <c r="AD54" i="30"/>
  <c r="AD66" i="30"/>
  <c r="AF66" i="30" s="1"/>
  <c r="AD74" i="30"/>
  <c r="AD82" i="30"/>
  <c r="AD90" i="30"/>
  <c r="AD98" i="30"/>
  <c r="AD106" i="30"/>
  <c r="AD114" i="30"/>
  <c r="AD122" i="30"/>
  <c r="AD130" i="30"/>
  <c r="AD138" i="30"/>
  <c r="AD146" i="30"/>
  <c r="AD154" i="30"/>
  <c r="AD162" i="30"/>
  <c r="AD170" i="30"/>
  <c r="AB10" i="30"/>
  <c r="AB16" i="30"/>
  <c r="AB20" i="30"/>
  <c r="AB24" i="30"/>
  <c r="AB28" i="30"/>
  <c r="AB32" i="30"/>
  <c r="AB36" i="30"/>
  <c r="AB40" i="30"/>
  <c r="AB48" i="30"/>
  <c r="AB52" i="30"/>
  <c r="AB56" i="30"/>
  <c r="AB60" i="30"/>
  <c r="AB64" i="30"/>
  <c r="AB70" i="30"/>
  <c r="AB74" i="30"/>
  <c r="AB78" i="30"/>
  <c r="AB82" i="30"/>
  <c r="AB86" i="30"/>
  <c r="AB90" i="30"/>
  <c r="AB94" i="30"/>
  <c r="AB98" i="30"/>
  <c r="AB102" i="30"/>
  <c r="AB106" i="30"/>
  <c r="AB110" i="30"/>
  <c r="AB114" i="30"/>
  <c r="AB118" i="30"/>
  <c r="AB122" i="30"/>
  <c r="AB126" i="30"/>
  <c r="AB130" i="30"/>
  <c r="AB134" i="30"/>
  <c r="AB138" i="30"/>
  <c r="AB142" i="30"/>
  <c r="AB146" i="30"/>
  <c r="AB150" i="30"/>
  <c r="AB154" i="30"/>
  <c r="AB162" i="30"/>
  <c r="AB166" i="30"/>
  <c r="AB170" i="30"/>
  <c r="AN7" i="30"/>
  <c r="AN13" i="30"/>
  <c r="AN17" i="30"/>
  <c r="AN21" i="30"/>
  <c r="AN25" i="30"/>
  <c r="AN29" i="30"/>
  <c r="AN33" i="30"/>
  <c r="CS16" i="30"/>
  <c r="AY5" i="30"/>
  <c r="AY166" i="30"/>
  <c r="AY158" i="30"/>
  <c r="AY150" i="30"/>
  <c r="AY142" i="30"/>
  <c r="AY134" i="30"/>
  <c r="AY126" i="30"/>
  <c r="AY118" i="30"/>
  <c r="AY110" i="30"/>
  <c r="AY102" i="30"/>
  <c r="AY94" i="30"/>
  <c r="AY86" i="30"/>
  <c r="AY78" i="30"/>
  <c r="AY70" i="30"/>
  <c r="AY62" i="30"/>
  <c r="AY54" i="30"/>
  <c r="AY46" i="30"/>
  <c r="AY38" i="30"/>
  <c r="AY30" i="30"/>
  <c r="AY22" i="30"/>
  <c r="AY14" i="30"/>
  <c r="AY172" i="30"/>
  <c r="AY164" i="30"/>
  <c r="AY156" i="30"/>
  <c r="AY148" i="30"/>
  <c r="AY140" i="30"/>
  <c r="AY132" i="30"/>
  <c r="AY124" i="30"/>
  <c r="AY116" i="30"/>
  <c r="AY108" i="30"/>
  <c r="AY100" i="30"/>
  <c r="AY92" i="30"/>
  <c r="AY84" i="30"/>
  <c r="AY76" i="30"/>
  <c r="AY64" i="30"/>
  <c r="AY56" i="30"/>
  <c r="AY40" i="30"/>
  <c r="AY32" i="30"/>
  <c r="AY24" i="30"/>
  <c r="AY16" i="30"/>
  <c r="AY8" i="30"/>
  <c r="AY169" i="30"/>
  <c r="AY161" i="30"/>
  <c r="AY157" i="30"/>
  <c r="AY153" i="30"/>
  <c r="AY149" i="30"/>
  <c r="AY145" i="30"/>
  <c r="AY141" i="30"/>
  <c r="AY137" i="30"/>
  <c r="AY133" i="30"/>
  <c r="AY129" i="30"/>
  <c r="AY125" i="30"/>
  <c r="AY121" i="30"/>
  <c r="AY117" i="30"/>
  <c r="AY113" i="30"/>
  <c r="AY109" i="30"/>
  <c r="AY105" i="30"/>
  <c r="AY101" i="30"/>
  <c r="AY97" i="30"/>
  <c r="AY93" i="30"/>
  <c r="AY89" i="30"/>
  <c r="AY85" i="30"/>
  <c r="AY81" i="30"/>
  <c r="AY77" i="30"/>
  <c r="AY73" i="30"/>
  <c r="AY69" i="30"/>
  <c r="AY65" i="30"/>
  <c r="AY61" i="30"/>
  <c r="AY57" i="30"/>
  <c r="AY53" i="30"/>
  <c r="AY41" i="30"/>
  <c r="AY35" i="30"/>
  <c r="AY31" i="30"/>
  <c r="AY27" i="30"/>
  <c r="AY23" i="30"/>
  <c r="AY19" i="30"/>
  <c r="AY15" i="30"/>
  <c r="AY11" i="30"/>
  <c r="AY7" i="30"/>
  <c r="AV168" i="30"/>
  <c r="AX168" i="30" s="1"/>
  <c r="AV152" i="30"/>
  <c r="AX152" i="30" s="1"/>
  <c r="AV144" i="30"/>
  <c r="AX144" i="30" s="1"/>
  <c r="AV136" i="30"/>
  <c r="AX136" i="30" s="1"/>
  <c r="AV128" i="30"/>
  <c r="AX128" i="30" s="1"/>
  <c r="AV170" i="30"/>
  <c r="AX170" i="30" s="1"/>
  <c r="AV162" i="30"/>
  <c r="AX162" i="30" s="1"/>
  <c r="AV154" i="30"/>
  <c r="AX154" i="30" s="1"/>
  <c r="AV146" i="30"/>
  <c r="AX146" i="30" s="1"/>
  <c r="AV138" i="30"/>
  <c r="AX138" i="30" s="1"/>
  <c r="AV130" i="30"/>
  <c r="AX130" i="30" s="1"/>
  <c r="AV122" i="30"/>
  <c r="AX122" i="30" s="1"/>
  <c r="AV169" i="30"/>
  <c r="AX169" i="30" s="1"/>
  <c r="AV161" i="30"/>
  <c r="AX161" i="30" s="1"/>
  <c r="AV157" i="30"/>
  <c r="AX157" i="30" s="1"/>
  <c r="AV153" i="30"/>
  <c r="AX153" i="30" s="1"/>
  <c r="AV149" i="30"/>
  <c r="AX149" i="30" s="1"/>
  <c r="AV145" i="30"/>
  <c r="AX145" i="30" s="1"/>
  <c r="AV141" i="30"/>
  <c r="AX141" i="30" s="1"/>
  <c r="AV137" i="30"/>
  <c r="AX137" i="30" s="1"/>
  <c r="AV133" i="30"/>
  <c r="AX133" i="30" s="1"/>
  <c r="AV129" i="30"/>
  <c r="AX129" i="30" s="1"/>
  <c r="AV125" i="30"/>
  <c r="AX125" i="30" s="1"/>
  <c r="AV121" i="30"/>
  <c r="AX121" i="30" s="1"/>
  <c r="AV117" i="30"/>
  <c r="AX117" i="30" s="1"/>
  <c r="AV113" i="30"/>
  <c r="AX113" i="30" s="1"/>
  <c r="AV109" i="30"/>
  <c r="AX109" i="30" s="1"/>
  <c r="AV105" i="30"/>
  <c r="AX105" i="30" s="1"/>
  <c r="AV101" i="30"/>
  <c r="AX101" i="30" s="1"/>
  <c r="AV97" i="30"/>
  <c r="AX97" i="30" s="1"/>
  <c r="AV93" i="30"/>
  <c r="AX93" i="30" s="1"/>
  <c r="AV89" i="30"/>
  <c r="AX89" i="30" s="1"/>
  <c r="AV85" i="30"/>
  <c r="AX85" i="30" s="1"/>
  <c r="AV81" i="30"/>
  <c r="AX81" i="30" s="1"/>
  <c r="AV77" i="30"/>
  <c r="AX77" i="30" s="1"/>
  <c r="AV73" i="30"/>
  <c r="AX73" i="30" s="1"/>
  <c r="AV69" i="30"/>
  <c r="AX69" i="30" s="1"/>
  <c r="AV59" i="30"/>
  <c r="AX59" i="30" s="1"/>
  <c r="AV55" i="30"/>
  <c r="AX55" i="30" s="1"/>
  <c r="AV51" i="30"/>
  <c r="AX51" i="30" s="1"/>
  <c r="AV43" i="30"/>
  <c r="AX43" i="30" s="1"/>
  <c r="AV37" i="30"/>
  <c r="AX37" i="30" s="1"/>
  <c r="AV33" i="30"/>
  <c r="AX33" i="30" s="1"/>
  <c r="AV29" i="30"/>
  <c r="AX29" i="30" s="1"/>
  <c r="AV25" i="30"/>
  <c r="AX25" i="30" s="1"/>
  <c r="AV21" i="30"/>
  <c r="AX21" i="30" s="1"/>
  <c r="AV17" i="30"/>
  <c r="AX17" i="30" s="1"/>
  <c r="AV13" i="30"/>
  <c r="AX13" i="30" s="1"/>
  <c r="AV7" i="30"/>
  <c r="AX7" i="30" s="1"/>
  <c r="AV120" i="30"/>
  <c r="AX120" i="30" s="1"/>
  <c r="AV116" i="30"/>
  <c r="AX116" i="30" s="1"/>
  <c r="AV112" i="30"/>
  <c r="AX112" i="30" s="1"/>
  <c r="AV108" i="30"/>
  <c r="AX108" i="30" s="1"/>
  <c r="AV104" i="30"/>
  <c r="AX104" i="30" s="1"/>
  <c r="AV100" i="30"/>
  <c r="AX100" i="30" s="1"/>
  <c r="AV96" i="30"/>
  <c r="AX96" i="30" s="1"/>
  <c r="AV92" i="30"/>
  <c r="AX92" i="30" s="1"/>
  <c r="AV88" i="30"/>
  <c r="AX88" i="30" s="1"/>
  <c r="AV84" i="30"/>
  <c r="AX84" i="30" s="1"/>
  <c r="AV80" i="30"/>
  <c r="AX80" i="30" s="1"/>
  <c r="AV76" i="30"/>
  <c r="AX76" i="30" s="1"/>
  <c r="AV72" i="30"/>
  <c r="AX72" i="30" s="1"/>
  <c r="AV66" i="30"/>
  <c r="AX66" i="30" s="1"/>
  <c r="AV62" i="30"/>
  <c r="AX62" i="30" s="1"/>
  <c r="AV58" i="30"/>
  <c r="AX58" i="30" s="1"/>
  <c r="AV54" i="30"/>
  <c r="AX54" i="30" s="1"/>
  <c r="AV50" i="30"/>
  <c r="AX50" i="30" s="1"/>
  <c r="AV44" i="30"/>
  <c r="AX44" i="30" s="1"/>
  <c r="AV40" i="30"/>
  <c r="AX40" i="30" s="1"/>
  <c r="AV36" i="30"/>
  <c r="AX36" i="30" s="1"/>
  <c r="AV32" i="30"/>
  <c r="AX32" i="30" s="1"/>
  <c r="AV28" i="30"/>
  <c r="AX28" i="30" s="1"/>
  <c r="AV24" i="30"/>
  <c r="AX24" i="30" s="1"/>
  <c r="AV20" i="30"/>
  <c r="AX20" i="30" s="1"/>
  <c r="AV16" i="30"/>
  <c r="AX16" i="30" s="1"/>
  <c r="AV12" i="30"/>
  <c r="AX12" i="30" s="1"/>
  <c r="AV8" i="30"/>
  <c r="AX8" i="30" s="1"/>
  <c r="S3" i="30"/>
  <c r="CJ3" i="30" s="1"/>
  <c r="AF157" i="30"/>
  <c r="AF149" i="30"/>
  <c r="AF141" i="30"/>
  <c r="AF133" i="30"/>
  <c r="AF125" i="30"/>
  <c r="AF117" i="30"/>
  <c r="AF109" i="30"/>
  <c r="AF101" i="30"/>
  <c r="AF93" i="30"/>
  <c r="AF85" i="30"/>
  <c r="AF77" i="30"/>
  <c r="AF69" i="30"/>
  <c r="AF57" i="30"/>
  <c r="AF37" i="30"/>
  <c r="AF29" i="30"/>
  <c r="AF21" i="30"/>
  <c r="AN171" i="30"/>
  <c r="AN167" i="30"/>
  <c r="AN163" i="30"/>
  <c r="AN159" i="30"/>
  <c r="AN155" i="30"/>
  <c r="AN151" i="30"/>
  <c r="AN147" i="30"/>
  <c r="AN143" i="30"/>
  <c r="AN139" i="30"/>
  <c r="AN135" i="30"/>
  <c r="AN131" i="30"/>
  <c r="AN127" i="30"/>
  <c r="AN123" i="30"/>
  <c r="AN119" i="30"/>
  <c r="AN115" i="30"/>
  <c r="AN111" i="30"/>
  <c r="AN107" i="30"/>
  <c r="AN103" i="30"/>
  <c r="AN99" i="30"/>
  <c r="AN95" i="30"/>
  <c r="AN91" i="30"/>
  <c r="AN87" i="30"/>
  <c r="AN83" i="30"/>
  <c r="AN79" i="30"/>
  <c r="AN75" i="30"/>
  <c r="AN71" i="30"/>
  <c r="AN67" i="30"/>
  <c r="AN61" i="30"/>
  <c r="AN57" i="30"/>
  <c r="AN53" i="30"/>
  <c r="AN41" i="30"/>
  <c r="AN35" i="30"/>
  <c r="AN27" i="30"/>
  <c r="AN19" i="30"/>
  <c r="AN11" i="30"/>
  <c r="AB168" i="30"/>
  <c r="AB152" i="30"/>
  <c r="AB144" i="30"/>
  <c r="AB136" i="30"/>
  <c r="AB128" i="30"/>
  <c r="AB120" i="30"/>
  <c r="AB112" i="30"/>
  <c r="AB104" i="30"/>
  <c r="AB96" i="30"/>
  <c r="AB88" i="30"/>
  <c r="AB80" i="30"/>
  <c r="AB72" i="30"/>
  <c r="AB62" i="30"/>
  <c r="AB54" i="30"/>
  <c r="AB46" i="30"/>
  <c r="AB38" i="30"/>
  <c r="AB30" i="30"/>
  <c r="AB22" i="30"/>
  <c r="AB14" i="30"/>
  <c r="AD166" i="30"/>
  <c r="AD150" i="30"/>
  <c r="AD134" i="30"/>
  <c r="AD118" i="30"/>
  <c r="AD102" i="30"/>
  <c r="AD86" i="30"/>
  <c r="AD70" i="30"/>
  <c r="AD50" i="30"/>
  <c r="AD34" i="30"/>
  <c r="AD18" i="30"/>
  <c r="Q172" i="30"/>
  <c r="Q170" i="30"/>
  <c r="Q168" i="30"/>
  <c r="Q166" i="30"/>
  <c r="Q164" i="30"/>
  <c r="Q162" i="30"/>
  <c r="Q160" i="30"/>
  <c r="CL160" i="30" s="1"/>
  <c r="Q158" i="30"/>
  <c r="CQ158" i="30" s="1"/>
  <c r="Q156" i="30"/>
  <c r="Q154" i="30"/>
  <c r="Q152" i="30"/>
  <c r="Q150" i="30"/>
  <c r="Q148" i="30"/>
  <c r="Q146" i="30"/>
  <c r="Q144" i="30"/>
  <c r="Q142" i="30"/>
  <c r="Q140" i="30"/>
  <c r="Q138" i="30"/>
  <c r="AF171" i="30"/>
  <c r="AF155" i="30"/>
  <c r="AF123" i="30"/>
  <c r="AF107" i="30"/>
  <c r="AF91" i="30"/>
  <c r="AF75" i="30"/>
  <c r="AF55" i="30"/>
  <c r="AF31" i="30"/>
  <c r="AF15" i="30"/>
  <c r="AN170" i="30"/>
  <c r="AN162" i="30"/>
  <c r="AN154" i="30"/>
  <c r="AN146" i="30"/>
  <c r="AN138" i="30"/>
  <c r="AN130" i="30"/>
  <c r="AN122" i="30"/>
  <c r="AN114" i="30"/>
  <c r="AN106" i="30"/>
  <c r="AN98" i="30"/>
  <c r="AN90" i="30"/>
  <c r="AN82" i="30"/>
  <c r="AN74" i="30"/>
  <c r="AN64" i="30"/>
  <c r="AN56" i="30"/>
  <c r="AN48" i="30"/>
  <c r="AN40" i="30"/>
  <c r="AN32" i="30"/>
  <c r="AN24" i="30"/>
  <c r="AN16" i="30"/>
  <c r="AN8" i="30"/>
  <c r="AB165" i="30"/>
  <c r="AB157" i="30"/>
  <c r="AB149" i="30"/>
  <c r="AB141" i="30"/>
  <c r="AB133" i="30"/>
  <c r="AB125" i="30"/>
  <c r="AB117" i="30"/>
  <c r="AB109" i="30"/>
  <c r="AB101" i="30"/>
  <c r="AB93" i="30"/>
  <c r="AB85" i="30"/>
  <c r="AB77" i="30"/>
  <c r="AB69" i="30"/>
  <c r="AB59" i="30"/>
  <c r="AB37" i="30"/>
  <c r="AB29" i="30"/>
  <c r="AB21" i="30"/>
  <c r="AB13" i="30"/>
  <c r="AD172" i="30"/>
  <c r="AD140" i="30"/>
  <c r="AD124" i="30"/>
  <c r="AD108" i="30"/>
  <c r="AD92" i="30"/>
  <c r="AD76" i="30"/>
  <c r="AD56" i="30"/>
  <c r="AD36" i="30"/>
  <c r="AD20" i="30"/>
  <c r="S172" i="30"/>
  <c r="S170" i="30"/>
  <c r="S168" i="30"/>
  <c r="S166" i="30"/>
  <c r="S164" i="30"/>
  <c r="S162" i="30"/>
  <c r="S160" i="30"/>
  <c r="S158" i="30"/>
  <c r="CJ158" i="30" s="1"/>
  <c r="S156" i="30"/>
  <c r="CJ156" i="30" s="1"/>
  <c r="S154" i="30"/>
  <c r="S152" i="30"/>
  <c r="S150" i="30"/>
  <c r="S148" i="30"/>
  <c r="S146" i="30"/>
  <c r="S144" i="30"/>
  <c r="S142" i="30"/>
  <c r="S140" i="30"/>
  <c r="S138" i="30"/>
  <c r="O136" i="30"/>
  <c r="O134" i="30"/>
  <c r="O132" i="30"/>
  <c r="O130" i="30"/>
  <c r="Q127" i="30"/>
  <c r="Q125" i="30"/>
  <c r="U123" i="30"/>
  <c r="U121" i="30"/>
  <c r="U119" i="30"/>
  <c r="U117" i="30"/>
  <c r="S115" i="30"/>
  <c r="O113" i="30"/>
  <c r="O109" i="30"/>
  <c r="O104" i="30"/>
  <c r="O100" i="30"/>
  <c r="O96" i="30"/>
  <c r="S92" i="30"/>
  <c r="O88" i="30"/>
  <c r="O84" i="30"/>
  <c r="O79" i="30"/>
  <c r="O75" i="30"/>
  <c r="O72" i="30"/>
  <c r="S69" i="30"/>
  <c r="S67" i="30"/>
  <c r="CJ67" i="30" s="1"/>
  <c r="S65" i="30"/>
  <c r="CJ65" i="30" s="1"/>
  <c r="S63" i="30"/>
  <c r="S61" i="30"/>
  <c r="S59" i="30"/>
  <c r="S57" i="30"/>
  <c r="S55" i="30"/>
  <c r="S53" i="30"/>
  <c r="S51" i="30"/>
  <c r="CJ51" i="30" s="1"/>
  <c r="S49" i="30"/>
  <c r="AA49" i="30" s="1"/>
  <c r="S47" i="30"/>
  <c r="CJ47" i="30" s="1"/>
  <c r="S45" i="30"/>
  <c r="CJ45" i="30" s="1"/>
  <c r="S43" i="30"/>
  <c r="S41" i="30"/>
  <c r="S39" i="30"/>
  <c r="S37" i="30"/>
  <c r="S35" i="30"/>
  <c r="S33" i="30"/>
  <c r="S31" i="30"/>
  <c r="O29" i="30"/>
  <c r="O27" i="30"/>
  <c r="O25" i="30"/>
  <c r="O23" i="30"/>
  <c r="O21" i="30"/>
  <c r="O19" i="30"/>
  <c r="O17" i="30"/>
  <c r="O15" i="30"/>
  <c r="O13" i="30"/>
  <c r="CF13" i="30" s="1"/>
  <c r="O11" i="30"/>
  <c r="O9" i="30"/>
  <c r="CF9" i="30" s="1"/>
  <c r="O7" i="30"/>
  <c r="O5" i="30"/>
  <c r="CL168" i="30"/>
  <c r="CL152" i="30"/>
  <c r="CL136" i="30"/>
  <c r="CL120" i="30"/>
  <c r="CL104" i="30"/>
  <c r="CL88" i="30"/>
  <c r="CL72" i="30"/>
  <c r="CL52" i="30"/>
  <c r="CL35" i="30"/>
  <c r="CM3" i="30"/>
  <c r="CM163" i="30"/>
  <c r="CN152" i="30"/>
  <c r="CO141" i="30"/>
  <c r="CM131" i="30"/>
  <c r="CN120" i="30"/>
  <c r="CO109" i="30"/>
  <c r="CM99" i="30"/>
  <c r="CN88" i="30"/>
  <c r="CO77" i="30"/>
  <c r="CM67" i="30"/>
  <c r="CN56" i="30"/>
  <c r="CM43" i="30"/>
  <c r="CN32" i="30"/>
  <c r="CO21" i="30"/>
  <c r="CN8" i="30"/>
  <c r="CI165" i="30"/>
  <c r="CI157" i="30"/>
  <c r="CI149" i="30"/>
  <c r="CI141" i="30"/>
  <c r="Q136" i="30"/>
  <c r="Q134" i="30"/>
  <c r="Q132" i="30"/>
  <c r="Q130" i="30"/>
  <c r="S128" i="30"/>
  <c r="O127" i="30"/>
  <c r="O125" i="30"/>
  <c r="S122" i="30"/>
  <c r="S120" i="30"/>
  <c r="S118" i="30"/>
  <c r="S116" i="30"/>
  <c r="U114" i="30"/>
  <c r="S110" i="30"/>
  <c r="O107" i="30"/>
  <c r="S103" i="30"/>
  <c r="S99" i="30"/>
  <c r="O95" i="30"/>
  <c r="S91" i="30"/>
  <c r="S87" i="30"/>
  <c r="S83" i="30"/>
  <c r="O80" i="30"/>
  <c r="AA80" i="30" s="1"/>
  <c r="S76" i="30"/>
  <c r="S71" i="30"/>
  <c r="T3" i="30"/>
  <c r="CK3" i="30" s="1"/>
  <c r="AF166" i="30"/>
  <c r="AF150" i="30"/>
  <c r="AF142" i="30"/>
  <c r="AF134" i="30"/>
  <c r="AF126" i="30"/>
  <c r="AF118" i="30"/>
  <c r="AF110" i="30"/>
  <c r="AF102" i="30"/>
  <c r="AF94" i="30"/>
  <c r="AF86" i="30"/>
  <c r="AF76" i="30"/>
  <c r="AF64" i="30"/>
  <c r="AF54" i="30"/>
  <c r="AF40" i="30"/>
  <c r="AF32" i="30"/>
  <c r="AF24" i="30"/>
  <c r="AA171" i="30"/>
  <c r="AA167" i="30"/>
  <c r="AA163" i="30"/>
  <c r="AA159" i="30"/>
  <c r="AA155" i="30"/>
  <c r="AA151" i="30"/>
  <c r="AA147" i="30"/>
  <c r="AA143" i="30"/>
  <c r="AA139" i="30"/>
  <c r="AA131" i="30"/>
  <c r="AA127" i="30"/>
  <c r="AA123" i="30"/>
  <c r="AA119" i="30"/>
  <c r="AA115" i="30"/>
  <c r="AA111" i="30"/>
  <c r="AA107" i="30"/>
  <c r="AA103" i="30"/>
  <c r="AA99" i="30"/>
  <c r="AA95" i="30"/>
  <c r="AA91" i="30"/>
  <c r="AA87" i="30"/>
  <c r="AA83" i="30"/>
  <c r="AA78" i="30"/>
  <c r="AA74" i="30"/>
  <c r="AA70" i="30"/>
  <c r="AA61" i="30"/>
  <c r="AA57" i="30"/>
  <c r="AA53" i="30"/>
  <c r="AA45" i="30"/>
  <c r="AA40" i="30"/>
  <c r="AA35" i="30"/>
  <c r="AA31" i="30"/>
  <c r="AA27" i="30"/>
  <c r="AA23" i="30"/>
  <c r="AA19" i="30"/>
  <c r="AA15" i="30"/>
  <c r="AD157" i="30"/>
  <c r="AD149" i="30"/>
  <c r="AD141" i="30"/>
  <c r="AD133" i="30"/>
  <c r="AD125" i="30"/>
  <c r="AD117" i="30"/>
  <c r="AD109" i="30"/>
  <c r="AD101" i="30"/>
  <c r="AD93" i="30"/>
  <c r="AD85" i="30"/>
  <c r="AD77" i="30"/>
  <c r="AD69" i="30"/>
  <c r="AD57" i="30"/>
  <c r="AD35" i="30"/>
  <c r="AD27" i="30"/>
  <c r="AD19" i="30"/>
  <c r="P172" i="30"/>
  <c r="P171" i="30"/>
  <c r="P170" i="30"/>
  <c r="P169" i="30"/>
  <c r="P168" i="30"/>
  <c r="P167" i="30"/>
  <c r="P166" i="30"/>
  <c r="P165" i="30"/>
  <c r="AY165" i="30" s="1"/>
  <c r="P164" i="30"/>
  <c r="P163" i="30"/>
  <c r="P162" i="30"/>
  <c r="P161" i="30"/>
  <c r="P160" i="30"/>
  <c r="P159" i="30"/>
  <c r="P158" i="30"/>
  <c r="CG158" i="30" s="1"/>
  <c r="P157" i="30"/>
  <c r="P156" i="30"/>
  <c r="CG156" i="30" s="1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CG139" i="30" s="1"/>
  <c r="P138" i="30"/>
  <c r="P137" i="30"/>
  <c r="P136" i="30"/>
  <c r="P135" i="30"/>
  <c r="CG135" i="30" s="1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U113" i="30"/>
  <c r="U111" i="30"/>
  <c r="U109" i="30"/>
  <c r="U107" i="30"/>
  <c r="U105" i="30"/>
  <c r="U103" i="30"/>
  <c r="U101" i="30"/>
  <c r="U99" i="30"/>
  <c r="U97" i="30"/>
  <c r="U95" i="30"/>
  <c r="U93" i="30"/>
  <c r="U91" i="30"/>
  <c r="U89" i="30"/>
  <c r="U87" i="30"/>
  <c r="U85" i="30"/>
  <c r="U83" i="30"/>
  <c r="U81" i="30"/>
  <c r="U79" i="30"/>
  <c r="U77" i="30"/>
  <c r="U75" i="30"/>
  <c r="U73" i="30"/>
  <c r="U71" i="30"/>
  <c r="U69" i="30"/>
  <c r="U67" i="30"/>
  <c r="U65" i="30"/>
  <c r="U63" i="30"/>
  <c r="U61" i="30"/>
  <c r="U59" i="30"/>
  <c r="U57" i="30"/>
  <c r="U55" i="30"/>
  <c r="U53" i="30"/>
  <c r="U51" i="30"/>
  <c r="U49" i="30"/>
  <c r="U47" i="30"/>
  <c r="U45" i="30"/>
  <c r="U43" i="30"/>
  <c r="U41" i="30"/>
  <c r="U39" i="30"/>
  <c r="U37" i="30"/>
  <c r="U35" i="30"/>
  <c r="U33" i="30"/>
  <c r="U31" i="30"/>
  <c r="U29" i="30"/>
  <c r="U27" i="30"/>
  <c r="U25" i="30"/>
  <c r="U23" i="30"/>
  <c r="U21" i="30"/>
  <c r="U19" i="30"/>
  <c r="U17" i="30"/>
  <c r="U15" i="30"/>
  <c r="U13" i="30"/>
  <c r="U11" i="30"/>
  <c r="U9" i="30"/>
  <c r="U7" i="30"/>
  <c r="U5" i="30"/>
  <c r="CL170" i="30"/>
  <c r="CL154" i="30"/>
  <c r="CL138" i="30"/>
  <c r="CL122" i="30"/>
  <c r="CL106" i="30"/>
  <c r="CL90" i="30"/>
  <c r="CL74" i="30"/>
  <c r="CL50" i="30"/>
  <c r="CL23" i="30"/>
  <c r="CO169" i="30"/>
  <c r="CM159" i="30"/>
  <c r="CN148" i="30"/>
  <c r="CM127" i="30"/>
  <c r="CN116" i="30"/>
  <c r="CO105" i="30"/>
  <c r="CM95" i="30"/>
  <c r="CN84" i="30"/>
  <c r="CO73" i="30"/>
  <c r="CO57" i="30"/>
  <c r="CO41" i="30"/>
  <c r="CM31" i="30"/>
  <c r="CN20" i="30"/>
  <c r="CI172" i="30"/>
  <c r="CI164" i="30"/>
  <c r="CI156" i="30"/>
  <c r="CI148" i="30"/>
  <c r="CI140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R80" i="30"/>
  <c r="CI80" i="30" s="1"/>
  <c r="R79" i="30"/>
  <c r="R78" i="30"/>
  <c r="R77" i="30"/>
  <c r="R76" i="30"/>
  <c r="R75" i="30"/>
  <c r="R74" i="30"/>
  <c r="R73" i="30"/>
  <c r="R72" i="30"/>
  <c r="R71" i="30"/>
  <c r="R70" i="30"/>
  <c r="R69" i="30"/>
  <c r="P68" i="30"/>
  <c r="CG68" i="30" s="1"/>
  <c r="T66" i="30"/>
  <c r="CK66" i="30" s="1"/>
  <c r="R65" i="30"/>
  <c r="CI65" i="30" s="1"/>
  <c r="R64" i="30"/>
  <c r="R63" i="30"/>
  <c r="P62" i="30"/>
  <c r="CG62" i="30" s="1"/>
  <c r="P61" i="30"/>
  <c r="P60" i="30"/>
  <c r="P59" i="30"/>
  <c r="P58" i="30"/>
  <c r="P57" i="30"/>
  <c r="P56" i="30"/>
  <c r="P55" i="30"/>
  <c r="P54" i="30"/>
  <c r="P52" i="30"/>
  <c r="P50" i="30"/>
  <c r="R47" i="30"/>
  <c r="CI47" i="30" s="1"/>
  <c r="P45" i="30"/>
  <c r="AD45" i="30" s="1"/>
  <c r="AF45" i="30" s="1"/>
  <c r="V42" i="30"/>
  <c r="V40" i="30"/>
  <c r="T38" i="30"/>
  <c r="T36" i="30"/>
  <c r="T34" i="30"/>
  <c r="T32" i="30"/>
  <c r="T30" i="30"/>
  <c r="T28" i="30"/>
  <c r="T26" i="30"/>
  <c r="T24" i="30"/>
  <c r="T22" i="30"/>
  <c r="T20" i="30"/>
  <c r="T18" i="30"/>
  <c r="T16" i="30"/>
  <c r="CK16" i="30" s="1"/>
  <c r="T14" i="30"/>
  <c r="P12" i="30"/>
  <c r="CG12" i="30" s="1"/>
  <c r="T9" i="30"/>
  <c r="CK9" i="30" s="1"/>
  <c r="T7" i="30"/>
  <c r="CK7" i="30" s="1"/>
  <c r="P5" i="30"/>
  <c r="CG5" i="30" s="1"/>
  <c r="CL163" i="30"/>
  <c r="CL147" i="30"/>
  <c r="CL131" i="30"/>
  <c r="CL115" i="30"/>
  <c r="CL99" i="30"/>
  <c r="CL83" i="30"/>
  <c r="CL43" i="30"/>
  <c r="CO171" i="30"/>
  <c r="CM161" i="30"/>
  <c r="CN150" i="30"/>
  <c r="CO139" i="30"/>
  <c r="CM129" i="30"/>
  <c r="CN118" i="30"/>
  <c r="CO107" i="30"/>
  <c r="CM97" i="30"/>
  <c r="CN86" i="30"/>
  <c r="CO75" i="30"/>
  <c r="CM61" i="30"/>
  <c r="CN50" i="30"/>
  <c r="CO35" i="30"/>
  <c r="CM25" i="30"/>
  <c r="CN14" i="30"/>
  <c r="CK170" i="30"/>
  <c r="CK162" i="30"/>
  <c r="CK154" i="30"/>
  <c r="CK146" i="30"/>
  <c r="CL36" i="30"/>
  <c r="CL20" i="30"/>
  <c r="CO170" i="30"/>
  <c r="CN165" i="30"/>
  <c r="CM160" i="30"/>
  <c r="CO154" i="30"/>
  <c r="CN149" i="30"/>
  <c r="CM144" i="30"/>
  <c r="CO138" i="30"/>
  <c r="CN133" i="30"/>
  <c r="CM128" i="30"/>
  <c r="CO122" i="30"/>
  <c r="CN117" i="30"/>
  <c r="CM112" i="30"/>
  <c r="CO106" i="30"/>
  <c r="CN101" i="30"/>
  <c r="CM96" i="30"/>
  <c r="CO90" i="30"/>
  <c r="CN85" i="30"/>
  <c r="CN79" i="30"/>
  <c r="CM74" i="30"/>
  <c r="CM68" i="30"/>
  <c r="CM60" i="30"/>
  <c r="CO54" i="30"/>
  <c r="CM48" i="30"/>
  <c r="CO40" i="30"/>
  <c r="CO34" i="30"/>
  <c r="CN29" i="30"/>
  <c r="CM24" i="30"/>
  <c r="CO18" i="30"/>
  <c r="CM12" i="30"/>
  <c r="CJ172" i="30"/>
  <c r="CJ168" i="30"/>
  <c r="CJ164" i="30"/>
  <c r="CJ160" i="30"/>
  <c r="CJ152" i="30"/>
  <c r="CJ148" i="30"/>
  <c r="CJ144" i="30"/>
  <c r="CJ140" i="30"/>
  <c r="CJ136" i="30"/>
  <c r="CJ132" i="30"/>
  <c r="CJ128" i="30"/>
  <c r="CJ124" i="30"/>
  <c r="CJ120" i="30"/>
  <c r="CJ116" i="30"/>
  <c r="CJ112" i="30"/>
  <c r="CJ108" i="30"/>
  <c r="CJ104" i="30"/>
  <c r="CJ100" i="30"/>
  <c r="CJ96" i="30"/>
  <c r="CJ92" i="30"/>
  <c r="CJ88" i="30"/>
  <c r="CJ84" i="30"/>
  <c r="CH77" i="30"/>
  <c r="CH69" i="30"/>
  <c r="CH56" i="30"/>
  <c r="CH43" i="30"/>
  <c r="CH34" i="30"/>
  <c r="CH26" i="30"/>
  <c r="CK131" i="30"/>
  <c r="CK127" i="30"/>
  <c r="CK123" i="30"/>
  <c r="CK119" i="30"/>
  <c r="CK115" i="30"/>
  <c r="CK111" i="30"/>
  <c r="CK107" i="30"/>
  <c r="CK103" i="30"/>
  <c r="CK99" i="30"/>
  <c r="CK95" i="30"/>
  <c r="CK91" i="30"/>
  <c r="CK87" i="30"/>
  <c r="CK83" i="30"/>
  <c r="CJ75" i="30"/>
  <c r="CJ63" i="30"/>
  <c r="CJ54" i="30"/>
  <c r="CJ40" i="30"/>
  <c r="CH24" i="30"/>
  <c r="CG162" i="30"/>
  <c r="CG98" i="30"/>
  <c r="CG22" i="30"/>
  <c r="CF59" i="30"/>
  <c r="CI77" i="30"/>
  <c r="CI69" i="30"/>
  <c r="CK56" i="30"/>
  <c r="CK43" i="30"/>
  <c r="CK34" i="30"/>
  <c r="CK26" i="30"/>
  <c r="CJ8" i="30"/>
  <c r="CG116" i="30"/>
  <c r="CG36" i="30"/>
  <c r="CF95" i="30"/>
  <c r="CK21" i="30"/>
  <c r="CK11" i="30"/>
  <c r="CG151" i="30"/>
  <c r="CG119" i="30"/>
  <c r="CG87" i="30"/>
  <c r="CG51" i="30"/>
  <c r="CG11" i="30"/>
  <c r="CF113" i="30"/>
  <c r="CF41" i="30"/>
  <c r="CF154" i="30"/>
  <c r="CF122" i="30"/>
  <c r="CF90" i="30"/>
  <c r="CF50" i="30"/>
  <c r="CF8" i="30"/>
  <c r="AM119" i="30"/>
  <c r="AM137" i="30"/>
  <c r="AM166" i="30"/>
  <c r="AM102" i="30"/>
  <c r="AM24" i="30"/>
  <c r="CQ92" i="30"/>
  <c r="CQ15" i="30"/>
  <c r="CQ79" i="30"/>
  <c r="R173" i="30"/>
  <c r="CV87" i="30"/>
  <c r="CV82" i="30"/>
  <c r="AY44" i="30"/>
  <c r="AA68" i="30"/>
  <c r="V68" i="30"/>
  <c r="AM68" i="30"/>
  <c r="CQ68" i="30"/>
  <c r="AY68" i="30"/>
  <c r="AV68" i="30"/>
  <c r="AX68" i="30" s="1"/>
  <c r="AN68" i="30"/>
  <c r="AD68" i="30"/>
  <c r="CL68" i="30"/>
  <c r="AF68" i="30"/>
  <c r="CV68" i="30" s="1"/>
  <c r="CN68" i="30"/>
  <c r="CO68" i="30"/>
  <c r="AV39" i="30"/>
  <c r="AX39" i="30" s="1"/>
  <c r="AA39" i="30"/>
  <c r="AF10" i="30"/>
  <c r="CN10" i="30"/>
  <c r="AM10" i="30"/>
  <c r="CQ10" i="30"/>
  <c r="CV10" i="30"/>
  <c r="AD44" i="30"/>
  <c r="AF44" i="30" s="1"/>
  <c r="CV44" i="30" s="1"/>
  <c r="V47" i="30"/>
  <c r="CV47" i="30"/>
  <c r="AA6" i="30"/>
  <c r="AN39" i="30"/>
  <c r="AA12" i="30"/>
  <c r="V12" i="30"/>
  <c r="CH12" i="30"/>
  <c r="CQ12" i="30"/>
  <c r="AB12" i="30"/>
  <c r="CN12" i="30"/>
  <c r="CL12" i="30"/>
  <c r="CO12" i="30"/>
  <c r="CF12" i="30"/>
  <c r="AA13" i="30"/>
  <c r="CL13" i="30"/>
  <c r="AM13" i="30"/>
  <c r="CO13" i="30"/>
  <c r="AD13" i="30"/>
  <c r="AF13" i="30" s="1"/>
  <c r="CV13" i="30" s="1"/>
  <c r="V13" i="30"/>
  <c r="CN13" i="30"/>
  <c r="CH13" i="30"/>
  <c r="AY4" i="30"/>
  <c r="AV4" i="30"/>
  <c r="AX4" i="30" s="1"/>
  <c r="AB4" i="30"/>
  <c r="AN4" i="30"/>
  <c r="CL4" i="30"/>
  <c r="CQ4" i="30"/>
  <c r="AY3" i="30"/>
  <c r="AV3" i="30"/>
  <c r="AX3" i="30" s="1"/>
  <c r="AN9" i="30"/>
  <c r="AA67" i="30"/>
  <c r="AD67" i="30"/>
  <c r="AF67" i="30" s="1"/>
  <c r="CF67" i="30"/>
  <c r="AM67" i="30"/>
  <c r="V67" i="30"/>
  <c r="CL67" i="30"/>
  <c r="CN67" i="30"/>
  <c r="CH67" i="30"/>
  <c r="AB66" i="30"/>
  <c r="AA66" i="30"/>
  <c r="V66" i="30"/>
  <c r="CN66" i="30"/>
  <c r="CH66" i="30"/>
  <c r="CQ66" i="30"/>
  <c r="CL66" i="30"/>
  <c r="CO66" i="30"/>
  <c r="AD62" i="30"/>
  <c r="AF62" i="30" s="1"/>
  <c r="CQ48" i="30"/>
  <c r="CJ48" i="30"/>
  <c r="CN48" i="30"/>
  <c r="CQ46" i="30"/>
  <c r="AN6" i="30"/>
  <c r="AY39" i="30"/>
  <c r="CO80" i="30"/>
  <c r="CF80" i="30"/>
  <c r="V80" i="30"/>
  <c r="CH80" i="30"/>
  <c r="AM80" i="30"/>
  <c r="CQ39" i="30"/>
  <c r="CQ3" i="30"/>
  <c r="CN5" i="30"/>
  <c r="AY47" i="30"/>
  <c r="AN47" i="30"/>
  <c r="AB47" i="30"/>
  <c r="AN65" i="30"/>
  <c r="AN5" i="30"/>
  <c r="CL62" i="30"/>
  <c r="CN62" i="30"/>
  <c r="CH62" i="30"/>
  <c r="CF62" i="30"/>
  <c r="AM62" i="30"/>
  <c r="CQ62" i="30"/>
  <c r="AA62" i="30"/>
  <c r="AV9" i="30"/>
  <c r="AX9" i="30" s="1"/>
  <c r="AM9" i="30"/>
  <c r="AB5" i="30"/>
  <c r="AA5" i="30"/>
  <c r="AY49" i="30"/>
  <c r="AV49" i="30"/>
  <c r="AX49" i="30" s="1"/>
  <c r="AN49" i="30"/>
  <c r="AB49" i="30"/>
  <c r="AM49" i="30"/>
  <c r="CJ49" i="30"/>
  <c r="AA173" i="30"/>
  <c r="CQ49" i="30"/>
  <c r="AD49" i="30"/>
  <c r="AF49" i="30" s="1"/>
  <c r="CV49" i="30" s="1"/>
  <c r="CO49" i="30"/>
  <c r="CK49" i="30"/>
  <c r="CF49" i="30"/>
  <c r="V49" i="30"/>
  <c r="CL49" i="30"/>
  <c r="CN49" i="30"/>
  <c r="AY48" i="30"/>
  <c r="AV48" i="30"/>
  <c r="AX48" i="30" s="1"/>
  <c r="V48" i="30"/>
  <c r="CO48" i="30"/>
  <c r="CH48" i="30"/>
  <c r="AM48" i="30"/>
  <c r="AA47" i="30"/>
  <c r="AD47" i="30"/>
  <c r="AF47" i="30" s="1"/>
  <c r="CL47" i="30"/>
  <c r="CO47" i="30"/>
  <c r="CN47" i="30"/>
  <c r="CH47" i="30"/>
  <c r="AM47" i="30"/>
  <c r="CQ47" i="30"/>
  <c r="AA46" i="30"/>
  <c r="V46" i="30"/>
  <c r="CO46" i="30"/>
  <c r="CL46" i="30"/>
  <c r="CN46" i="30"/>
  <c r="CH46" i="30"/>
  <c r="AM46" i="30"/>
  <c r="AD39" i="30"/>
  <c r="AF39" i="30" s="1"/>
  <c r="CV39" i="30" s="1"/>
  <c r="V39" i="30"/>
  <c r="CL39" i="30"/>
  <c r="CN39" i="30"/>
  <c r="CH39" i="30"/>
  <c r="CJ39" i="30"/>
  <c r="CF39" i="30"/>
  <c r="AM39" i="30"/>
  <c r="AB3" i="30"/>
  <c r="AD3" i="30"/>
  <c r="AF3" i="30" s="1"/>
  <c r="CV3" i="30" s="1"/>
  <c r="CH3" i="30"/>
  <c r="AM3" i="30"/>
  <c r="AA3" i="30"/>
  <c r="V3" i="30"/>
  <c r="AN3" i="30"/>
  <c r="CL3" i="30"/>
  <c r="CO3" i="30"/>
  <c r="CN3" i="30"/>
  <c r="AD6" i="30"/>
  <c r="AF6" i="30" s="1"/>
  <c r="CV6" i="30" s="1"/>
  <c r="AV6" i="30"/>
  <c r="AX6" i="30" s="1"/>
  <c r="AB6" i="30"/>
  <c r="AY6" i="30"/>
  <c r="CO5" i="30"/>
  <c r="V5" i="30"/>
  <c r="CH5" i="30"/>
  <c r="CF5" i="30"/>
  <c r="CQ5" i="30"/>
  <c r="CL5" i="30"/>
  <c r="AM6" i="30"/>
  <c r="V44" i="30"/>
  <c r="CF44" i="30"/>
  <c r="AA44" i="30"/>
  <c r="V6" i="30"/>
  <c r="CN6" i="30"/>
  <c r="CH6" i="30"/>
  <c r="CQ6" i="30"/>
  <c r="CL6" i="30"/>
  <c r="CO6" i="30"/>
  <c r="CQ9" i="30"/>
  <c r="CG65" i="30"/>
  <c r="CQ65" i="30"/>
  <c r="AB65" i="30"/>
  <c r="AA65" i="30"/>
  <c r="AD65" i="30"/>
  <c r="AF65" i="30" s="1"/>
  <c r="CO65" i="30"/>
  <c r="CL65" i="30"/>
  <c r="CN65" i="30"/>
  <c r="AM65" i="30"/>
  <c r="AV65" i="30"/>
  <c r="AX65" i="30" s="1"/>
  <c r="V65" i="30"/>
  <c r="AA9" i="30"/>
  <c r="AD9" i="30"/>
  <c r="AF9" i="30" s="1"/>
  <c r="CV9" i="30" s="1"/>
  <c r="CO9" i="30"/>
  <c r="V9" i="30"/>
  <c r="CL9" i="30"/>
  <c r="CH9" i="30"/>
  <c r="CN9" i="30"/>
  <c r="CJ4" i="30"/>
  <c r="AM4" i="30"/>
  <c r="AD4" i="30"/>
  <c r="AF4" i="30" s="1"/>
  <c r="CV4" i="30" s="1"/>
  <c r="V4" i="30"/>
  <c r="AA4" i="30"/>
  <c r="CN4" i="30"/>
  <c r="CO4" i="30"/>
  <c r="CL10" i="30"/>
  <c r="CO10" i="30"/>
  <c r="CH10" i="30"/>
  <c r="CJ10" i="30"/>
  <c r="V10" i="30"/>
  <c r="AX5" i="30"/>
  <c r="E21" i="28"/>
  <c r="AH18" i="28"/>
  <c r="AA135" i="30" l="1"/>
  <c r="AD135" i="30"/>
  <c r="AF135" i="30" s="1"/>
  <c r="CV135" i="30" s="1"/>
  <c r="CO135" i="30"/>
  <c r="CI135" i="30"/>
  <c r="AY135" i="30"/>
  <c r="CF135" i="30"/>
  <c r="AM156" i="30"/>
  <c r="CQ156" i="30"/>
  <c r="CO156" i="30"/>
  <c r="V156" i="30"/>
  <c r="AB156" i="30"/>
  <c r="CH156" i="30"/>
  <c r="AD156" i="30"/>
  <c r="AF156" i="30" s="1"/>
  <c r="CV156" i="30" s="1"/>
  <c r="AN156" i="30"/>
  <c r="CF156" i="30"/>
  <c r="AV156" i="30"/>
  <c r="AX156" i="30" s="1"/>
  <c r="CL156" i="30"/>
  <c r="AA156" i="30"/>
  <c r="CN156" i="30"/>
  <c r="CI139" i="30"/>
  <c r="CQ139" i="30"/>
  <c r="CL139" i="30"/>
  <c r="CN139" i="30"/>
  <c r="CF139" i="30"/>
  <c r="AM139" i="30"/>
  <c r="CV139" i="30"/>
  <c r="AY139" i="30"/>
  <c r="AV160" i="30"/>
  <c r="AX160" i="30" s="1"/>
  <c r="AD160" i="30"/>
  <c r="AF160" i="30" s="1"/>
  <c r="CN160" i="30"/>
  <c r="AA160" i="30"/>
  <c r="CV160" i="30"/>
  <c r="AB160" i="30"/>
  <c r="V160" i="30"/>
  <c r="CO160" i="30"/>
  <c r="CH160" i="30"/>
  <c r="CG160" i="30"/>
  <c r="AM160" i="30"/>
  <c r="AN160" i="30"/>
  <c r="CQ160" i="30"/>
  <c r="AA158" i="30"/>
  <c r="CL158" i="30"/>
  <c r="CV158" i="30"/>
  <c r="AN158" i="30"/>
  <c r="AB158" i="30"/>
  <c r="V158" i="30"/>
  <c r="CO158" i="30"/>
  <c r="CH158" i="30"/>
  <c r="CF158" i="30"/>
  <c r="AM158" i="30"/>
  <c r="CN158" i="30"/>
  <c r="AV158" i="30"/>
  <c r="AX158" i="30" s="1"/>
  <c r="CV165" i="30"/>
  <c r="CG165" i="30"/>
  <c r="CQ165" i="30"/>
  <c r="AD165" i="30"/>
  <c r="AF165" i="30" s="1"/>
  <c r="CL165" i="30"/>
  <c r="AV165" i="30"/>
  <c r="AX165" i="30" s="1"/>
  <c r="CO165" i="30"/>
  <c r="CF165" i="30"/>
  <c r="CL151" i="30"/>
  <c r="AV151" i="30"/>
  <c r="AX151" i="30" s="1"/>
  <c r="CI151" i="30"/>
  <c r="AM151" i="30"/>
  <c r="AD151" i="30"/>
  <c r="AF151" i="30" s="1"/>
  <c r="CV151" i="30" s="1"/>
  <c r="CO151" i="30"/>
  <c r="V151" i="30"/>
  <c r="CN151" i="30"/>
  <c r="CO137" i="30"/>
  <c r="CN137" i="30"/>
  <c r="AD137" i="30"/>
  <c r="AF137" i="30" s="1"/>
  <c r="CV137" i="30" s="1"/>
  <c r="CQ137" i="30"/>
  <c r="AA137" i="30"/>
  <c r="CL137" i="30"/>
  <c r="V137" i="30"/>
  <c r="CG137" i="30"/>
  <c r="CO7" i="30"/>
  <c r="AF16" i="30"/>
  <c r="CN16" i="30"/>
  <c r="AA16" i="30"/>
  <c r="CG16" i="30"/>
  <c r="CV16" i="30"/>
  <c r="CH16" i="30"/>
  <c r="CL16" i="30"/>
  <c r="V16" i="30"/>
  <c r="AM16" i="30"/>
  <c r="CQ16" i="30"/>
  <c r="AM51" i="30"/>
  <c r="AB51" i="30"/>
  <c r="AD7" i="30"/>
  <c r="AF7" i="30" s="1"/>
  <c r="CV7" i="30" s="1"/>
  <c r="AM7" i="30"/>
  <c r="AA7" i="30"/>
  <c r="V7" i="30"/>
  <c r="CN7" i="30"/>
  <c r="CQ7" i="30"/>
  <c r="CL7" i="30"/>
  <c r="CH7" i="30"/>
  <c r="CF7" i="30"/>
  <c r="CI7" i="30"/>
  <c r="AV63" i="30"/>
  <c r="AX63" i="30" s="1"/>
  <c r="AD63" i="30"/>
  <c r="AF63" i="30" s="1"/>
  <c r="CV63" i="30" s="1"/>
  <c r="CH63" i="30"/>
  <c r="CF63" i="30"/>
  <c r="CO63" i="30"/>
  <c r="CI63" i="30"/>
  <c r="AM63" i="30"/>
  <c r="CL63" i="30"/>
  <c r="AA63" i="30"/>
  <c r="AB63" i="30"/>
  <c r="AN63" i="30"/>
  <c r="CQ63" i="30"/>
  <c r="V63" i="30"/>
  <c r="AD51" i="30"/>
  <c r="AF51" i="30" s="1"/>
  <c r="CV51" i="30" s="1"/>
  <c r="CO51" i="30"/>
  <c r="CF51" i="30"/>
  <c r="AA51" i="30"/>
  <c r="CL51" i="30"/>
  <c r="V51" i="30"/>
  <c r="CN51" i="30"/>
  <c r="CQ51" i="30"/>
  <c r="AN51" i="30"/>
  <c r="CO42" i="30"/>
  <c r="CF42" i="30"/>
  <c r="AM42" i="30"/>
  <c r="AY42" i="30"/>
  <c r="AA42" i="30"/>
  <c r="CL42" i="30"/>
  <c r="CH42" i="30"/>
  <c r="CQ42" i="30"/>
  <c r="CN42" i="30"/>
  <c r="AD42" i="30"/>
  <c r="AF42" i="30" s="1"/>
  <c r="CV42" i="30" s="1"/>
  <c r="CQ40" i="30"/>
  <c r="AM12" i="30"/>
  <c r="AN12" i="30"/>
  <c r="AD12" i="30"/>
  <c r="AF12" i="30" s="1"/>
  <c r="CV12" i="30" s="1"/>
  <c r="AM40" i="30"/>
  <c r="CH40" i="30"/>
  <c r="CV40" i="30"/>
  <c r="AN45" i="30"/>
  <c r="AY45" i="30"/>
  <c r="AV45" i="30"/>
  <c r="AX45" i="30" s="1"/>
  <c r="CN45" i="30"/>
  <c r="CL45" i="30"/>
  <c r="CH45" i="30"/>
  <c r="CG45" i="30"/>
  <c r="CQ45" i="30"/>
  <c r="AM45" i="30"/>
  <c r="CV45" i="30"/>
  <c r="CO45" i="30"/>
  <c r="V45" i="30"/>
  <c r="AN44" i="30"/>
  <c r="CL44" i="30"/>
  <c r="AZ185" i="30"/>
  <c r="AM44" i="30"/>
  <c r="CH44" i="30"/>
  <c r="CN44" i="30"/>
  <c r="CQ44" i="30"/>
  <c r="AB44" i="30"/>
  <c r="AY185" i="30"/>
  <c r="AM5" i="30"/>
  <c r="AD5" i="30"/>
  <c r="AF5" i="30" s="1"/>
  <c r="CV5" i="30" s="1"/>
  <c r="CU123" i="30"/>
  <c r="CU97" i="30"/>
  <c r="CU83" i="30"/>
  <c r="CU58" i="30"/>
  <c r="CU41" i="30"/>
  <c r="A3" i="34"/>
  <c r="CS12" i="30"/>
  <c r="CU160" i="30" l="1"/>
  <c r="CU146" i="30"/>
  <c r="CU86" i="30"/>
  <c r="CU118" i="30"/>
  <c r="CU79" i="30"/>
  <c r="CU169" i="30"/>
  <c r="CU72" i="30"/>
  <c r="CU53" i="30"/>
  <c r="CU60" i="30"/>
  <c r="CU165" i="30"/>
  <c r="CU23" i="30"/>
  <c r="CU127" i="30"/>
  <c r="CU16" i="30"/>
  <c r="CU144" i="30"/>
  <c r="CU172" i="30"/>
  <c r="CU155" i="30"/>
  <c r="CU50" i="30"/>
  <c r="CU62" i="30"/>
  <c r="CU171" i="30"/>
  <c r="CU105" i="30"/>
  <c r="CU126" i="30"/>
  <c r="CU39" i="30"/>
  <c r="CU125" i="30"/>
  <c r="CU102" i="30"/>
  <c r="CU61" i="30"/>
  <c r="CU80" i="30"/>
  <c r="CU147" i="30"/>
  <c r="CU98" i="30"/>
  <c r="CU14" i="30"/>
  <c r="CU33" i="30"/>
  <c r="CU52" i="30"/>
  <c r="CU119" i="30"/>
  <c r="CU42" i="30"/>
  <c r="CU67" i="30"/>
  <c r="CU153" i="30"/>
  <c r="CU8" i="30"/>
  <c r="CU138" i="30"/>
  <c r="CU148" i="30"/>
  <c r="CU95" i="30"/>
  <c r="CU75" i="30"/>
  <c r="CU73" i="30"/>
  <c r="CU28" i="30"/>
  <c r="CU92" i="30"/>
  <c r="CU158" i="30"/>
  <c r="CU159" i="30"/>
  <c r="CU103" i="30"/>
  <c r="CU124" i="30"/>
  <c r="CU19" i="30"/>
  <c r="CU38" i="30"/>
  <c r="CU168" i="30"/>
  <c r="CU29" i="30"/>
  <c r="CU93" i="30"/>
  <c r="CU48" i="30"/>
  <c r="CU114" i="30"/>
  <c r="CU115" i="30"/>
  <c r="CU15" i="30"/>
  <c r="CU34" i="30"/>
  <c r="CU164" i="30"/>
  <c r="CU59" i="30"/>
  <c r="CU78" i="30"/>
  <c r="CU145" i="30"/>
  <c r="CU65" i="30"/>
  <c r="CU20" i="30"/>
  <c r="CU84" i="30"/>
  <c r="CU150" i="30"/>
  <c r="CU151" i="30"/>
  <c r="CU87" i="30"/>
  <c r="CU106" i="30"/>
  <c r="CU3" i="30"/>
  <c r="CU22" i="30"/>
  <c r="CU152" i="30"/>
  <c r="CU21" i="30"/>
  <c r="CU85" i="30"/>
  <c r="CU40" i="30"/>
  <c r="CU104" i="30"/>
  <c r="CU170" i="30"/>
  <c r="CU18" i="30"/>
  <c r="CU43" i="30"/>
  <c r="CU129" i="30"/>
  <c r="CU11" i="30"/>
  <c r="CU117" i="30"/>
  <c r="CU25" i="30"/>
  <c r="CU57" i="30"/>
  <c r="CU89" i="30"/>
  <c r="CU12" i="30"/>
  <c r="CU44" i="30"/>
  <c r="CU76" i="30"/>
  <c r="CU108" i="30"/>
  <c r="CU142" i="30"/>
  <c r="CU110" i="30"/>
  <c r="CU143" i="30"/>
  <c r="CU7" i="30"/>
  <c r="CU71" i="30"/>
  <c r="CU26" i="30"/>
  <c r="CU90" i="30"/>
  <c r="CU156" i="30"/>
  <c r="CU157" i="30"/>
  <c r="CU51" i="30"/>
  <c r="CU6" i="30"/>
  <c r="CU70" i="30"/>
  <c r="CU136" i="30"/>
  <c r="CU137" i="30"/>
  <c r="CU13" i="30"/>
  <c r="CU45" i="30"/>
  <c r="CU77" i="30"/>
  <c r="CU109" i="30"/>
  <c r="CU32" i="30"/>
  <c r="CU64" i="30"/>
  <c r="CU96" i="30"/>
  <c r="CU130" i="30"/>
  <c r="CU162" i="30"/>
  <c r="CU131" i="30"/>
  <c r="CU163" i="30"/>
  <c r="CU47" i="30"/>
  <c r="CU111" i="30"/>
  <c r="CU66" i="30"/>
  <c r="CU132" i="30"/>
  <c r="CU133" i="30"/>
  <c r="CU27" i="30"/>
  <c r="CU91" i="30"/>
  <c r="CU46" i="30"/>
  <c r="CU112" i="30"/>
  <c r="CU113" i="30"/>
  <c r="CU17" i="30"/>
  <c r="CU49" i="30"/>
  <c r="CU81" i="30"/>
  <c r="CU4" i="30"/>
  <c r="CU36" i="30"/>
  <c r="CU68" i="30"/>
  <c r="CU100" i="30"/>
  <c r="CU134" i="30"/>
  <c r="CU166" i="30"/>
  <c r="CU135" i="30"/>
  <c r="CU167" i="30"/>
  <c r="CU55" i="30"/>
  <c r="CU10" i="30"/>
  <c r="CU74" i="30"/>
  <c r="CU140" i="30"/>
  <c r="CU141" i="30"/>
  <c r="CU35" i="30"/>
  <c r="CU99" i="30"/>
  <c r="CU54" i="30"/>
  <c r="CU120" i="30"/>
  <c r="CU121" i="30"/>
  <c r="CU5" i="30"/>
  <c r="CU37" i="30"/>
  <c r="CU69" i="30"/>
  <c r="CU101" i="30"/>
  <c r="CU24" i="30"/>
  <c r="CU56" i="30"/>
  <c r="CU88" i="30"/>
  <c r="CU122" i="30"/>
  <c r="CU154" i="30"/>
  <c r="CU139" i="30"/>
  <c r="CU63" i="30"/>
  <c r="CU82" i="30"/>
  <c r="CU149" i="30"/>
  <c r="CU107" i="30"/>
  <c r="CU128" i="30"/>
  <c r="CU9" i="30"/>
  <c r="CU116" i="30"/>
  <c r="CU30" i="30"/>
  <c r="CU31" i="30"/>
  <c r="CU94" i="30"/>
  <c r="CU161" i="30"/>
  <c r="CS11" i="30"/>
  <c r="CS10" i="30"/>
  <c r="AD17" i="28"/>
  <c r="AC18" i="28" l="1"/>
  <c r="AD18" i="28" s="1"/>
  <c r="E20" i="28" l="1"/>
  <c r="C22" i="28" s="1"/>
</calcChain>
</file>

<file path=xl/sharedStrings.xml><?xml version="1.0" encoding="utf-8"?>
<sst xmlns="http://schemas.openxmlformats.org/spreadsheetml/2006/main" count="6367" uniqueCount="891">
  <si>
    <t>ANODA</t>
  </si>
  <si>
    <t>KATODA</t>
  </si>
  <si>
    <t>C</t>
  </si>
  <si>
    <t>Cu</t>
  </si>
  <si>
    <t>ELEKTROLIT</t>
  </si>
  <si>
    <t>HCl</t>
  </si>
  <si>
    <t>H2SO4</t>
  </si>
  <si>
    <t>NaOH</t>
  </si>
  <si>
    <t>NaCl</t>
  </si>
  <si>
    <t>CuSO4</t>
  </si>
  <si>
    <t>ZnO</t>
  </si>
  <si>
    <t>CdO</t>
  </si>
  <si>
    <t xml:space="preserve"> </t>
  </si>
  <si>
    <t>MgO</t>
  </si>
  <si>
    <t>SAMPEL</t>
  </si>
  <si>
    <t>Cl2</t>
  </si>
  <si>
    <t>O2</t>
  </si>
  <si>
    <t>Cu2+</t>
  </si>
  <si>
    <t>H2</t>
  </si>
  <si>
    <t>NO</t>
  </si>
  <si>
    <t>L</t>
  </si>
  <si>
    <t>*</t>
  </si>
  <si>
    <t xml:space="preserve"> D</t>
  </si>
  <si>
    <t>A</t>
  </si>
  <si>
    <t>K</t>
  </si>
  <si>
    <t>O</t>
  </si>
  <si>
    <t>o</t>
  </si>
  <si>
    <t>Na</t>
  </si>
  <si>
    <t>Mg</t>
  </si>
  <si>
    <t>Cr</t>
  </si>
  <si>
    <t>Zn</t>
  </si>
  <si>
    <t>Cd</t>
  </si>
  <si>
    <t>Al</t>
  </si>
  <si>
    <t>Pt</t>
  </si>
  <si>
    <t>NaCl(aq)</t>
  </si>
  <si>
    <t>CuSO4(aq)</t>
  </si>
  <si>
    <t>H2SO4(aq)</t>
  </si>
  <si>
    <t>Zn(OH)2(aq)</t>
  </si>
  <si>
    <t>NaCl(l)</t>
  </si>
  <si>
    <t>ELEKTRODA</t>
  </si>
  <si>
    <t>Ag2O(l)</t>
  </si>
  <si>
    <t>NaNO3(aq)</t>
  </si>
  <si>
    <t>NiSO4(aq)</t>
  </si>
  <si>
    <t>HCl(aq)</t>
  </si>
  <si>
    <t>Ag</t>
  </si>
  <si>
    <t>KCl(aq)</t>
  </si>
  <si>
    <t>AgNO3(aq)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</si>
  <si>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-1,23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</si>
  <si>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-0,83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</si>
  <si>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0,00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</si>
  <si>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</si>
  <si>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-0,40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</si>
  <si>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-1,36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</si>
  <si>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+0,34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</si>
  <si>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-0,34 V</t>
    </r>
  </si>
  <si>
    <t>H</t>
  </si>
  <si>
    <t>I</t>
  </si>
  <si>
    <t>CaCl2(aq)</t>
  </si>
  <si>
    <t>TEORI</t>
  </si>
  <si>
    <t>HITUNG</t>
  </si>
  <si>
    <t>Ni</t>
  </si>
  <si>
    <t>Ca</t>
  </si>
  <si>
    <t>Cl</t>
  </si>
  <si>
    <t>NO3</t>
  </si>
  <si>
    <t>SO4</t>
  </si>
  <si>
    <t>OH</t>
  </si>
  <si>
    <t>Ari Harnanto</t>
  </si>
  <si>
    <t>Co(NO3)2</t>
  </si>
  <si>
    <t>Co</t>
  </si>
  <si>
    <t>Budi Utami</t>
  </si>
  <si>
    <t>Budi</t>
  </si>
  <si>
    <t>Utami</t>
  </si>
  <si>
    <t>KI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</si>
  <si>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-0,54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</si>
  <si>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-2,92  V</t>
    </r>
  </si>
  <si>
    <r>
      <rPr>
        <sz val="11"/>
        <color theme="1"/>
        <rFont val="Symbol"/>
        <family val="1"/>
        <charset val="2"/>
      </rPr>
      <t xml:space="preserve">®   </t>
    </r>
    <r>
      <rPr>
        <sz val="11"/>
        <color theme="1"/>
        <rFont val="Calibri"/>
        <family val="2"/>
        <scheme val="minor"/>
      </rP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</si>
  <si>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</si>
  <si>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</si>
  <si>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-1,08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</si>
  <si>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-2,87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</si>
  <si>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-2,87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</si>
  <si>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-1,66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</si>
  <si>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-1,18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</si>
  <si>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</si>
  <si>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-2,90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</si>
  <si>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-2,89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</si>
  <si>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+0,80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</si>
  <si>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</si>
  <si>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-0,76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</si>
  <si>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</si>
  <si>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-0,14 V</t>
    </r>
  </si>
  <si>
    <t>AgNO3</t>
  </si>
  <si>
    <t>FePO4</t>
  </si>
  <si>
    <t>NiSO4</t>
  </si>
  <si>
    <t>Sn(NO3)2</t>
  </si>
  <si>
    <t>Ni(OH)2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</si>
  <si>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+0,77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</si>
  <si>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</si>
  <si>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-0,40 V</t>
    </r>
  </si>
  <si>
    <t>HBr</t>
  </si>
  <si>
    <t>HI</t>
  </si>
  <si>
    <t>HNO3</t>
  </si>
  <si>
    <t>HF</t>
  </si>
  <si>
    <t>KCl</t>
  </si>
  <si>
    <t>NaI</t>
  </si>
  <si>
    <t>KOH</t>
  </si>
  <si>
    <t>AgCl</t>
  </si>
  <si>
    <t>Cu(s)</t>
  </si>
  <si>
    <t>Na(s)</t>
  </si>
  <si>
    <t>Mg(s)</t>
  </si>
  <si>
    <t>Cr(s)</t>
  </si>
  <si>
    <t>Zn(s)</t>
  </si>
  <si>
    <t>Ag(s)</t>
  </si>
  <si>
    <t>Cd(s)</t>
  </si>
  <si>
    <t>Al(s)</t>
  </si>
  <si>
    <t>Ni(s)</t>
  </si>
  <si>
    <t>Pb(s)</t>
  </si>
  <si>
    <t>Sn(s)</t>
  </si>
  <si>
    <t>Fe(s)</t>
  </si>
  <si>
    <t>Co(s)</t>
  </si>
  <si>
    <t>[H+] =</t>
  </si>
  <si>
    <t>[OH-] =</t>
  </si>
  <si>
    <t>Wening</t>
  </si>
  <si>
    <t>Br</t>
  </si>
  <si>
    <t>PO4</t>
  </si>
  <si>
    <t>Sr</t>
  </si>
  <si>
    <t>Ba</t>
  </si>
  <si>
    <t>Mn</t>
  </si>
  <si>
    <t>Fe</t>
  </si>
  <si>
    <t>Pb</t>
  </si>
  <si>
    <t>Sn</t>
  </si>
  <si>
    <t>NaBr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</si>
  <si>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</si>
  <si>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t>E0 H2O = -1,23 V</t>
  </si>
  <si>
    <t>E0 Cl- = -1,36 V</t>
  </si>
  <si>
    <t>E0 H2O = -0,83 V</t>
  </si>
  <si>
    <r>
      <t>E0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</si>
  <si>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</si>
  <si>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</si>
  <si>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</si>
  <si>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</si>
  <si>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</si>
  <si>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</si>
  <si>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-2,38  V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</si>
  <si>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</si>
  <si>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</si>
  <si>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</si>
  <si>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</si>
  <si>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</si>
  <si>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</si>
  <si>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</si>
  <si>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</si>
  <si>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</si>
  <si>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</si>
  <si>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Cr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</si>
  <si>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</si>
  <si>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</si>
  <si>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</si>
  <si>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</si>
  <si>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</si>
  <si>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</si>
  <si>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</si>
  <si>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</si>
  <si>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</si>
  <si>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</si>
  <si>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</si>
  <si>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</si>
  <si>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</si>
  <si>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</si>
  <si>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</si>
  <si>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</si>
  <si>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MgCl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</si>
  <si>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CrCl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</si>
  <si>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</si>
  <si>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MgO(l)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</si>
  <si>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Ag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</si>
  <si>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CdO(l)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</si>
  <si>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</si>
  <si>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ZnO(l)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</si>
  <si>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HBr(aq)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</si>
  <si>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HI(aq)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</si>
  <si>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HNO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</si>
  <si>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</si>
  <si>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HF(aq)</t>
    </r>
  </si>
  <si>
    <r>
      <rPr>
        <b/>
        <sz val="11"/>
        <color rgb="FFFF0000"/>
        <rFont val="Calibri"/>
        <family val="2"/>
      </rPr>
      <t xml:space="preserve">   KCl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</si>
  <si>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NaBr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</si>
  <si>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</si>
  <si>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</si>
  <si>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</si>
  <si>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</si>
  <si>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</si>
  <si>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</si>
  <si>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</si>
  <si>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</si>
  <si>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</si>
  <si>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</si>
  <si>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KOH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</si>
  <si>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</si>
  <si>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Sr(OH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</si>
  <si>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Ba(OH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</si>
  <si>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</si>
  <si>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</si>
  <si>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</si>
  <si>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NiBr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</si>
  <si>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CuI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</si>
  <si>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</si>
  <si>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CrCl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</si>
  <si>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</si>
  <si>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</si>
  <si>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FePO</t>
    </r>
    <r>
      <rPr>
        <b/>
        <vertAlign val="subscript"/>
        <sz val="11"/>
        <color rgb="FFFF0000"/>
        <rFont val="Calibri"/>
        <family val="2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</si>
  <si>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</si>
  <si>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</si>
  <si>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</si>
  <si>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</si>
  <si>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</si>
  <si>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</si>
  <si>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</si>
  <si>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Pb(OH)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</si>
  <si>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Cd(OH)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</si>
  <si>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HCl(aq)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</si>
  <si>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</si>
  <si>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KI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</si>
  <si>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</si>
  <si>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NaOH(aq)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</si>
  <si>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</si>
  <si>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</si>
  <si>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</t>
    </r>
    <r>
      <rPr>
        <b/>
        <sz val="11"/>
        <color rgb="FFFF0000"/>
        <rFont val="Calibri"/>
        <family val="2"/>
        <scheme val="minor"/>
      </rPr>
      <t>u(OH)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</si>
  <si>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</si>
  <si>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t>netral</t>
  </si>
  <si>
    <t>basa</t>
  </si>
  <si>
    <t>asam</t>
  </si>
  <si>
    <t>ZnSO4</t>
  </si>
  <si>
    <r>
      <rPr>
        <b/>
        <sz val="11"/>
        <color rgb="FFFF0000"/>
        <rFont val="Calibri"/>
        <family val="2"/>
      </rPr>
      <t xml:space="preserve">  ZnSO4</t>
    </r>
    <r>
      <rPr>
        <b/>
        <sz val="11"/>
        <color rgb="FFFF0000"/>
        <rFont val="Calibri"/>
        <family val="2"/>
        <scheme val="minor"/>
      </rPr>
      <t>(aq)</t>
    </r>
  </si>
  <si>
    <r>
      <t xml:space="preserve">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</si>
  <si>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</si>
  <si>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</si>
  <si>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maks</t>
    </r>
  </si>
  <si>
    <t>https://tanya-tanya.com/contoh-soal-pembahasan-elektrolisis-hukum-faraday-bagian-ii/</t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</si>
  <si>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</si>
  <si>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</t>
    </r>
    <r>
      <rPr>
        <sz val="11"/>
        <color rgb="FF0070C0"/>
        <rFont val="Symbol"/>
        <family val="1"/>
        <charset val="2"/>
      </rPr>
      <t xml:space="preserve"> </t>
    </r>
  </si>
  <si>
    <t>IONISASI</t>
  </si>
  <si>
    <t>→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</si>
  <si>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</si>
  <si>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t>pH</t>
  </si>
  <si>
    <t>V</t>
  </si>
  <si>
    <t>n</t>
  </si>
  <si>
    <t>t (s)</t>
  </si>
  <si>
    <t>[H+]</t>
  </si>
  <si>
    <t>M</t>
  </si>
  <si>
    <t>[HNO3]</t>
  </si>
  <si>
    <t>i</t>
  </si>
  <si>
    <t>39. Elektrolisis lar. HNO3 0,1M</t>
  </si>
  <si>
    <t>6. Elektrolisis lar. NaOH 0,1M</t>
  </si>
  <si>
    <t>OK</t>
  </si>
  <si>
    <t>F</t>
  </si>
  <si>
    <t>D</t>
  </si>
  <si>
    <t>E</t>
  </si>
  <si>
    <t>G</t>
  </si>
  <si>
    <t>c) Waktu maks =</t>
  </si>
  <si>
    <t>d) Quantitas =</t>
  </si>
  <si>
    <t xml:space="preserve">h) pH larutan = </t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</si>
  <si>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</si>
  <si>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</si>
  <si>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t>n Cu = 2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</si>
  <si>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</si>
  <si>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</si>
  <si>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32</t>
    </r>
  </si>
  <si>
    <r>
      <t>n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</si>
  <si>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253.8</t>
    </r>
  </si>
  <si>
    <r>
      <t>n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</si>
  <si>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</si>
  <si>
    <r>
      <t>n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</si>
  <si>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</si>
  <si>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g) [H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 =</t>
    </r>
  </si>
  <si>
    <t>g) Kw =</t>
  </si>
  <si>
    <r>
      <t>g) [OH</t>
    </r>
    <r>
      <rPr>
        <vertAlign val="superscript"/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2"/>
        <scheme val="minor"/>
      </rPr>
      <t>] =</t>
    </r>
  </si>
  <si>
    <r>
      <t>a)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</si>
  <si>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</si>
  <si>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</si>
  <si>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</si>
  <si>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</si>
  <si>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71</t>
    </r>
  </si>
  <si>
    <t>g</t>
  </si>
  <si>
    <t>s</t>
  </si>
  <si>
    <t>%</t>
  </si>
  <si>
    <t>REAKSI BERSIH</t>
  </si>
  <si>
    <t>t</t>
  </si>
  <si>
    <t>T</t>
  </si>
  <si>
    <t>P</t>
  </si>
  <si>
    <t>WAKTU</t>
  </si>
  <si>
    <t>QUANT</t>
  </si>
  <si>
    <t>Vol</t>
  </si>
  <si>
    <t>Laju</t>
  </si>
  <si>
    <t>laju</t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</si>
  <si>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</si>
  <si>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</si>
  <si>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Massa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</si>
  <si>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Na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</si>
  <si>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Mg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</si>
  <si>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</si>
  <si>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</si>
  <si>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</si>
  <si>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</si>
  <si>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Al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</si>
  <si>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</si>
  <si>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</si>
  <si>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</si>
  <si>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Kons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</si>
  <si>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Massa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</si>
  <si>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</si>
  <si>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i/>
        <vertAlign val="super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</si>
  <si>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</si>
  <si>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</si>
  <si>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</si>
  <si>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</si>
  <si>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</si>
  <si>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</si>
  <si>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</si>
  <si>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</si>
  <si>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e) Laju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</si>
  <si>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Ag</t>
    </r>
    <r>
      <rPr>
        <i/>
        <sz val="10"/>
        <color theme="1"/>
        <rFont val="Calibri"/>
        <family val="2"/>
        <scheme val="minor"/>
      </rPr>
      <t>(s) =</t>
    </r>
  </si>
  <si>
    <r>
      <t>e) Laju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</si>
  <si>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</si>
  <si>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</si>
  <si>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</si>
  <si>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</si>
  <si>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f) Laju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</si>
  <si>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</si>
  <si>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</si>
  <si>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</si>
  <si>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</si>
  <si>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</si>
  <si>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Na = 22.99</t>
    </r>
    <r>
      <rPr>
        <sz val="11"/>
        <color theme="1"/>
        <rFont val="Calibri"/>
        <family val="2"/>
        <scheme val="minor"/>
      </rPr>
      <t/>
    </r>
  </si>
  <si>
    <t>n Na = 1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</si>
  <si>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159.8</t>
    </r>
  </si>
  <si>
    <r>
      <t>n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</si>
  <si>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</si>
  <si>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  <r>
      <rPr>
        <sz val="11"/>
        <color theme="1"/>
        <rFont val="Calibri"/>
        <family val="2"/>
        <scheme val="minor"/>
      </rPr>
      <t/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</si>
  <si>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</si>
  <si>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</si>
  <si>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</si>
  <si>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</si>
  <si>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</si>
  <si>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Mg = 24.31</t>
    </r>
    <r>
      <rPr>
        <sz val="11"/>
        <color theme="1"/>
        <rFont val="Calibri"/>
        <family val="2"/>
        <scheme val="minor"/>
      </rPr>
      <t/>
    </r>
  </si>
  <si>
    <t>n Mg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</si>
  <si>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Zn = 65.39</t>
    </r>
    <r>
      <rPr>
        <sz val="11"/>
        <color theme="1"/>
        <rFont val="Calibri"/>
        <family val="2"/>
        <scheme val="minor"/>
      </rPr>
      <t/>
    </r>
  </si>
  <si>
    <t>n Zn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</si>
  <si>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Sn = 118.7</t>
    </r>
    <r>
      <rPr>
        <sz val="11"/>
        <color theme="1"/>
        <rFont val="Calibri"/>
        <family val="2"/>
        <scheme val="minor"/>
      </rPr>
      <t/>
    </r>
  </si>
  <si>
    <t>n Sn = 2</t>
  </si>
  <si>
    <r>
      <t>n Cu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</si>
  <si>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Cd = 112.4</t>
    </r>
  </si>
  <si>
    <t>n Cd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</si>
  <si>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Cr = 52</t>
    </r>
  </si>
  <si>
    <t>n Cr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</si>
  <si>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</si>
  <si>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t>n Ag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</si>
  <si>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Al = 26.98</t>
    </r>
    <r>
      <rPr>
        <sz val="11"/>
        <color theme="1"/>
        <rFont val="Calibri"/>
        <family val="2"/>
        <scheme val="minor"/>
      </rPr>
      <t/>
    </r>
  </si>
  <si>
    <t>n Al = 3</t>
  </si>
  <si>
    <t>n Ag = 1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</si>
  <si>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Ni = 58.69</t>
    </r>
    <r>
      <rPr>
        <sz val="11"/>
        <color theme="1"/>
        <rFont val="Calibri"/>
        <family val="2"/>
        <scheme val="minor"/>
      </rPr>
      <t/>
    </r>
  </si>
  <si>
    <t>n Ni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</si>
  <si>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Fe = 55.85</t>
    </r>
  </si>
  <si>
    <t>n Fe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</si>
  <si>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Co = 58.93</t>
    </r>
  </si>
  <si>
    <t>n Co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</si>
  <si>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Pb = 207.2</t>
    </r>
    <r>
      <rPr>
        <sz val="11"/>
        <color theme="1"/>
        <rFont val="Calibri"/>
        <family val="2"/>
        <scheme val="minor"/>
      </rPr>
      <t/>
    </r>
  </si>
  <si>
    <t>n Pb = 2</t>
  </si>
  <si>
    <r>
      <t>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F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</si>
  <si>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t>Kw =</t>
  </si>
  <si>
    <r>
      <t>g) [Zn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</si>
  <si>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[Sn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</si>
  <si>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[Co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</si>
  <si>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[Ni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</si>
  <si>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[Pb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</si>
  <si>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[Cd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</si>
  <si>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</si>
  <si>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</si>
  <si>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</si>
  <si>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</si>
  <si>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e) Laju Ni(s) =</t>
  </si>
  <si>
    <t>e) Laju Zn(s) =</t>
  </si>
  <si>
    <t>e) Laju Sn(s) =</t>
  </si>
  <si>
    <t>e) Laju Co(s) =</t>
  </si>
  <si>
    <r>
      <t>e) Laju Ni</t>
    </r>
    <r>
      <rPr>
        <i/>
        <sz val="10"/>
        <color theme="1"/>
        <rFont val="Calibri"/>
        <family val="2"/>
        <scheme val="minor"/>
      </rPr>
      <t>(s) =</t>
    </r>
  </si>
  <si>
    <r>
      <t>e) Laju Cu</t>
    </r>
    <r>
      <rPr>
        <i/>
        <sz val="10"/>
        <color theme="1"/>
        <rFont val="Calibri"/>
        <family val="2"/>
        <scheme val="minor"/>
      </rPr>
      <t>(s) =</t>
    </r>
  </si>
  <si>
    <r>
      <t>e) Laju Zn</t>
    </r>
    <r>
      <rPr>
        <i/>
        <sz val="10"/>
        <color theme="1"/>
        <rFont val="Calibri"/>
        <family val="2"/>
        <scheme val="minor"/>
      </rPr>
      <t>(s) =</t>
    </r>
  </si>
  <si>
    <r>
      <t>e) Laju Cr</t>
    </r>
    <r>
      <rPr>
        <i/>
        <sz val="10"/>
        <color theme="1"/>
        <rFont val="Calibri"/>
        <family val="2"/>
        <scheme val="minor"/>
      </rPr>
      <t>(s) =</t>
    </r>
  </si>
  <si>
    <r>
      <t>e) Laju Sn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</si>
  <si>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 =</t>
    </r>
  </si>
  <si>
    <r>
      <t>e) Laju Co</t>
    </r>
    <r>
      <rPr>
        <i/>
        <sz val="10"/>
        <color theme="1"/>
        <rFont val="Calibri"/>
        <family val="2"/>
        <scheme val="minor"/>
      </rPr>
      <t>(s) =</t>
    </r>
  </si>
  <si>
    <t>e) Laju Pb(s) =</t>
  </si>
  <si>
    <t>e) Laju Cd(s) =</t>
  </si>
  <si>
    <r>
      <t>e) Laju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</si>
  <si>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</si>
  <si>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</si>
  <si>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</si>
  <si>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 =</t>
    </r>
  </si>
  <si>
    <r>
      <t>e) Laju Cd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</si>
  <si>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</si>
  <si>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</si>
  <si>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</si>
  <si>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</si>
  <si>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</si>
  <si>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t>e) Laju Na(s) =</t>
  </si>
  <si>
    <t>e) Laju Mg(s) =</t>
  </si>
  <si>
    <t>e) Laju Cr(s) =</t>
  </si>
  <si>
    <t>e) Laju Ag(s) =</t>
  </si>
  <si>
    <r>
      <t>e) Laju Al</t>
    </r>
    <r>
      <rPr>
        <i/>
        <sz val="10"/>
        <color theme="1"/>
        <rFont val="Calibri"/>
        <family val="2"/>
        <scheme val="minor"/>
      </rPr>
      <t>(s)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</si>
  <si>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 =</t>
    </r>
  </si>
  <si>
    <r>
      <t>e) Laju O2</t>
    </r>
    <r>
      <rPr>
        <i/>
        <sz val="10"/>
        <color theme="1"/>
        <rFont val="Calibri"/>
        <family val="2"/>
        <scheme val="minor"/>
      </rPr>
      <t>(g) =</t>
    </r>
  </si>
  <si>
    <r>
      <t>e) Laju Na</t>
    </r>
    <r>
      <rPr>
        <i/>
        <sz val="10"/>
        <color theme="1"/>
        <rFont val="Calibri"/>
        <family val="2"/>
        <scheme val="minor"/>
      </rPr>
      <t>(s) =</t>
    </r>
  </si>
  <si>
    <r>
      <t>e) Laju Mg</t>
    </r>
    <r>
      <rPr>
        <i/>
        <sz val="10"/>
        <color theme="1"/>
        <rFont val="Calibri"/>
        <family val="2"/>
        <scheme val="minor"/>
      </rPr>
      <t>(s) =</t>
    </r>
  </si>
  <si>
    <t>e) Laju Al(s) =</t>
  </si>
  <si>
    <r>
      <t>g) [Fe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</si>
  <si>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HASIL</t>
  </si>
  <si>
    <t>ACCU</t>
  </si>
  <si>
    <t>KETERANGAN</t>
  </si>
  <si>
    <t>[X]</t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</si>
  <si>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4e</t>
    </r>
  </si>
  <si>
    <r>
      <t>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</si>
  <si>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</si>
  <si>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</si>
  <si>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</si>
  <si>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</si>
  <si>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KI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</si>
  <si>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</si>
  <si>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</si>
  <si>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</si>
  <si>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NaOH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</si>
  <si>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i/>
        <sz val="11"/>
        <color theme="1"/>
        <rFont val="Calibri"/>
        <family val="2"/>
      </rPr>
      <t>(l)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4e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</si>
  <si>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</si>
  <si>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2e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</si>
  <si>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</si>
  <si>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</si>
  <si>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</si>
  <si>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</si>
  <si>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</si>
  <si>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Na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</si>
  <si>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</si>
  <si>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</si>
  <si>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</si>
  <si>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</si>
  <si>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</si>
  <si>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</si>
  <si>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</si>
  <si>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</si>
  <si>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</si>
  <si>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</si>
  <si>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</si>
  <si>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 e</t>
    </r>
  </si>
  <si>
    <r>
      <t xml:space="preserve"> 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</si>
  <si>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</si>
  <si>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</si>
  <si>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</si>
  <si>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</si>
  <si>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</si>
  <si>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</si>
  <si>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3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</si>
  <si>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</si>
  <si>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</si>
  <si>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ZnO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</si>
  <si>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</si>
  <si>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</si>
  <si>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</si>
  <si>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 xml:space="preserve">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</si>
  <si>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</si>
  <si>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</si>
  <si>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</si>
  <si>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</si>
  <si>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</si>
  <si>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</si>
  <si>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</si>
  <si>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</si>
  <si>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</si>
  <si>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</si>
  <si>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</si>
  <si>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</si>
  <si>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</si>
  <si>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</si>
  <si>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</si>
  <si>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</si>
  <si>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</si>
  <si>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</si>
  <si>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</si>
  <si>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HCl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</si>
  <si>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</si>
  <si>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HBr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</si>
  <si>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 xml:space="preserve">+ </t>
    </r>
    <r>
      <rPr>
        <b/>
        <sz val="11"/>
        <color rgb="FFFF0000"/>
        <rFont val="Calibri"/>
        <family val="2"/>
      </rPr>
      <t>2e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</si>
  <si>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</si>
  <si>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</si>
  <si>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3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</si>
  <si>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</si>
  <si>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</si>
  <si>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KCl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</si>
  <si>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</si>
  <si>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NaBr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</si>
  <si>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</si>
  <si>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</si>
  <si>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</si>
  <si>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</si>
  <si>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</si>
  <si>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</si>
  <si>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3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</si>
  <si>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</si>
  <si>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</si>
  <si>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</si>
  <si>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</si>
  <si>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KOH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</si>
  <si>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</si>
  <si>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</si>
  <si>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</si>
  <si>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</si>
  <si>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</si>
  <si>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AgCl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</si>
  <si>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</si>
  <si>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</si>
  <si>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</si>
  <si>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</si>
  <si>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</si>
  <si>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</si>
  <si>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</si>
  <si>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</si>
  <si>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</si>
  <si>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</si>
  <si>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</si>
  <si>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</si>
  <si>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</si>
  <si>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</si>
  <si>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</si>
  <si>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</si>
  <si>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</si>
  <si>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</si>
  <si>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 → Fe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</si>
  <si>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4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4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+ 12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</si>
  <si>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</si>
  <si>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</si>
  <si>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2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</si>
  <si>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</si>
  <si>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</si>
  <si>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</si>
  <si>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</si>
  <si>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</si>
  <si>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</si>
  <si>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</si>
  <si>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</si>
  <si>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</si>
  <si>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</si>
  <si>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</si>
  <si>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</si>
  <si>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</si>
  <si>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</si>
  <si>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</si>
  <si>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</si>
  <si>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 2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</si>
  <si>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</si>
  <si>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</si>
  <si>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</si>
  <si>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</si>
  <si>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</si>
  <si>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</si>
  <si>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</si>
  <si>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</si>
  <si>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</si>
  <si>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</si>
  <si>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</si>
  <si>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</si>
  <si>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</si>
  <si>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</si>
  <si>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</si>
  <si>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</si>
  <si>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</si>
  <si>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</si>
  <si>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</si>
  <si>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</si>
  <si>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</si>
  <si>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</si>
  <si>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</si>
  <si>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</si>
  <si>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</si>
  <si>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</si>
  <si>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</si>
  <si>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</si>
  <si>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</si>
  <si>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</si>
  <si>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</si>
  <si>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</si>
  <si>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</si>
  <si>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</si>
  <si>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>KI</t>
    </r>
    <r>
      <rPr>
        <b/>
        <i/>
        <sz val="11"/>
        <color rgb="FF0070C0"/>
        <rFont val="Calibri"/>
        <family val="2"/>
        <scheme val="minor"/>
      </rPr>
      <t>(aq)</t>
    </r>
  </si>
  <si>
    <r>
      <t>NaOH</t>
    </r>
    <r>
      <rPr>
        <b/>
        <i/>
        <sz val="11"/>
        <color rgb="FF0070C0"/>
        <rFont val="Calibri"/>
        <family val="2"/>
        <scheme val="minor"/>
      </rPr>
      <t>(aq)</t>
    </r>
  </si>
  <si>
    <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</si>
  <si>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NaCl</t>
    </r>
    <r>
      <rPr>
        <b/>
        <i/>
        <sz val="11"/>
        <color rgb="FF0070C0"/>
        <rFont val="Calibri"/>
        <family val="2"/>
        <scheme val="minor"/>
      </rPr>
      <t>(l)</t>
    </r>
  </si>
  <si>
    <r>
      <t>MgCl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</si>
  <si>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CrCl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</si>
  <si>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</si>
  <si>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MgO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</si>
  <si>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Ag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</si>
  <si>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CdO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</si>
  <si>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</si>
  <si>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</si>
  <si>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</si>
  <si>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</si>
  <si>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HCl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</si>
  <si>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</si>
  <si>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</si>
  <si>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</si>
  <si>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</si>
  <si>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</si>
  <si>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</si>
  <si>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</si>
  <si>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</si>
  <si>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</si>
  <si>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</si>
  <si>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</si>
  <si>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</si>
  <si>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</si>
  <si>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</si>
  <si>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</si>
  <si>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</si>
  <si>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</si>
  <si>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</si>
  <si>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Sr(OH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</si>
  <si>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Ba(OH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</si>
  <si>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</si>
  <si>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</si>
  <si>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</si>
  <si>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NiBr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</si>
  <si>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CuI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</si>
  <si>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</si>
  <si>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CrCl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</si>
  <si>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</si>
  <si>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AgNO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</si>
  <si>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</si>
  <si>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</si>
  <si>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</si>
  <si>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</si>
  <si>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</si>
  <si>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</si>
  <si>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</si>
  <si>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</si>
  <si>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</si>
  <si>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Pb(OH)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</si>
  <si>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Cd(OH)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</si>
  <si>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</si>
  <si>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</si>
  <si>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</si>
  <si>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NaOH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</si>
  <si>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</si>
  <si>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 xml:space="preserve">   CrCl3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</si>
  <si>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</si>
  <si>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</si>
  <si>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</t>
    </r>
    <r>
      <rPr>
        <b/>
        <sz val="11"/>
        <color rgb="FF0070C0"/>
        <rFont val="Calibri"/>
        <family val="2"/>
        <scheme val="minor"/>
      </rPr>
      <t>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</si>
  <si>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</si>
  <si>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t xml:space="preserve">   HI</t>
    </r>
    <r>
      <rPr>
        <b/>
        <i/>
        <sz val="11"/>
        <color rgb="FF0070C0"/>
        <rFont val="Calibri"/>
        <family val="2"/>
        <scheme val="minor"/>
      </rPr>
      <t>(aq)</t>
    </r>
  </si>
  <si>
    <t>₂</t>
  </si>
  <si>
    <t>₃</t>
  </si>
  <si>
    <t>₄</t>
  </si>
  <si>
    <t>²⁺</t>
  </si>
  <si>
    <t>³⁺</t>
  </si>
  <si>
    <t>⁴⁺</t>
  </si>
  <si>
    <t>²⁻</t>
  </si>
  <si>
    <t>³⁻</t>
  </si>
  <si>
    <t>⁴⁻</t>
  </si>
  <si>
    <r>
      <t xml:space="preserve">H₂SO₄(aq) </t>
    </r>
    <r>
      <rPr>
        <sz val="11"/>
        <color theme="1"/>
        <rFont val="Calibri"/>
        <family val="2"/>
      </rPr>
      <t>→ 2H⁺(aq) + SO₄²⁻(aq)</t>
    </r>
  </si>
  <si>
    <r>
      <t xml:space="preserve">HNO₃(aq) </t>
    </r>
    <r>
      <rPr>
        <sz val="11"/>
        <color theme="1"/>
        <rFont val="Calibri"/>
        <family val="2"/>
      </rPr>
      <t>→ H⁺(aq) + NO₃⁻(aq)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</si>
  <si>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</si>
  <si>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</si>
  <si>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</si>
  <si>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</si>
  <si>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</si>
  <si>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</si>
  <si>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</si>
  <si>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</si>
  <si>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</si>
  <si>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</si>
  <si>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</si>
  <si>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</si>
  <si>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t>H₂O</t>
  </si>
  <si>
    <r>
      <t>MgCl</t>
    </r>
    <r>
      <rPr>
        <vertAlign val="subscript"/>
        <sz val="11"/>
        <color theme="1"/>
        <rFont val="Calibri"/>
        <family val="2"/>
        <scheme val="minor"/>
      </rPr>
      <t>₂</t>
    </r>
  </si>
  <si>
    <t>ZnCl₂</t>
  </si>
  <si>
    <t>Ag₂O</t>
  </si>
  <si>
    <t>CrCl₃</t>
  </si>
  <si>
    <t>Al₂O₃</t>
  </si>
  <si>
    <t>NiBr₂</t>
  </si>
  <si>
    <t>CuCl₂</t>
  </si>
  <si>
    <t>Cu(OH)₂</t>
  </si>
  <si>
    <t>MgCl₂</t>
  </si>
  <si>
    <t>H₂SO₄</t>
  </si>
  <si>
    <t>Na₂SO₄</t>
  </si>
  <si>
    <t>Na₃PO₄</t>
  </si>
  <si>
    <t>CaSO₄</t>
  </si>
  <si>
    <t>AlPO₄</t>
  </si>
  <si>
    <t>MnSO₄</t>
  </si>
  <si>
    <t>CuSO₄</t>
  </si>
  <si>
    <t>HNO₃</t>
  </si>
  <si>
    <t>AlCl₃</t>
  </si>
  <si>
    <t>KNO₃</t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</si>
  <si>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</si>
  <si>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+ 4H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</si>
  <si>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</si>
  <si>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</si>
  <si>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</si>
  <si>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NaOH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</si>
  <si>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</si>
  <si>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</si>
  <si>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</si>
  <si>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</si>
  <si>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</si>
  <si>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</si>
  <si>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</si>
  <si>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</si>
  <si>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</si>
  <si>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</si>
  <si>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</si>
  <si>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</si>
  <si>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</si>
  <si>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</si>
  <si>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</si>
  <si>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</si>
  <si>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</si>
  <si>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</si>
  <si>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</si>
  <si>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</si>
  <si>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</si>
  <si>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</si>
  <si>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</si>
  <si>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</si>
  <si>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</si>
  <si>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</si>
  <si>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</si>
  <si>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</si>
  <si>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</si>
  <si>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</si>
  <si>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</si>
  <si>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</si>
  <si>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</t>
    </r>
    <r>
      <rPr>
        <sz val="11"/>
        <color theme="1"/>
        <rFont val="Calibri"/>
        <family val="2"/>
      </rPr>
      <t>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</si>
  <si>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</si>
  <si>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KCl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</si>
  <si>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NaBr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</si>
  <si>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+ 2NaCl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</si>
  <si>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CaCl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</si>
  <si>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AlCl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</si>
  <si>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MnCl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 xml:space="preserve">g)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</si>
  <si>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</si>
  <si>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</si>
  <si>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</si>
  <si>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</si>
  <si>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AlPO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</t>
    </r>
    <r>
      <rPr>
        <vertAlign val="superscript"/>
        <sz val="11"/>
        <color theme="1"/>
        <rFont val="Calibri"/>
        <family val="2"/>
      </rPr>
      <t>3+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</si>
  <si>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MnSO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</si>
  <si>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</si>
  <si>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</si>
  <si>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Sr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</si>
  <si>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</si>
  <si>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</t>
    </r>
    <r>
      <rPr>
        <vertAlign val="superscript"/>
        <sz val="11"/>
        <color theme="1"/>
        <rFont val="Calibri"/>
        <family val="2"/>
      </rPr>
      <t>3+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+ 3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</si>
  <si>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</si>
  <si>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</si>
  <si>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</si>
  <si>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</si>
  <si>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</si>
  <si>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</si>
  <si>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</si>
  <si>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4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</si>
  <si>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 </t>
    </r>
    <r>
      <rPr>
        <sz val="11"/>
        <color theme="1"/>
        <rFont val="Calibri"/>
        <family val="2"/>
        <scheme val="minor"/>
      </rPr>
      <t>→ 4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+ 12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</si>
  <si>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</si>
  <si>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</si>
  <si>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</si>
  <si>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</si>
  <si>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</si>
  <si>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</si>
  <si>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</si>
  <si>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</si>
  <si>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</si>
  <si>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</si>
  <si>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</si>
  <si>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</si>
  <si>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</si>
  <si>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</si>
  <si>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2  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</si>
  <si>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KCl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K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</si>
  <si>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NaBr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Br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</si>
  <si>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NaCl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>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</si>
  <si>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CaCl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</si>
  <si>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AlCl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+ 3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</si>
  <si>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MnCl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</si>
  <si>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KNO</t>
    </r>
    <r>
      <rPr>
        <vertAlign val="subscript"/>
        <sz val="10"/>
        <color theme="1"/>
        <rFont val="Calibri"/>
        <family val="2"/>
        <scheme val="minor"/>
      </rPr>
      <t>3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K</t>
    </r>
    <r>
      <rPr>
        <vertAlign val="superscript"/>
        <sz val="10"/>
        <color theme="1"/>
        <rFont val="Calibri"/>
        <family val="2"/>
      </rPr>
      <t>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NO</t>
    </r>
    <r>
      <rPr>
        <vertAlign val="subscript"/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</si>
  <si>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</si>
  <si>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</si>
  <si>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Ca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</si>
  <si>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AlPO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Al</t>
    </r>
    <r>
      <rPr>
        <vertAlign val="superscript"/>
        <sz val="10"/>
        <color theme="1"/>
        <rFont val="Calibri"/>
        <family val="2"/>
      </rPr>
      <t>3+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PO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3-</t>
    </r>
    <r>
      <rPr>
        <i/>
        <sz val="10"/>
        <color theme="1"/>
        <rFont val="Calibri"/>
        <family val="2"/>
      </rPr>
      <t>(aq)</t>
    </r>
  </si>
  <si>
    <r>
      <t>MnSO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 xml:space="preserve">(g) </t>
    </r>
    <r>
      <rPr>
        <sz val="10"/>
        <color theme="1"/>
        <rFont val="Calibri"/>
        <family val="2"/>
      </rPr>
      <t>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Mn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</si>
  <si>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2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</si>
  <si>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</si>
  <si>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Sr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</si>
  <si>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Ba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</si>
  <si>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+ 8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</si>
  <si>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</si>
  <si>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</si>
  <si>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</si>
  <si>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</si>
  <si>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</si>
  <si>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</si>
  <si>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</si>
  <si>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</si>
  <si>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</si>
  <si>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</si>
  <si>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</si>
  <si>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</si>
  <si>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</si>
  <si>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</si>
  <si>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</si>
  <si>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</si>
  <si>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</si>
  <si>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</si>
  <si>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</si>
  <si>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</si>
  <si>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</si>
  <si>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</si>
  <si>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</si>
  <si>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</si>
  <si>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</si>
  <si>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</si>
  <si>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KI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I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</si>
  <si>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KCl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</si>
  <si>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NaBr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Br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</si>
  <si>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NaCl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</si>
  <si>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CaCl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</si>
  <si>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+ 2AlCl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Al</t>
    </r>
    <r>
      <rPr>
        <vertAlign val="superscript"/>
        <sz val="9"/>
        <color theme="1"/>
        <rFont val="Calibri"/>
        <family val="2"/>
      </rPr>
      <t>3+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+ 6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</si>
  <si>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MnCl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Mn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</si>
  <si>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rFont val="Calibri"/>
        <family val="2"/>
      </rPr>
      <t>(aq)</t>
    </r>
  </si>
  <si>
    <r>
      <t xml:space="preserve"> KNO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</si>
  <si>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</si>
  <si>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</si>
  <si>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</si>
  <si>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AlPO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Al</t>
    </r>
    <r>
      <rPr>
        <vertAlign val="superscript"/>
        <sz val="9"/>
        <color theme="1"/>
        <rFont val="Calibri"/>
        <family val="2"/>
      </rPr>
      <t>3+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</si>
  <si>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MnSO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Mn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</si>
  <si>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</si>
  <si>
    <r>
      <t>2 KOH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K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</si>
  <si>
    <r>
      <t>Ca(OH)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</si>
  <si>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Sr(OH)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Sr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</si>
  <si>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Ba(OH)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Ba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</si>
  <si>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+ 8OH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</si>
  <si>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</si>
  <si>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 xml:space="preserve">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</si>
  <si>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</si>
  <si>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</si>
  <si>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</si>
  <si>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</si>
  <si>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</si>
  <si>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</si>
  <si>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</si>
  <si>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</si>
  <si>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</si>
  <si>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</si>
  <si>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</si>
  <si>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</si>
  <si>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</si>
  <si>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</si>
  <si>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</si>
  <si>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</si>
  <si>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</si>
  <si>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</si>
  <si>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</si>
  <si>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</si>
  <si>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</si>
  <si>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</si>
  <si>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</si>
  <si>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t>CaCl₂</t>
  </si>
  <si>
    <t>MnCl₂</t>
  </si>
  <si>
    <t>Ca(NO₃)₂</t>
  </si>
  <si>
    <t>Ca(OH)₂</t>
  </si>
  <si>
    <t>Sr(OH)₂</t>
  </si>
  <si>
    <t>Ba(OH)₂</t>
  </si>
  <si>
    <t>Mn(OH)₂</t>
  </si>
  <si>
    <t>CuI₂</t>
  </si>
  <si>
    <t>SnCl₂</t>
  </si>
  <si>
    <t>Co(OH)₂</t>
  </si>
  <si>
    <t>Ni(OH)₂</t>
  </si>
  <si>
    <t>Zn(OH)₂</t>
  </si>
  <si>
    <t>Sn(OH)₂</t>
  </si>
  <si>
    <t>Pb(OH)₂</t>
  </si>
  <si>
    <t>Cd(OH)₂</t>
  </si>
  <si>
    <t>PbCl₂</t>
  </si>
  <si>
    <t>Al(OH)₃</t>
  </si>
  <si>
    <t>AgNO₃</t>
  </si>
  <si>
    <t>Co(NO₃)₂</t>
  </si>
  <si>
    <t>Sn(NO₃)₂</t>
  </si>
  <si>
    <t>Pb(NO₃)₂</t>
  </si>
  <si>
    <t>H₃PO₄</t>
  </si>
  <si>
    <t>FePO₄</t>
  </si>
  <si>
    <t>NiSO₄</t>
  </si>
  <si>
    <t>ZnSO₄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</si>
</sst>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E+00"/>
    <numFmt numFmtId="167" formatCode="0.0000"/>
    <numFmt numFmtId="168" formatCode="#,##0.000"/>
    <numFmt numFmtId="169" formatCode="0.000000000000"/>
    <numFmt numFmtId="170" formatCode="#,##0.0000"/>
    <numFmt numFmtId="171" formatCode="0.00000000000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vertAlign val="subscript"/>
      <sz val="10.5"/>
      <color theme="1"/>
      <name val="Calibri"/>
      <family val="2"/>
    </font>
    <font>
      <vertAlign val="superscript"/>
      <sz val="10.5"/>
      <color theme="1"/>
      <name val="Calibri"/>
      <family val="2"/>
    </font>
    <font>
      <sz val="10"/>
      <color theme="4" tint="0.79998168889431442"/>
      <name val="Calibri Light"/>
      <family val="2"/>
      <scheme val="major"/>
    </font>
    <font>
      <sz val="11"/>
      <color theme="4" tint="0.79998168889431442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rgb="FF0070C0"/>
      <name val="Calibri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</font>
    <font>
      <sz val="11"/>
      <color rgb="FF0070C0"/>
      <name val="Symbol"/>
      <family val="1"/>
      <charset val="2"/>
    </font>
    <font>
      <sz val="11"/>
      <color theme="0" tint="-0.14999847407452621"/>
      <name val="Calibri"/>
      <family val="2"/>
      <scheme val="minor"/>
    </font>
    <font>
      <sz val="9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sz val="8"/>
      <color theme="1"/>
      <name val="Lucida Sans Unicode"/>
      <family val="2"/>
    </font>
    <font>
      <b/>
      <sz val="1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i/>
      <sz val="10"/>
      <color theme="1"/>
      <name val="Calibri"/>
      <family val="2"/>
    </font>
    <font>
      <i/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CF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7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Protection="1">
      <protection locked="0"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5" borderId="15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0" fillId="3" borderId="9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4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3" fillId="2" borderId="0" xfId="0" applyFont="1" applyFill="1" applyProtection="1">
      <protection hidden="1"/>
    </xf>
    <xf numFmtId="0" fontId="13" fillId="2" borderId="5" xfId="0" applyFont="1" applyFill="1" applyBorder="1" applyProtection="1">
      <protection hidden="1"/>
    </xf>
    <xf numFmtId="0" fontId="0" fillId="5" borderId="15" xfId="0" applyFill="1" applyBorder="1" applyAlignment="1" applyProtection="1">
      <alignment horizontal="center" vertical="center"/>
      <protection locked="0" hidden="1"/>
    </xf>
    <xf numFmtId="0" fontId="0" fillId="2" borderId="4" xfId="0" applyFill="1" applyBorder="1" applyAlignment="1" applyProtection="1">
      <alignment horizontal="center" vertical="center"/>
      <protection locked="0" hidden="1"/>
    </xf>
    <xf numFmtId="0" fontId="16" fillId="2" borderId="0" xfId="0" applyFont="1" applyFill="1" applyProtection="1">
      <protection hidden="1"/>
    </xf>
    <xf numFmtId="0" fontId="15" fillId="4" borderId="0" xfId="0" applyFont="1" applyFill="1" applyProtection="1">
      <protection hidden="1"/>
    </xf>
    <xf numFmtId="0" fontId="15" fillId="5" borderId="15" xfId="0" applyFont="1" applyFill="1" applyBorder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17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5" borderId="16" xfId="0" applyFill="1" applyBorder="1" applyProtection="1">
      <protection hidden="1"/>
    </xf>
    <xf numFmtId="0" fontId="16" fillId="2" borderId="7" xfId="0" applyFont="1" applyFill="1" applyBorder="1" applyProtection="1">
      <protection hidden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8" fillId="6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 vertical="center"/>
    </xf>
    <xf numFmtId="0" fontId="16" fillId="4" borderId="0" xfId="0" applyFont="1" applyFill="1" applyProtection="1">
      <protection hidden="1"/>
    </xf>
    <xf numFmtId="0" fontId="22" fillId="2" borderId="0" xfId="0" applyFont="1" applyFill="1" applyProtection="1">
      <protection locked="0" hidden="1"/>
    </xf>
    <xf numFmtId="0" fontId="22" fillId="2" borderId="0" xfId="0" applyFont="1" applyFill="1" applyProtection="1">
      <protection hidden="1"/>
    </xf>
    <xf numFmtId="0" fontId="22" fillId="2" borderId="7" xfId="0" applyFont="1" applyFill="1" applyBorder="1" applyProtection="1">
      <protection locked="0" hidden="1"/>
    </xf>
    <xf numFmtId="0" fontId="13" fillId="2" borderId="0" xfId="0" applyFont="1" applyFill="1" applyAlignment="1" applyProtection="1">
      <alignment horizontal="right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3" xfId="0" applyFill="1" applyBorder="1"/>
    <xf numFmtId="0" fontId="5" fillId="2" borderId="4" xfId="0" applyFont="1" applyFill="1" applyBorder="1" applyAlignment="1">
      <alignment horizontal="center"/>
    </xf>
    <xf numFmtId="0" fontId="0" fillId="2" borderId="5" xfId="0" applyFill="1" applyBorder="1"/>
    <xf numFmtId="0" fontId="20" fillId="2" borderId="5" xfId="0" applyFont="1" applyFill="1" applyBorder="1"/>
    <xf numFmtId="0" fontId="5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20" fillId="2" borderId="4" xfId="0" applyFont="1" applyFill="1" applyBorder="1"/>
    <xf numFmtId="0" fontId="0" fillId="2" borderId="6" xfId="0" applyFill="1" applyBorder="1"/>
    <xf numFmtId="0" fontId="0" fillId="2" borderId="2" xfId="0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right"/>
      <protection hidden="1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0" xfId="0" applyFill="1" applyAlignment="1">
      <alignment horizontal="justify"/>
    </xf>
    <xf numFmtId="0" fontId="0" fillId="0" borderId="0" xfId="0" applyAlignment="1">
      <alignment horizontal="justify"/>
    </xf>
    <xf numFmtId="0" fontId="22" fillId="2" borderId="0" xfId="0" applyFont="1" applyFill="1" applyAlignment="1">
      <alignment horizontal="center"/>
    </xf>
    <xf numFmtId="0" fontId="23" fillId="4" borderId="0" xfId="0" applyFont="1" applyFill="1" applyAlignment="1" applyProtection="1">
      <alignment horizontal="center" vertical="center"/>
      <protection locked="0" hidden="1"/>
    </xf>
    <xf numFmtId="0" fontId="23" fillId="4" borderId="0" xfId="0" applyFont="1" applyFill="1" applyProtection="1">
      <protection hidden="1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0" fillId="4" borderId="0" xfId="0" applyFill="1" applyAlignment="1" applyProtection="1">
      <alignment horizontal="center" vertical="center"/>
      <protection locked="0" hidden="1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11" fillId="9" borderId="0" xfId="0" applyFont="1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22" fillId="6" borderId="9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Protection="1">
      <protection locked="0" hidden="1"/>
    </xf>
    <xf numFmtId="2" fontId="16" fillId="4" borderId="0" xfId="0" applyNumberFormat="1" applyFont="1" applyFill="1" applyAlignment="1" applyProtection="1">
      <alignment horizontal="left"/>
      <protection hidden="1"/>
    </xf>
    <xf numFmtId="0" fontId="16" fillId="2" borderId="7" xfId="0" applyFont="1" applyFill="1" applyBorder="1" applyAlignment="1" applyProtection="1">
      <alignment horizontal="right"/>
      <protection hidden="1"/>
    </xf>
    <xf numFmtId="166" fontId="16" fillId="2" borderId="7" xfId="0" applyNumberFormat="1" applyFont="1" applyFill="1" applyBorder="1" applyAlignment="1" applyProtection="1">
      <alignment horizontal="left"/>
      <protection hidden="1"/>
    </xf>
    <xf numFmtId="0" fontId="22" fillId="2" borderId="7" xfId="0" applyFont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14" fontId="0" fillId="4" borderId="0" xfId="0" applyNumberFormat="1" applyFill="1" applyAlignment="1" applyProtection="1">
      <alignment horizontal="center"/>
      <protection hidden="1"/>
    </xf>
    <xf numFmtId="167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165" fontId="16" fillId="4" borderId="0" xfId="0" applyNumberFormat="1" applyFont="1" applyFill="1" applyAlignment="1" applyProtection="1">
      <alignment horizontal="center"/>
      <protection hidden="1"/>
    </xf>
    <xf numFmtId="0" fontId="13" fillId="2" borderId="5" xfId="0" applyFont="1" applyFill="1" applyBorder="1" applyProtection="1">
      <protection locked="0" hidden="1"/>
    </xf>
    <xf numFmtId="0" fontId="16" fillId="4" borderId="15" xfId="0" applyFont="1" applyFill="1" applyBorder="1" applyAlignment="1" applyProtection="1">
      <alignment vertical="center"/>
      <protection hidden="1"/>
    </xf>
    <xf numFmtId="0" fontId="0" fillId="4" borderId="16" xfId="0" applyFill="1" applyBorder="1" applyAlignment="1" applyProtection="1">
      <alignment horizontal="left" vertical="center"/>
      <protection hidden="1"/>
    </xf>
    <xf numFmtId="1" fontId="16" fillId="2" borderId="7" xfId="0" applyNumberFormat="1" applyFont="1" applyFill="1" applyBorder="1" applyAlignment="1" applyProtection="1">
      <alignment horizontal="left"/>
      <protection hidden="1"/>
    </xf>
    <xf numFmtId="0" fontId="20" fillId="4" borderId="0" xfId="0" applyFont="1" applyFill="1" applyAlignment="1" applyProtection="1">
      <alignment horizontal="center" vertical="center"/>
      <protection locked="0" hidden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1" fontId="16" fillId="2" borderId="0" xfId="0" applyNumberFormat="1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center"/>
      <protection hidden="1"/>
    </xf>
    <xf numFmtId="0" fontId="31" fillId="2" borderId="0" xfId="0" applyFont="1" applyFill="1" applyProtection="1">
      <protection hidden="1"/>
    </xf>
    <xf numFmtId="0" fontId="20" fillId="2" borderId="0" xfId="0" applyFont="1" applyFill="1" applyProtection="1">
      <protection hidden="1"/>
    </xf>
    <xf numFmtId="164" fontId="31" fillId="2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right"/>
      <protection hidden="1"/>
    </xf>
    <xf numFmtId="0" fontId="17" fillId="4" borderId="14" xfId="0" applyFont="1" applyFill="1" applyBorder="1" applyAlignment="1" applyProtection="1">
      <alignment horizontal="center"/>
      <protection locked="0" hidden="1"/>
    </xf>
    <xf numFmtId="0" fontId="5" fillId="3" borderId="15" xfId="0" applyFont="1" applyFill="1" applyBorder="1" applyAlignment="1" applyProtection="1">
      <alignment horizontal="center"/>
      <protection locked="0" hidden="1"/>
    </xf>
    <xf numFmtId="0" fontId="22" fillId="6" borderId="9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Alignment="1">
      <alignment horizontal="left"/>
    </xf>
    <xf numFmtId="0" fontId="34" fillId="2" borderId="0" xfId="0" applyFont="1" applyFill="1" applyAlignment="1">
      <alignment horizontal="left"/>
    </xf>
    <xf numFmtId="0" fontId="0" fillId="4" borderId="0" xfId="0" applyFill="1" applyAlignment="1" applyProtection="1">
      <alignment horizontal="left"/>
      <protection hidden="1"/>
    </xf>
    <xf numFmtId="2" fontId="16" fillId="4" borderId="0" xfId="0" applyNumberFormat="1" applyFont="1" applyFill="1" applyAlignment="1" applyProtection="1">
      <alignment horizontal="center"/>
      <protection hidden="1"/>
    </xf>
    <xf numFmtId="167" fontId="16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1" fontId="16" fillId="4" borderId="0" xfId="0" applyNumberFormat="1" applyFont="1" applyFill="1" applyAlignment="1" applyProtection="1">
      <alignment horizontal="center"/>
      <protection hidden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9" borderId="0" xfId="0" applyFill="1" applyProtection="1">
      <protection hidden="1"/>
    </xf>
    <xf numFmtId="0" fontId="0" fillId="9" borderId="7" xfId="0" applyFill="1" applyBorder="1" applyProtection="1">
      <protection hidden="1"/>
    </xf>
    <xf numFmtId="0" fontId="0" fillId="2" borderId="0" xfId="0" applyFill="1" applyAlignment="1">
      <alignment horizontal="left" vertical="center"/>
    </xf>
    <xf numFmtId="0" fontId="29" fillId="2" borderId="0" xfId="0" applyFont="1" applyFill="1" applyAlignment="1">
      <alignment horizontal="right"/>
    </xf>
    <xf numFmtId="0" fontId="42" fillId="2" borderId="0" xfId="0" applyFont="1" applyFill="1" applyAlignment="1">
      <alignment horizontal="right"/>
    </xf>
    <xf numFmtId="3" fontId="16" fillId="4" borderId="0" xfId="0" applyNumberFormat="1" applyFont="1" applyFill="1" applyAlignment="1" applyProtection="1">
      <alignment horizontal="center"/>
      <protection hidden="1"/>
    </xf>
    <xf numFmtId="2" fontId="0" fillId="4" borderId="0" xfId="0" applyNumberFormat="1" applyFill="1" applyProtection="1">
      <protection hidden="1"/>
    </xf>
    <xf numFmtId="2" fontId="16" fillId="4" borderId="0" xfId="0" applyNumberFormat="1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51" fillId="2" borderId="0" xfId="0" applyFont="1" applyFill="1" applyProtection="1">
      <protection hidden="1"/>
    </xf>
    <xf numFmtId="164" fontId="51" fillId="2" borderId="0" xfId="0" applyNumberFormat="1" applyFont="1" applyFill="1" applyAlignment="1" applyProtection="1">
      <alignment horizontal="right" vertical="center"/>
      <protection hidden="1"/>
    </xf>
    <xf numFmtId="3" fontId="51" fillId="2" borderId="0" xfId="0" applyNumberFormat="1" applyFont="1" applyFill="1" applyAlignment="1" applyProtection="1">
      <alignment horizontal="right"/>
      <protection hidden="1"/>
    </xf>
    <xf numFmtId="164" fontId="51" fillId="2" borderId="0" xfId="0" applyNumberFormat="1" applyFont="1" applyFill="1" applyAlignment="1" applyProtection="1">
      <alignment horizontal="right" vertical="center"/>
      <protection locked="0" hidden="1"/>
    </xf>
    <xf numFmtId="165" fontId="51" fillId="2" borderId="0" xfId="0" applyNumberFormat="1" applyFont="1" applyFill="1" applyAlignment="1" applyProtection="1">
      <alignment horizontal="left"/>
      <protection hidden="1"/>
    </xf>
    <xf numFmtId="0" fontId="53" fillId="2" borderId="0" xfId="0" applyFont="1" applyFill="1" applyProtection="1">
      <protection hidden="1"/>
    </xf>
    <xf numFmtId="1" fontId="19" fillId="5" borderId="15" xfId="0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applyFont="1" applyFill="1" applyAlignment="1" applyProtection="1">
      <alignment horizontal="center" vertical="center"/>
      <protection locked="0" hidden="1"/>
    </xf>
    <xf numFmtId="0" fontId="1" fillId="4" borderId="0" xfId="0" applyFont="1" applyFill="1" applyProtection="1">
      <protection hidden="1"/>
    </xf>
    <xf numFmtId="0" fontId="58" fillId="5" borderId="1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>
      <alignment horizontal="center"/>
    </xf>
    <xf numFmtId="1" fontId="0" fillId="4" borderId="0" xfId="0" applyNumberFormat="1" applyFill="1" applyProtection="1">
      <protection hidden="1"/>
    </xf>
    <xf numFmtId="0" fontId="19" fillId="4" borderId="0" xfId="0" applyFont="1" applyFill="1" applyAlignment="1" applyProtection="1">
      <alignment horizontal="center"/>
      <protection hidden="1"/>
    </xf>
    <xf numFmtId="0" fontId="23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0" fillId="2" borderId="13" xfId="0" applyFill="1" applyBorder="1"/>
    <xf numFmtId="0" fontId="0" fillId="7" borderId="13" xfId="0" applyFill="1" applyBorder="1"/>
    <xf numFmtId="164" fontId="59" fillId="2" borderId="0" xfId="0" applyNumberFormat="1" applyFont="1" applyFill="1" applyAlignment="1" applyProtection="1">
      <alignment horizontal="left" vertical="center"/>
      <protection hidden="1"/>
    </xf>
    <xf numFmtId="1" fontId="59" fillId="2" borderId="0" xfId="0" applyNumberFormat="1" applyFont="1" applyFill="1" applyAlignment="1" applyProtection="1">
      <alignment horizontal="left" vertical="center"/>
      <protection hidden="1"/>
    </xf>
    <xf numFmtId="0" fontId="59" fillId="2" borderId="0" xfId="0" applyFont="1" applyFill="1" applyAlignment="1" applyProtection="1">
      <alignment horizontal="left"/>
      <protection hidden="1"/>
    </xf>
    <xf numFmtId="0" fontId="59" fillId="2" borderId="0" xfId="0" applyFont="1" applyFill="1" applyAlignment="1" applyProtection="1">
      <alignment horizontal="center"/>
      <protection hidden="1"/>
    </xf>
    <xf numFmtId="0" fontId="59" fillId="2" borderId="0" xfId="0" applyFont="1" applyFill="1" applyAlignment="1" applyProtection="1">
      <alignment horizontal="right"/>
      <protection hidden="1"/>
    </xf>
    <xf numFmtId="0" fontId="59" fillId="2" borderId="0" xfId="0" applyFont="1" applyFill="1" applyAlignment="1" applyProtection="1">
      <alignment horizontal="right" vertical="center"/>
      <protection hidden="1"/>
    </xf>
    <xf numFmtId="0" fontId="0" fillId="15" borderId="15" xfId="0" applyFill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0" xfId="0" applyFill="1" applyProtection="1">
      <protection locked="0" hidden="1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167" fontId="16" fillId="0" borderId="0" xfId="0" applyNumberFormat="1" applyFont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16" fillId="4" borderId="0" xfId="0" applyFont="1" applyFill="1" applyAlignment="1" applyProtection="1">
      <alignment horizontal="center" vertical="center"/>
      <protection hidden="1"/>
    </xf>
    <xf numFmtId="2" fontId="0" fillId="4" borderId="0" xfId="0" applyNumberFormat="1" applyFill="1" applyAlignment="1" applyProtection="1">
      <alignment horizontal="center" vertical="center"/>
      <protection hidden="1"/>
    </xf>
    <xf numFmtId="1" fontId="0" fillId="4" borderId="0" xfId="0" applyNumberFormat="1" applyFill="1" applyAlignment="1" applyProtection="1">
      <alignment horizontal="center" vertical="center"/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3" borderId="0" xfId="0" applyFill="1"/>
    <xf numFmtId="167" fontId="0" fillId="0" borderId="0" xfId="0" applyNumberFormat="1" applyProtection="1">
      <protection hidden="1"/>
    </xf>
    <xf numFmtId="0" fontId="59" fillId="2" borderId="0" xfId="0" applyFont="1" applyFill="1" applyProtection="1">
      <protection hidden="1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8" fillId="2" borderId="0" xfId="0" applyFont="1" applyFill="1"/>
    <xf numFmtId="165" fontId="0" fillId="4" borderId="0" xfId="0" applyNumberFormat="1" applyFill="1" applyAlignment="1" applyProtection="1">
      <alignment horizontal="center"/>
      <protection hidden="1"/>
    </xf>
    <xf numFmtId="0" fontId="0" fillId="2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5" fillId="16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/>
    <xf numFmtId="0" fontId="0" fillId="14" borderId="0" xfId="0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9" borderId="0" xfId="0" applyFill="1" applyAlignment="1">
      <alignment vertical="center"/>
    </xf>
    <xf numFmtId="0" fontId="0" fillId="19" borderId="0" xfId="0" applyFill="1"/>
    <xf numFmtId="0" fontId="0" fillId="19" borderId="0" xfId="0" applyFill="1" applyAlignment="1">
      <alignment horizontal="center"/>
    </xf>
    <xf numFmtId="1" fontId="16" fillId="4" borderId="0" xfId="0" applyNumberFormat="1" applyFont="1" applyFill="1" applyAlignment="1" applyProtection="1">
      <alignment horizontal="left"/>
      <protection hidden="1"/>
    </xf>
    <xf numFmtId="165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15" fillId="4" borderId="4" xfId="0" applyFont="1" applyFill="1" applyBorder="1" applyAlignment="1" applyProtection="1">
      <alignment horizontal="center"/>
      <protection locked="0" hidden="1"/>
    </xf>
    <xf numFmtId="0" fontId="65" fillId="4" borderId="4" xfId="0" applyFont="1" applyFill="1" applyBorder="1" applyAlignment="1" applyProtection="1">
      <alignment horizontal="center"/>
      <protection locked="0" hidden="1"/>
    </xf>
    <xf numFmtId="0" fontId="15" fillId="4" borderId="4" xfId="0" applyFont="1" applyFill="1" applyBorder="1" applyAlignment="1" applyProtection="1">
      <alignment horizontal="center" vertical="center"/>
      <protection locked="0" hidden="1"/>
    </xf>
    <xf numFmtId="0" fontId="15" fillId="4" borderId="6" xfId="0" applyFont="1" applyFill="1" applyBorder="1" applyAlignment="1" applyProtection="1">
      <alignment horizontal="center"/>
      <protection locked="0" hidden="1"/>
    </xf>
    <xf numFmtId="1" fontId="59" fillId="2" borderId="0" xfId="0" applyNumberFormat="1" applyFont="1" applyFill="1" applyAlignment="1" applyProtection="1">
      <alignment horizontal="left"/>
      <protection hidden="1"/>
    </xf>
    <xf numFmtId="168" fontId="59" fillId="2" borderId="0" xfId="0" applyNumberFormat="1" applyFont="1" applyFill="1" applyAlignment="1" applyProtection="1">
      <alignment horizontal="left"/>
      <protection hidden="1"/>
    </xf>
    <xf numFmtId="165" fontId="59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6" fillId="0" borderId="0" xfId="0" applyFont="1"/>
    <xf numFmtId="0" fontId="5" fillId="0" borderId="0" xfId="0" applyFont="1"/>
    <xf numFmtId="0" fontId="0" fillId="0" borderId="4" xfId="0" applyBorder="1" applyAlignment="1">
      <alignment horizontal="center"/>
    </xf>
    <xf numFmtId="167" fontId="0" fillId="17" borderId="0" xfId="0" applyNumberFormat="1" applyFill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0" fontId="22" fillId="2" borderId="0" xfId="0" applyFont="1" applyFill="1" applyAlignment="1" applyProtection="1">
      <alignment vertical="center"/>
      <protection locked="0" hidden="1"/>
    </xf>
    <xf numFmtId="165" fontId="32" fillId="2" borderId="0" xfId="0" applyNumberFormat="1" applyFont="1" applyFill="1" applyProtection="1">
      <protection hidden="1"/>
    </xf>
    <xf numFmtId="0" fontId="32" fillId="2" borderId="0" xfId="0" applyFont="1" applyFill="1" applyProtection="1">
      <protection hidden="1"/>
    </xf>
    <xf numFmtId="0" fontId="22" fillId="2" borderId="0" xfId="0" applyFont="1" applyFill="1" applyAlignment="1" applyProtection="1">
      <alignment horizontal="center" vertical="center"/>
      <protection hidden="1"/>
    </xf>
    <xf numFmtId="0" fontId="22" fillId="2" borderId="2" xfId="0" applyFont="1" applyFill="1" applyBorder="1" applyProtection="1">
      <protection hidden="1"/>
    </xf>
    <xf numFmtId="0" fontId="22" fillId="2" borderId="0" xfId="0" applyFont="1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/>
      <protection hidden="1"/>
    </xf>
    <xf numFmtId="0" fontId="0" fillId="2" borderId="18" xfId="0" applyFill="1" applyBorder="1" applyProtection="1">
      <protection hidden="1"/>
    </xf>
    <xf numFmtId="0" fontId="0" fillId="2" borderId="19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4" borderId="0" xfId="0" applyFill="1" applyAlignment="1" applyProtection="1">
      <alignment horizontal="left"/>
      <protection locked="0" hidden="1"/>
    </xf>
    <xf numFmtId="0" fontId="0" fillId="4" borderId="7" xfId="0" applyFill="1" applyBorder="1" applyProtection="1">
      <protection hidden="1"/>
    </xf>
    <xf numFmtId="169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0" fontId="0" fillId="18" borderId="14" xfId="0" applyFill="1" applyBorder="1" applyProtection="1">
      <protection hidden="1"/>
    </xf>
    <xf numFmtId="0" fontId="0" fillId="18" borderId="15" xfId="0" applyFill="1" applyBorder="1" applyAlignment="1" applyProtection="1">
      <alignment horizontal="center"/>
      <protection hidden="1"/>
    </xf>
    <xf numFmtId="0" fontId="0" fillId="18" borderId="16" xfId="0" applyFill="1" applyBorder="1" applyAlignment="1" applyProtection="1">
      <alignment horizontal="center"/>
      <protection hidden="1"/>
    </xf>
    <xf numFmtId="0" fontId="0" fillId="18" borderId="15" xfId="0" applyFill="1" applyBorder="1" applyAlignment="1" applyProtection="1">
      <alignment vertical="center"/>
      <protection hidden="1"/>
    </xf>
    <xf numFmtId="0" fontId="0" fillId="18" borderId="16" xfId="0" applyFill="1" applyBorder="1" applyAlignment="1" applyProtection="1">
      <alignment vertical="center"/>
      <protection hidden="1"/>
    </xf>
    <xf numFmtId="0" fontId="0" fillId="18" borderId="14" xfId="0" applyFill="1" applyBorder="1" applyAlignment="1" applyProtection="1">
      <alignment horizontal="center" vertical="center"/>
      <protection hidden="1"/>
    </xf>
    <xf numFmtId="0" fontId="0" fillId="2" borderId="14" xfId="0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0" fillId="3" borderId="15" xfId="0" applyFill="1" applyBorder="1" applyProtection="1">
      <protection hidden="1"/>
    </xf>
    <xf numFmtId="0" fontId="0" fillId="3" borderId="16" xfId="0" applyFill="1" applyBorder="1" applyProtection="1">
      <protection hidden="1"/>
    </xf>
    <xf numFmtId="164" fontId="15" fillId="2" borderId="2" xfId="0" applyNumberFormat="1" applyFont="1" applyFill="1" applyBorder="1" applyAlignment="1" applyProtection="1">
      <alignment horizontal="center"/>
      <protection hidden="1"/>
    </xf>
    <xf numFmtId="164" fontId="15" fillId="2" borderId="0" xfId="0" applyNumberFormat="1" applyFont="1" applyFill="1" applyAlignment="1" applyProtection="1">
      <alignment horizontal="center"/>
      <protection hidden="1"/>
    </xf>
    <xf numFmtId="0" fontId="23" fillId="2" borderId="16" xfId="0" applyFont="1" applyFill="1" applyBorder="1" applyProtection="1">
      <protection hidden="1"/>
    </xf>
    <xf numFmtId="0" fontId="23" fillId="14" borderId="14" xfId="0" applyFont="1" applyFill="1" applyBorder="1" applyProtection="1">
      <protection hidden="1"/>
    </xf>
    <xf numFmtId="0" fontId="0" fillId="2" borderId="24" xfId="0" applyFill="1" applyBorder="1" applyProtection="1">
      <protection hidden="1"/>
    </xf>
    <xf numFmtId="1" fontId="16" fillId="14" borderId="15" xfId="0" applyNumberFormat="1" applyFont="1" applyFill="1" applyBorder="1" applyAlignment="1" applyProtection="1">
      <alignment horizontal="center"/>
      <protection hidden="1"/>
    </xf>
    <xf numFmtId="0" fontId="0" fillId="14" borderId="19" xfId="0" applyFill="1" applyBorder="1" applyAlignment="1" applyProtection="1">
      <alignment horizontal="center"/>
      <protection hidden="1"/>
    </xf>
    <xf numFmtId="1" fontId="16" fillId="3" borderId="9" xfId="0" applyNumberFormat="1" applyFont="1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19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 vertical="center"/>
      <protection locked="0"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25" xfId="0" applyFill="1" applyBorder="1" applyProtection="1">
      <protection locked="0" hidden="1"/>
    </xf>
    <xf numFmtId="0" fontId="20" fillId="4" borderId="0" xfId="0" applyFont="1" applyFill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1" fontId="16" fillId="4" borderId="15" xfId="0" applyNumberFormat="1" applyFont="1" applyFill="1" applyBorder="1" applyAlignment="1" applyProtection="1">
      <alignment horizontal="center"/>
      <protection hidden="1"/>
    </xf>
    <xf numFmtId="1" fontId="16" fillId="4" borderId="14" xfId="0" applyNumberFormat="1" applyFont="1" applyFill="1" applyBorder="1" applyAlignment="1" applyProtection="1">
      <alignment horizontal="center"/>
      <protection hidden="1"/>
    </xf>
    <xf numFmtId="1" fontId="16" fillId="14" borderId="14" xfId="0" applyNumberFormat="1" applyFont="1" applyFill="1" applyBorder="1" applyAlignment="1" applyProtection="1">
      <alignment horizontal="center"/>
      <protection hidden="1"/>
    </xf>
    <xf numFmtId="0" fontId="18" fillId="8" borderId="9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23" fillId="4" borderId="2" xfId="0" applyFont="1" applyFill="1" applyBorder="1" applyProtection="1">
      <protection hidden="1"/>
    </xf>
    <xf numFmtId="0" fontId="0" fillId="8" borderId="18" xfId="0" applyFill="1" applyBorder="1" applyProtection="1">
      <protection hidden="1"/>
    </xf>
    <xf numFmtId="0" fontId="0" fillId="8" borderId="19" xfId="0" applyFill="1" applyBorder="1" applyProtection="1">
      <protection hidden="1"/>
    </xf>
    <xf numFmtId="0" fontId="0" fillId="17" borderId="19" xfId="0" applyFill="1" applyBorder="1" applyProtection="1">
      <protection hidden="1"/>
    </xf>
    <xf numFmtId="0" fontId="0" fillId="13" borderId="19" xfId="0" applyFill="1" applyBorder="1" applyProtection="1">
      <protection hidden="1"/>
    </xf>
    <xf numFmtId="0" fontId="0" fillId="3" borderId="19" xfId="0" applyFill="1" applyBorder="1" applyProtection="1"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0" fontId="0" fillId="3" borderId="21" xfId="0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4" borderId="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0" fillId="3" borderId="5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0" fontId="0" fillId="18" borderId="18" xfId="0" applyFill="1" applyBorder="1" applyAlignment="1" applyProtection="1">
      <alignment horizontal="center"/>
      <protection hidden="1"/>
    </xf>
    <xf numFmtId="0" fontId="0" fillId="18" borderId="19" xfId="0" applyFill="1" applyBorder="1" applyAlignment="1" applyProtection="1">
      <alignment horizontal="center"/>
      <protection hidden="1"/>
    </xf>
    <xf numFmtId="0" fontId="0" fillId="18" borderId="21" xfId="0" applyFill="1" applyBorder="1" applyAlignment="1" applyProtection="1">
      <alignment horizontal="center"/>
      <protection hidden="1"/>
    </xf>
    <xf numFmtId="0" fontId="0" fillId="3" borderId="14" xfId="0" applyFill="1" applyBorder="1" applyProtection="1"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4" borderId="12" xfId="0" applyFill="1" applyBorder="1" applyProtection="1">
      <protection hidden="1"/>
    </xf>
    <xf numFmtId="1" fontId="0" fillId="4" borderId="0" xfId="0" applyNumberFormat="1" applyFill="1" applyProtection="1">
      <protection locked="0" hidden="1"/>
    </xf>
    <xf numFmtId="167" fontId="0" fillId="4" borderId="0" xfId="0" applyNumberFormat="1" applyFill="1" applyAlignment="1" applyProtection="1">
      <alignment horizontal="left" vertical="center"/>
      <protection hidden="1"/>
    </xf>
    <xf numFmtId="164" fontId="29" fillId="4" borderId="0" xfId="0" applyNumberFormat="1" applyFont="1" applyFill="1" applyAlignment="1" applyProtection="1">
      <alignment horizontal="left" vertical="center"/>
      <protection hidden="1"/>
    </xf>
    <xf numFmtId="2" fontId="29" fillId="4" borderId="0" xfId="0" applyNumberFormat="1" applyFont="1" applyFill="1" applyAlignment="1" applyProtection="1">
      <alignment horizontal="left"/>
      <protection hidden="1"/>
    </xf>
    <xf numFmtId="165" fontId="0" fillId="4" borderId="0" xfId="0" applyNumberFormat="1" applyFill="1" applyProtection="1">
      <protection hidden="1"/>
    </xf>
    <xf numFmtId="3" fontId="0" fillId="4" borderId="0" xfId="0" applyNumberFormat="1" applyFill="1" applyProtection="1">
      <protection hidden="1"/>
    </xf>
    <xf numFmtId="170" fontId="0" fillId="4" borderId="0" xfId="0" applyNumberFormat="1" applyFill="1" applyAlignment="1" applyProtection="1">
      <alignment horizontal="center" vertical="center"/>
      <protection hidden="1"/>
    </xf>
    <xf numFmtId="168" fontId="0" fillId="2" borderId="0" xfId="0" applyNumberFormat="1" applyFill="1" applyAlignment="1">
      <alignment horizontal="center"/>
    </xf>
    <xf numFmtId="4" fontId="16" fillId="4" borderId="0" xfId="0" applyNumberFormat="1" applyFont="1" applyFill="1" applyAlignment="1" applyProtection="1">
      <alignment horizontal="center" vertical="center"/>
      <protection hidden="1"/>
    </xf>
    <xf numFmtId="1" fontId="20" fillId="5" borderId="15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/>
    <xf numFmtId="4" fontId="47" fillId="7" borderId="17" xfId="0" applyNumberFormat="1" applyFont="1" applyFill="1" applyBorder="1" applyAlignment="1" applyProtection="1">
      <alignment horizontal="center" vertical="center"/>
      <protection locked="0"/>
    </xf>
    <xf numFmtId="4" fontId="48" fillId="7" borderId="17" xfId="0" applyNumberFormat="1" applyFont="1" applyFill="1" applyBorder="1" applyAlignment="1" applyProtection="1">
      <alignment horizontal="center" vertical="center"/>
      <protection locked="0"/>
    </xf>
    <xf numFmtId="3" fontId="49" fillId="7" borderId="17" xfId="0" applyNumberFormat="1" applyFont="1" applyFill="1" applyBorder="1" applyAlignment="1" applyProtection="1">
      <alignment horizontal="center" vertical="center"/>
      <protection locked="0"/>
    </xf>
    <xf numFmtId="0" fontId="29" fillId="7" borderId="22" xfId="0" applyFont="1" applyFill="1" applyBorder="1" applyAlignment="1" applyProtection="1">
      <alignment horizontal="center"/>
      <protection locked="0"/>
    </xf>
    <xf numFmtId="164" fontId="29" fillId="7" borderId="13" xfId="0" applyNumberFormat="1" applyFont="1" applyFill="1" applyBorder="1" applyAlignment="1" applyProtection="1">
      <alignment horizontal="center"/>
      <protection locked="0"/>
    </xf>
    <xf numFmtId="165" fontId="16" fillId="4" borderId="0" xfId="0" applyNumberFormat="1" applyFont="1" applyFill="1" applyAlignment="1" applyProtection="1">
      <alignment horizontal="center" vertical="center"/>
      <protection hidden="1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68" fillId="12" borderId="0" xfId="1" applyFont="1" applyFill="1" applyProtection="1">
      <protection locked="0"/>
    </xf>
    <xf numFmtId="171" fontId="0" fillId="4" borderId="0" xfId="0" applyNumberFormat="1" applyFill="1" applyProtection="1">
      <protection hidden="1"/>
    </xf>
    <xf numFmtId="168" fontId="0" fillId="4" borderId="0" xfId="0" applyNumberFormat="1" applyFill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 vertical="center"/>
      <protection locked="0"/>
    </xf>
    <xf numFmtId="2" fontId="0" fillId="4" borderId="0" xfId="0" applyNumberFormat="1" applyFill="1" applyAlignment="1" applyProtection="1">
      <alignment horizontal="center"/>
      <protection locked="0"/>
    </xf>
    <xf numFmtId="11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0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4" borderId="0" xfId="0" applyNumberFormat="1" applyFill="1" applyAlignment="1" applyProtection="1">
      <alignment horizontal="center" vertical="center"/>
      <protection hidden="1"/>
    </xf>
    <xf numFmtId="11" fontId="0" fillId="4" borderId="0" xfId="0" applyNumberFormat="1" applyFill="1" applyAlignment="1" applyProtection="1">
      <alignment horizontal="center" vertical="center"/>
      <protection hidden="1"/>
    </xf>
    <xf numFmtId="166" fontId="0" fillId="4" borderId="0" xfId="0" applyNumberFormat="1" applyFill="1" applyAlignment="1" applyProtection="1">
      <alignment horizontal="center" vertical="center"/>
      <protection hidden="1"/>
    </xf>
    <xf numFmtId="4" fontId="18" fillId="2" borderId="0" xfId="0" applyNumberFormat="1" applyFont="1" applyFill="1"/>
    <xf numFmtId="4" fontId="0" fillId="4" borderId="0" xfId="0" applyNumberFormat="1" applyFill="1" applyAlignment="1" applyProtection="1">
      <alignment horizontal="center"/>
      <protection locked="0"/>
    </xf>
    <xf numFmtId="0" fontId="11" fillId="20" borderId="0" xfId="0" applyFont="1" applyFill="1" applyAlignment="1">
      <alignment horizontal="center" vertical="center"/>
    </xf>
    <xf numFmtId="0" fontId="52" fillId="20" borderId="0" xfId="0" applyFont="1" applyFill="1" applyAlignment="1">
      <alignment horizontal="center" vertic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2" fontId="28" fillId="2" borderId="7" xfId="0" applyNumberFormat="1" applyFont="1" applyFill="1" applyBorder="1" applyAlignment="1" applyProtection="1">
      <alignment horizontal="left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justify" vertical="top" wrapText="1"/>
      <protection hidden="1"/>
    </xf>
    <xf numFmtId="0" fontId="29" fillId="2" borderId="2" xfId="0" applyFont="1" applyFill="1" applyBorder="1" applyAlignment="1" applyProtection="1">
      <alignment horizontal="justify" vertical="top" wrapText="1"/>
      <protection hidden="1"/>
    </xf>
    <xf numFmtId="0" fontId="29" fillId="2" borderId="3" xfId="0" applyFont="1" applyFill="1" applyBorder="1" applyAlignment="1" applyProtection="1">
      <alignment horizontal="justify" vertical="top" wrapText="1"/>
      <protection hidden="1"/>
    </xf>
    <xf numFmtId="0" fontId="29" fillId="2" borderId="4" xfId="0" applyFont="1" applyFill="1" applyBorder="1" applyAlignment="1" applyProtection="1">
      <alignment horizontal="justify" vertical="top" wrapText="1"/>
      <protection hidden="1"/>
    </xf>
    <xf numFmtId="0" fontId="29" fillId="2" borderId="0" xfId="0" applyFont="1" applyFill="1" applyAlignment="1" applyProtection="1">
      <alignment horizontal="justify" vertical="top" wrapText="1"/>
      <protection hidden="1"/>
    </xf>
    <xf numFmtId="0" fontId="29" fillId="2" borderId="5" xfId="0" applyFont="1" applyFill="1" applyBorder="1" applyAlignment="1" applyProtection="1">
      <alignment horizontal="justify" vertical="top" wrapText="1"/>
      <protection hidden="1"/>
    </xf>
    <xf numFmtId="0" fontId="29" fillId="2" borderId="6" xfId="0" applyFont="1" applyFill="1" applyBorder="1" applyAlignment="1" applyProtection="1">
      <alignment horizontal="justify" vertical="top" wrapText="1"/>
      <protection hidden="1"/>
    </xf>
    <xf numFmtId="0" fontId="29" fillId="2" borderId="7" xfId="0" applyFont="1" applyFill="1" applyBorder="1" applyAlignment="1" applyProtection="1">
      <alignment horizontal="justify" vertical="top" wrapText="1"/>
      <protection hidden="1"/>
    </xf>
    <xf numFmtId="0" fontId="29" fillId="2" borderId="8" xfId="0" applyFont="1" applyFill="1" applyBorder="1" applyAlignment="1" applyProtection="1">
      <alignment horizontal="justify" vertical="top" wrapText="1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9" fillId="5" borderId="15" xfId="0" applyFont="1" applyFill="1" applyBorder="1" applyAlignment="1" applyProtection="1">
      <alignment horizontal="center" textRotation="180"/>
      <protection hidden="1"/>
    </xf>
    <xf numFmtId="0" fontId="19" fillId="5" borderId="16" xfId="0" applyFont="1" applyFill="1" applyBorder="1" applyAlignment="1" applyProtection="1">
      <alignment horizontal="center" textRotation="180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0" fillId="5" borderId="15" xfId="0" applyFill="1" applyBorder="1" applyAlignment="1" applyProtection="1">
      <alignment horizontal="center" vertical="center" textRotation="180"/>
      <protection hidden="1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 textRotation="90"/>
    </xf>
    <xf numFmtId="0" fontId="20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/>
        <vertical/>
        <horizontal/>
      </border>
    </dxf>
    <dxf>
      <border>
        <left/>
        <right/>
        <bottom/>
        <vertical/>
        <horizontal/>
      </border>
    </dxf>
    <dxf>
      <border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/>
        <bottom/>
        <vertical/>
        <horizontal/>
      </border>
    </dxf>
    <dxf>
      <border>
        <right/>
        <vertical/>
        <horizontal/>
      </border>
    </dxf>
    <dxf>
      <font>
        <color theme="1"/>
      </font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DCFEE"/>
      <color rgb="FF00FFFF"/>
      <color rgb="FFD9D9D9"/>
      <color rgb="FF66FFFF"/>
      <color rgb="FFFFFFFF"/>
      <color rgb="FFFFCCFF"/>
      <color rgb="FFCC99FF"/>
      <color rgb="FFFF66CC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pH!$C$4:$C$14</c:f>
              <c:numCache>
                <c:formatCode>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960</c:v>
                </c:pt>
              </c:numCache>
            </c:numRef>
          </c:xVal>
          <c:yVal>
            <c:numRef>
              <c:f>pH!$E$4:$E$14</c:f>
              <c:numCache>
                <c:formatCode>0.00</c:formatCode>
                <c:ptCount val="11"/>
                <c:pt idx="0">
                  <c:v>1</c:v>
                </c:pt>
                <c:pt idx="1">
                  <c:v>1.0475112058789784</c:v>
                </c:pt>
                <c:pt idx="2">
                  <c:v>1.100865878190175</c:v>
                </c:pt>
                <c:pt idx="3">
                  <c:v>1.1617056680406879</c:v>
                </c:pt>
                <c:pt idx="4">
                  <c:v>1.2324788655243539</c:v>
                </c:pt>
                <c:pt idx="5">
                  <c:v>1.3170743604538386</c:v>
                </c:pt>
                <c:pt idx="6">
                  <c:v>1.4222344488873178</c:v>
                </c:pt>
                <c:pt idx="7">
                  <c:v>1.5612814394069845</c:v>
                </c:pt>
                <c:pt idx="8">
                  <c:v>1.7670433691298861</c:v>
                </c:pt>
                <c:pt idx="9">
                  <c:v>2.1716139567009365</c:v>
                </c:pt>
                <c:pt idx="10">
                  <c:v>3.2855573090077654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9-46DE-A717-EC9B278D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46624"/>
        <c:axId val="306555464"/>
      </c:scatterChart>
      <c:valAx>
        <c:axId val="306746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55464"/>
        <c:crosses val="autoZero"/>
        <c:crossBetween val="midCat"/>
      </c:valAx>
      <c:valAx>
        <c:axId val="306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pH!$C$22:$C$32</c:f>
              <c:numCache>
                <c:formatCode>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960</c:v>
                </c:pt>
              </c:numCache>
            </c:numRef>
          </c:xVal>
          <c:yVal>
            <c:numRef>
              <c:f>pH!$E$22:$E$32</c:f>
              <c:numCache>
                <c:formatCode>0.00</c:formatCode>
                <c:ptCount val="11"/>
                <c:pt idx="0">
                  <c:v>13</c:v>
                </c:pt>
                <c:pt idx="1">
                  <c:v>12.952488794121022</c:v>
                </c:pt>
                <c:pt idx="2">
                  <c:v>12.899134121809825</c:v>
                </c:pt>
                <c:pt idx="3">
                  <c:v>12.838294331959313</c:v>
                </c:pt>
                <c:pt idx="4">
                  <c:v>12.767521134475647</c:v>
                </c:pt>
                <c:pt idx="5">
                  <c:v>12.682925639546161</c:v>
                </c:pt>
                <c:pt idx="6">
                  <c:v>12.577765551112682</c:v>
                </c:pt>
                <c:pt idx="7">
                  <c:v>12.438718560593015</c:v>
                </c:pt>
                <c:pt idx="8">
                  <c:v>12.232956630870113</c:v>
                </c:pt>
                <c:pt idx="9">
                  <c:v>11.828386043299064</c:v>
                </c:pt>
                <c:pt idx="10">
                  <c:v>10.714442690992234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E8A-844F-9D25F2C8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71608"/>
        <c:axId val="307371992"/>
      </c:scatterChart>
      <c:valAx>
        <c:axId val="3073716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71992"/>
        <c:crosses val="autoZero"/>
        <c:crossBetween val="midCat"/>
      </c:valAx>
      <c:valAx>
        <c:axId val="3073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D$9" fmlaRange="$AG$7:$AG$10" sel="2" val="0"/>
</file>

<file path=xl/ctrlProps/ctrlProp10.xml><?xml version="1.0" encoding="utf-8"?>
<formControlPr xmlns="http://schemas.microsoft.com/office/spreadsheetml/2009/9/main" objectType="CheckBox" fmlaLink="$C$12" lockText="1"/>
</file>

<file path=xl/ctrlProps/ctrlProp11.xml><?xml version="1.0" encoding="utf-8"?>
<formControlPr xmlns="http://schemas.microsoft.com/office/spreadsheetml/2009/9/main" objectType="CheckBox" fmlaLink="$P$18" lockText="1"/>
</file>

<file path=xl/ctrlProps/ctrlProp12.xml><?xml version="1.0" encoding="utf-8"?>
<formControlPr xmlns="http://schemas.microsoft.com/office/spreadsheetml/2009/9/main" objectType="Drop" dropStyle="combo" dx="16" fmlaLink="$C$11" fmlaRange="$AG$15:$AG$21" noThreeD="1" sel="1" val="0"/>
</file>

<file path=xl/ctrlProps/ctrlProp13.xml><?xml version="1.0" encoding="utf-8"?>
<formControlPr xmlns="http://schemas.microsoft.com/office/spreadsheetml/2009/9/main" objectType="Radio" firstButton="1" fmlaLink="$E$10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16" fmlaLink="$D$11" fmlaRange="$AG$4:$AG$6" sel="2" val="0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CheckBox" fmlaLink="$C$16" lockText="1"/>
</file>

<file path=xl/ctrlProps/ctrlProp22.xml><?xml version="1.0" encoding="utf-8"?>
<formControlPr xmlns="http://schemas.microsoft.com/office/spreadsheetml/2009/9/main" objectType="CheckBox" fmlaLink="$C$17" lockText="1"/>
</file>

<file path=xl/ctrlProps/ctrlProp23.xml><?xml version="1.0" encoding="utf-8"?>
<formControlPr xmlns="http://schemas.microsoft.com/office/spreadsheetml/2009/9/main" objectType="CheckBox" fmlaLink="$C$18" lockText="1"/>
</file>

<file path=xl/ctrlProps/ctrlProp24.xml><?xml version="1.0" encoding="utf-8"?>
<formControlPr xmlns="http://schemas.microsoft.com/office/spreadsheetml/2009/9/main" objectType="Radio" checked="Checked" lockText="1"/>
</file>

<file path=xl/ctrlProps/ctrlProp25.xml><?xml version="1.0" encoding="utf-8"?>
<formControlPr xmlns="http://schemas.microsoft.com/office/spreadsheetml/2009/9/main" objectType="CheckBox" fmlaLink="$W$12" lockText="1"/>
</file>

<file path=xl/ctrlProps/ctrlProp26.xml><?xml version="1.0" encoding="utf-8"?>
<formControlPr xmlns="http://schemas.microsoft.com/office/spreadsheetml/2009/9/main" objectType="CheckBox" checked="Checked" fmlaLink="$W$13" lockText="1"/>
</file>

<file path=xl/ctrlProps/ctrlProp27.xml><?xml version="1.0" encoding="utf-8"?>
<formControlPr xmlns="http://schemas.microsoft.com/office/spreadsheetml/2009/9/main" objectType="Spin" dx="22" fmlaLink="$Y$23" max="2" page="10"/>
</file>

<file path=xl/ctrlProps/ctrlProp28.xml><?xml version="1.0" encoding="utf-8"?>
<formControlPr xmlns="http://schemas.microsoft.com/office/spreadsheetml/2009/9/main" objectType="CheckBox" fmlaLink="$G$22" lockText="1"/>
</file>

<file path=xl/ctrlProps/ctrlProp29.xml><?xml version="1.0" encoding="utf-8"?>
<formControlPr xmlns="http://schemas.microsoft.com/office/spreadsheetml/2009/9/main" objectType="CheckBox" fmlaLink="$K$20" lockText="1"/>
</file>

<file path=xl/ctrlProps/ctrlProp3.xml><?xml version="1.0" encoding="utf-8"?>
<formControlPr xmlns="http://schemas.microsoft.com/office/spreadsheetml/2009/9/main" objectType="Drop" dropStyle="combo" dx="16" fmlaLink="$J$4" fmlaRange="$AK$3:$AK$13" sel="2" val="0"/>
</file>

<file path=xl/ctrlProps/ctrlProp30.xml><?xml version="1.0" encoding="utf-8"?>
<formControlPr xmlns="http://schemas.microsoft.com/office/spreadsheetml/2009/9/main" objectType="CheckBox" fmlaLink="$K$21" lockText="1"/>
</file>

<file path=xl/ctrlProps/ctrlProp31.xml><?xml version="1.0" encoding="utf-8"?>
<formControlPr xmlns="http://schemas.microsoft.com/office/spreadsheetml/2009/9/main" objectType="CheckBox" fmlaLink="$G$23" lockText="1"/>
</file>

<file path=xl/ctrlProps/ctrlProp32.xml><?xml version="1.0" encoding="utf-8"?>
<formControlPr xmlns="http://schemas.microsoft.com/office/spreadsheetml/2009/9/main" objectType="CheckBox" fmlaLink="$K$23" lockText="1"/>
</file>

<file path=xl/ctrlProps/ctrlProp33.xml><?xml version="1.0" encoding="utf-8"?>
<formControlPr xmlns="http://schemas.microsoft.com/office/spreadsheetml/2009/9/main" objectType="CheckBox" fmlaLink="$G$20" lockText="1"/>
</file>

<file path=xl/ctrlProps/ctrlProp34.xml><?xml version="1.0" encoding="utf-8"?>
<formControlPr xmlns="http://schemas.microsoft.com/office/spreadsheetml/2009/9/main" objectType="CheckBox" fmlaLink="$K$22" lockText="1"/>
</file>

<file path=xl/ctrlProps/ctrlProp35.xml><?xml version="1.0" encoding="utf-8"?>
<formControlPr xmlns="http://schemas.microsoft.com/office/spreadsheetml/2009/9/main" objectType="CheckBox" fmlaLink="$G$21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Lines="9" dropStyle="combo" dx="16" fmlaLink="$D$10" fmlaRange="$AH$4:$AH$13" sel="6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CheckBox" fmlaLink="$R$23" lockText="1"/>
</file>

<file path=xl/ctrlProps/ctrlProp6.xml><?xml version="1.0" encoding="utf-8"?>
<formControlPr xmlns="http://schemas.microsoft.com/office/spreadsheetml/2009/9/main" objectType="CheckBox" fmlaLink="$R$20" lockText="1"/>
</file>

<file path=xl/ctrlProps/ctrlProp7.xml><?xml version="1.0" encoding="utf-8"?>
<formControlPr xmlns="http://schemas.microsoft.com/office/spreadsheetml/2009/9/main" objectType="CheckBox" fmlaLink="$R$22" lockText="1"/>
</file>

<file path=xl/ctrlProps/ctrlProp8.xml><?xml version="1.0" encoding="utf-8"?>
<formControlPr xmlns="http://schemas.microsoft.com/office/spreadsheetml/2009/9/main" objectType="CheckBox" fmlaLink="$Q$24" lockText="1"/>
</file>

<file path=xl/ctrlProps/ctrlProp9.xml><?xml version="1.0" encoding="utf-8"?>
<formControlPr xmlns="http://schemas.microsoft.com/office/spreadsheetml/2009/9/main" objectType="Spin" dx="22" fmlaLink="$AB$3" max="1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LE_CrtCA4U" TargetMode="External"/><Relationship Id="rId13" Type="http://schemas.openxmlformats.org/officeDocument/2006/relationships/image" Target="../media/image9.emf"/><Relationship Id="rId18" Type="http://schemas.openxmlformats.org/officeDocument/2006/relationships/image" Target="../media/image14.emf"/><Relationship Id="rId26" Type="http://schemas.openxmlformats.org/officeDocument/2006/relationships/image" Target="../media/image22.emf"/><Relationship Id="rId3" Type="http://schemas.openxmlformats.org/officeDocument/2006/relationships/image" Target="../media/image4.png"/><Relationship Id="rId21" Type="http://schemas.openxmlformats.org/officeDocument/2006/relationships/image" Target="../media/image17.emf"/><Relationship Id="rId7" Type="http://schemas.openxmlformats.org/officeDocument/2006/relationships/image" Target="../media/image8.emf"/><Relationship Id="rId12" Type="http://schemas.openxmlformats.org/officeDocument/2006/relationships/hyperlink" Target="Elektrolisis%20H2SO4_Cu.mp4" TargetMode="External"/><Relationship Id="rId17" Type="http://schemas.openxmlformats.org/officeDocument/2006/relationships/image" Target="../media/image13.emf"/><Relationship Id="rId25" Type="http://schemas.openxmlformats.org/officeDocument/2006/relationships/image" Target="../media/image21.emf"/><Relationship Id="rId2" Type="http://schemas.openxmlformats.org/officeDocument/2006/relationships/image" Target="../media/image3.png"/><Relationship Id="rId16" Type="http://schemas.openxmlformats.org/officeDocument/2006/relationships/image" Target="../media/image12.emf"/><Relationship Id="rId20" Type="http://schemas.openxmlformats.org/officeDocument/2006/relationships/image" Target="../media/image16.emf"/><Relationship Id="rId29" Type="http://schemas.openxmlformats.org/officeDocument/2006/relationships/image" Target="../media/image25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hyperlink" Target="Elektrolisis_Penyepuhan%20Emas.mpg" TargetMode="External"/><Relationship Id="rId24" Type="http://schemas.openxmlformats.org/officeDocument/2006/relationships/image" Target="../media/image20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23" Type="http://schemas.openxmlformats.org/officeDocument/2006/relationships/image" Target="../media/image19.emf"/><Relationship Id="rId28" Type="http://schemas.openxmlformats.org/officeDocument/2006/relationships/image" Target="../media/image24.emf"/><Relationship Id="rId10" Type="http://schemas.openxmlformats.org/officeDocument/2006/relationships/hyperlink" Target="Elektrolisis%20Larutan%20NaCl.mp4" TargetMode="External"/><Relationship Id="rId19" Type="http://schemas.openxmlformats.org/officeDocument/2006/relationships/image" Target="../media/image15.emf"/><Relationship Id="rId31" Type="http://schemas.openxmlformats.org/officeDocument/2006/relationships/image" Target="../media/image27.emf"/><Relationship Id="rId4" Type="http://schemas.openxmlformats.org/officeDocument/2006/relationships/image" Target="../media/image5.jpeg"/><Relationship Id="rId9" Type="http://schemas.openxmlformats.org/officeDocument/2006/relationships/hyperlink" Target="Elektrolisis%20Larutan%20CuSO4.mp4" TargetMode="External"/><Relationship Id="rId14" Type="http://schemas.openxmlformats.org/officeDocument/2006/relationships/image" Target="../media/image10.emf"/><Relationship Id="rId22" Type="http://schemas.openxmlformats.org/officeDocument/2006/relationships/image" Target="../media/image18.emf"/><Relationship Id="rId27" Type="http://schemas.openxmlformats.org/officeDocument/2006/relationships/image" Target="../media/image23.emf"/><Relationship Id="rId30" Type="http://schemas.openxmlformats.org/officeDocument/2006/relationships/image" Target="../media/image26.emf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9.png"/><Relationship Id="rId18" Type="http://schemas.openxmlformats.org/officeDocument/2006/relationships/image" Target="../media/image114.png"/><Relationship Id="rId26" Type="http://schemas.openxmlformats.org/officeDocument/2006/relationships/image" Target="../media/image122.png"/><Relationship Id="rId39" Type="http://schemas.openxmlformats.org/officeDocument/2006/relationships/image" Target="../media/image135.png"/><Relationship Id="rId21" Type="http://schemas.openxmlformats.org/officeDocument/2006/relationships/image" Target="../media/image117.png"/><Relationship Id="rId34" Type="http://schemas.openxmlformats.org/officeDocument/2006/relationships/image" Target="../media/image130.png"/><Relationship Id="rId42" Type="http://schemas.openxmlformats.org/officeDocument/2006/relationships/image" Target="../media/image137.png"/><Relationship Id="rId47" Type="http://schemas.openxmlformats.org/officeDocument/2006/relationships/hyperlink" Target="#'CONTOH REAKSI'!A1"/><Relationship Id="rId50" Type="http://schemas.openxmlformats.org/officeDocument/2006/relationships/image" Target="../media/image142.png"/><Relationship Id="rId55" Type="http://schemas.openxmlformats.org/officeDocument/2006/relationships/image" Target="../media/image147.png"/><Relationship Id="rId7" Type="http://schemas.openxmlformats.org/officeDocument/2006/relationships/image" Target="../media/image103.png"/><Relationship Id="rId12" Type="http://schemas.openxmlformats.org/officeDocument/2006/relationships/image" Target="../media/image108.png"/><Relationship Id="rId17" Type="http://schemas.openxmlformats.org/officeDocument/2006/relationships/image" Target="../media/image113.png"/><Relationship Id="rId25" Type="http://schemas.openxmlformats.org/officeDocument/2006/relationships/image" Target="../media/image121.png"/><Relationship Id="rId33" Type="http://schemas.openxmlformats.org/officeDocument/2006/relationships/image" Target="../media/image129.png"/><Relationship Id="rId38" Type="http://schemas.openxmlformats.org/officeDocument/2006/relationships/image" Target="../media/image134.png"/><Relationship Id="rId46" Type="http://schemas.openxmlformats.org/officeDocument/2006/relationships/hyperlink" Target="#MATERI!A1"/><Relationship Id="rId59" Type="http://schemas.openxmlformats.org/officeDocument/2006/relationships/image" Target="../media/image151.png"/><Relationship Id="rId2" Type="http://schemas.openxmlformats.org/officeDocument/2006/relationships/image" Target="../media/image98.png"/><Relationship Id="rId16" Type="http://schemas.openxmlformats.org/officeDocument/2006/relationships/image" Target="../media/image112.png"/><Relationship Id="rId20" Type="http://schemas.openxmlformats.org/officeDocument/2006/relationships/image" Target="../media/image116.png"/><Relationship Id="rId29" Type="http://schemas.openxmlformats.org/officeDocument/2006/relationships/image" Target="../media/image125.png"/><Relationship Id="rId41" Type="http://schemas.openxmlformats.org/officeDocument/2006/relationships/hyperlink" Target="#'Cover '!A1"/><Relationship Id="rId54" Type="http://schemas.openxmlformats.org/officeDocument/2006/relationships/image" Target="../media/image146.png"/><Relationship Id="rId1" Type="http://schemas.openxmlformats.org/officeDocument/2006/relationships/image" Target="../media/image97.png"/><Relationship Id="rId6" Type="http://schemas.openxmlformats.org/officeDocument/2006/relationships/image" Target="../media/image102.png"/><Relationship Id="rId11" Type="http://schemas.openxmlformats.org/officeDocument/2006/relationships/image" Target="../media/image107.png"/><Relationship Id="rId24" Type="http://schemas.openxmlformats.org/officeDocument/2006/relationships/image" Target="../media/image120.png"/><Relationship Id="rId32" Type="http://schemas.openxmlformats.org/officeDocument/2006/relationships/image" Target="../media/image128.png"/><Relationship Id="rId37" Type="http://schemas.openxmlformats.org/officeDocument/2006/relationships/image" Target="../media/image133.png"/><Relationship Id="rId40" Type="http://schemas.openxmlformats.org/officeDocument/2006/relationships/image" Target="../media/image136.png"/><Relationship Id="rId45" Type="http://schemas.openxmlformats.org/officeDocument/2006/relationships/image" Target="../media/image139.jpeg"/><Relationship Id="rId53" Type="http://schemas.openxmlformats.org/officeDocument/2006/relationships/image" Target="../media/image145.png"/><Relationship Id="rId58" Type="http://schemas.openxmlformats.org/officeDocument/2006/relationships/image" Target="../media/image150.png"/><Relationship Id="rId5" Type="http://schemas.openxmlformats.org/officeDocument/2006/relationships/image" Target="../media/image101.png"/><Relationship Id="rId15" Type="http://schemas.openxmlformats.org/officeDocument/2006/relationships/image" Target="../media/image111.png"/><Relationship Id="rId23" Type="http://schemas.openxmlformats.org/officeDocument/2006/relationships/image" Target="../media/image119.png"/><Relationship Id="rId28" Type="http://schemas.openxmlformats.org/officeDocument/2006/relationships/image" Target="../media/image124.png"/><Relationship Id="rId36" Type="http://schemas.openxmlformats.org/officeDocument/2006/relationships/image" Target="../media/image132.png"/><Relationship Id="rId49" Type="http://schemas.openxmlformats.org/officeDocument/2006/relationships/image" Target="../media/image141.png"/><Relationship Id="rId57" Type="http://schemas.openxmlformats.org/officeDocument/2006/relationships/image" Target="../media/image149.png"/><Relationship Id="rId10" Type="http://schemas.openxmlformats.org/officeDocument/2006/relationships/image" Target="../media/image106.png"/><Relationship Id="rId19" Type="http://schemas.openxmlformats.org/officeDocument/2006/relationships/image" Target="../media/image115.png"/><Relationship Id="rId31" Type="http://schemas.openxmlformats.org/officeDocument/2006/relationships/image" Target="../media/image127.png"/><Relationship Id="rId44" Type="http://schemas.openxmlformats.org/officeDocument/2006/relationships/hyperlink" Target="#PENDAHULUAN!A1"/><Relationship Id="rId52" Type="http://schemas.openxmlformats.org/officeDocument/2006/relationships/image" Target="../media/image144.png"/><Relationship Id="rId60" Type="http://schemas.openxmlformats.org/officeDocument/2006/relationships/image" Target="../media/image152.png"/><Relationship Id="rId4" Type="http://schemas.openxmlformats.org/officeDocument/2006/relationships/image" Target="../media/image100.png"/><Relationship Id="rId9" Type="http://schemas.openxmlformats.org/officeDocument/2006/relationships/image" Target="../media/image105.png"/><Relationship Id="rId14" Type="http://schemas.openxmlformats.org/officeDocument/2006/relationships/image" Target="../media/image110.png"/><Relationship Id="rId22" Type="http://schemas.openxmlformats.org/officeDocument/2006/relationships/image" Target="../media/image118.png"/><Relationship Id="rId27" Type="http://schemas.openxmlformats.org/officeDocument/2006/relationships/image" Target="../media/image123.png"/><Relationship Id="rId30" Type="http://schemas.openxmlformats.org/officeDocument/2006/relationships/image" Target="../media/image126.png"/><Relationship Id="rId35" Type="http://schemas.openxmlformats.org/officeDocument/2006/relationships/image" Target="../media/image131.png"/><Relationship Id="rId43" Type="http://schemas.openxmlformats.org/officeDocument/2006/relationships/image" Target="../media/image138.svg"/><Relationship Id="rId48" Type="http://schemas.openxmlformats.org/officeDocument/2006/relationships/image" Target="../media/image140.png"/><Relationship Id="rId56" Type="http://schemas.openxmlformats.org/officeDocument/2006/relationships/image" Target="../media/image148.png"/><Relationship Id="rId8" Type="http://schemas.openxmlformats.org/officeDocument/2006/relationships/image" Target="../media/image104.png"/><Relationship Id="rId51" Type="http://schemas.openxmlformats.org/officeDocument/2006/relationships/image" Target="../media/image143.png"/><Relationship Id="rId3" Type="http://schemas.openxmlformats.org/officeDocument/2006/relationships/image" Target="../media/image9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18" Type="http://schemas.openxmlformats.org/officeDocument/2006/relationships/image" Target="../media/image73.png"/><Relationship Id="rId3" Type="http://schemas.openxmlformats.org/officeDocument/2006/relationships/image" Target="../media/image58.png"/><Relationship Id="rId21" Type="http://schemas.openxmlformats.org/officeDocument/2006/relationships/image" Target="../media/image76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17" Type="http://schemas.openxmlformats.org/officeDocument/2006/relationships/image" Target="../media/image72.png"/><Relationship Id="rId2" Type="http://schemas.openxmlformats.org/officeDocument/2006/relationships/image" Target="../media/image57.png"/><Relationship Id="rId16" Type="http://schemas.openxmlformats.org/officeDocument/2006/relationships/image" Target="../media/image71.png"/><Relationship Id="rId20" Type="http://schemas.openxmlformats.org/officeDocument/2006/relationships/image" Target="../media/image75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5" Type="http://schemas.openxmlformats.org/officeDocument/2006/relationships/image" Target="../media/image70.png"/><Relationship Id="rId10" Type="http://schemas.openxmlformats.org/officeDocument/2006/relationships/image" Target="../media/image65.png"/><Relationship Id="rId19" Type="http://schemas.openxmlformats.org/officeDocument/2006/relationships/image" Target="../media/image7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4.png"/><Relationship Id="rId7" Type="http://schemas.openxmlformats.org/officeDocument/2006/relationships/image" Target="../media/image8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" Type="http://schemas.openxmlformats.org/officeDocument/2006/relationships/image" Target="../media/image89.png"/><Relationship Id="rId4" Type="http://schemas.openxmlformats.org/officeDocument/2006/relationships/image" Target="../media/image9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13" Type="http://schemas.openxmlformats.org/officeDocument/2006/relationships/image" Target="../media/image40.emf"/><Relationship Id="rId18" Type="http://schemas.openxmlformats.org/officeDocument/2006/relationships/image" Target="../media/image45.emf"/><Relationship Id="rId3" Type="http://schemas.openxmlformats.org/officeDocument/2006/relationships/image" Target="../media/image30.emf"/><Relationship Id="rId21" Type="http://schemas.openxmlformats.org/officeDocument/2006/relationships/image" Target="../media/image48.emf"/><Relationship Id="rId7" Type="http://schemas.openxmlformats.org/officeDocument/2006/relationships/image" Target="../media/image34.emf"/><Relationship Id="rId12" Type="http://schemas.openxmlformats.org/officeDocument/2006/relationships/image" Target="../media/image39.emf"/><Relationship Id="rId17" Type="http://schemas.openxmlformats.org/officeDocument/2006/relationships/image" Target="../media/image44.emf"/><Relationship Id="rId2" Type="http://schemas.openxmlformats.org/officeDocument/2006/relationships/image" Target="../media/image29.emf"/><Relationship Id="rId16" Type="http://schemas.openxmlformats.org/officeDocument/2006/relationships/image" Target="../media/image43.emf"/><Relationship Id="rId20" Type="http://schemas.openxmlformats.org/officeDocument/2006/relationships/image" Target="../media/image47.emf"/><Relationship Id="rId1" Type="http://schemas.openxmlformats.org/officeDocument/2006/relationships/image" Target="../media/image28.emf"/><Relationship Id="rId6" Type="http://schemas.openxmlformats.org/officeDocument/2006/relationships/image" Target="../media/image33.emf"/><Relationship Id="rId11" Type="http://schemas.openxmlformats.org/officeDocument/2006/relationships/image" Target="../media/image38.emf"/><Relationship Id="rId5" Type="http://schemas.openxmlformats.org/officeDocument/2006/relationships/image" Target="../media/image32.emf"/><Relationship Id="rId15" Type="http://schemas.openxmlformats.org/officeDocument/2006/relationships/image" Target="../media/image42.emf"/><Relationship Id="rId10" Type="http://schemas.openxmlformats.org/officeDocument/2006/relationships/image" Target="../media/image37.emf"/><Relationship Id="rId19" Type="http://schemas.openxmlformats.org/officeDocument/2006/relationships/image" Target="../media/image46.emf"/><Relationship Id="rId4" Type="http://schemas.openxmlformats.org/officeDocument/2006/relationships/image" Target="../media/image31.emf"/><Relationship Id="rId9" Type="http://schemas.openxmlformats.org/officeDocument/2006/relationships/image" Target="../media/image36.emf"/><Relationship Id="rId14" Type="http://schemas.openxmlformats.org/officeDocument/2006/relationships/image" Target="../media/image41.emf"/><Relationship Id="rId22" Type="http://schemas.openxmlformats.org/officeDocument/2006/relationships/image" Target="../media/image4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3</xdr:row>
      <xdr:rowOff>219074</xdr:rowOff>
    </xdr:from>
    <xdr:to>
      <xdr:col>20</xdr:col>
      <xdr:colOff>95249</xdr:colOff>
      <xdr:row>5</xdr:row>
      <xdr:rowOff>95249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/>
      </xdr:nvGrpSpPr>
      <xdr:grpSpPr>
        <a:xfrm>
          <a:off x="8870496" y="715735"/>
          <a:ext cx="1273628" cy="338818"/>
          <a:chOff x="5648324" y="590549"/>
          <a:chExt cx="1266824" cy="400092"/>
        </a:xfrm>
      </xdr:grpSpPr>
      <xdr:pic>
        <xdr:nvPicPr>
          <xdr:cNvPr id="396" name="Picture 395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397" name="Pictur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398" name="Picture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352425</xdr:colOff>
      <xdr:row>6</xdr:row>
      <xdr:rowOff>47625</xdr:rowOff>
    </xdr:from>
    <xdr:to>
      <xdr:col>21</xdr:col>
      <xdr:colOff>57150</xdr:colOff>
      <xdr:row>15</xdr:row>
      <xdr:rowOff>57150</xdr:rowOff>
    </xdr:to>
    <xdr:pic>
      <xdr:nvPicPr>
        <xdr:cNvPr id="331" name="Picture 330" descr="https://tse1.mm.bing.net/th?id=OIP.21DcHGKvG-aB8KhY0mAbPwAAAA&amp;pid=Api&amp;P=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2571750" cy="195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523875</xdr:colOff>
      <xdr:row>1</xdr:row>
      <xdr:rowOff>190500</xdr:rowOff>
    </xdr:from>
    <xdr:to>
      <xdr:col>13</xdr:col>
      <xdr:colOff>0</xdr:colOff>
      <xdr:row>7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6200" y="247650"/>
          <a:ext cx="2495550" cy="1181099"/>
        </a:xfrm>
        <a:prstGeom prst="rect">
          <a:avLst/>
        </a:prstGeom>
        <a:noFill/>
        <a:ln w="381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781050</xdr:colOff>
      <xdr:row>10</xdr:row>
      <xdr:rowOff>28575</xdr:rowOff>
    </xdr:from>
    <xdr:to>
      <xdr:col>39</xdr:col>
      <xdr:colOff>209550</xdr:colOff>
      <xdr:row>13</xdr:row>
      <xdr:rowOff>19050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20925064" y="2137682"/>
          <a:ext cx="824593" cy="602797"/>
          <a:chOff x="9791700" y="2743200"/>
          <a:chExt cx="523875" cy="657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80" name="Rectangl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2" name="Rectangl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4" name="Rectangle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6" name="Rectangle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638175</xdr:colOff>
          <xdr:row>18</xdr:row>
          <xdr:rowOff>95250</xdr:rowOff>
        </xdr:from>
        <xdr:to>
          <xdr:col>17</xdr:col>
          <xdr:colOff>352425</xdr:colOff>
          <xdr:row>23</xdr:row>
          <xdr:rowOff>57150</xdr:rowOff>
        </xdr:to>
        <xdr:grpSp>
          <xdr:nvGrpSpPr>
            <xdr:cNvPr id="978364" name="Group 978363">
              <a:extLst>
                <a:ext uri="{FF2B5EF4-FFF2-40B4-BE49-F238E27FC236}">
                  <a16:creationId xmlns:a16="http://schemas.microsoft.com/office/drawing/2014/main" id="{00000000-0008-0000-0000-0000BCED0E00}"/>
                </a:ext>
              </a:extLst>
            </xdr:cNvPr>
            <xdr:cNvGrpSpPr/>
          </xdr:nvGrpSpPr>
          <xdr:grpSpPr>
            <a:xfrm>
              <a:off x="7441746" y="3803196"/>
              <a:ext cx="809625" cy="989240"/>
              <a:chOff x="7334250" y="3857625"/>
              <a:chExt cx="809625" cy="990600"/>
            </a:xfrm>
          </xdr:grpSpPr>
          <xdr:sp macro="" textlink="">
            <xdr:nvSpPr>
              <xdr:cNvPr id="1140" name="Check Box 116" hidden="1">
                <a:extLst>
                  <a:ext uri="{63B3BB69-23CF-44E3-9099-C40C66FF867C}">
                    <a14:compatExt spid="_x0000_s1140"/>
                  </a:ext>
                  <a:ext uri="{FF2B5EF4-FFF2-40B4-BE49-F238E27FC236}">
                    <a16:creationId xmlns:a16="http://schemas.microsoft.com/office/drawing/2014/main" id="{00000000-0008-0000-0000-000074040000}"/>
                  </a:ext>
                </a:extLst>
              </xdr:cNvPr>
              <xdr:cNvSpPr/>
            </xdr:nvSpPr>
            <xdr:spPr bwMode="auto">
              <a:xfrm>
                <a:off x="7334250" y="4095750"/>
                <a:ext cx="800100" cy="23812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KATODA</a:t>
                </a:r>
              </a:p>
            </xdr:txBody>
          </xdr:sp>
          <xdr:sp macro="" textlink="">
            <xdr:nvSpPr>
              <xdr:cNvPr id="1143" name="Check Box 119" hidden="1">
                <a:extLst>
                  <a:ext uri="{63B3BB69-23CF-44E3-9099-C40C66FF867C}">
                    <a14:compatExt spid="_x0000_s1143"/>
                  </a:ext>
                  <a:ext uri="{FF2B5EF4-FFF2-40B4-BE49-F238E27FC236}">
                    <a16:creationId xmlns:a16="http://schemas.microsoft.com/office/drawing/2014/main" id="{00000000-0008-0000-0000-000077040000}"/>
                  </a:ext>
                </a:extLst>
              </xdr:cNvPr>
              <xdr:cNvSpPr/>
            </xdr:nvSpPr>
            <xdr:spPr bwMode="auto">
              <a:xfrm>
                <a:off x="7334250" y="3857625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IONISASI</a:t>
                </a:r>
              </a:p>
            </xdr:txBody>
          </xdr:sp>
          <xdr:sp macro="" textlink="">
            <xdr:nvSpPr>
              <xdr:cNvPr id="1144" name="Check Box 120" hidden="1">
                <a:extLst>
                  <a:ext uri="{63B3BB69-23CF-44E3-9099-C40C66FF867C}">
                    <a14:compatExt spid="_x0000_s1144"/>
                  </a:ext>
                  <a:ext uri="{FF2B5EF4-FFF2-40B4-BE49-F238E27FC236}">
                    <a16:creationId xmlns:a16="http://schemas.microsoft.com/office/drawing/2014/main" id="{00000000-0008-0000-0000-000078040000}"/>
                  </a:ext>
                </a:extLst>
              </xdr:cNvPr>
              <xdr:cNvSpPr/>
            </xdr:nvSpPr>
            <xdr:spPr bwMode="auto">
              <a:xfrm>
                <a:off x="7334250" y="4324350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ANODA</a:t>
                </a:r>
              </a:p>
            </xdr:txBody>
          </xdr:sp>
          <xdr:sp macro="" textlink="">
            <xdr:nvSpPr>
              <xdr:cNvPr id="1145" name="Check Box 121" hidden="1">
                <a:extLst>
                  <a:ext uri="{63B3BB69-23CF-44E3-9099-C40C66FF867C}">
                    <a14:compatExt spid="_x0000_s1145"/>
                  </a:ext>
                  <a:ext uri="{FF2B5EF4-FFF2-40B4-BE49-F238E27FC236}">
                    <a16:creationId xmlns:a16="http://schemas.microsoft.com/office/drawing/2014/main" id="{00000000-0008-0000-0000-000079040000}"/>
                  </a:ext>
                </a:extLst>
              </xdr:cNvPr>
              <xdr:cNvSpPr/>
            </xdr:nvSpPr>
            <xdr:spPr bwMode="auto">
              <a:xfrm>
                <a:off x="7343775" y="4619625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REAKSI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38</xdr:col>
      <xdr:colOff>104775</xdr:colOff>
      <xdr:row>15</xdr:row>
      <xdr:rowOff>76200</xdr:rowOff>
    </xdr:from>
    <xdr:to>
      <xdr:col>38</xdr:col>
      <xdr:colOff>523875</xdr:colOff>
      <xdr:row>18</xdr:row>
      <xdr:rowOff>180975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1032561" y="3192236"/>
          <a:ext cx="419100" cy="696685"/>
          <a:chOff x="9791700" y="2743200"/>
          <a:chExt cx="523875" cy="657225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5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5D3AFB1-3E42-4C4D-A063-1DE749BC5299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576AE76-4C2B-4BD0-B04C-A5F11485D2B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D19487-9289-4B23-B023-303EED13890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5">
            <xdr:nvSpPr>
              <xdr:cNvPr id="110" name="Rectangle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FAFAD5E-5CB1-4248-9464-9473D7E1DC9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11" name="Rectangle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49760C-51AF-474A-8F85-DA55609B5ED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5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6A89D9D-2890-4574-8121-2BF799D5FEC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6" name="Rectangle 105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2D99397-2050-4BE3-B4D6-F80BF566BAA2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1DF9087-6FAB-411A-8DFB-D2AF09C8062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8" name="Rectangle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C06C8FF-764D-4F31-8177-FC749E8A94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9" name="Rectangle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DFD9A3-03FC-4DCD-A6EE-F9FA56C30DDB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38</xdr:col>
      <xdr:colOff>28575</xdr:colOff>
      <xdr:row>20</xdr:row>
      <xdr:rowOff>76200</xdr:rowOff>
    </xdr:from>
    <xdr:to>
      <xdr:col>38</xdr:col>
      <xdr:colOff>438150</xdr:colOff>
      <xdr:row>22</xdr:row>
      <xdr:rowOff>180975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0956361" y="4192361"/>
          <a:ext cx="409575" cy="512989"/>
          <a:chOff x="9791700" y="2743200"/>
          <a:chExt cx="523875" cy="657225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8" name="Rectangl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125" name="Rectangle 124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6" name="Rectangle 125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4" name="Rectangle 123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152400</xdr:colOff>
      <xdr:row>15</xdr:row>
      <xdr:rowOff>85724</xdr:rowOff>
    </xdr:from>
    <xdr:to>
      <xdr:col>40</xdr:col>
      <xdr:colOff>571500</xdr:colOff>
      <xdr:row>19</xdr:row>
      <xdr:rowOff>57150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22447704" y="3201760"/>
          <a:ext cx="419100" cy="774247"/>
          <a:chOff x="9791700" y="2743200"/>
          <a:chExt cx="523875" cy="6572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218" name="Rectangle 217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20" name="Rectangle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216" name="Rectangle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7" name="Rectangle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211" name="Rectangle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2" name="Rectangle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4" name="Rectangle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5" name="Rectangle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39</xdr:col>
      <xdr:colOff>542924</xdr:colOff>
      <xdr:row>19</xdr:row>
      <xdr:rowOff>28575</xdr:rowOff>
    </xdr:from>
    <xdr:to>
      <xdr:col>41</xdr:col>
      <xdr:colOff>38099</xdr:colOff>
      <xdr:row>24</xdr:row>
      <xdr:rowOff>180975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22083031" y="3947432"/>
          <a:ext cx="862693" cy="1179739"/>
          <a:chOff x="9791700" y="2743200"/>
          <a:chExt cx="523875" cy="657225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248" name="Rectangle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49" name="Rectangle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246" name="Rectangle 245">
                <a:extLst>
                  <a:ext uri="{FF2B5EF4-FFF2-40B4-BE49-F238E27FC236}">
                    <a16:creationId xmlns:a16="http://schemas.microsoft.com/office/drawing/2014/main" id="{00000000-0008-0000-0000-0000F6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7" name="Rectangle 246">
                <a:extLst>
                  <a:ext uri="{FF2B5EF4-FFF2-40B4-BE49-F238E27FC236}">
                    <a16:creationId xmlns:a16="http://schemas.microsoft.com/office/drawing/2014/main" id="{00000000-0008-0000-0000-0000F7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6">
            <xdr:nvSpPr>
              <xdr:cNvPr id="241" name="Rectangle 240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2" name="Rectangle 241">
                <a:extLst>
                  <a:ext uri="{FF2B5EF4-FFF2-40B4-BE49-F238E27FC236}">
                    <a16:creationId xmlns:a16="http://schemas.microsoft.com/office/drawing/2014/main" id="{00000000-0008-0000-0000-0000F2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3" name="Rectangle 242">
                <a:extLst>
                  <a:ext uri="{FF2B5EF4-FFF2-40B4-BE49-F238E27FC236}">
                    <a16:creationId xmlns:a16="http://schemas.microsoft.com/office/drawing/2014/main" id="{00000000-0008-0000-0000-0000F3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4" name="Rectangle 243">
                <a:extLst>
                  <a:ext uri="{FF2B5EF4-FFF2-40B4-BE49-F238E27FC236}">
                    <a16:creationId xmlns:a16="http://schemas.microsoft.com/office/drawing/2014/main" id="{00000000-0008-0000-0000-0000F4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5" name="Rectangle 244">
                <a:extLst>
                  <a:ext uri="{FF2B5EF4-FFF2-40B4-BE49-F238E27FC236}">
                    <a16:creationId xmlns:a16="http://schemas.microsoft.com/office/drawing/2014/main" id="{00000000-0008-0000-0000-0000F5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38101</xdr:colOff>
      <xdr:row>25</xdr:row>
      <xdr:rowOff>19050</xdr:rowOff>
    </xdr:from>
    <xdr:to>
      <xdr:col>40</xdr:col>
      <xdr:colOff>571500</xdr:colOff>
      <xdr:row>28</xdr:row>
      <xdr:rowOff>95250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pSpPr/>
      </xdr:nvGrpSpPr>
      <xdr:grpSpPr>
        <a:xfrm>
          <a:off x="22333405" y="5155746"/>
          <a:ext cx="533399" cy="654504"/>
          <a:chOff x="9791700" y="2743200"/>
          <a:chExt cx="523875" cy="657225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293" name="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4" name="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5" name="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84" name="Group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291" name="Rectangle 290">
                <a:extLst>
                  <a:ext uri="{FF2B5EF4-FFF2-40B4-BE49-F238E27FC236}">
                    <a16:creationId xmlns:a16="http://schemas.microsoft.com/office/drawing/2014/main" id="{00000000-0008-0000-0000-000023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2" name="Rectangle 291">
                <a:extLst>
                  <a:ext uri="{FF2B5EF4-FFF2-40B4-BE49-F238E27FC236}">
                    <a16:creationId xmlns:a16="http://schemas.microsoft.com/office/drawing/2014/main" id="{00000000-0008-0000-0000-000024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285" name="Group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8">
            <xdr:nvSpPr>
              <xdr:cNvPr id="286" name="Rectangle 285">
                <a:extLst>
                  <a:ext uri="{FF2B5EF4-FFF2-40B4-BE49-F238E27FC236}">
                    <a16:creationId xmlns:a16="http://schemas.microsoft.com/office/drawing/2014/main" id="{00000000-0008-0000-0000-00001E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7" name="Rectangle 286">
                <a:extLst>
                  <a:ext uri="{FF2B5EF4-FFF2-40B4-BE49-F238E27FC236}">
                    <a16:creationId xmlns:a16="http://schemas.microsoft.com/office/drawing/2014/main" id="{00000000-0008-0000-0000-00001F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8" name="Rectangle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00000000-0008-0000-0000-000021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0" name="Rectangle 289">
                <a:extLst>
                  <a:ext uri="{FF2B5EF4-FFF2-40B4-BE49-F238E27FC236}">
                    <a16:creationId xmlns:a16="http://schemas.microsoft.com/office/drawing/2014/main" id="{00000000-0008-0000-0000-000022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114301</xdr:colOff>
          <xdr:row>3</xdr:row>
          <xdr:rowOff>9525</xdr:rowOff>
        </xdr:from>
        <xdr:to>
          <xdr:col>17</xdr:col>
          <xdr:colOff>15587</xdr:colOff>
          <xdr:row>4</xdr:row>
          <xdr:rowOff>23380</xdr:rowOff>
        </xdr:to>
        <xdr:pic>
          <xdr:nvPicPr>
            <xdr:cNvPr id="298" name="Image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" spid="_x0000_s22882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734176" y="5143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123824</xdr:colOff>
          <xdr:row>3</xdr:row>
          <xdr:rowOff>219075</xdr:rowOff>
        </xdr:from>
        <xdr:to>
          <xdr:col>17</xdr:col>
          <xdr:colOff>103042</xdr:colOff>
          <xdr:row>5</xdr:row>
          <xdr:rowOff>4330</xdr:rowOff>
        </xdr:to>
        <xdr:pic>
          <xdr:nvPicPr>
            <xdr:cNvPr id="299" name="Image1">
              <a:extLst>
                <a:ext uri="{FF2B5EF4-FFF2-40B4-BE49-F238E27FC236}">
                  <a16:creationId xmlns:a16="http://schemas.microsoft.com/office/drawing/2014/main" id="{00000000-0008-0000-0000-00002B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2" spid="_x0000_s22882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43699" y="723900"/>
              <a:ext cx="1255568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4</xdr:row>
          <xdr:rowOff>180975</xdr:rowOff>
        </xdr:from>
        <xdr:to>
          <xdr:col>17</xdr:col>
          <xdr:colOff>34636</xdr:colOff>
          <xdr:row>5</xdr:row>
          <xdr:rowOff>194830</xdr:rowOff>
        </xdr:to>
        <xdr:pic>
          <xdr:nvPicPr>
            <xdr:cNvPr id="300" name="Image1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3" spid="_x0000_s228825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53225" y="9144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3</xdr:row>
          <xdr:rowOff>66675</xdr:rowOff>
        </xdr:from>
        <xdr:to>
          <xdr:col>22</xdr:col>
          <xdr:colOff>558511</xdr:colOff>
          <xdr:row>4</xdr:row>
          <xdr:rowOff>80530</xdr:rowOff>
        </xdr:to>
        <xdr:pic>
          <xdr:nvPicPr>
            <xdr:cNvPr id="301" name="Image1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2" spid="_x0000_s228825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5715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4</xdr:row>
          <xdr:rowOff>85725</xdr:rowOff>
        </xdr:from>
        <xdr:to>
          <xdr:col>22</xdr:col>
          <xdr:colOff>558511</xdr:colOff>
          <xdr:row>5</xdr:row>
          <xdr:rowOff>99580</xdr:rowOff>
        </xdr:to>
        <xdr:pic>
          <xdr:nvPicPr>
            <xdr:cNvPr id="302" name="Image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3" spid="_x0000_s228825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8191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409575</xdr:colOff>
          <xdr:row>13</xdr:row>
          <xdr:rowOff>95250</xdr:rowOff>
        </xdr:from>
        <xdr:to>
          <xdr:col>20</xdr:col>
          <xdr:colOff>19050</xdr:colOff>
          <xdr:row>14</xdr:row>
          <xdr:rowOff>137680</xdr:rowOff>
        </xdr:to>
        <xdr:pic>
          <xdr:nvPicPr>
            <xdr:cNvPr id="296" name="Image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SAMPEL" spid="_x0000_s228825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020175" y="2828925"/>
              <a:ext cx="1047750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428625</xdr:colOff>
          <xdr:row>1</xdr:row>
          <xdr:rowOff>190500</xdr:rowOff>
        </xdr:from>
        <xdr:to>
          <xdr:col>27</xdr:col>
          <xdr:colOff>238125</xdr:colOff>
          <xdr:row>3</xdr:row>
          <xdr:rowOff>161925</xdr:rowOff>
        </xdr:to>
        <xdr:sp macro="" textlink="">
          <xdr:nvSpPr>
            <xdr:cNvPr id="65604" name="Spinner 2116" hidden="1">
              <a:extLst>
                <a:ext uri="{63B3BB69-23CF-44E3-9099-C40C66FF867C}">
                  <a14:compatExt spid="_x0000_s65604"/>
                </a:ext>
                <a:ext uri="{FF2B5EF4-FFF2-40B4-BE49-F238E27FC236}">
                  <a16:creationId xmlns:a16="http://schemas.microsoft.com/office/drawing/2014/main" id="{00000000-0008-0000-0000-00004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333375</xdr:colOff>
      <xdr:row>18</xdr:row>
      <xdr:rowOff>133350</xdr:rowOff>
    </xdr:from>
    <xdr:to>
      <xdr:col>15</xdr:col>
      <xdr:colOff>609600</xdr:colOff>
      <xdr:row>19</xdr:row>
      <xdr:rowOff>142874</xdr:rowOff>
    </xdr:to>
    <xdr:sp macro="" textlink="$Q$20">
      <xdr:nvSpPr>
        <xdr:cNvPr id="309" name="Rectangl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7277100" y="382905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6BEBD9-F57F-4477-86C3-32A90318E90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19</xdr:row>
      <xdr:rowOff>161925</xdr:rowOff>
    </xdr:from>
    <xdr:to>
      <xdr:col>15</xdr:col>
      <xdr:colOff>609600</xdr:colOff>
      <xdr:row>20</xdr:row>
      <xdr:rowOff>180974</xdr:rowOff>
    </xdr:to>
    <xdr:sp macro="" textlink="$Q$21">
      <xdr:nvSpPr>
        <xdr:cNvPr id="327" name="Rectangl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7296150" y="407670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06018A-C2CA-4E49-A04F-98E81FABA16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21</xdr:row>
      <xdr:rowOff>0</xdr:rowOff>
    </xdr:from>
    <xdr:to>
      <xdr:col>15</xdr:col>
      <xdr:colOff>609600</xdr:colOff>
      <xdr:row>22</xdr:row>
      <xdr:rowOff>19049</xdr:rowOff>
    </xdr:to>
    <xdr:sp macro="" textlink="$Q$22">
      <xdr:nvSpPr>
        <xdr:cNvPr id="328" name="Rectangl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7277100" y="43148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92AD78-03D9-49F3-AA22-C63B9FCEFEA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22</xdr:row>
      <xdr:rowOff>85725</xdr:rowOff>
    </xdr:from>
    <xdr:to>
      <xdr:col>15</xdr:col>
      <xdr:colOff>609600</xdr:colOff>
      <xdr:row>23</xdr:row>
      <xdr:rowOff>95249</xdr:rowOff>
    </xdr:to>
    <xdr:sp macro="" textlink="$Q$23">
      <xdr:nvSpPr>
        <xdr:cNvPr id="329" name="Rectangl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6953250" y="46196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8CEF58-8F05-4102-8DC7-768040AEBC3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47625</xdr:colOff>
      <xdr:row>16</xdr:row>
      <xdr:rowOff>152400</xdr:rowOff>
    </xdr:from>
    <xdr:to>
      <xdr:col>22</xdr:col>
      <xdr:colOff>685800</xdr:colOff>
      <xdr:row>17</xdr:row>
      <xdr:rowOff>190500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24625" y="3486150"/>
          <a:ext cx="5553075" cy="238125"/>
        </a:xfrm>
        <a:prstGeom prst="rect">
          <a:avLst/>
        </a:prstGeom>
        <a:solidFill>
          <a:schemeClr val="tx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104776</xdr:colOff>
      <xdr:row>16</xdr:row>
      <xdr:rowOff>180976</xdr:rowOff>
    </xdr:from>
    <xdr:to>
      <xdr:col>17</xdr:col>
      <xdr:colOff>647700</xdr:colOff>
      <xdr:row>17</xdr:row>
      <xdr:rowOff>161925</xdr:rowOff>
    </xdr:to>
    <xdr:sp macro="" textlink="$AD$19">
      <xdr:nvSpPr>
        <xdr:cNvPr id="334" name="Rectangle 3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7239001" y="3476626"/>
          <a:ext cx="542924" cy="180974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FB2080-47CC-4BA5-9E14-AC2BD7BDB13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38100</xdr:colOff>
      <xdr:row>16</xdr:row>
      <xdr:rowOff>190499</xdr:rowOff>
    </xdr:from>
    <xdr:to>
      <xdr:col>20</xdr:col>
      <xdr:colOff>171450</xdr:colOff>
      <xdr:row>17</xdr:row>
      <xdr:rowOff>161925</xdr:rowOff>
    </xdr:to>
    <xdr:sp macro="" textlink="$AD$21">
      <xdr:nvSpPr>
        <xdr:cNvPr id="339" name="Rectangle 3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8601075" y="3486149"/>
          <a:ext cx="847725" cy="171451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761294-C39F-4AC2-9F2D-2664A4DB47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123824</xdr:colOff>
      <xdr:row>16</xdr:row>
      <xdr:rowOff>180975</xdr:rowOff>
    </xdr:from>
    <xdr:to>
      <xdr:col>21</xdr:col>
      <xdr:colOff>123824</xdr:colOff>
      <xdr:row>17</xdr:row>
      <xdr:rowOff>152400</xdr:rowOff>
    </xdr:to>
    <xdr:sp macro="" textlink="$AD$22">
      <xdr:nvSpPr>
        <xdr:cNvPr id="340" name="Rectangle 3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401174" y="3476625"/>
          <a:ext cx="714375" cy="17145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E9F352-7EF4-49F9-AC0D-0C4EE3BD0E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47625</xdr:colOff>
      <xdr:row>16</xdr:row>
      <xdr:rowOff>190500</xdr:rowOff>
    </xdr:from>
    <xdr:to>
      <xdr:col>22</xdr:col>
      <xdr:colOff>361949</xdr:colOff>
      <xdr:row>17</xdr:row>
      <xdr:rowOff>133350</xdr:rowOff>
    </xdr:to>
    <xdr:sp macro="" textlink="$AD$23">
      <xdr:nvSpPr>
        <xdr:cNvPr id="341" name="Rectangle 3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10039350" y="3486150"/>
          <a:ext cx="1028699" cy="14287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5897EA-FA8A-4870-A6BD-2F699745B8A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647700</xdr:colOff>
      <xdr:row>16</xdr:row>
      <xdr:rowOff>171450</xdr:rowOff>
    </xdr:from>
    <xdr:to>
      <xdr:col>19</xdr:col>
      <xdr:colOff>57150</xdr:colOff>
      <xdr:row>17</xdr:row>
      <xdr:rowOff>161925</xdr:rowOff>
    </xdr:to>
    <xdr:sp macro="" textlink="$AD$20">
      <xdr:nvSpPr>
        <xdr:cNvPr id="342" name="Rectangle 3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7781925" y="3467100"/>
          <a:ext cx="838200" cy="1905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A16920D-02A2-42EA-9017-F828BACD187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541483</xdr:colOff>
      <xdr:row>1</xdr:row>
      <xdr:rowOff>188657</xdr:rowOff>
    </xdr:from>
    <xdr:to>
      <xdr:col>12</xdr:col>
      <xdr:colOff>476254</xdr:colOff>
      <xdr:row>6</xdr:row>
      <xdr:rowOff>220919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875233" y="243086"/>
          <a:ext cx="2649396" cy="1168458"/>
          <a:chOff x="4018106" y="245807"/>
          <a:chExt cx="2131110" cy="114668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0150" y="2476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Drop Dow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5010150" y="7048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5008506" y="481854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Drop Down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00000000-0008-0000-0000-000006040000}"/>
                  </a:ext>
                </a:extLst>
              </xdr:cNvPr>
              <xdr:cNvSpPr/>
            </xdr:nvSpPr>
            <xdr:spPr bwMode="auto">
              <a:xfrm>
                <a:off x="5008506" y="940952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C$13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018106" y="245807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526A708-51F8-4215-BB5D-1F04FDDE3DC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I$3">
        <xdr:nvSpPr>
          <xdr:cNvPr id="297" name="Rectangle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/>
        </xdr:nvSpPr>
        <xdr:spPr>
          <a:xfrm>
            <a:off x="5872991" y="257176"/>
            <a:ext cx="276225" cy="22859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E72081-6B03-47B8-A336-AD3562087EF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4">
        <xdr:nvSpPr>
          <xdr:cNvPr id="305" name="Rectangle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5872991" y="485775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41B3DC-3C53-4666-950D-EAE70D9ECDD1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5">
        <xdr:nvSpPr>
          <xdr:cNvPr id="310" name="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5872991" y="714219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F06520-6099-4271-B47B-690D9335EF4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6">
        <xdr:nvSpPr>
          <xdr:cNvPr id="326" name="Rectangle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SpPr/>
        </xdr:nvSpPr>
        <xdr:spPr>
          <a:xfrm>
            <a:off x="5872989" y="942664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348D1C-3FAE-462D-9F0E-D62715C2368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14">
        <xdr:nvSpPr>
          <xdr:cNvPr id="574" name="Rectangle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/>
        </xdr:nvSpPr>
        <xdr:spPr>
          <a:xfrm>
            <a:off x="4019550" y="4762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55C8E16-96C7-44A7-809C-943E958FF38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16">
        <xdr:nvSpPr>
          <xdr:cNvPr id="575" name="Rectangle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/>
        </xdr:nvSpPr>
        <xdr:spPr>
          <a:xfrm>
            <a:off x="4019550" y="7048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DA7DD0-4F1A-47F4-9E7E-0FE1C3E241C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0">
        <xdr:nvSpPr>
          <xdr:cNvPr id="576" name="Rectangle 575">
            <a:extLst>
              <a:ext uri="{FF2B5EF4-FFF2-40B4-BE49-F238E27FC236}">
                <a16:creationId xmlns:a16="http://schemas.microsoft.com/office/drawing/2014/main" id="{00000000-0008-0000-0000-000040020000}"/>
              </a:ext>
            </a:extLst>
          </xdr:cNvPr>
          <xdr:cNvSpPr/>
        </xdr:nvSpPr>
        <xdr:spPr>
          <a:xfrm>
            <a:off x="4019550" y="9334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9238A3-66FA-402D-B423-0F6752946E3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6">
        <xdr:nvSpPr>
          <xdr:cNvPr id="577" name="Rectangle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SpPr/>
        </xdr:nvSpPr>
        <xdr:spPr>
          <a:xfrm>
            <a:off x="4019550" y="1162050"/>
            <a:ext cx="1847264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EE748811-C280-43C1-BC95-1AE6B2A61763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/>
          </a:p>
        </xdr:txBody>
      </xdr:sp>
    </xdr:grpSp>
    <xdr:clientData/>
  </xdr:twoCellAnchor>
  <xdr:twoCellAnchor>
    <xdr:from>
      <xdr:col>14</xdr:col>
      <xdr:colOff>57149</xdr:colOff>
      <xdr:row>5</xdr:row>
      <xdr:rowOff>133350</xdr:rowOff>
    </xdr:from>
    <xdr:to>
      <xdr:col>17</xdr:col>
      <xdr:colOff>333374</xdr:colOff>
      <xdr:row>6</xdr:row>
      <xdr:rowOff>38100</xdr:rowOff>
    </xdr:to>
    <xdr:sp macro="" textlink="$AD$9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05549" y="1076325"/>
          <a:ext cx="15525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400D018-C4CC-4037-8711-CE17CE65854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20</xdr:col>
      <xdr:colOff>676275</xdr:colOff>
      <xdr:row>5</xdr:row>
      <xdr:rowOff>85725</xdr:rowOff>
    </xdr:from>
    <xdr:to>
      <xdr:col>23</xdr:col>
      <xdr:colOff>76200</xdr:colOff>
      <xdr:row>6</xdr:row>
      <xdr:rowOff>28575</xdr:rowOff>
    </xdr:to>
    <xdr:sp macro="" textlink="$AD$8">
      <xdr:nvSpPr>
        <xdr:cNvPr id="491" name="Rectangl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10858500" y="1028700"/>
          <a:ext cx="15430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9A68C5-C1BB-42AB-9135-75C7ECB1A96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704850</xdr:colOff>
      <xdr:row>18</xdr:row>
      <xdr:rowOff>9525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6534150" y="257175"/>
          <a:ext cx="5562600" cy="3486150"/>
        </a:xfrm>
        <a:prstGeom prst="rect">
          <a:avLst/>
        </a:prstGeom>
        <a:noFill/>
        <a:ln w="60325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342901</xdr:colOff>
      <xdr:row>7</xdr:row>
      <xdr:rowOff>183411</xdr:rowOff>
    </xdr:from>
    <xdr:to>
      <xdr:col>19</xdr:col>
      <xdr:colOff>28576</xdr:colOff>
      <xdr:row>8</xdr:row>
      <xdr:rowOff>209550</xdr:rowOff>
    </xdr:to>
    <xdr:sp macro="" textlink="$AC$19">
      <xdr:nvSpPr>
        <xdr:cNvPr id="314" name="Rectangl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210676" y="1583586"/>
          <a:ext cx="400050" cy="2261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79C3903-0EEF-45C2-A06B-084E8B060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19</xdr:col>
      <xdr:colOff>428624</xdr:colOff>
      <xdr:row>7</xdr:row>
      <xdr:rowOff>193030</xdr:rowOff>
    </xdr:from>
    <xdr:to>
      <xdr:col>20</xdr:col>
      <xdr:colOff>57148</xdr:colOff>
      <xdr:row>8</xdr:row>
      <xdr:rowOff>200024</xdr:rowOff>
    </xdr:to>
    <xdr:sp macro="" textlink="$AC$20">
      <xdr:nvSpPr>
        <xdr:cNvPr id="315" name="Rectangl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791699" y="1593205"/>
          <a:ext cx="342899" cy="2070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DD27231-4907-4235-9F76-F98B4C25D7A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 </a:t>
          </a:fld>
          <a:endParaRPr lang="en-US" sz="1100"/>
        </a:p>
      </xdr:txBody>
    </xdr:sp>
    <xdr:clientData/>
  </xdr:twoCellAnchor>
  <xdr:twoCellAnchor>
    <xdr:from>
      <xdr:col>18</xdr:col>
      <xdr:colOff>38100</xdr:colOff>
      <xdr:row>11</xdr:row>
      <xdr:rowOff>57150</xdr:rowOff>
    </xdr:from>
    <xdr:to>
      <xdr:col>18</xdr:col>
      <xdr:colOff>476250</xdr:colOff>
      <xdr:row>14</xdr:row>
      <xdr:rowOff>95250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pSpPr/>
      </xdr:nvGrpSpPr>
      <xdr:grpSpPr>
        <a:xfrm>
          <a:off x="8651421" y="2411186"/>
          <a:ext cx="438150" cy="602796"/>
          <a:chOff x="9791700" y="2743200"/>
          <a:chExt cx="523875" cy="65722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509" name="Rectangle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0" name="Rectangle 509">
              <a:extLst>
                <a:ext uri="{FF2B5EF4-FFF2-40B4-BE49-F238E27FC236}">
                  <a16:creationId xmlns:a16="http://schemas.microsoft.com/office/drawing/2014/main" id="{00000000-0008-0000-0000-0000FE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1" name="Rectangle 510">
              <a:extLst>
                <a:ext uri="{FF2B5EF4-FFF2-40B4-BE49-F238E27FC236}">
                  <a16:creationId xmlns:a16="http://schemas.microsoft.com/office/drawing/2014/main" id="{00000000-0008-0000-0000-0000FF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9" name="Group 49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00" name="Group 499">
              <a:extLst>
                <a:ext uri="{FF2B5EF4-FFF2-40B4-BE49-F238E27FC236}">
                  <a16:creationId xmlns:a16="http://schemas.microsoft.com/office/drawing/2014/main" id="{00000000-0008-0000-0000-0000F4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507" name="Rectangle 506">
                <a:extLst>
                  <a:ext uri="{FF2B5EF4-FFF2-40B4-BE49-F238E27FC236}">
                    <a16:creationId xmlns:a16="http://schemas.microsoft.com/office/drawing/2014/main" id="{00000000-0008-0000-0000-0000FB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8" name="Rectangle 507">
                <a:extLst>
                  <a:ext uri="{FF2B5EF4-FFF2-40B4-BE49-F238E27FC236}">
                    <a16:creationId xmlns:a16="http://schemas.microsoft.com/office/drawing/2014/main" id="{00000000-0008-0000-0000-0000FC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501" name="Group 500">
              <a:extLst>
                <a:ext uri="{FF2B5EF4-FFF2-40B4-BE49-F238E27FC236}">
                  <a16:creationId xmlns:a16="http://schemas.microsoft.com/office/drawing/2014/main" id="{00000000-0008-0000-0000-0000F5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502" name="Rectangle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3" name="Rectangle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4" name="Rectangle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5" name="Rectangle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6" name="Rectangle 505">
                <a:extLst>
                  <a:ext uri="{FF2B5EF4-FFF2-40B4-BE49-F238E27FC236}">
                    <a16:creationId xmlns:a16="http://schemas.microsoft.com/office/drawing/2014/main" id="{00000000-0008-0000-0000-0000FA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581025</xdr:colOff>
      <xdr:row>11</xdr:row>
      <xdr:rowOff>66675</xdr:rowOff>
    </xdr:from>
    <xdr:to>
      <xdr:col>20</xdr:col>
      <xdr:colOff>285750</xdr:colOff>
      <xdr:row>14</xdr:row>
      <xdr:rowOff>123825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pSpPr/>
      </xdr:nvGrpSpPr>
      <xdr:grpSpPr>
        <a:xfrm>
          <a:off x="9908721" y="2420711"/>
          <a:ext cx="425904" cy="621846"/>
          <a:chOff x="9791700" y="2743200"/>
          <a:chExt cx="523875" cy="657225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524" name="Rectangle 523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5" name="Rectangle 524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6" name="Rectangle 525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4" name="Group 513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000-000003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522" name="Rectangle 521">
                <a:extLst>
                  <a:ext uri="{FF2B5EF4-FFF2-40B4-BE49-F238E27FC236}">
                    <a16:creationId xmlns:a16="http://schemas.microsoft.com/office/drawing/2014/main" id="{00000000-0008-0000-0000-00000A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3" name="Rectangle 522">
                <a:extLst>
                  <a:ext uri="{FF2B5EF4-FFF2-40B4-BE49-F238E27FC236}">
                    <a16:creationId xmlns:a16="http://schemas.microsoft.com/office/drawing/2014/main" id="{00000000-0008-0000-0000-00000B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16" name="Group 515">
              <a:extLst>
                <a:ext uri="{FF2B5EF4-FFF2-40B4-BE49-F238E27FC236}">
                  <a16:creationId xmlns:a16="http://schemas.microsoft.com/office/drawing/2014/main" id="{00000000-0008-0000-0000-000004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517" name="Rectangle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8" name="Rectangle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9" name="Rectangle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0" name="Rectangle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1" name="Rectangle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47625</xdr:colOff>
      <xdr:row>11</xdr:row>
      <xdr:rowOff>85725</xdr:rowOff>
    </xdr:from>
    <xdr:to>
      <xdr:col>18</xdr:col>
      <xdr:colOff>457200</xdr:colOff>
      <xdr:row>14</xdr:row>
      <xdr:rowOff>28575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pSpPr/>
      </xdr:nvGrpSpPr>
      <xdr:grpSpPr>
        <a:xfrm>
          <a:off x="8660946" y="2439761"/>
          <a:ext cx="409575" cy="507546"/>
          <a:chOff x="9791700" y="2743200"/>
          <a:chExt cx="523875" cy="657225"/>
        </a:xfrm>
      </xdr:grpSpPr>
      <xdr:grpSp>
        <xdr:nvGrpSpPr>
          <xdr:cNvPr id="528" name="Group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539" name="Rectangle 538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0" name="Rectangle 539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1" name="Rectangle 540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00000000-0008-0000-0000-000011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30" name="Group 529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537" name="Rectangle 536">
                <a:extLst>
                  <a:ext uri="{FF2B5EF4-FFF2-40B4-BE49-F238E27FC236}">
                    <a16:creationId xmlns:a16="http://schemas.microsoft.com/office/drawing/2014/main" id="{00000000-0008-0000-0000-000019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8" name="Rectangle 537">
                <a:extLst>
                  <a:ext uri="{FF2B5EF4-FFF2-40B4-BE49-F238E27FC236}">
                    <a16:creationId xmlns:a16="http://schemas.microsoft.com/office/drawing/2014/main" id="{00000000-0008-0000-0000-00001A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532" name="Rectangle 531">
                <a:extLst>
                  <a:ext uri="{FF2B5EF4-FFF2-40B4-BE49-F238E27FC236}">
                    <a16:creationId xmlns:a16="http://schemas.microsoft.com/office/drawing/2014/main" id="{00000000-0008-0000-0000-000014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3" name="Rectangle 532">
                <a:extLst>
                  <a:ext uri="{FF2B5EF4-FFF2-40B4-BE49-F238E27FC236}">
                    <a16:creationId xmlns:a16="http://schemas.microsoft.com/office/drawing/2014/main" id="{00000000-0008-0000-0000-000015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4" name="Rectangle 533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5" name="Rectangle 534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6" name="Rectangle 535">
                <a:extLst>
                  <a:ext uri="{FF2B5EF4-FFF2-40B4-BE49-F238E27FC236}">
                    <a16:creationId xmlns:a16="http://schemas.microsoft.com/office/drawing/2014/main" id="{00000000-0008-0000-0000-000018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66675</xdr:colOff>
      <xdr:row>10</xdr:row>
      <xdr:rowOff>219075</xdr:rowOff>
    </xdr:from>
    <xdr:to>
      <xdr:col>18</xdr:col>
      <xdr:colOff>609600</xdr:colOff>
      <xdr:row>14</xdr:row>
      <xdr:rowOff>38100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pSpPr/>
      </xdr:nvGrpSpPr>
      <xdr:grpSpPr>
        <a:xfrm>
          <a:off x="8679996" y="2328182"/>
          <a:ext cx="542925" cy="628650"/>
          <a:chOff x="9791700" y="2743200"/>
          <a:chExt cx="523875" cy="657225"/>
        </a:xfrm>
      </xdr:grpSpPr>
      <xdr:grpSp>
        <xdr:nvGrpSpPr>
          <xdr:cNvPr id="558" name="Group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7">
          <xdr:nvSpPr>
            <xdr:cNvPr id="569" name="Rectangle 568">
              <a:extLst>
                <a:ext uri="{FF2B5EF4-FFF2-40B4-BE49-F238E27FC236}">
                  <a16:creationId xmlns:a16="http://schemas.microsoft.com/office/drawing/2014/main" id="{00000000-0008-0000-0000-000039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0" name="Rectangle 569">
              <a:extLst>
                <a:ext uri="{FF2B5EF4-FFF2-40B4-BE49-F238E27FC236}">
                  <a16:creationId xmlns:a16="http://schemas.microsoft.com/office/drawing/2014/main" id="{00000000-0008-0000-0000-00003A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1" name="Rectangle 570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59" name="Group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60" name="Group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7">
            <xdr:nvSpPr>
              <xdr:cNvPr id="567" name="Rectangle 566">
                <a:extLst>
                  <a:ext uri="{FF2B5EF4-FFF2-40B4-BE49-F238E27FC236}">
                    <a16:creationId xmlns:a16="http://schemas.microsoft.com/office/drawing/2014/main" id="{00000000-0008-0000-0000-000037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8" name="Rectangle 567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61" name="Group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7">
            <xdr:nvSpPr>
              <xdr:cNvPr id="562" name="Rectangle 56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3" name="Rectangle 562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4" name="Rectangle 563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5" name="Rectangle 564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6" name="Rectangle 565">
                <a:extLst>
                  <a:ext uri="{FF2B5EF4-FFF2-40B4-BE49-F238E27FC236}">
                    <a16:creationId xmlns:a16="http://schemas.microsoft.com/office/drawing/2014/main" id="{00000000-0008-0000-0000-000036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514350</xdr:colOff>
      <xdr:row>10</xdr:row>
      <xdr:rowOff>190500</xdr:rowOff>
    </xdr:from>
    <xdr:to>
      <xdr:col>20</xdr:col>
      <xdr:colOff>190500</xdr:colOff>
      <xdr:row>13</xdr:row>
      <xdr:rowOff>190500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9842046" y="2299607"/>
          <a:ext cx="397329" cy="612322"/>
          <a:chOff x="9791700" y="2743200"/>
          <a:chExt cx="523875" cy="62823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554" name="Rectangle 553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5" name="Rectangle 554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6" name="Rectangle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GrpSpPr/>
        </xdr:nvGrpSpPr>
        <xdr:grpSpPr>
          <a:xfrm>
            <a:off x="9791700" y="2828925"/>
            <a:ext cx="523875" cy="542505"/>
            <a:chOff x="9810750" y="2771775"/>
            <a:chExt cx="523875" cy="542505"/>
          </a:xfrm>
        </xdr:grpSpPr>
        <xdr:grpSp>
          <xdr:nvGrpSpPr>
            <xdr:cNvPr id="545" name="Group 544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552" name="Rectangle 551">
                <a:extLst>
                  <a:ext uri="{FF2B5EF4-FFF2-40B4-BE49-F238E27FC236}">
                    <a16:creationId xmlns:a16="http://schemas.microsoft.com/office/drawing/2014/main" id="{00000000-0008-0000-0000-000028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3" name="Rectangle 552">
                <a:extLst>
                  <a:ext uri="{FF2B5EF4-FFF2-40B4-BE49-F238E27FC236}">
                    <a16:creationId xmlns:a16="http://schemas.microsoft.com/office/drawing/2014/main" id="{00000000-0008-0000-0000-000029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546" name="Group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GrpSpPr/>
          </xdr:nvGrpSpPr>
          <xdr:grpSpPr>
            <a:xfrm>
              <a:off x="9810750" y="2771775"/>
              <a:ext cx="523875" cy="542505"/>
              <a:chOff x="8715375" y="2733675"/>
              <a:chExt cx="523875" cy="542505"/>
            </a:xfrm>
          </xdr:grpSpPr>
          <xdr:sp macro="" textlink="$AO$8">
            <xdr:nvSpPr>
              <xdr:cNvPr id="547" name="Rectangle 546">
                <a:extLst>
                  <a:ext uri="{FF2B5EF4-FFF2-40B4-BE49-F238E27FC236}">
                    <a16:creationId xmlns:a16="http://schemas.microsoft.com/office/drawing/2014/main" id="{00000000-0008-0000-0000-000023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8" name="Rectangle 547">
                <a:extLst>
                  <a:ext uri="{FF2B5EF4-FFF2-40B4-BE49-F238E27FC236}">
                    <a16:creationId xmlns:a16="http://schemas.microsoft.com/office/drawing/2014/main" id="{00000000-0008-0000-0000-000024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9" name="Rectangle 548">
                <a:extLst>
                  <a:ext uri="{FF2B5EF4-FFF2-40B4-BE49-F238E27FC236}">
                    <a16:creationId xmlns:a16="http://schemas.microsoft.com/office/drawing/2014/main" id="{00000000-0008-0000-0000-000025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0" name="Rectangle 549">
                <a:extLst>
                  <a:ext uri="{FF2B5EF4-FFF2-40B4-BE49-F238E27FC236}">
                    <a16:creationId xmlns:a16="http://schemas.microsoft.com/office/drawing/2014/main" id="{00000000-0008-0000-0000-000026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1" name="Rectangle 550">
                <a:extLst>
                  <a:ext uri="{FF2B5EF4-FFF2-40B4-BE49-F238E27FC236}">
                    <a16:creationId xmlns:a16="http://schemas.microsoft.com/office/drawing/2014/main" id="{00000000-0008-0000-0000-000027020000}"/>
                  </a:ext>
                </a:extLst>
              </xdr:cNvPr>
              <xdr:cNvSpPr/>
            </xdr:nvSpPr>
            <xdr:spPr>
              <a:xfrm>
                <a:off x="8836413" y="303805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561989</xdr:colOff>
      <xdr:row>10</xdr:row>
      <xdr:rowOff>57149</xdr:rowOff>
    </xdr:from>
    <xdr:to>
      <xdr:col>20</xdr:col>
      <xdr:colOff>228614</xdr:colOff>
      <xdr:row>14</xdr:row>
      <xdr:rowOff>47624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pSpPr/>
      </xdr:nvGrpSpPr>
      <xdr:grpSpPr>
        <a:xfrm>
          <a:off x="9889685" y="2166256"/>
          <a:ext cx="387804" cy="800100"/>
          <a:chOff x="9791701" y="2743200"/>
          <a:chExt cx="523874" cy="657225"/>
        </a:xfrm>
      </xdr:grpSpPr>
      <xdr:grpSp>
        <xdr:nvGrpSpPr>
          <xdr:cNvPr id="317" name="Group 316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353" name="Rectangle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4" name="Rectangle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5" name="Rectangle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GrpSpPr/>
        </xdr:nvGrpSpPr>
        <xdr:grpSpPr>
          <a:xfrm>
            <a:off x="9791701" y="2828925"/>
            <a:ext cx="523874" cy="571500"/>
            <a:chOff x="9810751" y="2771775"/>
            <a:chExt cx="523874" cy="571500"/>
          </a:xfrm>
        </xdr:grpSpPr>
        <xdr:grpSp>
          <xdr:nvGrpSpPr>
            <xdr:cNvPr id="319" name="Group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333" name="Rectangle 332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52" name="Rectangle 351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0" name="Group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9810751" y="2771775"/>
              <a:ext cx="523874" cy="571500"/>
              <a:chOff x="8715376" y="2733675"/>
              <a:chExt cx="523874" cy="571500"/>
            </a:xfrm>
          </xdr:grpSpPr>
          <xdr:sp macro="" textlink="$AO$6">
            <xdr:nvSpPr>
              <xdr:cNvPr id="321" name="Rectangle 320">
                <a:extLst>
                  <a:ext uri="{FF2B5EF4-FFF2-40B4-BE49-F238E27FC236}">
                    <a16:creationId xmlns:a16="http://schemas.microsoft.com/office/drawing/2014/main" id="{00000000-0008-0000-0000-000041010000}"/>
                  </a:ext>
                </a:extLst>
              </xdr:cNvPr>
              <xdr:cNvSpPr/>
            </xdr:nvSpPr>
            <xdr:spPr>
              <a:xfrm>
                <a:off x="8715376" y="2943225"/>
                <a:ext cx="228601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2" name="Rectangle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3" name="Rectangle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4" name="Rectangle 323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5" name="Rectangle 324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104775</xdr:colOff>
      <xdr:row>9</xdr:row>
      <xdr:rowOff>228599</xdr:rowOff>
    </xdr:from>
    <xdr:to>
      <xdr:col>2</xdr:col>
      <xdr:colOff>1400175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8675" y="2076449"/>
          <a:ext cx="1409700" cy="5619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19</xdr:row>
      <xdr:rowOff>180975</xdr:rowOff>
    </xdr:from>
    <xdr:to>
      <xdr:col>4</xdr:col>
      <xdr:colOff>295275</xdr:colOff>
      <xdr:row>21</xdr:row>
      <xdr:rowOff>19050</xdr:rowOff>
    </xdr:to>
    <xdr:sp macro="" textlink="$AJ$26">
      <xdr:nvSpPr>
        <xdr:cNvPr id="332" name="Rectangl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676400" y="4124325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9525</xdr:rowOff>
        </xdr:from>
        <xdr:to>
          <xdr:col>2</xdr:col>
          <xdr:colOff>1390650</xdr:colOff>
          <xdr:row>12</xdr:row>
          <xdr:rowOff>104775</xdr:rowOff>
        </xdr:to>
        <xdr:sp macro="" textlink="">
          <xdr:nvSpPr>
            <xdr:cNvPr id="573413" name="Drop Down 15333" hidden="1">
              <a:extLst>
                <a:ext uri="{63B3BB69-23CF-44E3-9099-C40C66FF867C}">
                  <a14:compatExt spid="_x0000_s573413"/>
                </a:ext>
                <a:ext uri="{FF2B5EF4-FFF2-40B4-BE49-F238E27FC236}">
                  <a16:creationId xmlns:a16="http://schemas.microsoft.com/office/drawing/2014/main" id="{00000000-0008-0000-0000-0000E5BF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10</xdr:row>
          <xdr:rowOff>104775</xdr:rowOff>
        </xdr:from>
        <xdr:to>
          <xdr:col>19</xdr:col>
          <xdr:colOff>152400</xdr:colOff>
          <xdr:row>11</xdr:row>
          <xdr:rowOff>95250</xdr:rowOff>
        </xdr:to>
        <xdr:pic>
          <xdr:nvPicPr>
            <xdr:cNvPr id="365" name="Image1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3" spid="_x0000_s228825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010650" y="221932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495300</xdr:colOff>
          <xdr:row>12</xdr:row>
          <xdr:rowOff>47625</xdr:rowOff>
        </xdr:from>
        <xdr:to>
          <xdr:col>19</xdr:col>
          <xdr:colOff>161925</xdr:colOff>
          <xdr:row>13</xdr:row>
          <xdr:rowOff>85725</xdr:rowOff>
        </xdr:to>
        <xdr:pic>
          <xdr:nvPicPr>
            <xdr:cNvPr id="367" name="Image1">
              <a:extLst>
                <a:ext uri="{FF2B5EF4-FFF2-40B4-BE49-F238E27FC236}">
                  <a16:creationId xmlns:a16="http://schemas.microsoft.com/office/drawing/2014/main" id="{00000000-0008-0000-0000-00006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4" spid="_x0000_s228825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020175" y="258127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10</xdr:row>
          <xdr:rowOff>114300</xdr:rowOff>
        </xdr:from>
        <xdr:to>
          <xdr:col>19</xdr:col>
          <xdr:colOff>609600</xdr:colOff>
          <xdr:row>11</xdr:row>
          <xdr:rowOff>104775</xdr:rowOff>
        </xdr:to>
        <xdr:pic>
          <xdr:nvPicPr>
            <xdr:cNvPr id="368" name="Image1">
              <a:extLst>
                <a:ext uri="{FF2B5EF4-FFF2-40B4-BE49-F238E27FC236}">
                  <a16:creationId xmlns:a16="http://schemas.microsoft.com/office/drawing/2014/main" id="{00000000-0008-0000-0000-000070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3" spid="_x0000_s228825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10750" y="220980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238126</xdr:colOff>
          <xdr:row>12</xdr:row>
          <xdr:rowOff>57150</xdr:rowOff>
        </xdr:from>
        <xdr:to>
          <xdr:col>19</xdr:col>
          <xdr:colOff>619126</xdr:colOff>
          <xdr:row>13</xdr:row>
          <xdr:rowOff>95250</xdr:rowOff>
        </xdr:to>
        <xdr:pic>
          <xdr:nvPicPr>
            <xdr:cNvPr id="369" name="Image1">
              <a:extLst>
                <a:ext uri="{FF2B5EF4-FFF2-40B4-BE49-F238E27FC236}">
                  <a16:creationId xmlns:a16="http://schemas.microsoft.com/office/drawing/2014/main" id="{00000000-0008-0000-0000-00007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4" spid="_x0000_s228825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20276" y="257175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342900</xdr:colOff>
      <xdr:row>7</xdr:row>
      <xdr:rowOff>142876</xdr:rowOff>
    </xdr:from>
    <xdr:to>
      <xdr:col>18</xdr:col>
      <xdr:colOff>266700</xdr:colOff>
      <xdr:row>8</xdr:row>
      <xdr:rowOff>123825</xdr:rowOff>
    </xdr:to>
    <xdr:sp macro="" textlink="$AC$13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496300" y="1543051"/>
          <a:ext cx="638175" cy="18097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EAE297-6CBF-48DB-8718-D66234F1729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20</xdr:col>
      <xdr:colOff>180975</xdr:colOff>
      <xdr:row>7</xdr:row>
      <xdr:rowOff>152399</xdr:rowOff>
    </xdr:from>
    <xdr:to>
      <xdr:col>21</xdr:col>
      <xdr:colOff>142875</xdr:colOff>
      <xdr:row>8</xdr:row>
      <xdr:rowOff>133349</xdr:rowOff>
    </xdr:to>
    <xdr:sp macro="" textlink="$AC$14">
      <xdr:nvSpPr>
        <xdr:cNvPr id="370" name="Rectangl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0477500" y="1552574"/>
          <a:ext cx="676275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95D47F-63E0-4E48-B312-9628D9BB63B2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18</xdr:col>
      <xdr:colOff>390525</xdr:colOff>
      <xdr:row>7</xdr:row>
      <xdr:rowOff>85725</xdr:rowOff>
    </xdr:from>
    <xdr:to>
      <xdr:col>20</xdr:col>
      <xdr:colOff>38100</xdr:colOff>
      <xdr:row>8</xdr:row>
      <xdr:rowOff>19050</xdr:rowOff>
    </xdr:to>
    <xdr:sp macro="" textlink="$AC$15">
      <xdr:nvSpPr>
        <xdr:cNvPr id="371" name="Rectangl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258300" y="1485900"/>
          <a:ext cx="1076325" cy="1333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553EDB-D53E-4AFD-9499-816B61066277}" type="TxLink">
            <a:rPr lang="en-US" sz="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800" b="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161925</xdr:rowOff>
        </xdr:from>
        <xdr:to>
          <xdr:col>18</xdr:col>
          <xdr:colOff>590550</xdr:colOff>
          <xdr:row>11</xdr:row>
          <xdr:rowOff>152400</xdr:rowOff>
        </xdr:to>
        <xdr:pic>
          <xdr:nvPicPr>
            <xdr:cNvPr id="311" name="Image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28825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67775" y="227647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10</xdr:row>
          <xdr:rowOff>171450</xdr:rowOff>
        </xdr:from>
        <xdr:to>
          <xdr:col>20</xdr:col>
          <xdr:colOff>47625</xdr:colOff>
          <xdr:row>11</xdr:row>
          <xdr:rowOff>161925</xdr:rowOff>
        </xdr:to>
        <xdr:pic>
          <xdr:nvPicPr>
            <xdr:cNvPr id="312" name="Image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288259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286000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123825</xdr:rowOff>
        </xdr:from>
        <xdr:to>
          <xdr:col>18</xdr:col>
          <xdr:colOff>590550</xdr:colOff>
          <xdr:row>12</xdr:row>
          <xdr:rowOff>188768</xdr:rowOff>
        </xdr:to>
        <xdr:pic>
          <xdr:nvPicPr>
            <xdr:cNvPr id="313" name="Image1">
              <a:extLst>
                <a:ext uri="{FF2B5EF4-FFF2-40B4-BE49-F238E27FC236}">
                  <a16:creationId xmlns:a16="http://schemas.microsoft.com/office/drawing/2014/main" id="{00000000-0008-0000-0000-000039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288260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89423" y="2487757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11</xdr:row>
          <xdr:rowOff>123825</xdr:rowOff>
        </xdr:from>
        <xdr:to>
          <xdr:col>20</xdr:col>
          <xdr:colOff>47625</xdr:colOff>
          <xdr:row>12</xdr:row>
          <xdr:rowOff>190500</xdr:rowOff>
        </xdr:to>
        <xdr:pic>
          <xdr:nvPicPr>
            <xdr:cNvPr id="366" name="Image1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288261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704850</xdr:colOff>
      <xdr:row>6</xdr:row>
      <xdr:rowOff>95251</xdr:rowOff>
    </xdr:from>
    <xdr:to>
      <xdr:col>19</xdr:col>
      <xdr:colOff>361950</xdr:colOff>
      <xdr:row>7</xdr:row>
      <xdr:rowOff>57151</xdr:rowOff>
    </xdr:to>
    <xdr:sp macro="" textlink="$AJ$37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72625" y="1266826"/>
          <a:ext cx="371475" cy="190500"/>
        </a:xfrm>
        <a:prstGeom prst="rect">
          <a:avLst/>
        </a:prstGeom>
        <a:solidFill>
          <a:srgbClr val="3399FF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45142-3341-41C5-A9E4-94BA2CBAB9A7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257175</xdr:colOff>
      <xdr:row>8</xdr:row>
      <xdr:rowOff>123825</xdr:rowOff>
    </xdr:from>
    <xdr:to>
      <xdr:col>17</xdr:col>
      <xdr:colOff>514350</xdr:colOff>
      <xdr:row>9</xdr:row>
      <xdr:rowOff>123825</xdr:rowOff>
    </xdr:to>
    <xdr:sp macro="" textlink="$AD$11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72300" y="1743075"/>
          <a:ext cx="1352550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57A2A76-64F9-444D-9582-8524122319CF}" type="TxLink">
            <a:rPr lang="en-US" sz="11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17</xdr:col>
      <xdr:colOff>247650</xdr:colOff>
      <xdr:row>8</xdr:row>
      <xdr:rowOff>0</xdr:rowOff>
    </xdr:from>
    <xdr:to>
      <xdr:col>18</xdr:col>
      <xdr:colOff>381000</xdr:colOff>
      <xdr:row>8</xdr:row>
      <xdr:rowOff>142875</xdr:rowOff>
    </xdr:to>
    <xdr:sp macro="" textlink="$AC$7">
      <xdr:nvSpPr>
        <xdr:cNvPr id="381" name="Rectangl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8401050" y="1600200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B2E21E-3F06-416D-BB3E-0FFCF087E92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20</xdr:col>
      <xdr:colOff>95250</xdr:colOff>
      <xdr:row>7</xdr:row>
      <xdr:rowOff>190500</xdr:rowOff>
    </xdr:from>
    <xdr:to>
      <xdr:col>21</xdr:col>
      <xdr:colOff>228600</xdr:colOff>
      <xdr:row>8</xdr:row>
      <xdr:rowOff>133350</xdr:rowOff>
    </xdr:to>
    <xdr:sp macro="" textlink="$AC$8">
      <xdr:nvSpPr>
        <xdr:cNvPr id="382" name="Rectangl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10391775" y="1590675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151A79-1CA6-4D33-A61B-EF6FCD761D7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228600</xdr:colOff>
      <xdr:row>14</xdr:row>
      <xdr:rowOff>161925</xdr:rowOff>
    </xdr:from>
    <xdr:to>
      <xdr:col>20</xdr:col>
      <xdr:colOff>95250</xdr:colOff>
      <xdr:row>15</xdr:row>
      <xdr:rowOff>152400</xdr:rowOff>
    </xdr:to>
    <xdr:sp macro="" textlink="$AC$9">
      <xdr:nvSpPr>
        <xdr:cNvPr id="383" name="Rectangl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8839200" y="3095625"/>
          <a:ext cx="13049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40DF92-EF96-4584-84D1-497557B7C0F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200025</xdr:colOff>
      <xdr:row>11</xdr:row>
      <xdr:rowOff>133350</xdr:rowOff>
    </xdr:from>
    <xdr:to>
      <xdr:col>20</xdr:col>
      <xdr:colOff>66675</xdr:colOff>
      <xdr:row>12</xdr:row>
      <xdr:rowOff>152400</xdr:rowOff>
    </xdr:to>
    <xdr:sp macro="" textlink="$AC$4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067800" y="24765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BE944A-866F-4AD6-B98E-DA61F4C0B1F3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352425</xdr:colOff>
      <xdr:row>7</xdr:row>
      <xdr:rowOff>190500</xdr:rowOff>
    </xdr:from>
    <xdr:to>
      <xdr:col>20</xdr:col>
      <xdr:colOff>85725</xdr:colOff>
      <xdr:row>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220200" y="1590675"/>
          <a:ext cx="1162050" cy="57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5</xdr:row>
      <xdr:rowOff>95250</xdr:rowOff>
    </xdr:from>
    <xdr:to>
      <xdr:col>20</xdr:col>
      <xdr:colOff>171450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915400" y="1038225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</xdr:row>
      <xdr:rowOff>161925</xdr:rowOff>
    </xdr:from>
    <xdr:to>
      <xdr:col>20</xdr:col>
      <xdr:colOff>190500</xdr:colOff>
      <xdr:row>4</xdr:row>
      <xdr:rowOff>0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8934450" y="6477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104775</xdr:colOff>
      <xdr:row>6</xdr:row>
      <xdr:rowOff>9525</xdr:rowOff>
    </xdr:from>
    <xdr:to>
      <xdr:col>20</xdr:col>
      <xdr:colOff>228600</xdr:colOff>
      <xdr:row>6</xdr:row>
      <xdr:rowOff>76200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972550" y="11811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6</xdr:row>
      <xdr:rowOff>38100</xdr:rowOff>
    </xdr:from>
    <xdr:to>
      <xdr:col>17</xdr:col>
      <xdr:colOff>428625</xdr:colOff>
      <xdr:row>6</xdr:row>
      <xdr:rowOff>171450</xdr:rowOff>
    </xdr:to>
    <xdr:sp macro="" textlink="$AD$13">
      <xdr:nvSpPr>
        <xdr:cNvPr id="374" name="Rectangl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6934200" y="1209675"/>
          <a:ext cx="16478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72B56E2-EA9B-40D3-82EC-D67F65AD403D}" type="TxLink">
            <a:rPr lang="en-US" sz="9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9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285750</xdr:colOff>
      <xdr:row>6</xdr:row>
      <xdr:rowOff>85725</xdr:rowOff>
    </xdr:from>
    <xdr:to>
      <xdr:col>20</xdr:col>
      <xdr:colOff>123824</xdr:colOff>
      <xdr:row>7</xdr:row>
      <xdr:rowOff>190500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/>
      </xdr:nvGrpSpPr>
      <xdr:grpSpPr>
        <a:xfrm>
          <a:off x="8899071" y="1276350"/>
          <a:ext cx="1273628" cy="336096"/>
          <a:chOff x="5648324" y="590549"/>
          <a:chExt cx="1266824" cy="400092"/>
        </a:xfrm>
      </xdr:grpSpPr>
      <xdr:pic>
        <xdr:nvPicPr>
          <xdr:cNvPr id="404" name="Picture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405" name="Picture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406" name="Picture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409575</xdr:colOff>
      <xdr:row>5</xdr:row>
      <xdr:rowOff>1</xdr:rowOff>
    </xdr:from>
    <xdr:to>
      <xdr:col>19</xdr:col>
      <xdr:colOff>638175</xdr:colOff>
      <xdr:row>5</xdr:row>
      <xdr:rowOff>133351</xdr:rowOff>
    </xdr:to>
    <xdr:sp macro="" textlink="$AC$6">
      <xdr:nvSpPr>
        <xdr:cNvPr id="375" name="Rectangl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353550" y="942976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9D969A0-7953-4271-82CA-F6C9A2399FE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18</xdr:col>
      <xdr:colOff>104775</xdr:colOff>
      <xdr:row>5</xdr:row>
      <xdr:rowOff>104775</xdr:rowOff>
    </xdr:from>
    <xdr:to>
      <xdr:col>20</xdr:col>
      <xdr:colOff>238125</xdr:colOff>
      <xdr:row>5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972550" y="1047750"/>
          <a:ext cx="1562100" cy="76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180975</xdr:rowOff>
    </xdr:from>
    <xdr:to>
      <xdr:col>2</xdr:col>
      <xdr:colOff>1400175</xdr:colOff>
      <xdr:row>9</xdr:row>
      <xdr:rowOff>209550</xdr:rowOff>
    </xdr:to>
    <xdr:grpSp>
      <xdr:nvGrpSpPr>
        <xdr:cNvPr id="978336" name="Group 978335">
          <a:extLst>
            <a:ext uri="{FF2B5EF4-FFF2-40B4-BE49-F238E27FC236}">
              <a16:creationId xmlns:a16="http://schemas.microsoft.com/office/drawing/2014/main" id="{00000000-0008-0000-0000-0000A0ED0E00}"/>
            </a:ext>
          </a:extLst>
        </xdr:cNvPr>
        <xdr:cNvGrpSpPr/>
      </xdr:nvGrpSpPr>
      <xdr:grpSpPr>
        <a:xfrm>
          <a:off x="278946" y="235404"/>
          <a:ext cx="1400175" cy="1838325"/>
          <a:chOff x="2847975" y="647700"/>
          <a:chExt cx="1409700" cy="17526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78345" name="Option Button 22953" hidden="1">
                <a:extLst>
                  <a:ext uri="{63B3BB69-23CF-44E3-9099-C40C66FF867C}">
                    <a14:compatExt spid="_x0000_s978345"/>
                  </a:ext>
                  <a:ext uri="{FF2B5EF4-FFF2-40B4-BE49-F238E27FC236}">
                    <a16:creationId xmlns:a16="http://schemas.microsoft.com/office/drawing/2014/main" id="{00000000-0008-0000-0000-0000A9ED0E00}"/>
                  </a:ext>
                </a:extLst>
              </xdr:cNvPr>
              <xdr:cNvSpPr/>
            </xdr:nvSpPr>
            <xdr:spPr bwMode="auto">
              <a:xfrm>
                <a:off x="2867025" y="657226"/>
                <a:ext cx="1371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STANDAR KOMPETENSI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3" name="Option Button 24411" hidden="1">
                <a:extLst>
                  <a:ext uri="{63B3BB69-23CF-44E3-9099-C40C66FF867C}">
                    <a14:compatExt spid="_x0000_s1010523"/>
                  </a:ext>
                  <a:ext uri="{FF2B5EF4-FFF2-40B4-BE49-F238E27FC236}">
                    <a16:creationId xmlns:a16="http://schemas.microsoft.com/office/drawing/2014/main" id="{00000000-0008-0000-0000-00005B6B0F00}"/>
                  </a:ext>
                </a:extLst>
              </xdr:cNvPr>
              <xdr:cNvSpPr/>
            </xdr:nvSpPr>
            <xdr:spPr bwMode="auto">
              <a:xfrm>
                <a:off x="2867025" y="8763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KOMPETENSI DASAR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4" name="Option Button 24412" hidden="1">
                <a:extLst>
                  <a:ext uri="{63B3BB69-23CF-44E3-9099-C40C66FF867C}">
                    <a14:compatExt spid="_x0000_s1010524"/>
                  </a:ext>
                  <a:ext uri="{FF2B5EF4-FFF2-40B4-BE49-F238E27FC236}">
                    <a16:creationId xmlns:a16="http://schemas.microsoft.com/office/drawing/2014/main" id="{00000000-0008-0000-0000-00005C6B0F00}"/>
                  </a:ext>
                </a:extLst>
              </xdr:cNvPr>
              <xdr:cNvSpPr/>
            </xdr:nvSpPr>
            <xdr:spPr bwMode="auto">
              <a:xfrm>
                <a:off x="2867025" y="10953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INDIKATOR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5" name="Option Button 24413" hidden="1">
                <a:extLst>
                  <a:ext uri="{63B3BB69-23CF-44E3-9099-C40C66FF867C}">
                    <a14:compatExt spid="_x0000_s1010525"/>
                  </a:ext>
                  <a:ext uri="{FF2B5EF4-FFF2-40B4-BE49-F238E27FC236}">
                    <a16:creationId xmlns:a16="http://schemas.microsoft.com/office/drawing/2014/main" id="{00000000-0008-0000-0000-00005D6B0F00}"/>
                  </a:ext>
                </a:extLst>
              </xdr:cNvPr>
              <xdr:cNvSpPr/>
            </xdr:nvSpPr>
            <xdr:spPr bwMode="auto">
              <a:xfrm>
                <a:off x="2867025" y="13049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TUJUAN EKSPERIMEN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6" name="Option Button 24414" hidden="1">
                <a:extLst>
                  <a:ext uri="{63B3BB69-23CF-44E3-9099-C40C66FF867C}">
                    <a14:compatExt spid="_x0000_s1010526"/>
                  </a:ext>
                  <a:ext uri="{FF2B5EF4-FFF2-40B4-BE49-F238E27FC236}">
                    <a16:creationId xmlns:a16="http://schemas.microsoft.com/office/drawing/2014/main" id="{00000000-0008-0000-0000-00005E6B0F00}"/>
                  </a:ext>
                </a:extLst>
              </xdr:cNvPr>
              <xdr:cNvSpPr/>
            </xdr:nvSpPr>
            <xdr:spPr bwMode="auto">
              <a:xfrm>
                <a:off x="2867025" y="15240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ALAT DAN BAHAN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7" name="Option Button 24415" hidden="1">
                <a:extLst>
                  <a:ext uri="{63B3BB69-23CF-44E3-9099-C40C66FF867C}">
                    <a14:compatExt spid="_x0000_s1010527"/>
                  </a:ext>
                  <a:ext uri="{FF2B5EF4-FFF2-40B4-BE49-F238E27FC236}">
                    <a16:creationId xmlns:a16="http://schemas.microsoft.com/office/drawing/2014/main" id="{00000000-0008-0000-0000-00005F6B0F00}"/>
                  </a:ext>
                </a:extLst>
              </xdr:cNvPr>
              <xdr:cNvSpPr/>
            </xdr:nvSpPr>
            <xdr:spPr bwMode="auto">
              <a:xfrm>
                <a:off x="2867025" y="17430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VIDEO 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8" name="Option Button 24416" hidden="1">
                <a:extLst>
                  <a:ext uri="{63B3BB69-23CF-44E3-9099-C40C66FF867C}">
                    <a14:compatExt spid="_x0000_s1010528"/>
                  </a:ext>
                  <a:ext uri="{FF2B5EF4-FFF2-40B4-BE49-F238E27FC236}">
                    <a16:creationId xmlns:a16="http://schemas.microsoft.com/office/drawing/2014/main" id="{00000000-0008-0000-0000-0000606B0F00}"/>
                  </a:ext>
                </a:extLst>
              </xdr:cNvPr>
              <xdr:cNvSpPr/>
            </xdr:nvSpPr>
            <xdr:spPr bwMode="auto">
              <a:xfrm>
                <a:off x="2867025" y="196215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ELEKTROLISIS INTERAKTIF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9" name="Option Button 24417" hidden="1">
                <a:extLst>
                  <a:ext uri="{63B3BB69-23CF-44E3-9099-C40C66FF867C}">
                    <a14:compatExt spid="_x0000_s1010529"/>
                  </a:ext>
                  <a:ext uri="{FF2B5EF4-FFF2-40B4-BE49-F238E27FC236}">
                    <a16:creationId xmlns:a16="http://schemas.microsoft.com/office/drawing/2014/main" id="{00000000-0008-0000-0000-0000616B0F00}"/>
                  </a:ext>
                </a:extLst>
              </xdr:cNvPr>
              <xdr:cNvSpPr/>
            </xdr:nvSpPr>
            <xdr:spPr bwMode="auto">
              <a:xfrm>
                <a:off x="2867025" y="21812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STOIKIOMETRI</a:t>
                </a:r>
              </a:p>
            </xdr:txBody>
          </xdr:sp>
        </mc:Choice>
        <mc:Fallback/>
      </mc:AlternateContent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/>
        </xdr:nvSpPr>
        <xdr:spPr>
          <a:xfrm>
            <a:off x="2847975" y="647700"/>
            <a:ext cx="1409700" cy="17526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209551</xdr:colOff>
      <xdr:row>14</xdr:row>
      <xdr:rowOff>57150</xdr:rowOff>
    </xdr:from>
    <xdr:to>
      <xdr:col>23</xdr:col>
      <xdr:colOff>9525</xdr:colOff>
      <xdr:row>15</xdr:row>
      <xdr:rowOff>38100</xdr:rowOff>
    </xdr:to>
    <xdr:sp macro="" textlink="$AL$40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296651" y="2971800"/>
          <a:ext cx="1228724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038714-09F2-411F-93B3-EEA8161320E1}" type="TxLink">
            <a:rPr lang="en-US" sz="8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9525</xdr:rowOff>
        </xdr:from>
        <xdr:to>
          <xdr:col>2</xdr:col>
          <xdr:colOff>1381125</xdr:colOff>
          <xdr:row>1</xdr:row>
          <xdr:rowOff>180975</xdr:rowOff>
        </xdr:to>
        <xdr:sp macro="" textlink="">
          <xdr:nvSpPr>
            <xdr:cNvPr id="1178632" name="Option Button 27656" hidden="1">
              <a:extLst>
                <a:ext uri="{63B3BB69-23CF-44E3-9099-C40C66FF867C}">
                  <a14:compatExt spid="_x0000_s1178632"/>
                </a:ext>
                <a:ext uri="{FF2B5EF4-FFF2-40B4-BE49-F238E27FC236}">
                  <a16:creationId xmlns:a16="http://schemas.microsoft.com/office/drawing/2014/main" id="{00000000-0008-0000-0000-000008F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Klik Tombol di bawah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19050</xdr:colOff>
      <xdr:row>10</xdr:row>
      <xdr:rowOff>28575</xdr:rowOff>
    </xdr:from>
    <xdr:to>
      <xdr:col>2</xdr:col>
      <xdr:colOff>1390650</xdr:colOff>
      <xdr:row>10</xdr:row>
      <xdr:rowOff>238125</xdr:rowOff>
    </xdr:to>
    <xdr:grpSp>
      <xdr:nvGrpSpPr>
        <xdr:cNvPr id="978343" name="Group 978342">
          <a:extLst>
            <a:ext uri="{FF2B5EF4-FFF2-40B4-BE49-F238E27FC236}">
              <a16:creationId xmlns:a16="http://schemas.microsoft.com/office/drawing/2014/main" id="{00000000-0008-0000-0000-0000A7ED0E00}"/>
            </a:ext>
          </a:extLst>
        </xdr:cNvPr>
        <xdr:cNvGrpSpPr/>
      </xdr:nvGrpSpPr>
      <xdr:grpSpPr>
        <a:xfrm>
          <a:off x="297996" y="2137682"/>
          <a:ext cx="1371600" cy="209550"/>
          <a:chOff x="247650" y="2724150"/>
          <a:chExt cx="1371600" cy="209550"/>
        </a:xfrm>
        <a:solidFill>
          <a:srgbClr val="FFFF00"/>
        </a:solidFill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9805" name="Check Box 3549" hidden="1">
                <a:extLst>
                  <a:ext uri="{63B3BB69-23CF-44E3-9099-C40C66FF867C}">
                    <a14:compatExt spid="_x0000_s99805"/>
                  </a:ext>
                  <a:ext uri="{FF2B5EF4-FFF2-40B4-BE49-F238E27FC236}">
                    <a16:creationId xmlns:a16="http://schemas.microsoft.com/office/drawing/2014/main" id="{00000000-0008-0000-0000-0000DD850100}"/>
                  </a:ext>
                </a:extLst>
              </xdr:cNvPr>
              <xdr:cNvSpPr/>
            </xdr:nvSpPr>
            <xdr:spPr bwMode="auto">
              <a:xfrm>
                <a:off x="247650" y="2724150"/>
                <a:ext cx="1371600" cy="200025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C$23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23875" y="2724150"/>
            <a:ext cx="1057276" cy="2095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842F55E-36C6-4E29-9375-F4C351F25319}" type="TxLink">
              <a:rPr lang="en-US" sz="1100" b="0" i="0" u="none" strike="noStrike">
                <a:solidFill>
                  <a:srgbClr val="0070C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14</xdr:col>
      <xdr:colOff>28575</xdr:colOff>
      <xdr:row>16</xdr:row>
      <xdr:rowOff>171449</xdr:rowOff>
    </xdr:from>
    <xdr:to>
      <xdr:col>16</xdr:col>
      <xdr:colOff>171450</xdr:colOff>
      <xdr:row>18</xdr:row>
      <xdr:rowOff>9525</xdr:rowOff>
    </xdr:to>
    <xdr:grpSp>
      <xdr:nvGrpSpPr>
        <xdr:cNvPr id="978346" name="Group 978345">
          <a:extLst>
            <a:ext uri="{FF2B5EF4-FFF2-40B4-BE49-F238E27FC236}">
              <a16:creationId xmlns:a16="http://schemas.microsoft.com/office/drawing/2014/main" id="{00000000-0008-0000-0000-0000AAED0E00}"/>
            </a:ext>
          </a:extLst>
        </xdr:cNvPr>
        <xdr:cNvGrpSpPr/>
      </xdr:nvGrpSpPr>
      <xdr:grpSpPr>
        <a:xfrm>
          <a:off x="6648450" y="3484788"/>
          <a:ext cx="1040946" cy="232683"/>
          <a:chOff x="7248518" y="2647949"/>
          <a:chExt cx="1038232" cy="22875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5015" name="Check Box 4967" hidden="1">
                <a:extLst>
                  <a:ext uri="{63B3BB69-23CF-44E3-9099-C40C66FF867C}">
                    <a14:compatExt spid="_x0000_s135015"/>
                  </a:ext>
                  <a:ext uri="{FF2B5EF4-FFF2-40B4-BE49-F238E27FC236}">
                    <a16:creationId xmlns:a16="http://schemas.microsoft.com/office/drawing/2014/main" id="{00000000-0008-0000-0000-0000670F0200}"/>
                  </a:ext>
                </a:extLst>
              </xdr:cNvPr>
              <xdr:cNvSpPr/>
            </xdr:nvSpPr>
            <xdr:spPr bwMode="auto">
              <a:xfrm>
                <a:off x="7248518" y="2657625"/>
                <a:ext cx="1019116" cy="219076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 w="9525">
                <a:solidFill>
                  <a:srgbClr val="FFFF00" mc:Ignorable="a14" a14:legacySpreadsheetColorIndex="13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$AC$10">
        <xdr:nvSpPr>
          <xdr:cNvPr id="978344" name="Rectangle 978343">
            <a:extLst>
              <a:ext uri="{FF2B5EF4-FFF2-40B4-BE49-F238E27FC236}">
                <a16:creationId xmlns:a16="http://schemas.microsoft.com/office/drawing/2014/main" id="{00000000-0008-0000-0000-0000A8ED0E00}"/>
              </a:ext>
            </a:extLst>
          </xdr:cNvPr>
          <xdr:cNvSpPr/>
        </xdr:nvSpPr>
        <xdr:spPr>
          <a:xfrm>
            <a:off x="7467600" y="2647949"/>
            <a:ext cx="819150" cy="21907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0100D61-8FFA-4157-89B2-4A846CBC97B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21</xdr:col>
      <xdr:colOff>476252</xdr:colOff>
      <xdr:row>11</xdr:row>
      <xdr:rowOff>47625</xdr:rowOff>
    </xdr:from>
    <xdr:to>
      <xdr:col>22</xdr:col>
      <xdr:colOff>600075</xdr:colOff>
      <xdr:row>13</xdr:row>
      <xdr:rowOff>171450</xdr:rowOff>
    </xdr:to>
    <xdr:grpSp>
      <xdr:nvGrpSpPr>
        <xdr:cNvPr id="978355" name="Group 978354">
          <a:extLst>
            <a:ext uri="{FF2B5EF4-FFF2-40B4-BE49-F238E27FC236}">
              <a16:creationId xmlns:a16="http://schemas.microsoft.com/office/drawing/2014/main" id="{00000000-0008-0000-0000-0000B3ED0E00}"/>
            </a:ext>
          </a:extLst>
        </xdr:cNvPr>
        <xdr:cNvGrpSpPr/>
      </xdr:nvGrpSpPr>
      <xdr:grpSpPr>
        <a:xfrm>
          <a:off x="11239502" y="2401661"/>
          <a:ext cx="838198" cy="491218"/>
          <a:chOff x="13992227" y="1028700"/>
          <a:chExt cx="838198" cy="495300"/>
        </a:xfrm>
      </xdr:grpSpPr>
      <xdr:grpSp>
        <xdr:nvGrpSpPr>
          <xdr:cNvPr id="978354" name="Group 978353">
            <a:extLst>
              <a:ext uri="{FF2B5EF4-FFF2-40B4-BE49-F238E27FC236}">
                <a16:creationId xmlns:a16="http://schemas.microsoft.com/office/drawing/2014/main" id="{00000000-0008-0000-0000-0000B2ED0E00}"/>
              </a:ext>
            </a:extLst>
          </xdr:cNvPr>
          <xdr:cNvGrpSpPr/>
        </xdr:nvGrpSpPr>
        <xdr:grpSpPr>
          <a:xfrm>
            <a:off x="13992227" y="1047749"/>
            <a:ext cx="828675" cy="447676"/>
            <a:chOff x="13992227" y="1047749"/>
            <a:chExt cx="828675" cy="447676"/>
          </a:xfrm>
        </xdr:grpSpPr>
        <xdr:grpSp>
          <xdr:nvGrpSpPr>
            <xdr:cNvPr id="978353" name="Group 978352">
              <a:extLst>
                <a:ext uri="{FF2B5EF4-FFF2-40B4-BE49-F238E27FC236}">
                  <a16:creationId xmlns:a16="http://schemas.microsoft.com/office/drawing/2014/main" id="{00000000-0008-0000-0000-0000B1ED0E00}"/>
                </a:ext>
              </a:extLst>
            </xdr:cNvPr>
            <xdr:cNvGrpSpPr/>
          </xdr:nvGrpSpPr>
          <xdr:grpSpPr>
            <a:xfrm>
              <a:off x="13992227" y="1047749"/>
              <a:ext cx="828675" cy="219076"/>
              <a:chOff x="13992227" y="1047749"/>
              <a:chExt cx="828675" cy="219076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7" name="Check Box 28031" hidden="1">
                    <a:extLst>
                      <a:ext uri="{63B3BB69-23CF-44E3-9099-C40C66FF867C}">
                        <a14:compatExt spid="_x0000_s1179007"/>
                      </a:ext>
                      <a:ext uri="{FF2B5EF4-FFF2-40B4-BE49-F238E27FC236}">
                        <a16:creationId xmlns:a16="http://schemas.microsoft.com/office/drawing/2014/main" id="{00000000-0008-0000-0000-00007FFD1100}"/>
                      </a:ext>
                    </a:extLst>
                  </xdr:cNvPr>
                  <xdr:cNvSpPr/>
                </xdr:nvSpPr>
                <xdr:spPr bwMode="auto">
                  <a:xfrm>
                    <a:off x="13992227" y="1047749"/>
                    <a:ext cx="827024" cy="219075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1">
            <xdr:nvSpPr>
              <xdr:cNvPr id="978348" name="Rectangle 978347">
                <a:extLst>
                  <a:ext uri="{FF2B5EF4-FFF2-40B4-BE49-F238E27FC236}">
                    <a16:creationId xmlns:a16="http://schemas.microsoft.com/office/drawing/2014/main" id="{00000000-0008-0000-0000-0000ACED0E00}"/>
                  </a:ext>
                </a:extLst>
              </xdr:cNvPr>
              <xdr:cNvSpPr/>
            </xdr:nvSpPr>
            <xdr:spPr>
              <a:xfrm>
                <a:off x="14206222" y="105727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76C6D075-F3D1-472E-9559-420C8B9D59C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/>
              </a:p>
            </xdr:txBody>
          </xdr:sp>
        </xdr:grpSp>
        <xdr:grpSp>
          <xdr:nvGrpSpPr>
            <xdr:cNvPr id="978352" name="Group 978351">
              <a:extLst>
                <a:ext uri="{FF2B5EF4-FFF2-40B4-BE49-F238E27FC236}">
                  <a16:creationId xmlns:a16="http://schemas.microsoft.com/office/drawing/2014/main" id="{00000000-0008-0000-0000-0000B0ED0E00}"/>
                </a:ext>
              </a:extLst>
            </xdr:cNvPr>
            <xdr:cNvGrpSpPr/>
          </xdr:nvGrpSpPr>
          <xdr:grpSpPr>
            <a:xfrm>
              <a:off x="13992227" y="1276350"/>
              <a:ext cx="827024" cy="219075"/>
              <a:chOff x="14030327" y="1800225"/>
              <a:chExt cx="827024" cy="219075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8" name="Check Box 28032" hidden="1">
                    <a:extLst>
                      <a:ext uri="{63B3BB69-23CF-44E3-9099-C40C66FF867C}">
                        <a14:compatExt spid="_x0000_s1179008"/>
                      </a:ext>
                      <a:ext uri="{FF2B5EF4-FFF2-40B4-BE49-F238E27FC236}">
                        <a16:creationId xmlns:a16="http://schemas.microsoft.com/office/drawing/2014/main" id="{00000000-0008-0000-0000-000080FD1100}"/>
                      </a:ext>
                    </a:extLst>
                  </xdr:cNvPr>
                  <xdr:cNvSpPr/>
                </xdr:nvSpPr>
                <xdr:spPr bwMode="auto">
                  <a:xfrm>
                    <a:off x="14030327" y="1800225"/>
                    <a:ext cx="827024" cy="219075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2">
            <xdr:nvSpPr>
              <xdr:cNvPr id="399" name="Rectangle 398">
                <a:extLst>
                  <a:ext uri="{FF2B5EF4-FFF2-40B4-BE49-F238E27FC236}">
                    <a16:creationId xmlns:a16="http://schemas.microsoft.com/office/drawing/2014/main" id="{00000000-0008-0000-0000-00008F010000}"/>
                  </a:ext>
                </a:extLst>
              </xdr:cNvPr>
              <xdr:cNvSpPr/>
            </xdr:nvSpPr>
            <xdr:spPr>
              <a:xfrm>
                <a:off x="14233146" y="180022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ABA35C47-184F-4297-AEAD-056198B84EE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STOP</a:t>
                </a:fld>
                <a:endParaRPr lang="en-US" sz="1100"/>
              </a:p>
            </xdr:txBody>
          </xdr:sp>
        </xdr:grpSp>
      </xdr:grp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/>
        </xdr:nvSpPr>
        <xdr:spPr>
          <a:xfrm>
            <a:off x="14001750" y="1028700"/>
            <a:ext cx="828675" cy="4953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8</xdr:row>
      <xdr:rowOff>76200</xdr:rowOff>
    </xdr:from>
    <xdr:to>
      <xdr:col>4</xdr:col>
      <xdr:colOff>238125</xdr:colOff>
      <xdr:row>8</xdr:row>
      <xdr:rowOff>238125</xdr:rowOff>
    </xdr:to>
    <xdr:sp macro="" textlink="">
      <xdr:nvSpPr>
        <xdr:cNvPr id="978347" name="Oval 978346">
          <a:extLst>
            <a:ext uri="{FF2B5EF4-FFF2-40B4-BE49-F238E27FC236}">
              <a16:creationId xmlns:a16="http://schemas.microsoft.com/office/drawing/2014/main" id="{00000000-0008-0000-0000-0000ABED0E00}"/>
            </a:ext>
          </a:extLst>
        </xdr:cNvPr>
        <xdr:cNvSpPr/>
      </xdr:nvSpPr>
      <xdr:spPr>
        <a:xfrm>
          <a:off x="2305050" y="16764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4</xdr:row>
      <xdr:rowOff>123825</xdr:rowOff>
    </xdr:from>
    <xdr:to>
      <xdr:col>18</xdr:col>
      <xdr:colOff>485775</xdr:colOff>
      <xdr:row>5</xdr:row>
      <xdr:rowOff>28575</xdr:rowOff>
    </xdr:to>
    <xdr:sp macro="" textlink="$AC$5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486775" y="83820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16597B-BB5E-4E13-992F-6F9568846A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19</xdr:col>
      <xdr:colOff>504825</xdr:colOff>
      <xdr:row>4</xdr:row>
      <xdr:rowOff>142875</xdr:rowOff>
    </xdr:from>
    <xdr:to>
      <xdr:col>21</xdr:col>
      <xdr:colOff>19050</xdr:colOff>
      <xdr:row>5</xdr:row>
      <xdr:rowOff>47625</xdr:rowOff>
    </xdr:to>
    <xdr:sp macro="" textlink="$AC$5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0163175" y="85725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2D8418-8E60-4C08-849D-444D6A8738D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2</xdr:col>
      <xdr:colOff>114300</xdr:colOff>
      <xdr:row>14</xdr:row>
      <xdr:rowOff>104775</xdr:rowOff>
    </xdr:from>
    <xdr:to>
      <xdr:col>2</xdr:col>
      <xdr:colOff>1295400</xdr:colOff>
      <xdr:row>18</xdr:row>
      <xdr:rowOff>123825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93246" y="3023507"/>
          <a:ext cx="1181100" cy="808264"/>
          <a:chOff x="352425" y="3038475"/>
          <a:chExt cx="1181100" cy="800100"/>
        </a:xfrm>
      </xdr:grpSpPr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978337" name="Group 978336">
                <a:extLst>
                  <a:ext uri="{FF2B5EF4-FFF2-40B4-BE49-F238E27FC236}">
                    <a16:creationId xmlns:a16="http://schemas.microsoft.com/office/drawing/2014/main" id="{00000000-0008-0000-0000-0000A1ED0E00}"/>
                  </a:ext>
                </a:extLst>
              </xdr:cNvPr>
              <xdr:cNvGrpSpPr/>
            </xdr:nvGrpSpPr>
            <xdr:grpSpPr>
              <a:xfrm>
                <a:off x="361950" y="3048072"/>
                <a:ext cx="942975" cy="771530"/>
                <a:chOff x="561975" y="2943233"/>
                <a:chExt cx="800100" cy="704838"/>
              </a:xfrm>
            </xdr:grpSpPr>
            <xdr:sp macro="" textlink="">
              <xdr:nvSpPr>
                <xdr:cNvPr id="1045699" name="Check Box 24771" hidden="1">
                  <a:extLst>
                    <a:ext uri="{63B3BB69-23CF-44E3-9099-C40C66FF867C}">
                      <a14:compatExt spid="_x0000_s1045699"/>
                    </a:ext>
                    <a:ext uri="{FF2B5EF4-FFF2-40B4-BE49-F238E27FC236}">
                      <a16:creationId xmlns:a16="http://schemas.microsoft.com/office/drawing/2014/main" id="{00000000-0008-0000-0000-0000C3F40F00}"/>
                    </a:ext>
                  </a:extLst>
                </xdr:cNvPr>
                <xdr:cNvSpPr/>
              </xdr:nvSpPr>
              <xdr:spPr bwMode="auto">
                <a:xfrm>
                  <a:off x="561975" y="2943233"/>
                  <a:ext cx="800100" cy="228601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DIKETAHUI</a:t>
                  </a:r>
                </a:p>
              </xdr:txBody>
            </xdr:sp>
            <xdr:sp macro="" textlink="">
              <xdr:nvSpPr>
                <xdr:cNvPr id="1045700" name="Check Box 24772" hidden="1">
                  <a:extLst>
                    <a:ext uri="{63B3BB69-23CF-44E3-9099-C40C66FF867C}">
                      <a14:compatExt spid="_x0000_s1045700"/>
                    </a:ext>
                    <a:ext uri="{FF2B5EF4-FFF2-40B4-BE49-F238E27FC236}">
                      <a16:creationId xmlns:a16="http://schemas.microsoft.com/office/drawing/2014/main" id="{00000000-0008-0000-0000-0000C4F40F00}"/>
                    </a:ext>
                  </a:extLst>
                </xdr:cNvPr>
                <xdr:cNvSpPr/>
              </xdr:nvSpPr>
              <xdr:spPr bwMode="auto">
                <a:xfrm>
                  <a:off x="561975" y="3181350"/>
                  <a:ext cx="800100" cy="22860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PERTANYAAN</a:t>
                  </a:r>
                </a:p>
              </xdr:txBody>
            </xdr:sp>
            <xdr:sp macro="" textlink="">
              <xdr:nvSpPr>
                <xdr:cNvPr id="1045701" name="Check Box 24773" hidden="1">
                  <a:extLst>
                    <a:ext uri="{63B3BB69-23CF-44E3-9099-C40C66FF867C}">
                      <a14:compatExt spid="_x0000_s1045701"/>
                    </a:ext>
                    <a:ext uri="{FF2B5EF4-FFF2-40B4-BE49-F238E27FC236}">
                      <a16:creationId xmlns:a16="http://schemas.microsoft.com/office/drawing/2014/main" id="{00000000-0008-0000-0000-0000C5F40F00}"/>
                    </a:ext>
                  </a:extLst>
                </xdr:cNvPr>
                <xdr:cNvSpPr/>
              </xdr:nvSpPr>
              <xdr:spPr bwMode="auto">
                <a:xfrm>
                  <a:off x="561975" y="3419473"/>
                  <a:ext cx="800100" cy="228598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HASIL</a:t>
                  </a:r>
                </a:p>
              </xdr:txBody>
            </xdr:sp>
          </xdr:grpSp>
        </mc:Choice>
        <mc:Fallback/>
      </mc:AlternateContent>
      <xdr:sp macro="" textlink="">
        <xdr:nvSpPr>
          <xdr:cNvPr id="978338" name="Rectangle 978337">
            <a:extLst>
              <a:ext uri="{FF2B5EF4-FFF2-40B4-BE49-F238E27FC236}">
                <a16:creationId xmlns:a16="http://schemas.microsoft.com/office/drawing/2014/main" id="{00000000-0008-0000-0000-0000A2ED0E00}"/>
              </a:ext>
            </a:extLst>
          </xdr:cNvPr>
          <xdr:cNvSpPr/>
        </xdr:nvSpPr>
        <xdr:spPr>
          <a:xfrm>
            <a:off x="352425" y="3038475"/>
            <a:ext cx="1181100" cy="8001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42925" y="3057526"/>
            <a:ext cx="981075" cy="771524"/>
            <a:chOff x="1057275" y="5067300"/>
            <a:chExt cx="981075" cy="581025"/>
          </a:xfrm>
        </xdr:grpSpPr>
        <xdr:sp macro="" textlink="$C$20">
          <xdr:nvSpPr>
            <xdr:cNvPr id="408" name="Rectangle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>
            <a:xfrm>
              <a:off x="1057275" y="52578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F9AAE11-6F40-4717-9ED1-BD01AABD72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21">
          <xdr:nvSpPr>
            <xdr:cNvPr id="411" name="Rectangle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1057275" y="5448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0302C54E-EB7D-4268-B644-500B7DA453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19">
          <xdr:nvSpPr>
            <xdr:cNvPr id="412" name="Rectangle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1057275" y="5067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25394BC-ABF8-4DE8-99B1-EF0C37C34B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</xdr:grpSp>
    </xdr:grpSp>
    <xdr:clientData/>
  </xdr:twoCellAnchor>
  <xdr:twoCellAnchor>
    <xdr:from>
      <xdr:col>2</xdr:col>
      <xdr:colOff>114299</xdr:colOff>
      <xdr:row>13</xdr:row>
      <xdr:rowOff>57150</xdr:rowOff>
    </xdr:from>
    <xdr:to>
      <xdr:col>2</xdr:col>
      <xdr:colOff>1304924</xdr:colOff>
      <xdr:row>14</xdr:row>
      <xdr:rowOff>76200</xdr:rowOff>
    </xdr:to>
    <xdr:sp macro="" textlink="#REF!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52499" y="2771775"/>
          <a:ext cx="1190625" cy="2190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071F77B-519C-4B47-ADDD-69DDD49DE14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Klik di bawah ini</a:t>
          </a:fld>
          <a:endParaRPr 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114300</xdr:colOff>
      <xdr:row>13</xdr:row>
      <xdr:rowOff>38100</xdr:rowOff>
    </xdr:from>
    <xdr:to>
      <xdr:col>2</xdr:col>
      <xdr:colOff>1295400</xdr:colOff>
      <xdr:row>14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52500" y="2752725"/>
          <a:ext cx="1181100" cy="247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18</xdr:row>
      <xdr:rowOff>161926</xdr:rowOff>
    </xdr:from>
    <xdr:to>
      <xdr:col>2</xdr:col>
      <xdr:colOff>1314450</xdr:colOff>
      <xdr:row>23</xdr:row>
      <xdr:rowOff>172785</xdr:rowOff>
    </xdr:to>
    <xdr:grpSp>
      <xdr:nvGrpSpPr>
        <xdr:cNvPr id="978350" name="Group 978349">
          <a:extLst>
            <a:ext uri="{FF2B5EF4-FFF2-40B4-BE49-F238E27FC236}">
              <a16:creationId xmlns:a16="http://schemas.microsoft.com/office/drawing/2014/main" id="{00000000-0008-0000-0000-0000AEED0E00}"/>
            </a:ext>
          </a:extLst>
        </xdr:cNvPr>
        <xdr:cNvGrpSpPr/>
      </xdr:nvGrpSpPr>
      <xdr:grpSpPr>
        <a:xfrm>
          <a:off x="393246" y="3869872"/>
          <a:ext cx="1200150" cy="1038199"/>
          <a:chOff x="923925" y="3924300"/>
          <a:chExt cx="1200150" cy="1017623"/>
        </a:xfrm>
      </xdr:grpSpPr>
      <xdr:grpSp>
        <xdr:nvGrpSpPr>
          <xdr:cNvPr id="978349" name="Group 978348">
            <a:extLst>
              <a:ext uri="{FF2B5EF4-FFF2-40B4-BE49-F238E27FC236}">
                <a16:creationId xmlns:a16="http://schemas.microsoft.com/office/drawing/2014/main" id="{00000000-0008-0000-0000-0000ADED0E00}"/>
              </a:ext>
            </a:extLst>
          </xdr:cNvPr>
          <xdr:cNvGrpSpPr/>
        </xdr:nvGrpSpPr>
        <xdr:grpSpPr>
          <a:xfrm>
            <a:off x="933450" y="3952875"/>
            <a:ext cx="1190625" cy="989048"/>
            <a:chOff x="923925" y="3952875"/>
            <a:chExt cx="1190625" cy="989048"/>
          </a:xfrm>
        </xdr:grpSpPr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04" name="Image1">
                  <a:extLst>
                    <a:ext uri="{FF2B5EF4-FFF2-40B4-BE49-F238E27FC236}">
                      <a16:creationId xmlns:a16="http://schemas.microsoft.com/office/drawing/2014/main" id="{00000000-0008-0000-0000-000030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RUMUS" spid="_x0000_s2288262"/>
                    </a:ext>
                  </a:extLst>
                </xdr:cNvPicPr>
              </xdr:nvPicPr>
              <xdr:blipFill>
                <a:blip xmlns:r="http://schemas.openxmlformats.org/officeDocument/2006/relationships" r:embed="rId16"/>
                <a:srcRect/>
                <a:stretch>
                  <a:fillRect/>
                </a:stretch>
              </xdr:blipFill>
              <xdr:spPr bwMode="auto">
                <a:xfrm>
                  <a:off x="933450" y="4190998"/>
                  <a:ext cx="1181100" cy="7509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mc:Choice>
          <mc:Fallback xmlns=""/>
        </mc:AlternateContent>
        <xdr:sp macro="" textlink="$C$22">
          <xdr:nvSpPr>
            <xdr:cNvPr id="414" name="Rectangle 413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/>
          </xdr:nvSpPr>
          <xdr:spPr>
            <a:xfrm>
              <a:off x="923925" y="3952875"/>
              <a:ext cx="1190625" cy="2190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47E5FC-55E5-4D17-8A4E-883FA66708BD}" type="TxLink">
                <a:rPr lang="en-US" sz="1100" b="0" i="0" u="none" strike="noStrike">
                  <a:solidFill>
                    <a:srgbClr val="0070C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105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417" name="Rectangle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SpPr/>
        </xdr:nvSpPr>
        <xdr:spPr>
          <a:xfrm>
            <a:off x="923925" y="4171950"/>
            <a:ext cx="1181100" cy="7620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/>
        </xdr:nvSpPr>
        <xdr:spPr>
          <a:xfrm>
            <a:off x="923925" y="3924300"/>
            <a:ext cx="1181100" cy="2476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542925</xdr:colOff>
          <xdr:row>11</xdr:row>
          <xdr:rowOff>133350</xdr:rowOff>
        </xdr:from>
        <xdr:to>
          <xdr:col>21</xdr:col>
          <xdr:colOff>356755</xdr:colOff>
          <xdr:row>13</xdr:row>
          <xdr:rowOff>4330</xdr:rowOff>
        </xdr:to>
        <xdr:pic>
          <xdr:nvPicPr>
            <xdr:cNvPr id="335" name="Image1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BASA" spid="_x0000_s2288263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591800" y="2495550"/>
              <a:ext cx="528205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466725</xdr:colOff>
      <xdr:row>13</xdr:row>
      <xdr:rowOff>142875</xdr:rowOff>
    </xdr:from>
    <xdr:to>
      <xdr:col>21</xdr:col>
      <xdr:colOff>285750</xdr:colOff>
      <xdr:row>14</xdr:row>
      <xdr:rowOff>95250</xdr:rowOff>
    </xdr:to>
    <xdr:sp macro="" textlink="$AD$17">
      <xdr:nvSpPr>
        <xdr:cNvPr id="978351" name="Rectangle 978350">
          <a:extLst>
            <a:ext uri="{FF2B5EF4-FFF2-40B4-BE49-F238E27FC236}">
              <a16:creationId xmlns:a16="http://schemas.microsoft.com/office/drawing/2014/main" id="{00000000-0008-0000-0000-0000AFED0E00}"/>
            </a:ext>
          </a:extLst>
        </xdr:cNvPr>
        <xdr:cNvSpPr/>
      </xdr:nvSpPr>
      <xdr:spPr>
        <a:xfrm>
          <a:off x="10648950" y="2857500"/>
          <a:ext cx="5334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36CAC3F-617A-4FF3-89AC-EC7FF55A3E7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20</xdr:col>
      <xdr:colOff>466725</xdr:colOff>
      <xdr:row>12</xdr:row>
      <xdr:rowOff>180975</xdr:rowOff>
    </xdr:from>
    <xdr:to>
      <xdr:col>21</xdr:col>
      <xdr:colOff>342900</xdr:colOff>
      <xdr:row>13</xdr:row>
      <xdr:rowOff>133350</xdr:rowOff>
    </xdr:to>
    <xdr:sp macro="" textlink="$AD$18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10648950" y="2695575"/>
          <a:ext cx="59055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0C1BE08-A974-4088-B996-66748125F9F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18</xdr:col>
      <xdr:colOff>342900</xdr:colOff>
      <xdr:row>7</xdr:row>
      <xdr:rowOff>49530</xdr:rowOff>
    </xdr:from>
    <xdr:to>
      <xdr:col>20</xdr:col>
      <xdr:colOff>104775</xdr:colOff>
      <xdr:row>7</xdr:row>
      <xdr:rowOff>104774</xdr:rowOff>
    </xdr:to>
    <xdr:sp macro="" textlink="">
      <xdr:nvSpPr>
        <xdr:cNvPr id="978356" name="Rectangle 978355">
          <a:extLst>
            <a:ext uri="{FF2B5EF4-FFF2-40B4-BE49-F238E27FC236}">
              <a16:creationId xmlns:a16="http://schemas.microsoft.com/office/drawing/2014/main" id="{00000000-0008-0000-0000-0000B4ED0E00}"/>
            </a:ext>
          </a:extLst>
        </xdr:cNvPr>
        <xdr:cNvSpPr/>
      </xdr:nvSpPr>
      <xdr:spPr>
        <a:xfrm flipV="1">
          <a:off x="9096375" y="1449705"/>
          <a:ext cx="1190625" cy="55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266699</xdr:colOff>
      <xdr:row>3</xdr:row>
      <xdr:rowOff>19050</xdr:rowOff>
    </xdr:from>
    <xdr:to>
      <xdr:col>20</xdr:col>
      <xdr:colOff>704849</xdr:colOff>
      <xdr:row>3</xdr:row>
      <xdr:rowOff>180975</xdr:rowOff>
    </xdr:to>
    <xdr:sp macro="" textlink="$AD$12">
      <xdr:nvSpPr>
        <xdr:cNvPr id="978357" name="Rectangle 978356">
          <a:extLst>
            <a:ext uri="{FF2B5EF4-FFF2-40B4-BE49-F238E27FC236}">
              <a16:creationId xmlns:a16="http://schemas.microsoft.com/office/drawing/2014/main" id="{00000000-0008-0000-0000-0000B5ED0E00}"/>
            </a:ext>
          </a:extLst>
        </xdr:cNvPr>
        <xdr:cNvSpPr/>
      </xdr:nvSpPr>
      <xdr:spPr>
        <a:xfrm>
          <a:off x="8305799" y="504825"/>
          <a:ext cx="25812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96D0E2-FA40-4408-A20B-872BE97A64C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 b="1"/>
        </a:p>
      </xdr:txBody>
    </xdr:sp>
    <xdr:clientData/>
  </xdr:twoCellAnchor>
  <xdr:twoCellAnchor>
    <xdr:from>
      <xdr:col>18</xdr:col>
      <xdr:colOff>190500</xdr:colOff>
      <xdr:row>11</xdr:row>
      <xdr:rowOff>47625</xdr:rowOff>
    </xdr:from>
    <xdr:to>
      <xdr:col>18</xdr:col>
      <xdr:colOff>369223</xdr:colOff>
      <xdr:row>12</xdr:row>
      <xdr:rowOff>62534</xdr:rowOff>
    </xdr:to>
    <xdr:sp macro="" textlink="$AN$6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8943975" y="23907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276225</xdr:colOff>
      <xdr:row>12</xdr:row>
      <xdr:rowOff>66675</xdr:rowOff>
    </xdr:from>
    <xdr:to>
      <xdr:col>18</xdr:col>
      <xdr:colOff>454948</xdr:colOff>
      <xdr:row>13</xdr:row>
      <xdr:rowOff>53009</xdr:rowOff>
    </xdr:to>
    <xdr:sp macro="" textlink="$AN$6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029700" y="25812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314325</xdr:colOff>
      <xdr:row>11</xdr:row>
      <xdr:rowOff>57150</xdr:rowOff>
    </xdr:from>
    <xdr:to>
      <xdr:col>18</xdr:col>
      <xdr:colOff>493048</xdr:colOff>
      <xdr:row>12</xdr:row>
      <xdr:rowOff>72059</xdr:rowOff>
    </xdr:to>
    <xdr:sp macro="" textlink="$AN$6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067800" y="24003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11</xdr:row>
      <xdr:rowOff>0</xdr:rowOff>
    </xdr:from>
    <xdr:to>
      <xdr:col>18</xdr:col>
      <xdr:colOff>407323</xdr:colOff>
      <xdr:row>12</xdr:row>
      <xdr:rowOff>14909</xdr:rowOff>
    </xdr:to>
    <xdr:sp macro="" textlink="$AN$6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8982075" y="23431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180975</xdr:colOff>
      <xdr:row>10</xdr:row>
      <xdr:rowOff>123825</xdr:rowOff>
    </xdr:from>
    <xdr:to>
      <xdr:col>18</xdr:col>
      <xdr:colOff>359698</xdr:colOff>
      <xdr:row>11</xdr:row>
      <xdr:rowOff>62534</xdr:rowOff>
    </xdr:to>
    <xdr:sp macro="" textlink="$AN$6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8934450" y="22193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11</xdr:row>
      <xdr:rowOff>123825</xdr:rowOff>
    </xdr:from>
    <xdr:to>
      <xdr:col>18</xdr:col>
      <xdr:colOff>388273</xdr:colOff>
      <xdr:row>12</xdr:row>
      <xdr:rowOff>138734</xdr:rowOff>
    </xdr:to>
    <xdr:sp macro="" textlink="$AN$6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8963025" y="24669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257175</xdr:colOff>
      <xdr:row>10</xdr:row>
      <xdr:rowOff>57150</xdr:rowOff>
    </xdr:from>
    <xdr:to>
      <xdr:col>18</xdr:col>
      <xdr:colOff>435898</xdr:colOff>
      <xdr:row>10</xdr:row>
      <xdr:rowOff>243509</xdr:rowOff>
    </xdr:to>
    <xdr:sp macro="" textlink="$AN$6">
      <xdr:nvSpPr>
        <xdr:cNvPr id="437" name="Rectangl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010650" y="21526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10</xdr:row>
      <xdr:rowOff>238125</xdr:rowOff>
    </xdr:from>
    <xdr:to>
      <xdr:col>18</xdr:col>
      <xdr:colOff>388273</xdr:colOff>
      <xdr:row>12</xdr:row>
      <xdr:rowOff>5384</xdr:rowOff>
    </xdr:to>
    <xdr:sp macro="" textlink="$AN$6">
      <xdr:nvSpPr>
        <xdr:cNvPr id="438" name="Rectangl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8963025" y="23336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76200</xdr:rowOff>
    </xdr:from>
    <xdr:to>
      <xdr:col>18</xdr:col>
      <xdr:colOff>369223</xdr:colOff>
      <xdr:row>11</xdr:row>
      <xdr:rowOff>14909</xdr:rowOff>
    </xdr:to>
    <xdr:sp macro="" textlink="$AN$6">
      <xdr:nvSpPr>
        <xdr:cNvPr id="439" name="Rectangl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8943975" y="21717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266700</xdr:colOff>
      <xdr:row>10</xdr:row>
      <xdr:rowOff>152400</xdr:rowOff>
    </xdr:from>
    <xdr:to>
      <xdr:col>18</xdr:col>
      <xdr:colOff>445423</xdr:colOff>
      <xdr:row>11</xdr:row>
      <xdr:rowOff>91109</xdr:rowOff>
    </xdr:to>
    <xdr:sp macro="" textlink="$AN$6">
      <xdr:nvSpPr>
        <xdr:cNvPr id="440" name="Rectangl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020175" y="22479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219075</xdr:colOff>
      <xdr:row>10</xdr:row>
      <xdr:rowOff>190500</xdr:rowOff>
    </xdr:from>
    <xdr:to>
      <xdr:col>18</xdr:col>
      <xdr:colOff>397798</xdr:colOff>
      <xdr:row>11</xdr:row>
      <xdr:rowOff>129209</xdr:rowOff>
    </xdr:to>
    <xdr:sp macro="" textlink="$AN$6">
      <xdr:nvSpPr>
        <xdr:cNvPr id="441" name="Rectangl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8972550" y="22860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9525</xdr:colOff>
      <xdr:row>10</xdr:row>
      <xdr:rowOff>57150</xdr:rowOff>
    </xdr:from>
    <xdr:to>
      <xdr:col>20</xdr:col>
      <xdr:colOff>192405</xdr:colOff>
      <xdr:row>11</xdr:row>
      <xdr:rowOff>37272</xdr:rowOff>
    </xdr:to>
    <xdr:sp macro="" textlink="$AO$5">
      <xdr:nvSpPr>
        <xdr:cNvPr id="442" name="Rectangl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0191750" y="215265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19050</xdr:colOff>
      <xdr:row>10</xdr:row>
      <xdr:rowOff>152400</xdr:rowOff>
    </xdr:from>
    <xdr:to>
      <xdr:col>20</xdr:col>
      <xdr:colOff>201930</xdr:colOff>
      <xdr:row>11</xdr:row>
      <xdr:rowOff>132522</xdr:rowOff>
    </xdr:to>
    <xdr:sp macro="" textlink="$AO$5">
      <xdr:nvSpPr>
        <xdr:cNvPr id="443" name="Rectangl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1020127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85725</xdr:rowOff>
    </xdr:from>
    <xdr:to>
      <xdr:col>20</xdr:col>
      <xdr:colOff>144780</xdr:colOff>
      <xdr:row>11</xdr:row>
      <xdr:rowOff>65847</xdr:rowOff>
    </xdr:to>
    <xdr:sp macro="" textlink="$AO$5">
      <xdr:nvSpPr>
        <xdr:cNvPr id="444" name="Rectangl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0144125" y="21812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</xdr:colOff>
      <xdr:row>10</xdr:row>
      <xdr:rowOff>228600</xdr:rowOff>
    </xdr:from>
    <xdr:to>
      <xdr:col>20</xdr:col>
      <xdr:colOff>220980</xdr:colOff>
      <xdr:row>12</xdr:row>
      <xdr:rowOff>37272</xdr:rowOff>
    </xdr:to>
    <xdr:sp macro="" textlink="$AO$5">
      <xdr:nvSpPr>
        <xdr:cNvPr id="445" name="Rectangl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220325" y="23241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47625</xdr:rowOff>
    </xdr:from>
    <xdr:to>
      <xdr:col>20</xdr:col>
      <xdr:colOff>173355</xdr:colOff>
      <xdr:row>12</xdr:row>
      <xdr:rowOff>103947</xdr:rowOff>
    </xdr:to>
    <xdr:sp macro="" textlink="$AO$5">
      <xdr:nvSpPr>
        <xdr:cNvPr id="446" name="Rectangl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0172700" y="23907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666750</xdr:colOff>
      <xdr:row>11</xdr:row>
      <xdr:rowOff>9525</xdr:rowOff>
    </xdr:from>
    <xdr:to>
      <xdr:col>20</xdr:col>
      <xdr:colOff>135255</xdr:colOff>
      <xdr:row>12</xdr:row>
      <xdr:rowOff>65847</xdr:rowOff>
    </xdr:to>
    <xdr:sp macro="" textlink="$AO$5">
      <xdr:nvSpPr>
        <xdr:cNvPr id="447" name="Rectangl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0134600" y="23526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152400</xdr:rowOff>
    </xdr:from>
    <xdr:to>
      <xdr:col>20</xdr:col>
      <xdr:colOff>144780</xdr:colOff>
      <xdr:row>11</xdr:row>
      <xdr:rowOff>132522</xdr:rowOff>
    </xdr:to>
    <xdr:sp macro="" textlink="$AO$5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1014412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142875</xdr:rowOff>
    </xdr:from>
    <xdr:to>
      <xdr:col>20</xdr:col>
      <xdr:colOff>173355</xdr:colOff>
      <xdr:row>12</xdr:row>
      <xdr:rowOff>199197</xdr:rowOff>
    </xdr:to>
    <xdr:sp macro="" textlink="$AO$5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10172700" y="24860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647700</xdr:colOff>
      <xdr:row>11</xdr:row>
      <xdr:rowOff>57150</xdr:rowOff>
    </xdr:from>
    <xdr:to>
      <xdr:col>20</xdr:col>
      <xdr:colOff>116205</xdr:colOff>
      <xdr:row>12</xdr:row>
      <xdr:rowOff>113472</xdr:rowOff>
    </xdr:to>
    <xdr:sp macro="" textlink="$AO$5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10115550" y="24003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57150</xdr:colOff>
      <xdr:row>11</xdr:row>
      <xdr:rowOff>95250</xdr:rowOff>
    </xdr:from>
    <xdr:to>
      <xdr:col>20</xdr:col>
      <xdr:colOff>240030</xdr:colOff>
      <xdr:row>12</xdr:row>
      <xdr:rowOff>151572</xdr:rowOff>
    </xdr:to>
    <xdr:sp macro="" textlink="$AO$5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10239375" y="24384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609600</xdr:colOff>
      <xdr:row>10</xdr:row>
      <xdr:rowOff>180975</xdr:rowOff>
    </xdr:from>
    <xdr:to>
      <xdr:col>20</xdr:col>
      <xdr:colOff>78105</xdr:colOff>
      <xdr:row>11</xdr:row>
      <xdr:rowOff>161097</xdr:rowOff>
    </xdr:to>
    <xdr:sp macro="" textlink="$AO$5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0077450" y="22764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28575</xdr:colOff>
      <xdr:row>10</xdr:row>
      <xdr:rowOff>114300</xdr:rowOff>
    </xdr:from>
    <xdr:to>
      <xdr:col>20</xdr:col>
      <xdr:colOff>211455</xdr:colOff>
      <xdr:row>11</xdr:row>
      <xdr:rowOff>94422</xdr:rowOff>
    </xdr:to>
    <xdr:sp macro="" textlink="$AO$5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0210800" y="22098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182880</xdr:colOff>
      <xdr:row>10</xdr:row>
      <xdr:rowOff>227772</xdr:rowOff>
    </xdr:to>
    <xdr:sp macro="" textlink="$AO$5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0182225" y="20955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657225</xdr:colOff>
      <xdr:row>10</xdr:row>
      <xdr:rowOff>38100</xdr:rowOff>
    </xdr:from>
    <xdr:to>
      <xdr:col>20</xdr:col>
      <xdr:colOff>125730</xdr:colOff>
      <xdr:row>11</xdr:row>
      <xdr:rowOff>18222</xdr:rowOff>
    </xdr:to>
    <xdr:sp macro="" textlink="$AO$5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0125075" y="21336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419100</xdr:colOff>
      <xdr:row>11</xdr:row>
      <xdr:rowOff>76200</xdr:rowOff>
    </xdr:from>
    <xdr:to>
      <xdr:col>18</xdr:col>
      <xdr:colOff>656013</xdr:colOff>
      <xdr:row>12</xdr:row>
      <xdr:rowOff>135973</xdr:rowOff>
    </xdr:to>
    <xdr:sp macro="" textlink="$AN$7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172575" y="24193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447675</xdr:colOff>
      <xdr:row>11</xdr:row>
      <xdr:rowOff>142875</xdr:rowOff>
    </xdr:from>
    <xdr:to>
      <xdr:col>18</xdr:col>
      <xdr:colOff>684588</xdr:colOff>
      <xdr:row>13</xdr:row>
      <xdr:rowOff>2623</xdr:rowOff>
    </xdr:to>
    <xdr:sp macro="" textlink="$AN$7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201150" y="24860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342900</xdr:colOff>
      <xdr:row>12</xdr:row>
      <xdr:rowOff>47625</xdr:rowOff>
    </xdr:from>
    <xdr:to>
      <xdr:col>18</xdr:col>
      <xdr:colOff>579813</xdr:colOff>
      <xdr:row>13</xdr:row>
      <xdr:rowOff>78823</xdr:rowOff>
    </xdr:to>
    <xdr:sp macro="" textlink="$AN$7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096375" y="25622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180975</xdr:rowOff>
    </xdr:from>
    <xdr:to>
      <xdr:col>18</xdr:col>
      <xdr:colOff>598863</xdr:colOff>
      <xdr:row>14</xdr:row>
      <xdr:rowOff>12148</xdr:rowOff>
    </xdr:to>
    <xdr:sp macro="" textlink="$AN$7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115425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485775</xdr:colOff>
      <xdr:row>12</xdr:row>
      <xdr:rowOff>180975</xdr:rowOff>
    </xdr:from>
    <xdr:to>
      <xdr:col>19</xdr:col>
      <xdr:colOff>8313</xdr:colOff>
      <xdr:row>14</xdr:row>
      <xdr:rowOff>12148</xdr:rowOff>
    </xdr:to>
    <xdr:sp macro="" textlink="$AN$7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239250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523875</xdr:colOff>
      <xdr:row>11</xdr:row>
      <xdr:rowOff>133350</xdr:rowOff>
    </xdr:from>
    <xdr:to>
      <xdr:col>19</xdr:col>
      <xdr:colOff>46413</xdr:colOff>
      <xdr:row>12</xdr:row>
      <xdr:rowOff>193123</xdr:rowOff>
    </xdr:to>
    <xdr:sp macro="" textlink="$AN$7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277350" y="247650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95250</xdr:rowOff>
    </xdr:from>
    <xdr:to>
      <xdr:col>18</xdr:col>
      <xdr:colOff>598863</xdr:colOff>
      <xdr:row>13</xdr:row>
      <xdr:rowOff>126448</xdr:rowOff>
    </xdr:to>
    <xdr:sp macro="" textlink="$AN$7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115425" y="26098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21</xdr:row>
          <xdr:rowOff>0</xdr:rowOff>
        </xdr:from>
        <xdr:to>
          <xdr:col>24</xdr:col>
          <xdr:colOff>247650</xdr:colOff>
          <xdr:row>22</xdr:row>
          <xdr:rowOff>200025</xdr:rowOff>
        </xdr:to>
        <xdr:sp macro="" textlink="">
          <xdr:nvSpPr>
            <xdr:cNvPr id="1396449" name="Spinner 34529" hidden="1">
              <a:extLst>
                <a:ext uri="{63B3BB69-23CF-44E3-9099-C40C66FF867C}">
                  <a14:compatExt spid="_x0000_s1396449"/>
                </a:ext>
                <a:ext uri="{FF2B5EF4-FFF2-40B4-BE49-F238E27FC236}">
                  <a16:creationId xmlns:a16="http://schemas.microsoft.com/office/drawing/2014/main" id="{00000000-0008-0000-0000-0000E14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0</xdr:colOff>
      <xdr:row>21</xdr:row>
      <xdr:rowOff>0</xdr:rowOff>
    </xdr:from>
    <xdr:to>
      <xdr:col>25</xdr:col>
      <xdr:colOff>0</xdr:colOff>
      <xdr:row>23</xdr:row>
      <xdr:rowOff>200025</xdr:rowOff>
    </xdr:to>
    <xdr:sp macro="" textlink="">
      <xdr:nvSpPr>
        <xdr:cNvPr id="978358" name="Rectangle 978357">
          <a:extLst>
            <a:ext uri="{FF2B5EF4-FFF2-40B4-BE49-F238E27FC236}">
              <a16:creationId xmlns:a16="http://schemas.microsoft.com/office/drawing/2014/main" id="{00000000-0008-0000-0000-0000B6ED0E00}"/>
            </a:ext>
          </a:extLst>
        </xdr:cNvPr>
        <xdr:cNvSpPr/>
      </xdr:nvSpPr>
      <xdr:spPr>
        <a:xfrm>
          <a:off x="12506325" y="4314825"/>
          <a:ext cx="266700" cy="60960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</xdr:colOff>
      <xdr:row>23</xdr:row>
      <xdr:rowOff>1</xdr:rowOff>
    </xdr:from>
    <xdr:to>
      <xdr:col>24</xdr:col>
      <xdr:colOff>247650</xdr:colOff>
      <xdr:row>23</xdr:row>
      <xdr:rowOff>180975</xdr:rowOff>
    </xdr:to>
    <xdr:sp macro="" textlink="$Y$24">
      <xdr:nvSpPr>
        <xdr:cNvPr id="434" name="Rectangl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306300" y="4762501"/>
          <a:ext cx="228600" cy="1809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13B547-2392-48C9-99E5-31DA88635BF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657224</xdr:colOff>
      <xdr:row>18</xdr:row>
      <xdr:rowOff>104775</xdr:rowOff>
    </xdr:from>
    <xdr:to>
      <xdr:col>23</xdr:col>
      <xdr:colOff>133351</xdr:colOff>
      <xdr:row>23</xdr:row>
      <xdr:rowOff>142875</xdr:rowOff>
    </xdr:to>
    <xdr:grpSp>
      <xdr:nvGrpSpPr>
        <xdr:cNvPr id="978362" name="Group 978361">
          <a:extLst>
            <a:ext uri="{FF2B5EF4-FFF2-40B4-BE49-F238E27FC236}">
              <a16:creationId xmlns:a16="http://schemas.microsoft.com/office/drawing/2014/main" id="{00000000-0008-0000-0000-0000BAED0E00}"/>
            </a:ext>
          </a:extLst>
        </xdr:cNvPr>
        <xdr:cNvGrpSpPr/>
      </xdr:nvGrpSpPr>
      <xdr:grpSpPr>
        <a:xfrm>
          <a:off x="7460795" y="3812721"/>
          <a:ext cx="4864556" cy="1065440"/>
          <a:chOff x="7410449" y="3857625"/>
          <a:chExt cx="4867277" cy="1066800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9" name="Image1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ANODA2" spid="_x0000_s2288264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305300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20" name="Image1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ATODA2" spid="_x0000_s2288265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095750"/>
                <a:ext cx="1991591" cy="24245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98" name="Image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IONISASI" spid="_x0000_s2288266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34398" y="3857625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xdr:sp macro="" textlink="$AD$4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553325" y="3895726"/>
            <a:ext cx="8477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E53F949-81E4-4705-AEBB-67401149B90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5">
        <xdr:nvSpPr>
          <xdr:cNvPr id="357" name="Rectangle 356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/>
        </xdr:nvSpPr>
        <xdr:spPr>
          <a:xfrm>
            <a:off x="7534275" y="4162425"/>
            <a:ext cx="990600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968A7E5-26A0-4543-9355-7A197A478D9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6">
        <xdr:nvSpPr>
          <xdr:cNvPr id="358" name="Rectangle 357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/>
        </xdr:nvSpPr>
        <xdr:spPr>
          <a:xfrm>
            <a:off x="7543800" y="4352925"/>
            <a:ext cx="9239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496836C1-5577-487F-ADA3-651805DA1AD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7">
        <xdr:nvSpPr>
          <xdr:cNvPr id="359" name="Rectangle 358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/>
        </xdr:nvSpPr>
        <xdr:spPr>
          <a:xfrm>
            <a:off x="7534275" y="4629149"/>
            <a:ext cx="657225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33001061-F185-449F-991C-F4F289BF300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23">
        <xdr:nvSpPr>
          <xdr:cNvPr id="467" name="Rectangle 466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/>
        </xdr:nvSpPr>
        <xdr:spPr>
          <a:xfrm>
            <a:off x="7410449" y="4800600"/>
            <a:ext cx="742951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84EC2076-EF26-4ACF-BCF9-BADA42F67DE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>
              <a:solidFill>
                <a:srgbClr val="FF0000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68" name="Image1">
                <a:extLst>
                  <a:ext uri="{FF2B5EF4-FFF2-40B4-BE49-F238E27FC236}">
                    <a16:creationId xmlns:a16="http://schemas.microsoft.com/office/drawing/2014/main" id="{00000000-0008-0000-0000-0000D4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HASIL5" spid="_x0000_s2288267"/>
                  </a:ext>
                </a:extLst>
              </xdr:cNvPicPr>
            </xdr:nvPicPr>
            <xdr:blipFill>
              <a:blip xmlns:r="http://schemas.openxmlformats.org/officeDocument/2006/relationships" r:embed="rId19"/>
              <a:srcRect/>
              <a:stretch>
                <a:fillRect/>
              </a:stretch>
            </xdr:blipFill>
            <xdr:spPr bwMode="auto">
              <a:xfrm>
                <a:off x="8096251" y="4610100"/>
                <a:ext cx="41814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6</xdr:col>
      <xdr:colOff>9525</xdr:colOff>
      <xdr:row>8</xdr:row>
      <xdr:rowOff>47625</xdr:rowOff>
    </xdr:from>
    <xdr:to>
      <xdr:col>11</xdr:col>
      <xdr:colOff>381000</xdr:colOff>
      <xdr:row>11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220686" y="1666875"/>
          <a:ext cx="3664403" cy="763361"/>
          <a:chOff x="2238375" y="5905500"/>
          <a:chExt cx="3667125" cy="887730"/>
        </a:xfrm>
      </xdr:grpSpPr>
      <xdr:grpSp>
        <xdr:nvGrpSpPr>
          <xdr:cNvPr id="493" name="Group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GrpSpPr/>
        </xdr:nvGrpSpPr>
        <xdr:grpSpPr>
          <a:xfrm>
            <a:off x="2238375" y="5905500"/>
            <a:ext cx="3667125" cy="725805"/>
            <a:chOff x="1895474" y="1695449"/>
            <a:chExt cx="3305175" cy="725805"/>
          </a:xfrm>
        </xdr:grpSpPr>
        <xdr:sp macro="" textlink="$AF$24">
          <xdr:nvSpPr>
            <xdr:cNvPr id="494" name="Rectangle 493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/>
          </xdr:nvSpPr>
          <xdr:spPr>
            <a:xfrm>
              <a:off x="1895474" y="20478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AAC31B26-5F4F-4301-9B56-D03BCB7C8C8C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5">
          <xdr:nvSpPr>
            <xdr:cNvPr id="495" name="Rectangle 494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/>
          </xdr:nvSpPr>
          <xdr:spPr>
            <a:xfrm>
              <a:off x="1895474" y="22383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900A2F99-F2A3-403C-92AD-90329FBCB4E4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3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/>
          </xdr:nvSpPr>
          <xdr:spPr>
            <a:xfrm>
              <a:off x="1895474" y="187642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1C31E363-D656-4300-B83C-D654A9B3C29D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2">
          <xdr:nvSpPr>
            <xdr:cNvPr id="572" name="Rectangle 571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/>
          </xdr:nvSpPr>
          <xdr:spPr>
            <a:xfrm>
              <a:off x="1895474" y="1695449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5DF5E55-9B1E-4D6B-8F1D-2F29FAA141E7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</xdr:grpSp>
      <xdr:sp macro="" textlink="$AF$26">
        <xdr:nvSpPr>
          <xdr:cNvPr id="573" name="Rectangle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SpPr/>
        </xdr:nvSpPr>
        <xdr:spPr>
          <a:xfrm>
            <a:off x="2238375" y="6610350"/>
            <a:ext cx="3667125" cy="182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2573F379-1E4C-454C-B100-73AAB2EEAE52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900"/>
          </a:p>
        </xdr:txBody>
      </xdr:sp>
    </xdr:grpSp>
    <xdr:clientData/>
  </xdr:twoCellAnchor>
  <xdr:twoCellAnchor>
    <xdr:from>
      <xdr:col>6</xdr:col>
      <xdr:colOff>28575</xdr:colOff>
      <xdr:row>2</xdr:row>
      <xdr:rowOff>47625</xdr:rowOff>
    </xdr:from>
    <xdr:to>
      <xdr:col>8</xdr:col>
      <xdr:colOff>266700</xdr:colOff>
      <xdr:row>3</xdr:row>
      <xdr:rowOff>152400</xdr:rowOff>
    </xdr:to>
    <xdr:sp macro="" textlink="$AI$24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66950" y="304800"/>
          <a:ext cx="1362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4D7BAA-8ADB-427A-95FF-3B5C22A012A9}" type="TxLink">
            <a:rPr lang="en-US" sz="16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0</xdr:rowOff>
    </xdr:from>
    <xdr:to>
      <xdr:col>8</xdr:col>
      <xdr:colOff>476250</xdr:colOff>
      <xdr:row>2</xdr:row>
      <xdr:rowOff>228600</xdr:rowOff>
    </xdr:to>
    <xdr:sp macro="" textlink="$A$4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71875" y="2571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7FCA78B-B03C-4786-BFFF-7858E65BB7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3</xdr:row>
      <xdr:rowOff>209550</xdr:rowOff>
    </xdr:from>
    <xdr:to>
      <xdr:col>8</xdr:col>
      <xdr:colOff>485775</xdr:colOff>
      <xdr:row>4</xdr:row>
      <xdr:rowOff>209550</xdr:rowOff>
    </xdr:to>
    <xdr:sp macro="" textlink="$A$6">
      <xdr:nvSpPr>
        <xdr:cNvPr id="475" name="Oval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581400" y="7143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3CC1C-61BB-456B-9A06-603C219EB00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238125</xdr:rowOff>
    </xdr:from>
    <xdr:to>
      <xdr:col>8</xdr:col>
      <xdr:colOff>476250</xdr:colOff>
      <xdr:row>3</xdr:row>
      <xdr:rowOff>219075</xdr:rowOff>
    </xdr:to>
    <xdr:sp macro="" textlink="$A$5">
      <xdr:nvSpPr>
        <xdr:cNvPr id="476" name="Oval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3571875" y="495300"/>
          <a:ext cx="266700" cy="2286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77A2C2-850A-4391-BD62-D81CB1E9186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4</xdr:row>
      <xdr:rowOff>209550</xdr:rowOff>
    </xdr:from>
    <xdr:to>
      <xdr:col>8</xdr:col>
      <xdr:colOff>485775</xdr:colOff>
      <xdr:row>5</xdr:row>
      <xdr:rowOff>209550</xdr:rowOff>
    </xdr:to>
    <xdr:sp macro="" textlink="$A$7">
      <xdr:nvSpPr>
        <xdr:cNvPr id="477" name="Oval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581400" y="9429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B4544-9499-4D18-9F25-E91E0C31EC9C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152401</xdr:colOff>
      <xdr:row>14</xdr:row>
      <xdr:rowOff>133350</xdr:rowOff>
    </xdr:from>
    <xdr:to>
      <xdr:col>2</xdr:col>
      <xdr:colOff>57151</xdr:colOff>
      <xdr:row>15</xdr:row>
      <xdr:rowOff>123825</xdr:rowOff>
    </xdr:to>
    <xdr:sp macro="" textlink="$AC$24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2401" y="3067050"/>
          <a:ext cx="952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FC36DD8-0A84-44AC-96AF-1DF8D375449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190500</xdr:colOff>
      <xdr:row>16</xdr:row>
      <xdr:rowOff>9525</xdr:rowOff>
    </xdr:from>
    <xdr:to>
      <xdr:col>2</xdr:col>
      <xdr:colOff>85725</xdr:colOff>
      <xdr:row>17</xdr:row>
      <xdr:rowOff>9525</xdr:rowOff>
    </xdr:to>
    <xdr:sp macro="" textlink="$AC$25">
      <xdr:nvSpPr>
        <xdr:cNvPr id="478" name="Rectangl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90500" y="33337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5AEEB5E-DC4D-434E-ACDB-47483630DC7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180975</xdr:colOff>
      <xdr:row>17</xdr:row>
      <xdr:rowOff>76200</xdr:rowOff>
    </xdr:from>
    <xdr:to>
      <xdr:col>2</xdr:col>
      <xdr:colOff>76200</xdr:colOff>
      <xdr:row>18</xdr:row>
      <xdr:rowOff>66675</xdr:rowOff>
    </xdr:to>
    <xdr:sp macro="" textlink="$AC$26">
      <xdr:nvSpPr>
        <xdr:cNvPr id="479" name="Rectangl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80975" y="3590925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8A67449C-0FC0-4618-8E2F-8979E41345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18</xdr:row>
      <xdr:rowOff>152400</xdr:rowOff>
    </xdr:from>
    <xdr:to>
      <xdr:col>15</xdr:col>
      <xdr:colOff>371475</xdr:colOff>
      <xdr:row>19</xdr:row>
      <xdr:rowOff>171450</xdr:rowOff>
    </xdr:to>
    <xdr:sp macro="" textlink="$A$20">
      <xdr:nvSpPr>
        <xdr:cNvPr id="464" name="Oval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6829425" y="3867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D3FD69-6DC1-45B4-AEE8-F93D681F5A7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19</xdr:row>
      <xdr:rowOff>152400</xdr:rowOff>
    </xdr:from>
    <xdr:to>
      <xdr:col>15</xdr:col>
      <xdr:colOff>361950</xdr:colOff>
      <xdr:row>20</xdr:row>
      <xdr:rowOff>180975</xdr:rowOff>
    </xdr:to>
    <xdr:sp macro="" textlink="$A$21">
      <xdr:nvSpPr>
        <xdr:cNvPr id="465" name="Oval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6819900" y="407670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A17885-450C-409F-801A-D17D80C2664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20</xdr:row>
      <xdr:rowOff>190500</xdr:rowOff>
    </xdr:from>
    <xdr:to>
      <xdr:col>15</xdr:col>
      <xdr:colOff>371475</xdr:colOff>
      <xdr:row>22</xdr:row>
      <xdr:rowOff>9525</xdr:rowOff>
    </xdr:to>
    <xdr:sp macro="" textlink="$A$22">
      <xdr:nvSpPr>
        <xdr:cNvPr id="466" name="Oval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6829425" y="431482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9DD9A1-D9F8-4956-BECE-644764EAB72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22</xdr:row>
      <xdr:rowOff>95250</xdr:rowOff>
    </xdr:from>
    <xdr:to>
      <xdr:col>15</xdr:col>
      <xdr:colOff>361950</xdr:colOff>
      <xdr:row>23</xdr:row>
      <xdr:rowOff>114300</xdr:rowOff>
    </xdr:to>
    <xdr:sp macro="" textlink="$A$23">
      <xdr:nvSpPr>
        <xdr:cNvPr id="474" name="Oval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6819900" y="4629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7D1F29-8E4B-495C-BC85-CD759FFB1FF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695325</xdr:colOff>
      <xdr:row>11</xdr:row>
      <xdr:rowOff>95251</xdr:rowOff>
    </xdr:from>
    <xdr:to>
      <xdr:col>21</xdr:col>
      <xdr:colOff>571500</xdr:colOff>
      <xdr:row>12</xdr:row>
      <xdr:rowOff>114301</xdr:rowOff>
    </xdr:to>
    <xdr:sp macro="" textlink="#REF!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658475" y="2457451"/>
          <a:ext cx="5905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2279EB-0B27-4A49-A9FC-BBB22446D0C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238125</xdr:colOff>
      <xdr:row>9</xdr:row>
      <xdr:rowOff>200025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657350" y="19050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32544</xdr:colOff>
          <xdr:row>19</xdr:row>
          <xdr:rowOff>95245</xdr:rowOff>
        </xdr:from>
        <xdr:to>
          <xdr:col>6</xdr:col>
          <xdr:colOff>161925</xdr:colOff>
          <xdr:row>23</xdr:row>
          <xdr:rowOff>133355</xdr:rowOff>
        </xdr:to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32794" y="4014102"/>
              <a:ext cx="340292" cy="854539"/>
              <a:chOff x="2451894" y="5638795"/>
              <a:chExt cx="338931" cy="857260"/>
            </a:xfrm>
          </xdr:grpSpPr>
          <xdr:sp macro="" textlink="">
            <xdr:nvSpPr>
              <xdr:cNvPr id="1947563" name="Option Button 57259" hidden="1">
                <a:extLst>
                  <a:ext uri="{63B3BB69-23CF-44E3-9099-C40C66FF867C}">
                    <a14:compatExt spid="_x0000_s1947563"/>
                  </a:ext>
                  <a:ext uri="{FF2B5EF4-FFF2-40B4-BE49-F238E27FC236}">
                    <a16:creationId xmlns:a16="http://schemas.microsoft.com/office/drawing/2014/main" id="{00000000-0008-0000-0000-0000ABB71D00}"/>
                  </a:ext>
                </a:extLst>
              </xdr:cNvPr>
              <xdr:cNvSpPr/>
            </xdr:nvSpPr>
            <xdr:spPr bwMode="auto">
              <a:xfrm>
                <a:off x="2451894" y="5638795"/>
                <a:ext cx="338931" cy="19839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4" name="Option Button 57260" hidden="1">
                <a:extLst>
                  <a:ext uri="{63B3BB69-23CF-44E3-9099-C40C66FF867C}">
                    <a14:compatExt spid="_x0000_s1947564"/>
                  </a:ext>
                  <a:ext uri="{FF2B5EF4-FFF2-40B4-BE49-F238E27FC236}">
                    <a16:creationId xmlns:a16="http://schemas.microsoft.com/office/drawing/2014/main" id="{00000000-0008-0000-0000-0000ACB71D00}"/>
                  </a:ext>
                </a:extLst>
              </xdr:cNvPr>
              <xdr:cNvSpPr/>
            </xdr:nvSpPr>
            <xdr:spPr bwMode="auto">
              <a:xfrm>
                <a:off x="2451894" y="5855246"/>
                <a:ext cx="338931" cy="1983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5" name="Option Button 57261" hidden="1">
                <a:extLst>
                  <a:ext uri="{63B3BB69-23CF-44E3-9099-C40C66FF867C}">
                    <a14:compatExt spid="_x0000_s1947565"/>
                  </a:ext>
                  <a:ext uri="{FF2B5EF4-FFF2-40B4-BE49-F238E27FC236}">
                    <a16:creationId xmlns:a16="http://schemas.microsoft.com/office/drawing/2014/main" id="{00000000-0008-0000-0000-0000ADB71D00}"/>
                  </a:ext>
                </a:extLst>
              </xdr:cNvPr>
              <xdr:cNvSpPr/>
            </xdr:nvSpPr>
            <xdr:spPr bwMode="auto">
              <a:xfrm>
                <a:off x="2451894" y="6081715"/>
                <a:ext cx="338931" cy="1983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6" name="Option Button 57262" hidden="1">
                <a:extLst>
                  <a:ext uri="{63B3BB69-23CF-44E3-9099-C40C66FF867C}">
                    <a14:compatExt spid="_x0000_s1947566"/>
                  </a:ext>
                  <a:ext uri="{FF2B5EF4-FFF2-40B4-BE49-F238E27FC236}">
                    <a16:creationId xmlns:a16="http://schemas.microsoft.com/office/drawing/2014/main" id="{00000000-0008-0000-0000-0000AEB71D00}"/>
                  </a:ext>
                </a:extLst>
              </xdr:cNvPr>
              <xdr:cNvSpPr/>
            </xdr:nvSpPr>
            <xdr:spPr bwMode="auto">
              <a:xfrm>
                <a:off x="2451894" y="6297654"/>
                <a:ext cx="338931" cy="19840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491039</xdr:colOff>
          <xdr:row>19</xdr:row>
          <xdr:rowOff>66807</xdr:rowOff>
        </xdr:from>
        <xdr:to>
          <xdr:col>9</xdr:col>
          <xdr:colOff>805051</xdr:colOff>
          <xdr:row>23</xdr:row>
          <xdr:rowOff>142743</xdr:rowOff>
        </xdr:to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4566378" y="3985664"/>
              <a:ext cx="314012" cy="892365"/>
              <a:chOff x="6791327" y="6105657"/>
              <a:chExt cx="332500" cy="895086"/>
            </a:xfrm>
          </xdr:grpSpPr>
          <xdr:sp macro="" textlink="">
            <xdr:nvSpPr>
              <xdr:cNvPr id="1903977" name="Check Box 49513" hidden="1">
                <a:extLst>
                  <a:ext uri="{63B3BB69-23CF-44E3-9099-C40C66FF867C}">
                    <a14:compatExt spid="_x0000_s1903977"/>
                  </a:ext>
                  <a:ext uri="{FF2B5EF4-FFF2-40B4-BE49-F238E27FC236}">
                    <a16:creationId xmlns:a16="http://schemas.microsoft.com/office/drawing/2014/main" id="{00000000-0008-0000-0000-0000690D1D00}"/>
                  </a:ext>
                </a:extLst>
              </xdr:cNvPr>
              <xdr:cNvSpPr/>
            </xdr:nvSpPr>
            <xdr:spPr bwMode="auto">
              <a:xfrm>
                <a:off x="6791327" y="6105657"/>
                <a:ext cx="330890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8" name="Check Box 49514" hidden="1">
                <a:extLst>
                  <a:ext uri="{63B3BB69-23CF-44E3-9099-C40C66FF867C}">
                    <a14:compatExt spid="_x0000_s1903978"/>
                  </a:ext>
                  <a:ext uri="{FF2B5EF4-FFF2-40B4-BE49-F238E27FC236}">
                    <a16:creationId xmlns:a16="http://schemas.microsoft.com/office/drawing/2014/main" id="{00000000-0008-0000-0000-00006A0D1D00}"/>
                  </a:ext>
                </a:extLst>
              </xdr:cNvPr>
              <xdr:cNvSpPr/>
            </xdr:nvSpPr>
            <xdr:spPr bwMode="auto">
              <a:xfrm>
                <a:off x="6792144" y="6327643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1" name="Check Box 49517" hidden="1">
                <a:extLst>
                  <a:ext uri="{63B3BB69-23CF-44E3-9099-C40C66FF867C}">
                    <a14:compatExt spid="_x0000_s1903981"/>
                  </a:ext>
                  <a:ext uri="{FF2B5EF4-FFF2-40B4-BE49-F238E27FC236}">
                    <a16:creationId xmlns:a16="http://schemas.microsoft.com/office/drawing/2014/main" id="{00000000-0008-0000-0000-00006D0D1D00}"/>
                  </a:ext>
                </a:extLst>
              </xdr:cNvPr>
              <xdr:cNvSpPr/>
            </xdr:nvSpPr>
            <xdr:spPr bwMode="auto">
              <a:xfrm>
                <a:off x="6792929" y="6778625"/>
                <a:ext cx="330898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3" name="Check Box 49519" hidden="1">
                <a:extLst>
                  <a:ext uri="{63B3BB69-23CF-44E3-9099-C40C66FF867C}">
                    <a14:compatExt spid="_x0000_s1903983"/>
                  </a:ext>
                  <a:ext uri="{FF2B5EF4-FFF2-40B4-BE49-F238E27FC236}">
                    <a16:creationId xmlns:a16="http://schemas.microsoft.com/office/drawing/2014/main" id="{00000000-0008-0000-0000-00006F0D1D00}"/>
                  </a:ext>
                </a:extLst>
              </xdr:cNvPr>
              <xdr:cNvSpPr/>
            </xdr:nvSpPr>
            <xdr:spPr bwMode="auto">
              <a:xfrm>
                <a:off x="6792136" y="6562725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19</xdr:row>
          <xdr:rowOff>66675</xdr:rowOff>
        </xdr:from>
        <xdr:to>
          <xdr:col>6</xdr:col>
          <xdr:colOff>381000</xdr:colOff>
          <xdr:row>23</xdr:row>
          <xdr:rowOff>152400</xdr:rowOff>
        </xdr:to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GrpSpPr/>
          </xdr:nvGrpSpPr>
          <xdr:grpSpPr>
            <a:xfrm>
              <a:off x="2296886" y="3985532"/>
              <a:ext cx="295275" cy="902154"/>
              <a:chOff x="3952875" y="5076825"/>
              <a:chExt cx="295275" cy="904875"/>
            </a:xfrm>
          </xdr:grpSpPr>
          <xdr:sp macro="" textlink="">
            <xdr:nvSpPr>
              <xdr:cNvPr id="1903976" name="Check Box 49512" hidden="1">
                <a:extLst>
                  <a:ext uri="{63B3BB69-23CF-44E3-9099-C40C66FF867C}">
                    <a14:compatExt spid="_x0000_s1903976"/>
                  </a:ext>
                  <a:ext uri="{FF2B5EF4-FFF2-40B4-BE49-F238E27FC236}">
                    <a16:creationId xmlns:a16="http://schemas.microsoft.com/office/drawing/2014/main" id="{00000000-0008-0000-0000-0000680D1D00}"/>
                  </a:ext>
                </a:extLst>
              </xdr:cNvPr>
              <xdr:cNvSpPr/>
            </xdr:nvSpPr>
            <xdr:spPr bwMode="auto">
              <a:xfrm>
                <a:off x="3952875" y="5534025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9" name="Check Box 49515" hidden="1">
                <a:extLst>
                  <a:ext uri="{63B3BB69-23CF-44E3-9099-C40C66FF867C}">
                    <a14:compatExt spid="_x0000_s1903979"/>
                  </a:ext>
                  <a:ext uri="{FF2B5EF4-FFF2-40B4-BE49-F238E27FC236}">
                    <a16:creationId xmlns:a16="http://schemas.microsoft.com/office/drawing/2014/main" id="{00000000-0008-0000-0000-00006B0D1D00}"/>
                  </a:ext>
                </a:extLst>
              </xdr:cNvPr>
              <xdr:cNvSpPr/>
            </xdr:nvSpPr>
            <xdr:spPr bwMode="auto">
              <a:xfrm>
                <a:off x="3952875" y="5762625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2" name="Check Box 49518" hidden="1">
                <a:extLst>
                  <a:ext uri="{63B3BB69-23CF-44E3-9099-C40C66FF867C}">
                    <a14:compatExt spid="_x0000_s1903982"/>
                  </a:ext>
                  <a:ext uri="{FF2B5EF4-FFF2-40B4-BE49-F238E27FC236}">
                    <a16:creationId xmlns:a16="http://schemas.microsoft.com/office/drawing/2014/main" id="{00000000-0008-0000-0000-00006E0D1D00}"/>
                  </a:ext>
                </a:extLst>
              </xdr:cNvPr>
              <xdr:cNvSpPr/>
            </xdr:nvSpPr>
            <xdr:spPr bwMode="auto">
              <a:xfrm>
                <a:off x="3952875" y="5076825"/>
                <a:ext cx="295275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4050" name="Check Box 49586" hidden="1">
                <a:extLst>
                  <a:ext uri="{63B3BB69-23CF-44E3-9099-C40C66FF867C}">
                    <a14:compatExt spid="_x0000_s1904050"/>
                  </a:ext>
                  <a:ext uri="{FF2B5EF4-FFF2-40B4-BE49-F238E27FC236}">
                    <a16:creationId xmlns:a16="http://schemas.microsoft.com/office/drawing/2014/main" id="{00000000-0008-0000-0000-0000B20D1D00}"/>
                  </a:ext>
                </a:extLst>
              </xdr:cNvPr>
              <xdr:cNvSpPr/>
            </xdr:nvSpPr>
            <xdr:spPr bwMode="auto">
              <a:xfrm>
                <a:off x="3952875" y="5314950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19</xdr:row>
          <xdr:rowOff>66675</xdr:rowOff>
        </xdr:from>
        <xdr:to>
          <xdr:col>9</xdr:col>
          <xdr:colOff>476250</xdr:colOff>
          <xdr:row>23</xdr:row>
          <xdr:rowOff>152400</xdr:rowOff>
        </xdr:to>
        <xdr:grpSp>
          <xdr:nvGrpSpPr>
            <xdr:cNvPr id="978366" name="Group 978365">
              <a:extLst>
                <a:ext uri="{FF2B5EF4-FFF2-40B4-BE49-F238E27FC236}">
                  <a16:creationId xmlns:a16="http://schemas.microsoft.com/office/drawing/2014/main" id="{00000000-0008-0000-0000-0000BEED0E00}"/>
                </a:ext>
              </a:extLst>
            </xdr:cNvPr>
            <xdr:cNvGrpSpPr/>
          </xdr:nvGrpSpPr>
          <xdr:grpSpPr>
            <a:xfrm>
              <a:off x="4351564" y="3985532"/>
              <a:ext cx="200025" cy="902154"/>
              <a:chOff x="3743325" y="5067300"/>
              <a:chExt cx="200025" cy="904875"/>
            </a:xfrm>
          </xdr:grpSpPr>
          <xdr:sp macro="" textlink="">
            <xdr:nvSpPr>
              <xdr:cNvPr id="1947567" name="Option Button 57263" hidden="1">
                <a:extLst>
                  <a:ext uri="{63B3BB69-23CF-44E3-9099-C40C66FF867C}">
                    <a14:compatExt spid="_x0000_s1947567"/>
                  </a:ext>
                  <a:ext uri="{FF2B5EF4-FFF2-40B4-BE49-F238E27FC236}">
                    <a16:creationId xmlns:a16="http://schemas.microsoft.com/office/drawing/2014/main" id="{00000000-0008-0000-0000-0000AFB71D00}"/>
                  </a:ext>
                </a:extLst>
              </xdr:cNvPr>
              <xdr:cNvSpPr/>
            </xdr:nvSpPr>
            <xdr:spPr bwMode="auto">
              <a:xfrm>
                <a:off x="3743325" y="5067300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8" name="Option Button 57264" hidden="1">
                <a:extLst>
                  <a:ext uri="{63B3BB69-23CF-44E3-9099-C40C66FF867C}">
                    <a14:compatExt spid="_x0000_s1947568"/>
                  </a:ext>
                  <a:ext uri="{FF2B5EF4-FFF2-40B4-BE49-F238E27FC236}">
                    <a16:creationId xmlns:a16="http://schemas.microsoft.com/office/drawing/2014/main" id="{00000000-0008-0000-0000-0000B0B71D00}"/>
                  </a:ext>
                </a:extLst>
              </xdr:cNvPr>
              <xdr:cNvSpPr/>
            </xdr:nvSpPr>
            <xdr:spPr bwMode="auto">
              <a:xfrm>
                <a:off x="3743325" y="5295900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9" name="Option Button 57265" hidden="1">
                <a:extLst>
                  <a:ext uri="{63B3BB69-23CF-44E3-9099-C40C66FF867C}">
                    <a14:compatExt spid="_x0000_s1947569"/>
                  </a:ext>
                  <a:ext uri="{FF2B5EF4-FFF2-40B4-BE49-F238E27FC236}">
                    <a16:creationId xmlns:a16="http://schemas.microsoft.com/office/drawing/2014/main" id="{00000000-0008-0000-0000-0000B1B71D00}"/>
                  </a:ext>
                </a:extLst>
              </xdr:cNvPr>
              <xdr:cNvSpPr/>
            </xdr:nvSpPr>
            <xdr:spPr bwMode="auto">
              <a:xfrm>
                <a:off x="3743325" y="5534025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70" name="Option Button 57266" hidden="1">
                <a:extLst>
                  <a:ext uri="{63B3BB69-23CF-44E3-9099-C40C66FF867C}">
                    <a14:compatExt spid="_x0000_s1947570"/>
                  </a:ext>
                  <a:ext uri="{FF2B5EF4-FFF2-40B4-BE49-F238E27FC236}">
                    <a16:creationId xmlns:a16="http://schemas.microsoft.com/office/drawing/2014/main" id="{00000000-0008-0000-0000-0000B2B71D00}"/>
                  </a:ext>
                </a:extLst>
              </xdr:cNvPr>
              <xdr:cNvSpPr/>
            </xdr:nvSpPr>
            <xdr:spPr bwMode="auto">
              <a:xfrm>
                <a:off x="3743325" y="5762625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19</xdr:row>
          <xdr:rowOff>47625</xdr:rowOff>
        </xdr:from>
        <xdr:to>
          <xdr:col>9</xdr:col>
          <xdr:colOff>238125</xdr:colOff>
          <xdr:row>23</xdr:row>
          <xdr:rowOff>128155</xdr:rowOff>
        </xdr:to>
        <xdr:grpSp>
          <xdr:nvGrpSpPr>
            <xdr:cNvPr id="978365" name="Group 978364">
              <a:extLst>
                <a:ext uri="{FF2B5EF4-FFF2-40B4-BE49-F238E27FC236}">
                  <a16:creationId xmlns:a16="http://schemas.microsoft.com/office/drawing/2014/main" id="{00000000-0008-0000-0000-0000BDED0E00}"/>
                </a:ext>
              </a:extLst>
            </xdr:cNvPr>
            <xdr:cNvGrpSpPr/>
          </xdr:nvGrpSpPr>
          <xdr:grpSpPr>
            <a:xfrm>
              <a:off x="2554061" y="3966482"/>
              <a:ext cx="1759403" cy="896959"/>
              <a:chOff x="4324350" y="6734175"/>
              <a:chExt cx="1762125" cy="899680"/>
            </a:xfrm>
          </xdr:grpSpPr>
          <xdr:grpSp>
            <xdr:nvGrpSpPr>
              <xdr:cNvPr id="596" name="Group 595">
                <a:extLst>
                  <a:ext uri="{FF2B5EF4-FFF2-40B4-BE49-F238E27FC236}">
                    <a16:creationId xmlns:a16="http://schemas.microsoft.com/office/drawing/2014/main" id="{00000000-0008-0000-0000-000054020000}"/>
                  </a:ext>
                </a:extLst>
              </xdr:cNvPr>
              <xdr:cNvGrpSpPr/>
            </xdr:nvGrpSpPr>
            <xdr:grpSpPr>
              <a:xfrm>
                <a:off x="4324350" y="695325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97" name="Image1">
                  <a:extLst>
                    <a:ext uri="{FF2B5EF4-FFF2-40B4-BE49-F238E27FC236}">
                      <a16:creationId xmlns:a16="http://schemas.microsoft.com/office/drawing/2014/main" id="{00000000-0008-0000-0000-00005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" spid="_x0000_s2288268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9" name="Image1">
                  <a:extLst>
                    <a:ext uri="{FF2B5EF4-FFF2-40B4-BE49-F238E27FC236}">
                      <a16:creationId xmlns:a16="http://schemas.microsoft.com/office/drawing/2014/main" id="{00000000-0008-0000-0000-00005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" spid="_x0000_s2288269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01" name="Image1">
                  <a:extLst>
                    <a:ext uri="{FF2B5EF4-FFF2-40B4-BE49-F238E27FC236}">
                      <a16:creationId xmlns:a16="http://schemas.microsoft.com/office/drawing/2014/main" id="{00000000-0008-0000-0000-000059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A" spid="_x0000_s2288270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GrpSpPr/>
            </xdr:nvGrpSpPr>
            <xdr:grpSpPr>
              <a:xfrm>
                <a:off x="4324350" y="673417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78" name="Image1">
                  <a:extLst>
                    <a:ext uri="{FF2B5EF4-FFF2-40B4-BE49-F238E27FC236}">
                      <a16:creationId xmlns:a16="http://schemas.microsoft.com/office/drawing/2014/main" id="{00000000-0008-0000-0000-00004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" spid="_x0000_s2288271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047750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4" name="Image1">
                  <a:extLst>
                    <a:ext uri="{FF2B5EF4-FFF2-40B4-BE49-F238E27FC236}">
                      <a16:creationId xmlns:a16="http://schemas.microsoft.com/office/drawing/2014/main" id="{00000000-0008-0000-0000-00005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" spid="_x0000_s2288272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5" name="Image1">
                  <a:extLst>
                    <a:ext uri="{FF2B5EF4-FFF2-40B4-BE49-F238E27FC236}">
                      <a16:creationId xmlns:a16="http://schemas.microsoft.com/office/drawing/2014/main" id="{00000000-0008-0000-0000-00005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B" spid="_x0000_s2288273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07" name="Group 606">
                <a:extLst>
                  <a:ext uri="{FF2B5EF4-FFF2-40B4-BE49-F238E27FC236}">
                    <a16:creationId xmlns:a16="http://schemas.microsoft.com/office/drawing/2014/main" id="{00000000-0008-0000-0000-00005F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08" name="Image1">
                  <a:extLst>
                    <a:ext uri="{FF2B5EF4-FFF2-40B4-BE49-F238E27FC236}">
                      <a16:creationId xmlns:a16="http://schemas.microsoft.com/office/drawing/2014/main" id="{00000000-0008-0000-0000-00006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" spid="_x0000_s2288274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0" name="Image1">
                  <a:extLst>
                    <a:ext uri="{FF2B5EF4-FFF2-40B4-BE49-F238E27FC236}">
                      <a16:creationId xmlns:a16="http://schemas.microsoft.com/office/drawing/2014/main" id="{00000000-0008-0000-0000-00006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" spid="_x0000_s2288275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143500" y="6553200"/>
                  <a:ext cx="528205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5" name="Image1">
                  <a:extLst>
                    <a:ext uri="{FF2B5EF4-FFF2-40B4-BE49-F238E27FC236}">
                      <a16:creationId xmlns:a16="http://schemas.microsoft.com/office/drawing/2014/main" id="{00000000-0008-0000-0000-00007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C" spid="_x0000_s2288276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26" name="Group 625">
                <a:extLst>
                  <a:ext uri="{FF2B5EF4-FFF2-40B4-BE49-F238E27FC236}">
                    <a16:creationId xmlns:a16="http://schemas.microsoft.com/office/drawing/2014/main" id="{00000000-0008-0000-0000-000072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27" name="Image1">
                  <a:extLst>
                    <a:ext uri="{FF2B5EF4-FFF2-40B4-BE49-F238E27FC236}">
                      <a16:creationId xmlns:a16="http://schemas.microsoft.com/office/drawing/2014/main" id="{00000000-0008-0000-0000-00007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" spid="_x0000_s2288277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8" name="Image1">
                  <a:extLst>
                    <a:ext uri="{FF2B5EF4-FFF2-40B4-BE49-F238E27FC236}">
                      <a16:creationId xmlns:a16="http://schemas.microsoft.com/office/drawing/2014/main" id="{00000000-0008-0000-0000-00007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" spid="_x0000_s2288278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9" name="Image1">
                  <a:extLst>
                    <a:ext uri="{FF2B5EF4-FFF2-40B4-BE49-F238E27FC236}">
                      <a16:creationId xmlns:a16="http://schemas.microsoft.com/office/drawing/2014/main" id="{00000000-0008-0000-0000-00007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D" spid="_x0000_s2288279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723900</xdr:colOff>
          <xdr:row>19</xdr:row>
          <xdr:rowOff>47625</xdr:rowOff>
        </xdr:from>
        <xdr:to>
          <xdr:col>15</xdr:col>
          <xdr:colOff>85725</xdr:colOff>
          <xdr:row>23</xdr:row>
          <xdr:rowOff>128155</xdr:rowOff>
        </xdr:to>
        <xdr:grpSp>
          <xdr:nvGrpSpPr>
            <xdr:cNvPr id="630" name="Group 629">
              <a:extLst>
                <a:ext uri="{FF2B5EF4-FFF2-40B4-BE49-F238E27FC236}">
                  <a16:creationId xmlns:a16="http://schemas.microsoft.com/office/drawing/2014/main" id="{00000000-0008-0000-0000-000076020000}"/>
                </a:ext>
              </a:extLst>
            </xdr:cNvPr>
            <xdr:cNvGrpSpPr/>
          </xdr:nvGrpSpPr>
          <xdr:grpSpPr>
            <a:xfrm>
              <a:off x="4799239" y="3966482"/>
              <a:ext cx="2090057" cy="896959"/>
              <a:chOff x="4324350" y="6734175"/>
              <a:chExt cx="2085975" cy="899680"/>
            </a:xfrm>
          </xdr:grpSpPr>
          <xdr:grpSp>
            <xdr:nvGrpSpPr>
              <xdr:cNvPr id="631" name="Group 630">
                <a:extLst>
                  <a:ext uri="{FF2B5EF4-FFF2-40B4-BE49-F238E27FC236}">
                    <a16:creationId xmlns:a16="http://schemas.microsoft.com/office/drawing/2014/main" id="{00000000-0008-0000-0000-000077020000}"/>
                  </a:ext>
                </a:extLst>
              </xdr:cNvPr>
              <xdr:cNvGrpSpPr/>
            </xdr:nvGrpSpPr>
            <xdr:grpSpPr>
              <a:xfrm>
                <a:off x="4324350" y="6953250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4" name="Image1">
                  <a:extLst>
                    <a:ext uri="{FF2B5EF4-FFF2-40B4-BE49-F238E27FC236}">
                      <a16:creationId xmlns:a16="http://schemas.microsoft.com/office/drawing/2014/main" id="{00000000-0008-0000-0000-00008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" spid="_x0000_s2288280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5" name="Image1">
                  <a:extLst>
                    <a:ext uri="{FF2B5EF4-FFF2-40B4-BE49-F238E27FC236}">
                      <a16:creationId xmlns:a16="http://schemas.microsoft.com/office/drawing/2014/main" id="{00000000-0008-0000-0000-00008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" spid="_x0000_s2288281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6" name="Image1">
                  <a:extLst>
                    <a:ext uri="{FF2B5EF4-FFF2-40B4-BE49-F238E27FC236}">
                      <a16:creationId xmlns:a16="http://schemas.microsoft.com/office/drawing/2014/main" id="{00000000-0008-0000-0000-00008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E" spid="_x0000_s2288282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2" name="Group 631">
                <a:extLst>
                  <a:ext uri="{FF2B5EF4-FFF2-40B4-BE49-F238E27FC236}">
                    <a16:creationId xmlns:a16="http://schemas.microsoft.com/office/drawing/2014/main" id="{00000000-0008-0000-0000-000078020000}"/>
                  </a:ext>
                </a:extLst>
              </xdr:cNvPr>
              <xdr:cNvGrpSpPr/>
            </xdr:nvGrpSpPr>
            <xdr:grpSpPr>
              <a:xfrm>
                <a:off x="4324350" y="6734175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1" name="Image1">
                  <a:extLst>
                    <a:ext uri="{FF2B5EF4-FFF2-40B4-BE49-F238E27FC236}">
                      <a16:creationId xmlns:a16="http://schemas.microsoft.com/office/drawing/2014/main" id="{00000000-0008-0000-0000-00008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" spid="_x0000_s2288283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2" name="Image1">
                  <a:extLst>
                    <a:ext uri="{FF2B5EF4-FFF2-40B4-BE49-F238E27FC236}">
                      <a16:creationId xmlns:a16="http://schemas.microsoft.com/office/drawing/2014/main" id="{00000000-0008-0000-0000-00008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" spid="_x0000_s2288284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3" name="Image1">
                  <a:extLst>
                    <a:ext uri="{FF2B5EF4-FFF2-40B4-BE49-F238E27FC236}">
                      <a16:creationId xmlns:a16="http://schemas.microsoft.com/office/drawing/2014/main" id="{00000000-0008-0000-0000-00008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F" spid="_x0000_s2288285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3" name="Group 632">
                <a:extLst>
                  <a:ext uri="{FF2B5EF4-FFF2-40B4-BE49-F238E27FC236}">
                    <a16:creationId xmlns:a16="http://schemas.microsoft.com/office/drawing/2014/main" id="{00000000-0008-0000-0000-000079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962150" cy="242455"/>
                <a:chOff x="4162425" y="6553200"/>
                <a:chExt cx="1962150" cy="242455"/>
              </a:xfrm>
            </xdr:grpSpPr>
            <xdr:pic>
              <xdr:nvPicPr>
                <xdr:cNvPr id="638" name="Image1">
                  <a:extLst>
                    <a:ext uri="{FF2B5EF4-FFF2-40B4-BE49-F238E27FC236}">
                      <a16:creationId xmlns:a16="http://schemas.microsoft.com/office/drawing/2014/main" id="{00000000-0008-0000-0000-00007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" spid="_x0000_s2288286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9" name="Image1">
                  <a:extLst>
                    <a:ext uri="{FF2B5EF4-FFF2-40B4-BE49-F238E27FC236}">
                      <a16:creationId xmlns:a16="http://schemas.microsoft.com/office/drawing/2014/main" id="{00000000-0008-0000-0000-00007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" spid="_x0000_s2288287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0" name="Image1">
                  <a:extLst>
                    <a:ext uri="{FF2B5EF4-FFF2-40B4-BE49-F238E27FC236}">
                      <a16:creationId xmlns:a16="http://schemas.microsoft.com/office/drawing/2014/main" id="{00000000-0008-0000-0000-00008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G" spid="_x0000_s2288288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0000000-0008-0000-0000-00007A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533525" cy="242455"/>
                <a:chOff x="4162425" y="6553200"/>
                <a:chExt cx="1533525" cy="242455"/>
              </a:xfrm>
            </xdr:grpSpPr>
            <xdr:pic>
              <xdr:nvPicPr>
                <xdr:cNvPr id="635" name="Image1">
                  <a:extLst>
                    <a:ext uri="{FF2B5EF4-FFF2-40B4-BE49-F238E27FC236}">
                      <a16:creationId xmlns:a16="http://schemas.microsoft.com/office/drawing/2014/main" id="{00000000-0008-0000-0000-00007B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" spid="_x0000_s2288289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6" name="Image1">
                  <a:extLst>
                    <a:ext uri="{FF2B5EF4-FFF2-40B4-BE49-F238E27FC236}">
                      <a16:creationId xmlns:a16="http://schemas.microsoft.com/office/drawing/2014/main" id="{00000000-0008-0000-0000-00007C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H" spid="_x0000_s2288290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95242</xdr:colOff>
          <xdr:row>13</xdr:row>
          <xdr:rowOff>38100</xdr:rowOff>
        </xdr:from>
        <xdr:to>
          <xdr:col>11</xdr:col>
          <xdr:colOff>349250</xdr:colOff>
          <xdr:row>17</xdr:row>
          <xdr:rowOff>133350</xdr:rowOff>
        </xdr:to>
        <xdr:grpSp>
          <xdr:nvGrpSpPr>
            <xdr:cNvPr id="978340" name="Group 978339">
              <a:extLst>
                <a:ext uri="{FF2B5EF4-FFF2-40B4-BE49-F238E27FC236}">
                  <a16:creationId xmlns:a16="http://schemas.microsoft.com/office/drawing/2014/main" id="{00000000-0008-0000-0000-0000A4ED0E00}"/>
                </a:ext>
              </a:extLst>
            </xdr:cNvPr>
            <xdr:cNvGrpSpPr/>
          </xdr:nvGrpSpPr>
          <xdr:grpSpPr>
            <a:xfrm>
              <a:off x="2306403" y="2759529"/>
              <a:ext cx="3546936" cy="884464"/>
              <a:chOff x="5210167" y="5124450"/>
              <a:chExt cx="3549658" cy="895350"/>
            </a:xfrm>
          </xdr:grpSpPr>
          <xdr:grpSp>
            <xdr:nvGrpSpPr>
              <xdr:cNvPr id="613" name="Group 612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GrpSpPr/>
            </xdr:nvGrpSpPr>
            <xdr:grpSpPr>
              <a:xfrm>
                <a:off x="7981950" y="5124450"/>
                <a:ext cx="777875" cy="895350"/>
                <a:chOff x="6305550" y="6076950"/>
                <a:chExt cx="777875" cy="895350"/>
              </a:xfrm>
            </xdr:grpSpPr>
            <xdr:pic>
              <xdr:nvPicPr>
                <xdr:cNvPr id="614" name="Image1">
                  <a:extLst>
                    <a:ext uri="{FF2B5EF4-FFF2-40B4-BE49-F238E27FC236}">
                      <a16:creationId xmlns:a16="http://schemas.microsoft.com/office/drawing/2014/main" id="{00000000-0008-0000-0000-00006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Katoda" spid="_x0000_s2288291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5" name="Image1">
                  <a:extLst>
                    <a:ext uri="{FF2B5EF4-FFF2-40B4-BE49-F238E27FC236}">
                      <a16:creationId xmlns:a16="http://schemas.microsoft.com/office/drawing/2014/main" id="{00000000-0008-0000-0000-00006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katoda" spid="_x0000_s2288292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4" name="Image1">
                  <a:extLst>
                    <a:ext uri="{FF2B5EF4-FFF2-40B4-BE49-F238E27FC236}">
                      <a16:creationId xmlns:a16="http://schemas.microsoft.com/office/drawing/2014/main" id="{00000000-0008-0000-0000-00007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Anoda" spid="_x0000_s2288293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7" name="Image1">
                  <a:extLst>
                    <a:ext uri="{FF2B5EF4-FFF2-40B4-BE49-F238E27FC236}">
                      <a16:creationId xmlns:a16="http://schemas.microsoft.com/office/drawing/2014/main" id="{00000000-0008-0000-0000-00007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anoda" spid="_x0000_s2288294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73417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52" name="Group 651">
                <a:extLst>
                  <a:ext uri="{FF2B5EF4-FFF2-40B4-BE49-F238E27FC236}">
                    <a16:creationId xmlns:a16="http://schemas.microsoft.com/office/drawing/2014/main" id="{00000000-0008-0000-0000-00008C020000}"/>
                  </a:ext>
                </a:extLst>
              </xdr:cNvPr>
              <xdr:cNvGrpSpPr/>
            </xdr:nvGrpSpPr>
            <xdr:grpSpPr>
              <a:xfrm>
                <a:off x="5210167" y="5124450"/>
                <a:ext cx="944565" cy="895350"/>
                <a:chOff x="6305550" y="6076950"/>
                <a:chExt cx="740540" cy="895350"/>
              </a:xfrm>
            </xdr:grpSpPr>
            <xdr:pic>
              <xdr:nvPicPr>
                <xdr:cNvPr id="653" name="Image1">
                  <a:extLst>
                    <a:ext uri="{FF2B5EF4-FFF2-40B4-BE49-F238E27FC236}">
                      <a16:creationId xmlns:a16="http://schemas.microsoft.com/office/drawing/2014/main" id="{00000000-0008-0000-0000-00008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Volume" spid="_x0000_s2288295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4" name="Image1">
                  <a:extLst>
                    <a:ext uri="{FF2B5EF4-FFF2-40B4-BE49-F238E27FC236}">
                      <a16:creationId xmlns:a16="http://schemas.microsoft.com/office/drawing/2014/main" id="{00000000-0008-0000-0000-00008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onsentrasi" spid="_x0000_s2288296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5" name="Image1">
                  <a:extLst>
                    <a:ext uri="{FF2B5EF4-FFF2-40B4-BE49-F238E27FC236}">
                      <a16:creationId xmlns:a16="http://schemas.microsoft.com/office/drawing/2014/main" id="{00000000-0008-0000-0000-00008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uatarus" spid="_x0000_s2288297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6" name="Image1">
                  <a:extLst>
                    <a:ext uri="{FF2B5EF4-FFF2-40B4-BE49-F238E27FC236}">
                      <a16:creationId xmlns:a16="http://schemas.microsoft.com/office/drawing/2014/main" id="{00000000-0008-0000-0000-00009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Waktu" spid="_x0000_s2288298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2" y="673417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978339" name="Group 978338">
                <a:extLst>
                  <a:ext uri="{FF2B5EF4-FFF2-40B4-BE49-F238E27FC236}">
                    <a16:creationId xmlns:a16="http://schemas.microsoft.com/office/drawing/2014/main" id="{00000000-0008-0000-0000-0000A3ED0E00}"/>
                  </a:ext>
                </a:extLst>
              </xdr:cNvPr>
              <xdr:cNvGrpSpPr/>
            </xdr:nvGrpSpPr>
            <xdr:grpSpPr>
              <a:xfrm>
                <a:off x="6134100" y="5124450"/>
                <a:ext cx="944563" cy="895350"/>
                <a:chOff x="6181725" y="5124450"/>
                <a:chExt cx="944563" cy="895350"/>
              </a:xfrm>
            </xdr:grpSpPr>
            <xdr:grpSp>
              <xdr:nvGrpSpPr>
                <xdr:cNvPr id="978341" name="Group 978340">
                  <a:extLst>
                    <a:ext uri="{FF2B5EF4-FFF2-40B4-BE49-F238E27FC236}">
                      <a16:creationId xmlns:a16="http://schemas.microsoft.com/office/drawing/2014/main" id="{00000000-0008-0000-0000-0000A5ED0E00}"/>
                    </a:ext>
                  </a:extLst>
                </xdr:cNvPr>
                <xdr:cNvGrpSpPr/>
              </xdr:nvGrpSpPr>
              <xdr:grpSpPr>
                <a:xfrm>
                  <a:off x="6181725" y="512445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57" name="Image1">
                    <a:extLst>
                      <a:ext uri="{FF2B5EF4-FFF2-40B4-BE49-F238E27FC236}">
                        <a16:creationId xmlns:a16="http://schemas.microsoft.com/office/drawing/2014/main" id="{00000000-0008-0000-0000-000091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suhu" spid="_x0000_s2288299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58" name="Image1">
                    <a:extLst>
                      <a:ext uri="{FF2B5EF4-FFF2-40B4-BE49-F238E27FC236}">
                        <a16:creationId xmlns:a16="http://schemas.microsoft.com/office/drawing/2014/main" id="{00000000-0008-0000-0000-000092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Tekanan" spid="_x0000_s2288300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  <xdr:grpSp>
              <xdr:nvGrpSpPr>
                <xdr:cNvPr id="662" name="Group 661">
                  <a:extLst>
                    <a:ext uri="{FF2B5EF4-FFF2-40B4-BE49-F238E27FC236}">
                      <a16:creationId xmlns:a16="http://schemas.microsoft.com/office/drawing/2014/main" id="{00000000-0008-0000-0000-000096020000}"/>
                    </a:ext>
                  </a:extLst>
                </xdr:cNvPr>
                <xdr:cNvGrpSpPr/>
              </xdr:nvGrpSpPr>
              <xdr:grpSpPr>
                <a:xfrm>
                  <a:off x="6181725" y="556260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63" name="Image1">
                    <a:extLst>
                      <a:ext uri="{FF2B5EF4-FFF2-40B4-BE49-F238E27FC236}">
                        <a16:creationId xmlns:a16="http://schemas.microsoft.com/office/drawing/2014/main" id="{00000000-0008-0000-0000-000097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Faraday" spid="_x0000_s2288301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64" name="Image1">
                    <a:extLst>
                      <a:ext uri="{FF2B5EF4-FFF2-40B4-BE49-F238E27FC236}">
                        <a16:creationId xmlns:a16="http://schemas.microsoft.com/office/drawing/2014/main" id="{00000000-0008-0000-0000-000098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ACCU" spid="_x0000_s2288302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</xdr:grpSp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7058025" y="5124450"/>
                <a:ext cx="944563" cy="457200"/>
                <a:chOff x="8524875" y="5172075"/>
                <a:chExt cx="944563" cy="457200"/>
              </a:xfrm>
            </xdr:grpSpPr>
            <xdr:pic>
              <xdr:nvPicPr>
                <xdr:cNvPr id="484" name="Image1">
                  <a:extLst>
                    <a:ext uri="{FF2B5EF4-FFF2-40B4-BE49-F238E27FC236}">
                      <a16:creationId xmlns:a16="http://schemas.microsoft.com/office/drawing/2014/main" id="{00000000-0008-0000-0000-0000E4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Coulomb" spid="_x0000_s2288303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172075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485" name="Image1">
                  <a:extLst>
                    <a:ext uri="{FF2B5EF4-FFF2-40B4-BE49-F238E27FC236}">
                      <a16:creationId xmlns:a16="http://schemas.microsoft.com/office/drawing/2014/main" id="{00000000-0008-0000-0000-0000E5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mol" spid="_x0000_s2288304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391150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978342" name="Group 978341">
              <a:extLst>
                <a:ext uri="{FF2B5EF4-FFF2-40B4-BE49-F238E27FC236}">
                  <a16:creationId xmlns:a16="http://schemas.microsoft.com/office/drawing/2014/main" id="{00000000-0008-0000-0000-0000A6ED0E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90" name="Image1">
                <a:extLst>
                  <a:ext uri="{FF2B5EF4-FFF2-40B4-BE49-F238E27FC236}">
                    <a16:creationId xmlns:a16="http://schemas.microsoft.com/office/drawing/2014/main" id="{00000000-0008-0000-0000-0000EA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1" spid="_x0000_s2288305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79" name="Image1">
                <a:extLst>
                  <a:ext uri="{FF2B5EF4-FFF2-40B4-BE49-F238E27FC236}">
                    <a16:creationId xmlns:a16="http://schemas.microsoft.com/office/drawing/2014/main" id="{00000000-0008-0000-0000-000043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2" spid="_x0000_s2288306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0" name="Image1">
                <a:extLst>
                  <a:ext uri="{FF2B5EF4-FFF2-40B4-BE49-F238E27FC236}">
                    <a16:creationId xmlns:a16="http://schemas.microsoft.com/office/drawing/2014/main" id="{00000000-0008-0000-0000-000044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3" spid="_x0000_s2288307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1" name="Image1">
                <a:extLst>
                  <a:ext uri="{FF2B5EF4-FFF2-40B4-BE49-F238E27FC236}">
                    <a16:creationId xmlns:a16="http://schemas.microsoft.com/office/drawing/2014/main" id="{00000000-0008-0000-0000-000045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4" spid="_x0000_s2288308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xdr:twoCellAnchor>
    <xdr:from>
      <xdr:col>5</xdr:col>
      <xdr:colOff>76200</xdr:colOff>
      <xdr:row>12</xdr:row>
      <xdr:rowOff>47626</xdr:rowOff>
    </xdr:from>
    <xdr:to>
      <xdr:col>6</xdr:col>
      <xdr:colOff>752475</xdr:colOff>
      <xdr:row>13</xdr:row>
      <xdr:rowOff>19051</xdr:rowOff>
    </xdr:to>
    <xdr:sp macro="" textlink="REAKSI!CS7">
      <xdr:nvSpPr>
        <xdr:cNvPr id="978359" name="Rectangle 978358">
          <a:extLst>
            <a:ext uri="{FF2B5EF4-FFF2-40B4-BE49-F238E27FC236}">
              <a16:creationId xmlns:a16="http://schemas.microsoft.com/office/drawing/2014/main" id="{00000000-0008-0000-0000-0000B7ED0E00}"/>
            </a:ext>
          </a:extLst>
        </xdr:cNvPr>
        <xdr:cNvSpPr/>
      </xdr:nvSpPr>
      <xdr:spPr>
        <a:xfrm>
          <a:off x="1990725" y="2581276"/>
          <a:ext cx="885825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1445E2E-6FA5-4FDB-926D-64E5CEF50A7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5</xdr:col>
      <xdr:colOff>57150</xdr:colOff>
      <xdr:row>17</xdr:row>
      <xdr:rowOff>190500</xdr:rowOff>
    </xdr:from>
    <xdr:to>
      <xdr:col>6</xdr:col>
      <xdr:colOff>895350</xdr:colOff>
      <xdr:row>18</xdr:row>
      <xdr:rowOff>180975</xdr:rowOff>
    </xdr:to>
    <xdr:sp macro="" textlink="REAKSI!CS8">
      <xdr:nvSpPr>
        <xdr:cNvPr id="488" name="Rectangl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1971675" y="3724275"/>
          <a:ext cx="10477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5B331AB-F7E3-4226-B4BB-24A9282A64B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4</xdr:col>
      <xdr:colOff>38100</xdr:colOff>
      <xdr:row>16</xdr:row>
      <xdr:rowOff>0</xdr:rowOff>
    </xdr:from>
    <xdr:to>
      <xdr:col>4</xdr:col>
      <xdr:colOff>219075</xdr:colOff>
      <xdr:row>16</xdr:row>
      <xdr:rowOff>161925</xdr:rowOff>
    </xdr:to>
    <xdr:sp macro="" textlink="">
      <xdr:nvSpPr>
        <xdr:cNvPr id="489" name="Oval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1638300" y="333375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895350</xdr:colOff>
      <xdr:row>18</xdr:row>
      <xdr:rowOff>9525</xdr:rowOff>
    </xdr:from>
    <xdr:to>
      <xdr:col>12</xdr:col>
      <xdr:colOff>161925</xdr:colOff>
      <xdr:row>18</xdr:row>
      <xdr:rowOff>180975</xdr:rowOff>
    </xdr:to>
    <xdr:sp macro="" textlink="REAKSI!CS9">
      <xdr:nvSpPr>
        <xdr:cNvPr id="486" name="Rectangl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3019425" y="3743325"/>
          <a:ext cx="31051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BA5BA2B-0715-4A74-8730-F4D3873042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5</xdr:row>
          <xdr:rowOff>180975</xdr:rowOff>
        </xdr:from>
        <xdr:to>
          <xdr:col>20</xdr:col>
          <xdr:colOff>304800</xdr:colOff>
          <xdr:row>7</xdr:row>
          <xdr:rowOff>104775</xdr:rowOff>
        </xdr:to>
        <xdr:pic>
          <xdr:nvPicPr>
            <xdr:cNvPr id="487" name="Image1">
              <a:extLst>
                <a:ext uri="{FF2B5EF4-FFF2-40B4-BE49-F238E27FC236}">
                  <a16:creationId xmlns:a16="http://schemas.microsoft.com/office/drawing/2014/main" id="{00000000-0008-0000-0000-0000E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4" spid="_x0000_s228830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8677275" y="114300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3</xdr:row>
          <xdr:rowOff>200025</xdr:rowOff>
        </xdr:from>
        <xdr:to>
          <xdr:col>20</xdr:col>
          <xdr:colOff>314325</xdr:colOff>
          <xdr:row>5</xdr:row>
          <xdr:rowOff>123825</xdr:rowOff>
        </xdr:to>
        <xdr:pic>
          <xdr:nvPicPr>
            <xdr:cNvPr id="582" name="Image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5" spid="_x0000_s228831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8686800" y="70485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471" name="Group 470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72" name="Image1">
                <a:extLst>
                  <a:ext uri="{FF2B5EF4-FFF2-40B4-BE49-F238E27FC236}">
                    <a16:creationId xmlns:a16="http://schemas.microsoft.com/office/drawing/2014/main" id="{00000000-0008-0000-0000-0000D8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1" spid="_x0000_s2288311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3" name="Image1">
                <a:extLst>
                  <a:ext uri="{FF2B5EF4-FFF2-40B4-BE49-F238E27FC236}">
                    <a16:creationId xmlns:a16="http://schemas.microsoft.com/office/drawing/2014/main" id="{00000000-0008-0000-0000-0000D9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2" spid="_x0000_s2288312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0" name="Image1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3" spid="_x0000_s2288313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1" name="Image1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4" spid="_x0000_s2288314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581025</xdr:colOff>
          <xdr:row>15</xdr:row>
          <xdr:rowOff>114300</xdr:rowOff>
        </xdr:from>
        <xdr:to>
          <xdr:col>20</xdr:col>
          <xdr:colOff>610466</xdr:colOff>
          <xdr:row>16</xdr:row>
          <xdr:rowOff>152400</xdr:rowOff>
        </xdr:to>
        <xdr:pic>
          <xdr:nvPicPr>
            <xdr:cNvPr id="469" name="Image1">
              <a:extLst>
                <a:ext uri="{FF2B5EF4-FFF2-40B4-BE49-F238E27FC236}">
                  <a16:creationId xmlns:a16="http://schemas.microsoft.com/office/drawing/2014/main" id="{00000000-0008-0000-0000-0000D5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INFO" spid="_x0000_s2288315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8477250" y="3248025"/>
              <a:ext cx="2182091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66675</xdr:colOff>
      <xdr:row>19</xdr:row>
      <xdr:rowOff>0</xdr:rowOff>
    </xdr:from>
    <xdr:to>
      <xdr:col>4</xdr:col>
      <xdr:colOff>285750</xdr:colOff>
      <xdr:row>20</xdr:row>
      <xdr:rowOff>47625</xdr:rowOff>
    </xdr:to>
    <xdr:sp macro="" textlink="$AJ$26">
      <xdr:nvSpPr>
        <xdr:cNvPr id="470" name="Rectangl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1666875" y="3943350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28575</xdr:colOff>
      <xdr:row>1</xdr:row>
      <xdr:rowOff>47625</xdr:rowOff>
    </xdr:from>
    <xdr:to>
      <xdr:col>1</xdr:col>
      <xdr:colOff>47625</xdr:colOff>
      <xdr:row>2</xdr:row>
      <xdr:rowOff>9525</xdr:rowOff>
    </xdr:to>
    <xdr:sp macro="" textlink="">
      <xdr:nvSpPr>
        <xdr:cNvPr id="482" name="Oval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28575" y="104775"/>
          <a:ext cx="180975" cy="16192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86502</xdr:colOff>
      <xdr:row>74</xdr:row>
      <xdr:rowOff>45099</xdr:rowOff>
    </xdr:from>
    <xdr:to>
      <xdr:col>11</xdr:col>
      <xdr:colOff>228978</xdr:colOff>
      <xdr:row>82</xdr:row>
      <xdr:rowOff>96415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9232" y="14468670"/>
          <a:ext cx="3204083" cy="160641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26</xdr:row>
      <xdr:rowOff>171450</xdr:rowOff>
    </xdr:from>
    <xdr:to>
      <xdr:col>11</xdr:col>
      <xdr:colOff>285343</xdr:colOff>
      <xdr:row>37</xdr:row>
      <xdr:rowOff>114044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3851910"/>
          <a:ext cx="3333343" cy="196189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39</xdr:row>
      <xdr:rowOff>57150</xdr:rowOff>
    </xdr:from>
    <xdr:to>
      <xdr:col>13</xdr:col>
      <xdr:colOff>294677</xdr:colOff>
      <xdr:row>53</xdr:row>
      <xdr:rowOff>28245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82"/>
        <a:stretch/>
      </xdr:blipFill>
      <xdr:spPr>
        <a:xfrm>
          <a:off x="3126105" y="6122670"/>
          <a:ext cx="4659032" cy="253141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124</xdr:row>
      <xdr:rowOff>171450</xdr:rowOff>
    </xdr:from>
    <xdr:to>
      <xdr:col>13</xdr:col>
      <xdr:colOff>170902</xdr:colOff>
      <xdr:row>132</xdr:row>
      <xdr:rowOff>56974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3730" y="21781770"/>
          <a:ext cx="4487632" cy="13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84</xdr:row>
      <xdr:rowOff>9525</xdr:rowOff>
    </xdr:from>
    <xdr:to>
      <xdr:col>11</xdr:col>
      <xdr:colOff>256770</xdr:colOff>
      <xdr:row>92</xdr:row>
      <xdr:rowOff>182667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3255" y="14304645"/>
          <a:ext cx="331429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</xdr:row>
      <xdr:rowOff>133350</xdr:rowOff>
    </xdr:from>
    <xdr:to>
      <xdr:col>13</xdr:col>
      <xdr:colOff>237567</xdr:colOff>
      <xdr:row>14</xdr:row>
      <xdr:rowOff>133183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323850"/>
          <a:ext cx="4573347" cy="127999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94</xdr:row>
      <xdr:rowOff>57150</xdr:rowOff>
    </xdr:from>
    <xdr:to>
      <xdr:col>13</xdr:col>
      <xdr:colOff>219075</xdr:colOff>
      <xdr:row>103</xdr:row>
      <xdr:rowOff>28364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3730" y="16181070"/>
          <a:ext cx="4535805" cy="161713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103</xdr:row>
      <xdr:rowOff>180975</xdr:rowOff>
    </xdr:from>
    <xdr:to>
      <xdr:col>13</xdr:col>
      <xdr:colOff>257175</xdr:colOff>
      <xdr:row>112</xdr:row>
      <xdr:rowOff>171237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4680" y="17950815"/>
          <a:ext cx="459295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54</xdr:row>
      <xdr:rowOff>38100</xdr:rowOff>
    </xdr:from>
    <xdr:to>
      <xdr:col>13</xdr:col>
      <xdr:colOff>276225</xdr:colOff>
      <xdr:row>63</xdr:row>
      <xdr:rowOff>75981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54680" y="8846820"/>
          <a:ext cx="4612005" cy="168380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114</xdr:row>
      <xdr:rowOff>28575</xdr:rowOff>
    </xdr:from>
    <xdr:to>
      <xdr:col>13</xdr:col>
      <xdr:colOff>114300</xdr:colOff>
      <xdr:row>122</xdr:row>
      <xdr:rowOff>114099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73730" y="19810095"/>
          <a:ext cx="4431030" cy="15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64</xdr:row>
      <xdr:rowOff>180975</xdr:rowOff>
    </xdr:from>
    <xdr:to>
      <xdr:col>13</xdr:col>
      <xdr:colOff>751859</xdr:colOff>
      <xdr:row>72</xdr:row>
      <xdr:rowOff>161737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1830" y="10818495"/>
          <a:ext cx="5030489" cy="1443802"/>
        </a:xfrm>
        <a:prstGeom prst="rect">
          <a:avLst/>
        </a:prstGeom>
      </xdr:spPr>
    </xdr:pic>
    <xdr:clientData/>
  </xdr:twoCellAnchor>
  <xdr:twoCellAnchor editAs="oneCell">
    <xdr:from>
      <xdr:col>6</xdr:col>
      <xdr:colOff>369471</xdr:colOff>
      <xdr:row>205</xdr:row>
      <xdr:rowOff>165440</xdr:rowOff>
    </xdr:from>
    <xdr:to>
      <xdr:col>13</xdr:col>
      <xdr:colOff>489285</xdr:colOff>
      <xdr:row>214</xdr:row>
      <xdr:rowOff>105445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89660" y="38032829"/>
          <a:ext cx="4499309" cy="1600363"/>
        </a:xfrm>
        <a:prstGeom prst="rect">
          <a:avLst/>
        </a:prstGeom>
      </xdr:spPr>
    </xdr:pic>
    <xdr:clientData/>
  </xdr:twoCellAnchor>
  <xdr:twoCellAnchor editAs="oneCell">
    <xdr:from>
      <xdr:col>6</xdr:col>
      <xdr:colOff>378650</xdr:colOff>
      <xdr:row>214</xdr:row>
      <xdr:rowOff>73567</xdr:rowOff>
    </xdr:from>
    <xdr:to>
      <xdr:col>13</xdr:col>
      <xdr:colOff>489284</xdr:colOff>
      <xdr:row>229</xdr:row>
      <xdr:rowOff>168443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98839" y="39601314"/>
          <a:ext cx="4490129" cy="286214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</xdr:row>
      <xdr:rowOff>5715</xdr:rowOff>
    </xdr:from>
    <xdr:to>
      <xdr:col>13</xdr:col>
      <xdr:colOff>837590</xdr:colOff>
      <xdr:row>26</xdr:row>
      <xdr:rowOff>35926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45180" y="1659255"/>
          <a:ext cx="4982870" cy="205713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134</xdr:row>
      <xdr:rowOff>9525</xdr:rowOff>
    </xdr:from>
    <xdr:to>
      <xdr:col>12</xdr:col>
      <xdr:colOff>486387</xdr:colOff>
      <xdr:row>138</xdr:row>
      <xdr:rowOff>114421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956"/>
        <a:stretch/>
      </xdr:blipFill>
      <xdr:spPr>
        <a:xfrm>
          <a:off x="3183255" y="23448645"/>
          <a:ext cx="4168752" cy="83641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140</xdr:row>
      <xdr:rowOff>28575</xdr:rowOff>
    </xdr:from>
    <xdr:to>
      <xdr:col>13</xdr:col>
      <xdr:colOff>229221</xdr:colOff>
      <xdr:row>151</xdr:row>
      <xdr:rowOff>171762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164205" y="24564975"/>
          <a:ext cx="4555476" cy="215486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161</xdr:row>
      <xdr:rowOff>0</xdr:rowOff>
    </xdr:from>
    <xdr:to>
      <xdr:col>11</xdr:col>
      <xdr:colOff>600556</xdr:colOff>
      <xdr:row>171</xdr:row>
      <xdr:rowOff>47898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16605" y="28376880"/>
          <a:ext cx="3524731" cy="1876698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116</xdr:row>
      <xdr:rowOff>85725</xdr:rowOff>
    </xdr:from>
    <xdr:to>
      <xdr:col>22</xdr:col>
      <xdr:colOff>200639</xdr:colOff>
      <xdr:row>122</xdr:row>
      <xdr:rowOff>114464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65895" y="20233005"/>
          <a:ext cx="4507844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125</xdr:row>
      <xdr:rowOff>0</xdr:rowOff>
    </xdr:from>
    <xdr:to>
      <xdr:col>22</xdr:col>
      <xdr:colOff>229216</xdr:colOff>
      <xdr:row>131</xdr:row>
      <xdr:rowOff>9686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84945" y="21793200"/>
          <a:ext cx="4517371" cy="1106966"/>
        </a:xfrm>
        <a:prstGeom prst="rect">
          <a:avLst/>
        </a:prstGeom>
      </xdr:spPr>
    </xdr:pic>
    <xdr:clientData/>
  </xdr:twoCellAnchor>
  <xdr:twoCellAnchor editAs="oneCell">
    <xdr:from>
      <xdr:col>15</xdr:col>
      <xdr:colOff>56761</xdr:colOff>
      <xdr:row>39</xdr:row>
      <xdr:rowOff>77172</xdr:rowOff>
    </xdr:from>
    <xdr:to>
      <xdr:col>22</xdr:col>
      <xdr:colOff>200252</xdr:colOff>
      <xdr:row>45</xdr:row>
      <xdr:rowOff>105911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33368" y="7697172"/>
          <a:ext cx="4429741" cy="11950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27019</xdr:colOff>
      <xdr:row>53</xdr:row>
      <xdr:rowOff>37323</xdr:rowOff>
    </xdr:from>
    <xdr:to>
      <xdr:col>22</xdr:col>
      <xdr:colOff>122878</xdr:colOff>
      <xdr:row>59</xdr:row>
      <xdr:rowOff>94642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03626" y="10378752"/>
          <a:ext cx="4382109" cy="12236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250372</xdr:colOff>
      <xdr:row>66</xdr:row>
      <xdr:rowOff>103803</xdr:rowOff>
    </xdr:from>
    <xdr:to>
      <xdr:col>29</xdr:col>
      <xdr:colOff>327178</xdr:colOff>
      <xdr:row>72</xdr:row>
      <xdr:rowOff>155481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13229" y="12972272"/>
          <a:ext cx="4363056" cy="121800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84</xdr:row>
      <xdr:rowOff>142875</xdr:rowOff>
    </xdr:from>
    <xdr:to>
      <xdr:col>22</xdr:col>
      <xdr:colOff>267313</xdr:colOff>
      <xdr:row>91</xdr:row>
      <xdr:rowOff>9693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42095" y="14437995"/>
          <a:ext cx="4498318" cy="1146978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133545</xdr:colOff>
      <xdr:row>93</xdr:row>
      <xdr:rowOff>27799</xdr:rowOff>
    </xdr:from>
    <xdr:to>
      <xdr:col>22</xdr:col>
      <xdr:colOff>219878</xdr:colOff>
      <xdr:row>99</xdr:row>
      <xdr:rowOff>123223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10152" y="18144738"/>
          <a:ext cx="4372583" cy="1261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107</xdr:row>
      <xdr:rowOff>57150</xdr:rowOff>
    </xdr:from>
    <xdr:to>
      <xdr:col>22</xdr:col>
      <xdr:colOff>248262</xdr:colOff>
      <xdr:row>113</xdr:row>
      <xdr:rowOff>85889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32570" y="18558510"/>
          <a:ext cx="4488792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8</xdr:row>
      <xdr:rowOff>47625</xdr:rowOff>
    </xdr:from>
    <xdr:to>
      <xdr:col>22</xdr:col>
      <xdr:colOff>191116</xdr:colOff>
      <xdr:row>14</xdr:row>
      <xdr:rowOff>95416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46845" y="421005"/>
          <a:ext cx="4517371" cy="1145071"/>
        </a:xfrm>
        <a:prstGeom prst="rect">
          <a:avLst/>
        </a:prstGeom>
      </xdr:spPr>
    </xdr:pic>
    <xdr:clientData/>
  </xdr:twoCellAnchor>
  <xdr:twoCellAnchor editAs="oneCell">
    <xdr:from>
      <xdr:col>15</xdr:col>
      <xdr:colOff>86503</xdr:colOff>
      <xdr:row>15</xdr:row>
      <xdr:rowOff>85338</xdr:rowOff>
    </xdr:from>
    <xdr:to>
      <xdr:col>22</xdr:col>
      <xdr:colOff>220467</xdr:colOff>
      <xdr:row>21</xdr:row>
      <xdr:rowOff>66446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863110" y="3010874"/>
          <a:ext cx="4420214" cy="1157154"/>
        </a:xfrm>
        <a:prstGeom prst="rect">
          <a:avLst/>
        </a:prstGeom>
      </xdr:spPr>
    </xdr:pic>
    <xdr:clientData/>
  </xdr:twoCellAnchor>
  <xdr:twoCellAnchor editAs="oneCell">
    <xdr:from>
      <xdr:col>15</xdr:col>
      <xdr:colOff>46654</xdr:colOff>
      <xdr:row>30</xdr:row>
      <xdr:rowOff>6026</xdr:rowOff>
    </xdr:from>
    <xdr:to>
      <xdr:col>22</xdr:col>
      <xdr:colOff>142513</xdr:colOff>
      <xdr:row>36</xdr:row>
      <xdr:rowOff>67425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823261" y="5876536"/>
          <a:ext cx="4382109" cy="1227726"/>
        </a:xfrm>
        <a:prstGeom prst="rect">
          <a:avLst/>
        </a:prstGeom>
      </xdr:spPr>
    </xdr:pic>
    <xdr:clientData/>
  </xdr:twoCellAnchor>
  <xdr:twoCellAnchor>
    <xdr:from>
      <xdr:col>15</xdr:col>
      <xdr:colOff>76200</xdr:colOff>
      <xdr:row>161</xdr:row>
      <xdr:rowOff>194194</xdr:rowOff>
    </xdr:from>
    <xdr:to>
      <xdr:col>27</xdr:col>
      <xdr:colOff>591122</xdr:colOff>
      <xdr:row>179</xdr:row>
      <xdr:rowOff>161537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pSpPr/>
      </xdr:nvGrpSpPr>
      <xdr:grpSpPr>
        <a:xfrm>
          <a:off x="8852807" y="31529500"/>
          <a:ext cx="7862779" cy="3476042"/>
          <a:chOff x="9144000" y="29384625"/>
          <a:chExt cx="7830122" cy="3639058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00000000-0008-0000-0A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9144000" y="29384625"/>
            <a:ext cx="3743847" cy="3639058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0000000-0008-0000-0A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2877800" y="31765875"/>
            <a:ext cx="4096322" cy="125747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47625</xdr:colOff>
      <xdr:row>140</xdr:row>
      <xdr:rowOff>142875</xdr:rowOff>
    </xdr:from>
    <xdr:to>
      <xdr:col>27</xdr:col>
      <xdr:colOff>429202</xdr:colOff>
      <xdr:row>159</xdr:row>
      <xdr:rowOff>152907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pSpPr/>
      </xdr:nvGrpSpPr>
      <xdr:grpSpPr>
        <a:xfrm>
          <a:off x="8824232" y="27396038"/>
          <a:ext cx="7729434" cy="3703400"/>
          <a:chOff x="9115425" y="25707975"/>
          <a:chExt cx="7696777" cy="3629532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0000000-0008-0000-0A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9115425" y="25707975"/>
            <a:ext cx="3562847" cy="3629532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A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2677775" y="28051125"/>
            <a:ext cx="4134427" cy="1286054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47625</xdr:colOff>
      <xdr:row>133</xdr:row>
      <xdr:rowOff>171450</xdr:rowOff>
    </xdr:from>
    <xdr:to>
      <xdr:col>21</xdr:col>
      <xdr:colOff>486347</xdr:colOff>
      <xdr:row>140</xdr:row>
      <xdr:rowOff>95425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046845" y="23427690"/>
          <a:ext cx="4187762" cy="1204135"/>
        </a:xfrm>
        <a:prstGeom prst="rect">
          <a:avLst/>
        </a:prstGeom>
      </xdr:spPr>
    </xdr:pic>
    <xdr:clientData/>
  </xdr:twoCellAnchor>
  <xdr:twoCellAnchor editAs="oneCell">
    <xdr:from>
      <xdr:col>21</xdr:col>
      <xdr:colOff>599685</xdr:colOff>
      <xdr:row>73</xdr:row>
      <xdr:rowOff>174171</xdr:rowOff>
    </xdr:from>
    <xdr:to>
      <xdr:col>28</xdr:col>
      <xdr:colOff>476438</xdr:colOff>
      <xdr:row>80</xdr:row>
      <xdr:rowOff>122838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50221" y="14403355"/>
          <a:ext cx="4163003" cy="130938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178</xdr:row>
      <xdr:rowOff>47625</xdr:rowOff>
    </xdr:from>
    <xdr:to>
      <xdr:col>13</xdr:col>
      <xdr:colOff>124429</xdr:colOff>
      <xdr:row>193</xdr:row>
      <xdr:rowOff>399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t="1666"/>
        <a:stretch/>
      </xdr:blipFill>
      <xdr:spPr>
        <a:xfrm>
          <a:off x="3183255" y="31541085"/>
          <a:ext cx="4431634" cy="2695974"/>
        </a:xfrm>
        <a:prstGeom prst="rect">
          <a:avLst/>
        </a:prstGeom>
      </xdr:spPr>
    </xdr:pic>
    <xdr:clientData/>
  </xdr:twoCellAnchor>
  <xdr:twoCellAnchor editAs="oneCell">
    <xdr:from>
      <xdr:col>15</xdr:col>
      <xdr:colOff>76395</xdr:colOff>
      <xdr:row>180</xdr:row>
      <xdr:rowOff>136071</xdr:rowOff>
    </xdr:from>
    <xdr:to>
      <xdr:col>21</xdr:col>
      <xdr:colOff>572275</xdr:colOff>
      <xdr:row>187</xdr:row>
      <xdr:rowOff>18054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853002" y="35174464"/>
          <a:ext cx="4169809" cy="1242697"/>
        </a:xfrm>
        <a:prstGeom prst="rect">
          <a:avLst/>
        </a:prstGeom>
      </xdr:spPr>
    </xdr:pic>
    <xdr:clientData/>
  </xdr:twoCellAnchor>
  <xdr:twoCellAnchor>
    <xdr:from>
      <xdr:col>4</xdr:col>
      <xdr:colOff>89420</xdr:colOff>
      <xdr:row>229</xdr:row>
      <xdr:rowOff>158445</xdr:rowOff>
    </xdr:from>
    <xdr:to>
      <xdr:col>18</xdr:col>
      <xdr:colOff>223292</xdr:colOff>
      <xdr:row>250</xdr:row>
      <xdr:rowOff>25635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pSpPr/>
      </xdr:nvGrpSpPr>
      <xdr:grpSpPr>
        <a:xfrm>
          <a:off x="2645619" y="44731557"/>
          <a:ext cx="8191244" cy="3949333"/>
          <a:chOff x="2124075" y="5210175"/>
          <a:chExt cx="8134872" cy="3867690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0000000-0008-0000-0A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2124075" y="5210175"/>
            <a:ext cx="4391638" cy="3867690"/>
          </a:xfrm>
          <a:prstGeom prst="rect">
            <a:avLst/>
          </a:prstGeom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00000000-0008-0000-0A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6515100" y="5210175"/>
            <a:ext cx="3743847" cy="2143424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104776</xdr:colOff>
      <xdr:row>194</xdr:row>
      <xdr:rowOff>152400</xdr:rowOff>
    </xdr:from>
    <xdr:to>
      <xdr:col>14</xdr:col>
      <xdr:colOff>200026</xdr:colOff>
      <xdr:row>203</xdr:row>
      <xdr:rowOff>172397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21356" y="34579560"/>
          <a:ext cx="5353050" cy="166591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194</xdr:row>
      <xdr:rowOff>161925</xdr:rowOff>
    </xdr:from>
    <xdr:to>
      <xdr:col>21</xdr:col>
      <xdr:colOff>514926</xdr:colOff>
      <xdr:row>201</xdr:row>
      <xdr:rowOff>114479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046845" y="34589085"/>
          <a:ext cx="4216341" cy="1232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166744</xdr:colOff>
      <xdr:row>4</xdr:row>
      <xdr:rowOff>166295</xdr:rowOff>
    </xdr:to>
    <xdr:pic>
      <xdr:nvPicPr>
        <xdr:cNvPr id="62" name="Graphic 61" descr="Hom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3"/>
            </a:ext>
          </a:extLst>
        </a:blip>
        <a:stretch>
          <a:fillRect/>
        </a:stretch>
      </xdr:blipFill>
      <xdr:spPr>
        <a:xfrm>
          <a:off x="38100" y="0"/>
          <a:ext cx="921124" cy="89781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6</xdr:col>
      <xdr:colOff>356347</xdr:colOff>
      <xdr:row>6</xdr:row>
      <xdr:rowOff>15688</xdr:rowOff>
    </xdr:to>
    <xdr:sp macro="" textlink="">
      <xdr:nvSpPr>
        <xdr:cNvPr id="63" name="Rectangle: Rounded Corners 62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/>
      </xdr:nvSpPr>
      <xdr:spPr>
        <a:xfrm>
          <a:off x="1783080" y="731520"/>
          <a:ext cx="1689847" cy="381448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PENDAHULUAN</a:t>
          </a:r>
          <a:r>
            <a:rPr lang="en-ID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10</xdr:col>
      <xdr:colOff>264695</xdr:colOff>
      <xdr:row>4</xdr:row>
      <xdr:rowOff>8021</xdr:rowOff>
    </xdr:from>
    <xdr:to>
      <xdr:col>13</xdr:col>
      <xdr:colOff>79220</xdr:colOff>
      <xdr:row>6</xdr:row>
      <xdr:rowOff>23709</xdr:rowOff>
    </xdr:to>
    <xdr:sp macro="" textlink="">
      <xdr:nvSpPr>
        <xdr:cNvPr id="64" name="Rectangle: Rounded Corners 63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/>
      </xdr:nvSpPr>
      <xdr:spPr>
        <a:xfrm>
          <a:off x="5887453" y="745958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MATERI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endParaRPr lang="en-ID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312821</xdr:colOff>
      <xdr:row>4</xdr:row>
      <xdr:rowOff>8022</xdr:rowOff>
    </xdr:from>
    <xdr:to>
      <xdr:col>20</xdr:col>
      <xdr:colOff>127345</xdr:colOff>
      <xdr:row>6</xdr:row>
      <xdr:rowOff>23710</xdr:rowOff>
    </xdr:to>
    <xdr:sp macro="" textlink="">
      <xdr:nvSpPr>
        <xdr:cNvPr id="65" name="Rectangle: Rounded Corners 6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/>
      </xdr:nvSpPr>
      <xdr:spPr>
        <a:xfrm>
          <a:off x="10571747" y="745959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CONTOH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REAKSI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ID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15</xdr:col>
      <xdr:colOff>97193</xdr:colOff>
      <xdr:row>21</xdr:row>
      <xdr:rowOff>87473</xdr:rowOff>
    </xdr:from>
    <xdr:to>
      <xdr:col>22</xdr:col>
      <xdr:colOff>174002</xdr:colOff>
      <xdr:row>26</xdr:row>
      <xdr:rowOff>125132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873800" y="4189055"/>
          <a:ext cx="4363059" cy="1019317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46</xdr:row>
      <xdr:rowOff>29159</xdr:rowOff>
    </xdr:from>
    <xdr:to>
      <xdr:col>22</xdr:col>
      <xdr:colOff>259161</xdr:colOff>
      <xdr:row>51</xdr:row>
      <xdr:rowOff>19379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44643" y="9009873"/>
          <a:ext cx="4477375" cy="962159"/>
        </a:xfrm>
        <a:prstGeom prst="rect">
          <a:avLst/>
        </a:prstGeom>
      </xdr:spPr>
    </xdr:pic>
    <xdr:clientData/>
  </xdr:twoCellAnchor>
  <xdr:twoCellAnchor editAs="oneCell">
    <xdr:from>
      <xdr:col>15</xdr:col>
      <xdr:colOff>38879</xdr:colOff>
      <xdr:row>59</xdr:row>
      <xdr:rowOff>126352</xdr:rowOff>
    </xdr:from>
    <xdr:to>
      <xdr:col>22</xdr:col>
      <xdr:colOff>1372</xdr:colOff>
      <xdr:row>64</xdr:row>
      <xdr:rowOff>183257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8815486" y="11634107"/>
          <a:ext cx="4248743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29158</xdr:colOff>
      <xdr:row>66</xdr:row>
      <xdr:rowOff>174949</xdr:rowOff>
    </xdr:from>
    <xdr:to>
      <xdr:col>22</xdr:col>
      <xdr:colOff>115493</xdr:colOff>
      <xdr:row>71</xdr:row>
      <xdr:rowOff>184222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05765" y="13043418"/>
          <a:ext cx="4372585" cy="98121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48597</xdr:colOff>
      <xdr:row>74</xdr:row>
      <xdr:rowOff>1</xdr:rowOff>
    </xdr:from>
    <xdr:to>
      <xdr:col>21</xdr:col>
      <xdr:colOff>528148</xdr:colOff>
      <xdr:row>79</xdr:row>
      <xdr:rowOff>56906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825204" y="14423572"/>
          <a:ext cx="4153480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187</xdr:row>
      <xdr:rowOff>38877</xdr:rowOff>
    </xdr:from>
    <xdr:to>
      <xdr:col>22</xdr:col>
      <xdr:colOff>325845</xdr:colOff>
      <xdr:row>192</xdr:row>
      <xdr:rowOff>124361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844643" y="36437984"/>
          <a:ext cx="4544059" cy="1057423"/>
        </a:xfrm>
        <a:prstGeom prst="rect">
          <a:avLst/>
        </a:prstGeom>
      </xdr:spPr>
    </xdr:pic>
    <xdr:clientData/>
  </xdr:twoCellAnchor>
  <xdr:twoCellAnchor editAs="oneCell">
    <xdr:from>
      <xdr:col>28</xdr:col>
      <xdr:colOff>38877</xdr:colOff>
      <xdr:row>162</xdr:row>
      <xdr:rowOff>116633</xdr:rowOff>
    </xdr:from>
    <xdr:to>
      <xdr:col>35</xdr:col>
      <xdr:colOff>458634</xdr:colOff>
      <xdr:row>179</xdr:row>
      <xdr:rowOff>107958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6775663" y="31646327"/>
          <a:ext cx="4706007" cy="3305636"/>
        </a:xfrm>
        <a:prstGeom prst="rect">
          <a:avLst/>
        </a:prstGeom>
      </xdr:spPr>
    </xdr:pic>
    <xdr:clientData/>
  </xdr:twoCellAnchor>
  <xdr:twoCellAnchor editAs="oneCell">
    <xdr:from>
      <xdr:col>4</xdr:col>
      <xdr:colOff>87475</xdr:colOff>
      <xdr:row>250</xdr:row>
      <xdr:rowOff>97194</xdr:rowOff>
    </xdr:from>
    <xdr:to>
      <xdr:col>14</xdr:col>
      <xdr:colOff>557186</xdr:colOff>
      <xdr:row>262</xdr:row>
      <xdr:rowOff>184229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643674" y="48752449"/>
          <a:ext cx="6077798" cy="2419688"/>
        </a:xfrm>
        <a:prstGeom prst="rect">
          <a:avLst/>
        </a:prstGeom>
      </xdr:spPr>
    </xdr:pic>
    <xdr:clientData/>
  </xdr:twoCellAnchor>
  <xdr:twoCellAnchor editAs="oneCell">
    <xdr:from>
      <xdr:col>4</xdr:col>
      <xdr:colOff>87474</xdr:colOff>
      <xdr:row>263</xdr:row>
      <xdr:rowOff>29158</xdr:rowOff>
    </xdr:from>
    <xdr:to>
      <xdr:col>14</xdr:col>
      <xdr:colOff>604817</xdr:colOff>
      <xdr:row>275</xdr:row>
      <xdr:rowOff>125719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643673" y="51211454"/>
          <a:ext cx="6125430" cy="2429214"/>
        </a:xfrm>
        <a:prstGeom prst="rect">
          <a:avLst/>
        </a:prstGeom>
      </xdr:spPr>
    </xdr:pic>
    <xdr:clientData/>
  </xdr:twoCellAnchor>
  <xdr:twoCellAnchor editAs="oneCell">
    <xdr:from>
      <xdr:col>4</xdr:col>
      <xdr:colOff>116633</xdr:colOff>
      <xdr:row>275</xdr:row>
      <xdr:rowOff>155510</xdr:rowOff>
    </xdr:from>
    <xdr:to>
      <xdr:col>14</xdr:col>
      <xdr:colOff>605397</xdr:colOff>
      <xdr:row>286</xdr:row>
      <xdr:rowOff>46353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672832" y="53670459"/>
          <a:ext cx="6096851" cy="20291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14</xdr:col>
      <xdr:colOff>157852</xdr:colOff>
      <xdr:row>315</xdr:row>
      <xdr:rowOff>49974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682551" y="55653214"/>
          <a:ext cx="5639587" cy="56872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15</xdr:col>
      <xdr:colOff>107584</xdr:colOff>
      <xdr:row>340</xdr:row>
      <xdr:rowOff>69280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682551" y="61484847"/>
          <a:ext cx="6201640" cy="4734586"/>
        </a:xfrm>
        <a:prstGeom prst="rect">
          <a:avLst/>
        </a:prstGeom>
      </xdr:spPr>
    </xdr:pic>
    <xdr:clientData/>
  </xdr:twoCellAnchor>
  <xdr:twoCellAnchor editAs="oneCell">
    <xdr:from>
      <xdr:col>15</xdr:col>
      <xdr:colOff>136071</xdr:colOff>
      <xdr:row>99</xdr:row>
      <xdr:rowOff>136070</xdr:rowOff>
    </xdr:from>
    <xdr:to>
      <xdr:col>23</xdr:col>
      <xdr:colOff>219769</xdr:colOff>
      <xdr:row>105</xdr:row>
      <xdr:rowOff>103376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8912678" y="19419335"/>
          <a:ext cx="4982270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85726</xdr:rowOff>
    </xdr:from>
    <xdr:to>
      <xdr:col>11</xdr:col>
      <xdr:colOff>323850</xdr:colOff>
      <xdr:row>25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B4756-223D-42C6-4210-A72D72ED0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76226"/>
          <a:ext cx="6734175" cy="4533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66676</xdr:rowOff>
    </xdr:from>
    <xdr:to>
      <xdr:col>12</xdr:col>
      <xdr:colOff>104775</xdr:colOff>
      <xdr:row>51</xdr:row>
      <xdr:rowOff>138114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226361-C7DE-B6DA-31C9-EE7C2583D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6"/>
          <a:ext cx="7419975" cy="4071938"/>
        </a:xfrm>
        <a:prstGeom prst="rect">
          <a:avLst/>
        </a:prstGeom>
      </xdr:spPr>
    </xdr:pic>
    <xdr:clientData/>
  </xdr:twoCellAnchor>
  <xdr:twoCellAnchor editAs="oneCell">
    <xdr:from>
      <xdr:col>11</xdr:col>
      <xdr:colOff>500867</xdr:colOff>
      <xdr:row>1</xdr:row>
      <xdr:rowOff>114300</xdr:rowOff>
    </xdr:from>
    <xdr:to>
      <xdr:col>26</xdr:col>
      <xdr:colOff>114301</xdr:colOff>
      <xdr:row>27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C82ED4-D64B-CB97-0E8B-F6793C68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6467" y="304800"/>
          <a:ext cx="8757434" cy="484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30</xdr:row>
      <xdr:rowOff>131154</xdr:rowOff>
    </xdr:from>
    <xdr:to>
      <xdr:col>26</xdr:col>
      <xdr:colOff>598401</xdr:colOff>
      <xdr:row>51</xdr:row>
      <xdr:rowOff>189713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E22E92-6273-AA66-1105-FBE698F14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00975" y="5846154"/>
          <a:ext cx="8647026" cy="4059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12</xdr:col>
      <xdr:colOff>341943</xdr:colOff>
      <xdr:row>86</xdr:row>
      <xdr:rowOff>84952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245D30F-C878-4656-3A71-2902E5695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87000"/>
          <a:ext cx="7657143" cy="6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132187</xdr:colOff>
      <xdr:row>53</xdr:row>
      <xdr:rowOff>47625</xdr:rowOff>
    </xdr:from>
    <xdr:to>
      <xdr:col>28</xdr:col>
      <xdr:colOff>588865</xdr:colOff>
      <xdr:row>82</xdr:row>
      <xdr:rowOff>123824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1896667-2236-F24E-2940-223BA3CDB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56987" y="10144125"/>
          <a:ext cx="9600678" cy="5600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147637</xdr:rowOff>
    </xdr:from>
    <xdr:to>
      <xdr:col>16</xdr:col>
      <xdr:colOff>457200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19</xdr:row>
      <xdr:rowOff>14287</xdr:rowOff>
    </xdr:from>
    <xdr:to>
      <xdr:col>14</xdr:col>
      <xdr:colOff>161925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304800</xdr:rowOff>
    </xdr:from>
    <xdr:to>
      <xdr:col>7</xdr:col>
      <xdr:colOff>200025</xdr:colOff>
      <xdr:row>13</xdr:row>
      <xdr:rowOff>570820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90868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8</xdr:row>
      <xdr:rowOff>266700</xdr:rowOff>
    </xdr:from>
    <xdr:to>
      <xdr:col>2</xdr:col>
      <xdr:colOff>1040267</xdr:colOff>
      <xdr:row>8</xdr:row>
      <xdr:rowOff>638175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5238750"/>
          <a:ext cx="96406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114300</xdr:colOff>
      <xdr:row>7</xdr:row>
      <xdr:rowOff>285751</xdr:rowOff>
    </xdr:from>
    <xdr:to>
      <xdr:col>8</xdr:col>
      <xdr:colOff>323850</xdr:colOff>
      <xdr:row>7</xdr:row>
      <xdr:rowOff>576177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95801"/>
          <a:ext cx="819150" cy="2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11</xdr:row>
      <xdr:rowOff>228600</xdr:rowOff>
    </xdr:from>
    <xdr:to>
      <xdr:col>2</xdr:col>
      <xdr:colOff>1050472</xdr:colOff>
      <xdr:row>11</xdr:row>
      <xdr:rowOff>485775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486650"/>
          <a:ext cx="955222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10</xdr:row>
      <xdr:rowOff>228600</xdr:rowOff>
    </xdr:from>
    <xdr:to>
      <xdr:col>2</xdr:col>
      <xdr:colOff>1066800</xdr:colOff>
      <xdr:row>10</xdr:row>
      <xdr:rowOff>494620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7246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8</xdr:row>
      <xdr:rowOff>419100</xdr:rowOff>
    </xdr:from>
    <xdr:to>
      <xdr:col>9</xdr:col>
      <xdr:colOff>161925</xdr:colOff>
      <xdr:row>8</xdr:row>
      <xdr:rowOff>742950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391150"/>
          <a:ext cx="9620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85725</xdr:colOff>
      <xdr:row>12</xdr:row>
      <xdr:rowOff>466725</xdr:rowOff>
    </xdr:from>
    <xdr:to>
      <xdr:col>6</xdr:col>
      <xdr:colOff>590550</xdr:colOff>
      <xdr:row>13</xdr:row>
      <xdr:rowOff>28575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8486775"/>
          <a:ext cx="5048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13</xdr:row>
      <xdr:rowOff>80904</xdr:rowOff>
    </xdr:from>
    <xdr:to>
      <xdr:col>2</xdr:col>
      <xdr:colOff>1085850</xdr:colOff>
      <xdr:row>13</xdr:row>
      <xdr:rowOff>679868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085850" y="8862954"/>
          <a:ext cx="962025" cy="598964"/>
          <a:chOff x="4448175" y="11329929"/>
          <a:chExt cx="962025" cy="59896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4815" y="11531280"/>
            <a:ext cx="751416" cy="1561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4990" y="11329929"/>
            <a:ext cx="859485" cy="1520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48175" y="11734800"/>
            <a:ext cx="962025" cy="1940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171451</xdr:colOff>
      <xdr:row>4</xdr:row>
      <xdr:rowOff>47625</xdr:rowOff>
    </xdr:from>
    <xdr:to>
      <xdr:col>2</xdr:col>
      <xdr:colOff>972673</xdr:colOff>
      <xdr:row>4</xdr:row>
      <xdr:rowOff>670278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1133476" y="1971675"/>
          <a:ext cx="801222" cy="622653"/>
          <a:chOff x="1143001" y="1238250"/>
          <a:chExt cx="801222" cy="622653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295274</xdr:colOff>
      <xdr:row>8</xdr:row>
      <xdr:rowOff>723900</xdr:rowOff>
    </xdr:from>
    <xdr:to>
      <xdr:col>6</xdr:col>
      <xdr:colOff>228599</xdr:colOff>
      <xdr:row>9</xdr:row>
      <xdr:rowOff>89253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5695950"/>
          <a:ext cx="542925" cy="12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85726</xdr:colOff>
      <xdr:row>3</xdr:row>
      <xdr:rowOff>200026</xdr:rowOff>
    </xdr:from>
    <xdr:to>
      <xdr:col>2</xdr:col>
      <xdr:colOff>1086994</xdr:colOff>
      <xdr:row>3</xdr:row>
      <xdr:rowOff>552450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1362076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200026</xdr:colOff>
      <xdr:row>7</xdr:row>
      <xdr:rowOff>304800</xdr:rowOff>
    </xdr:from>
    <xdr:to>
      <xdr:col>6</xdr:col>
      <xdr:colOff>276225</xdr:colOff>
      <xdr:row>7</xdr:row>
      <xdr:rowOff>546186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1" y="4514850"/>
          <a:ext cx="685799" cy="24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9</xdr:row>
      <xdr:rowOff>76199</xdr:rowOff>
    </xdr:from>
    <xdr:to>
      <xdr:col>9</xdr:col>
      <xdr:colOff>139361</xdr:colOff>
      <xdr:row>9</xdr:row>
      <xdr:rowOff>247648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810249"/>
          <a:ext cx="920411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276226</xdr:colOff>
      <xdr:row>7</xdr:row>
      <xdr:rowOff>571499</xdr:rowOff>
    </xdr:from>
    <xdr:to>
      <xdr:col>6</xdr:col>
      <xdr:colOff>152400</xdr:colOff>
      <xdr:row>8</xdr:row>
      <xdr:rowOff>56011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1" y="4781549"/>
          <a:ext cx="485774" cy="246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7</xdr:row>
      <xdr:rowOff>95250</xdr:rowOff>
    </xdr:from>
    <xdr:to>
      <xdr:col>2</xdr:col>
      <xdr:colOff>983877</xdr:colOff>
      <xdr:row>7</xdr:row>
      <xdr:rowOff>600075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05300"/>
          <a:ext cx="8314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18</xdr:row>
      <xdr:rowOff>38100</xdr:rowOff>
    </xdr:from>
    <xdr:to>
      <xdr:col>2</xdr:col>
      <xdr:colOff>1009650</xdr:colOff>
      <xdr:row>18</xdr:row>
      <xdr:rowOff>476250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630150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13</xdr:row>
      <xdr:rowOff>171451</xdr:rowOff>
    </xdr:from>
    <xdr:to>
      <xdr:col>10</xdr:col>
      <xdr:colOff>6517</xdr:colOff>
      <xdr:row>13</xdr:row>
      <xdr:rowOff>342901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8953501"/>
          <a:ext cx="711367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295276</xdr:colOff>
      <xdr:row>6</xdr:row>
      <xdr:rowOff>323850</xdr:rowOff>
    </xdr:from>
    <xdr:to>
      <xdr:col>8</xdr:col>
      <xdr:colOff>333375</xdr:colOff>
      <xdr:row>6</xdr:row>
      <xdr:rowOff>571500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4419601" y="3771900"/>
          <a:ext cx="1285874" cy="247650"/>
          <a:chOff x="3895724" y="1333500"/>
          <a:chExt cx="781051" cy="190501"/>
        </a:xfrm>
      </xdr:grpSpPr>
      <xdr:sp macro="" textlink="$G$5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3895724" y="1371601"/>
            <a:ext cx="333376" cy="11429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300EBB-2BE6-4904-B7D3-3E87F0FF8C26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H$5">
        <xdr:nvSpPr>
          <xdr:cNvPr id="48" name="Rectangle 47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/>
        </xdr:nvSpPr>
        <xdr:spPr>
          <a:xfrm>
            <a:off x="4210050" y="1343025"/>
            <a:ext cx="361950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EC925-0C9E-4EE7-A81B-AF1E2FA91471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I$5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/>
        </xdr:nvSpPr>
        <xdr:spPr>
          <a:xfrm>
            <a:off x="4114800" y="1333500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8475E1-B6D9-4CE6-AADE-CB81E2839E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J$5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/>
        </xdr:nvSpPr>
        <xdr:spPr>
          <a:xfrm>
            <a:off x="4486275" y="1343025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0D0343-9BD5-4C08-977F-835C94548C5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</xdr:grpSp>
    <xdr:clientData/>
  </xdr:twoCellAnchor>
  <xdr:twoCellAnchor>
    <xdr:from>
      <xdr:col>6</xdr:col>
      <xdr:colOff>352426</xdr:colOff>
      <xdr:row>5</xdr:row>
      <xdr:rowOff>552450</xdr:rowOff>
    </xdr:from>
    <xdr:to>
      <xdr:col>8</xdr:col>
      <xdr:colOff>57150</xdr:colOff>
      <xdr:row>5</xdr:row>
      <xdr:rowOff>723901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4476751" y="3238500"/>
          <a:ext cx="952499" cy="171451"/>
          <a:chOff x="4495801" y="1200150"/>
          <a:chExt cx="952499" cy="171451"/>
        </a:xfrm>
      </xdr:grpSpPr>
      <xdr:sp macro="" textlink="$L$5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/>
        </xdr:nvSpPr>
        <xdr:spPr>
          <a:xfrm>
            <a:off x="5238750" y="1209677"/>
            <a:ext cx="209550" cy="1619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FC19A4-64E4-4935-AC23-27E5BC5B5A1B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4495801" y="1200150"/>
            <a:ext cx="333375" cy="171450"/>
            <a:chOff x="4905376" y="1419225"/>
            <a:chExt cx="333375" cy="171450"/>
          </a:xfrm>
        </xdr:grpSpPr>
        <xdr:sp macro="" textlink="$F$5">
          <xdr:nvSpPr>
            <xdr:cNvPr id="55" name="Rectangle 54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/>
          </xdr:nvSpPr>
          <xdr:spPr>
            <a:xfrm>
              <a:off x="4905376" y="1428750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63CAB7-0B70-41D8-B5A2-CAC2CAB417CE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  <xdr:sp macro="" textlink="$J$5">
          <xdr:nvSpPr>
            <xdr:cNvPr id="62" name="Rectangle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5048251" y="1419225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D0343-9BD5-4C08-977F-835C94548C54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</xdr:grpSp>
    </xdr:grpSp>
    <xdr:clientData/>
  </xdr:twoCellAnchor>
  <xdr:twoCellAnchor>
    <xdr:from>
      <xdr:col>2</xdr:col>
      <xdr:colOff>180975</xdr:colOff>
      <xdr:row>5</xdr:row>
      <xdr:rowOff>66675</xdr:rowOff>
    </xdr:from>
    <xdr:to>
      <xdr:col>2</xdr:col>
      <xdr:colOff>982197</xdr:colOff>
      <xdr:row>5</xdr:row>
      <xdr:rowOff>689328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GrpSpPr/>
      </xdr:nvGrpSpPr>
      <xdr:grpSpPr>
        <a:xfrm>
          <a:off x="1143000" y="2752725"/>
          <a:ext cx="801222" cy="622653"/>
          <a:chOff x="1143001" y="1238250"/>
          <a:chExt cx="801222" cy="622653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114300</xdr:colOff>
      <xdr:row>6</xdr:row>
      <xdr:rowOff>133350</xdr:rowOff>
    </xdr:from>
    <xdr:to>
      <xdr:col>2</xdr:col>
      <xdr:colOff>1115568</xdr:colOff>
      <xdr:row>6</xdr:row>
      <xdr:rowOff>485774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581400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7</xdr:col>
      <xdr:colOff>561975</xdr:colOff>
      <xdr:row>10</xdr:row>
      <xdr:rowOff>323850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496050"/>
          <a:ext cx="1200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12</xdr:row>
      <xdr:rowOff>47625</xdr:rowOff>
    </xdr:from>
    <xdr:to>
      <xdr:col>2</xdr:col>
      <xdr:colOff>1116106</xdr:colOff>
      <xdr:row>12</xdr:row>
      <xdr:rowOff>723900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019175" y="8067675"/>
          <a:ext cx="1058956" cy="676275"/>
          <a:chOff x="1019175" y="8067675"/>
          <a:chExt cx="1058956" cy="676275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0625" y="8562975"/>
            <a:ext cx="7143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0150" y="8372476"/>
            <a:ext cx="714375" cy="16073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9175" y="8067675"/>
            <a:ext cx="1058956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85725</xdr:colOff>
      <xdr:row>9</xdr:row>
      <xdr:rowOff>171450</xdr:rowOff>
    </xdr:from>
    <xdr:to>
      <xdr:col>2</xdr:col>
      <xdr:colOff>1152525</xdr:colOff>
      <xdr:row>9</xdr:row>
      <xdr:rowOff>514350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905500"/>
          <a:ext cx="1066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315220</xdr:colOff>
      <xdr:row>26</xdr:row>
      <xdr:rowOff>76902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1220" cy="5029902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19050</xdr:rowOff>
    </xdr:from>
    <xdr:to>
      <xdr:col>22</xdr:col>
      <xdr:colOff>114987</xdr:colOff>
      <xdr:row>4</xdr:row>
      <xdr:rowOff>76314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19050"/>
          <a:ext cx="4925112" cy="819264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4</xdr:row>
      <xdr:rowOff>28575</xdr:rowOff>
    </xdr:from>
    <xdr:to>
      <xdr:col>24</xdr:col>
      <xdr:colOff>286625</xdr:colOff>
      <xdr:row>31</xdr:row>
      <xdr:rowOff>29293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790575"/>
          <a:ext cx="6268325" cy="5144218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31</xdr:row>
      <xdr:rowOff>19050</xdr:rowOff>
    </xdr:from>
    <xdr:to>
      <xdr:col>23</xdr:col>
      <xdr:colOff>467537</xdr:colOff>
      <xdr:row>47</xdr:row>
      <xdr:rowOff>162370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924550"/>
          <a:ext cx="5820587" cy="31913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</xdr:row>
      <xdr:rowOff>0</xdr:rowOff>
    </xdr:from>
    <xdr:to>
      <xdr:col>13</xdr:col>
      <xdr:colOff>552451</xdr:colOff>
      <xdr:row>48</xdr:row>
      <xdr:rowOff>54517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5143500"/>
          <a:ext cx="8477250" cy="40550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200904</xdr:colOff>
      <xdr:row>10</xdr:row>
      <xdr:rowOff>162213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6904" cy="2067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10</xdr:col>
      <xdr:colOff>105640</xdr:colOff>
      <xdr:row>18</xdr:row>
      <xdr:rowOff>9712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6201640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400872</xdr:colOff>
      <xdr:row>45</xdr:row>
      <xdr:rowOff>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29000"/>
          <a:ext cx="5887272" cy="514421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0</xdr:rowOff>
    </xdr:from>
    <xdr:to>
      <xdr:col>21</xdr:col>
      <xdr:colOff>19927</xdr:colOff>
      <xdr:row>6</xdr:row>
      <xdr:rowOff>66844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4150" y="0"/>
          <a:ext cx="6287377" cy="120984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57150</xdr:rowOff>
    </xdr:from>
    <xdr:to>
      <xdr:col>20</xdr:col>
      <xdr:colOff>219903</xdr:colOff>
      <xdr:row>31</xdr:row>
      <xdr:rowOff>57815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0" y="1200150"/>
          <a:ext cx="5934903" cy="4763165"/>
        </a:xfrm>
        <a:prstGeom prst="rect">
          <a:avLst/>
        </a:prstGeom>
      </xdr:spPr>
    </xdr:pic>
    <xdr:clientData/>
  </xdr:twoCellAnchor>
  <xdr:twoCellAnchor editAs="oneCell">
    <xdr:from>
      <xdr:col>17</xdr:col>
      <xdr:colOff>409575</xdr:colOff>
      <xdr:row>30</xdr:row>
      <xdr:rowOff>114300</xdr:rowOff>
    </xdr:from>
    <xdr:to>
      <xdr:col>28</xdr:col>
      <xdr:colOff>48510</xdr:colOff>
      <xdr:row>54</xdr:row>
      <xdr:rowOff>172096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72775" y="5829300"/>
          <a:ext cx="6344535" cy="46297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17</xdr:col>
      <xdr:colOff>353921</xdr:colOff>
      <xdr:row>71</xdr:row>
      <xdr:rowOff>10218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10717121" cy="49632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1</xdr:row>
      <xdr:rowOff>114343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10</xdr:col>
      <xdr:colOff>467641</xdr:colOff>
      <xdr:row>25</xdr:row>
      <xdr:rowOff>114927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6563641" cy="44964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8</xdr:col>
      <xdr:colOff>562734</xdr:colOff>
      <xdr:row>42</xdr:row>
      <xdr:rowOff>48057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53000"/>
          <a:ext cx="5439534" cy="3096057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0</xdr:row>
      <xdr:rowOff>171450</xdr:rowOff>
    </xdr:from>
    <xdr:to>
      <xdr:col>27</xdr:col>
      <xdr:colOff>544378</xdr:colOff>
      <xdr:row>26</xdr:row>
      <xdr:rowOff>124510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171450"/>
          <a:ext cx="10412278" cy="49060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295175</xdr:colOff>
      <xdr:row>19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171975" cy="367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161925</xdr:rowOff>
    </xdr:from>
    <xdr:to>
      <xdr:col>3</xdr:col>
      <xdr:colOff>409575</xdr:colOff>
      <xdr:row>28</xdr:row>
      <xdr:rowOff>189184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81425"/>
          <a:ext cx="2238375" cy="1741759"/>
        </a:xfrm>
        <a:prstGeom prst="rect">
          <a:avLst/>
        </a:prstGeom>
      </xdr:spPr>
    </xdr:pic>
    <xdr:clientData/>
  </xdr:twoCellAnchor>
  <xdr:twoCellAnchor editAs="oneCell">
    <xdr:from>
      <xdr:col>8</xdr:col>
      <xdr:colOff>318989</xdr:colOff>
      <xdr:row>0</xdr:row>
      <xdr:rowOff>0</xdr:rowOff>
    </xdr:from>
    <xdr:to>
      <xdr:col>22</xdr:col>
      <xdr:colOff>572952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5789" y="0"/>
          <a:ext cx="8788363" cy="4848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19</xdr:row>
      <xdr:rowOff>123825</xdr:rowOff>
    </xdr:to>
    <xdr:pic>
      <xdr:nvPicPr>
        <xdr:cNvPr id="2" name="Picture 1" descr="Sel Elektrolisis - Pengertian, Reaksi, Proses, Susunan Sel, Contoh Soal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006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AR47"/>
  <sheetViews>
    <sheetView showGridLines="0" tabSelected="1" topLeftCell="B1" zoomScale="140" zoomScaleNormal="140" zoomScaleSheetLayoutView="100" workbookViewId="0">
      <selection activeCell="Y25" sqref="Y25"/>
    </sheetView>
  </sheetViews>
  <sheetFormatPr defaultColWidth="9.140625" defaultRowHeight="15" x14ac:dyDescent="0.25"/>
  <cols>
    <col min="1" max="1" width="2.42578125" style="17" customWidth="1"/>
    <col min="2" max="2" width="1.7109375" style="17" customWidth="1"/>
    <col min="3" max="3" width="21.140625" style="18" customWidth="1"/>
    <col min="4" max="4" width="7.7109375" style="18" hidden="1" customWidth="1"/>
    <col min="5" max="5" width="4.7109375" style="18" customWidth="1"/>
    <col min="6" max="6" width="3.140625" style="18" customWidth="1"/>
    <col min="7" max="7" width="15.140625" style="18" customWidth="1"/>
    <col min="8" max="8" width="1.7109375" style="18" customWidth="1"/>
    <col min="9" max="9" width="11.140625" style="18" customWidth="1"/>
    <col min="10" max="10" width="13.5703125" style="18" customWidth="1"/>
    <col min="11" max="11" width="7.85546875" style="18" customWidth="1"/>
    <col min="12" max="12" width="8.140625" style="18" customWidth="1"/>
    <col min="13" max="13" width="7.7109375" style="18" customWidth="1"/>
    <col min="14" max="14" width="0.85546875" style="18" customWidth="1"/>
    <col min="15" max="15" width="2.7109375" style="18" customWidth="1"/>
    <col min="16" max="16" width="10.7109375" style="18" customWidth="1"/>
    <col min="17" max="17" width="5.7109375" style="18" customWidth="1"/>
    <col min="18" max="19" width="10.7109375" style="18" customWidth="1"/>
    <col min="20" max="20" width="10.85546875" style="18" customWidth="1"/>
    <col min="21" max="23" width="10.7109375" style="18" customWidth="1"/>
    <col min="24" max="24" width="2.7109375" style="18" customWidth="1"/>
    <col min="25" max="25" width="4.140625" style="86" customWidth="1"/>
    <col min="26" max="26" width="8.5703125" style="18" customWidth="1"/>
    <col min="27" max="27" width="6.85546875" style="18" customWidth="1"/>
    <col min="28" max="28" width="4.28515625" style="18" customWidth="1"/>
    <col min="29" max="29" width="10.28515625" style="18" customWidth="1"/>
    <col min="30" max="30" width="22" style="18" customWidth="1"/>
    <col min="31" max="31" width="8.85546875" style="86" customWidth="1"/>
    <col min="32" max="32" width="11.28515625" style="18" customWidth="1"/>
    <col min="33" max="33" width="11" style="18" customWidth="1"/>
    <col min="34" max="34" width="8.42578125" style="18" customWidth="1"/>
    <col min="35" max="35" width="9.140625" style="18" customWidth="1"/>
    <col min="36" max="36" width="8.5703125" style="18" customWidth="1"/>
    <col min="37" max="37" width="7.5703125" style="18" customWidth="1"/>
    <col min="38" max="38" width="7" style="18" customWidth="1"/>
    <col min="39" max="39" width="9.140625" style="18"/>
    <col min="40" max="40" width="11.28515625" style="18" bestFit="1" customWidth="1"/>
    <col min="41" max="41" width="9.140625" style="18"/>
    <col min="42" max="42" width="6.5703125" style="18" customWidth="1"/>
    <col min="43" max="43" width="6" style="18" customWidth="1"/>
    <col min="44" max="16384" width="9.140625" style="18"/>
  </cols>
  <sheetData>
    <row r="1" spans="1:44" ht="5.0999999999999996" customHeight="1" thickBot="1" x14ac:dyDescent="0.3">
      <c r="Y1" s="29"/>
    </row>
    <row r="2" spans="1:44" ht="15.75" thickBot="1" x14ac:dyDescent="0.3">
      <c r="A2" s="366">
        <f>M7</f>
        <v>5</v>
      </c>
      <c r="C2" s="144" t="s">
        <v>12</v>
      </c>
      <c r="D2" s="86"/>
      <c r="E2" s="386"/>
      <c r="F2" s="20"/>
      <c r="G2" s="21"/>
      <c r="H2" s="21"/>
      <c r="I2" s="269"/>
      <c r="J2" s="21"/>
      <c r="K2" s="21"/>
      <c r="L2" s="21"/>
      <c r="M2" s="21"/>
      <c r="N2" s="21"/>
      <c r="O2" s="21" t="s">
        <v>12</v>
      </c>
      <c r="P2" s="82" t="s">
        <v>12</v>
      </c>
      <c r="Q2" s="82"/>
      <c r="R2" s="21"/>
      <c r="S2" s="21"/>
      <c r="T2" s="21"/>
      <c r="U2" s="21"/>
      <c r="V2" s="21"/>
      <c r="W2" s="21"/>
      <c r="X2" s="22"/>
      <c r="Y2" s="251"/>
      <c r="Z2" s="19" t="s">
        <v>12</v>
      </c>
      <c r="AH2" s="17"/>
      <c r="AI2" s="17"/>
    </row>
    <row r="3" spans="1:44" ht="19.5" thickBot="1" x14ac:dyDescent="0.3">
      <c r="A3" s="103"/>
      <c r="C3" s="131"/>
      <c r="D3" s="103" t="s">
        <v>12</v>
      </c>
      <c r="E3" s="387"/>
      <c r="F3" s="24"/>
      <c r="G3" s="25"/>
      <c r="H3" s="25"/>
      <c r="I3" s="270" t="str">
        <f>IF($W$14=1,"A","")</f>
        <v/>
      </c>
      <c r="J3" s="26">
        <f>D9-1</f>
        <v>1</v>
      </c>
      <c r="K3" s="25"/>
      <c r="L3" s="25"/>
      <c r="M3" s="27">
        <f>J3</f>
        <v>1</v>
      </c>
      <c r="N3" s="25"/>
      <c r="O3" s="391" t="str">
        <f>IFERROR(IF(OR($W$14=2,$W$14=0,$E$9=0,$M$7=0,$M$7=""),"PROGRAM APLIKASI ELEKTROLISIS",IF(AND($E$9&gt;0,$M$5=1,$M$6=3),"Elektrolisis Air",IF(AND($M$5=1,$M$6&lt;&gt;3),"Elektrolisis Larutan"&amp;" "&amp;VLOOKUP($M$7,REAKSI!B2:C172,2),IF($M$5=2,"Elektrolisis Lelehan"&amp;" "&amp;VLOOKUP($M$7,REAKSI!$B$2:$C$171,2))))),"")</f>
        <v>PROGRAM APLIKASI ELEKTROLISIS</v>
      </c>
      <c r="P3" s="392"/>
      <c r="Q3" s="392"/>
      <c r="R3" s="392"/>
      <c r="S3" s="392"/>
      <c r="T3" s="392"/>
      <c r="U3" s="392"/>
      <c r="V3" s="392"/>
      <c r="W3" s="393"/>
      <c r="X3" s="28"/>
      <c r="Y3" s="252"/>
      <c r="Z3" s="19"/>
      <c r="AB3" s="29">
        <v>0</v>
      </c>
      <c r="AC3" s="29"/>
      <c r="AD3" s="29"/>
      <c r="AE3" s="29"/>
      <c r="AG3" s="18" t="s">
        <v>12</v>
      </c>
      <c r="AK3" s="279"/>
      <c r="AN3" s="326" t="s">
        <v>23</v>
      </c>
      <c r="AO3" s="327" t="s">
        <v>24</v>
      </c>
    </row>
    <row r="4" spans="1:44" ht="18" customHeight="1" thickBot="1" x14ac:dyDescent="0.3">
      <c r="A4" s="87" t="str">
        <f>IF(AND($D$9=1,$E$8=7,$W$14=1,(D9-1)*(J4-1)*(D11-1)*(D10-1)=0,OR(R20=TRUE,R22=TRUE,R23=TRUE,Q24=TRUE)),"→",IF(AND($D$9=1,$E$8=8,$AC$22=1,(D9-1)*(J4-1)*(D11-1)*(D10-1)=0,OR(G23=TRUE,G21=TRUE,G20=TRUE,K22=TRUE,K20=TRUE,G22=TRUE,K21=TRUE,K23=TRUE)),"→",""))</f>
        <v/>
      </c>
      <c r="C4" s="131"/>
      <c r="D4" s="103">
        <f>L7</f>
        <v>5</v>
      </c>
      <c r="E4" s="387"/>
      <c r="F4" s="24"/>
      <c r="G4" s="30" t="s">
        <v>12</v>
      </c>
      <c r="H4" s="25"/>
      <c r="I4" s="270" t="str">
        <f>IF($W$14=1,"B","")</f>
        <v/>
      </c>
      <c r="J4" s="26">
        <v>2</v>
      </c>
      <c r="K4" s="25"/>
      <c r="L4" s="25"/>
      <c r="M4" s="27">
        <f>J4</f>
        <v>2</v>
      </c>
      <c r="N4" s="25"/>
      <c r="O4" s="24"/>
      <c r="P4" s="25"/>
      <c r="Q4" s="25"/>
      <c r="R4" s="25"/>
      <c r="S4" s="25"/>
      <c r="T4" s="25"/>
      <c r="U4" s="25"/>
      <c r="V4" s="25"/>
      <c r="W4" s="28"/>
      <c r="X4" s="28"/>
      <c r="Y4" s="251"/>
      <c r="Z4" s="19"/>
      <c r="AC4" s="272" t="str">
        <f>IF($E$8=5,"Elektrolit","")</f>
        <v/>
      </c>
      <c r="AD4" s="314" t="str">
        <f>IF(AND($W$14=1,$E$8&gt;=7,$M$7&lt;&gt;3,$M$7&lt;&gt;21,$M$7&lt;&gt;168),"IONISASI:",IF(AND($W$14=1,$E$8&gt;=1,OR($M$7=3,$M$7=21,$M$7=168)),"MOLEKUL :",""))</f>
        <v/>
      </c>
      <c r="AE4" s="310">
        <f>IF(AND($E$10&gt;=10,$G$20=TRUE),IF(OR(M7=7,M7=8,M7=9,M7=10,M7=11,M7=12,M7=13,M7=14,M7=15,M7=16,M7=17,M7=18,M7=25,M7=26,M7=27,M7=28,M7=29,M7=30,M7=31,M7=32,M7=33,M7=34,M7=35,M7=36,M7=60,M7=61,M7=62,M7=63,M7=64,M7=65,M7=66,M7=67,M7=68,M7=69,M7=70,M7=71,M7=72,M7=73,M7=74,M7=75,M7=76,M7=77,M7=102,M7=103,M7=104,M7=105,M7=106,M7=107,M7=108,M7=109,M7=110,M7=111,M7=112,M7=113,M7=114,M7=115,M7=116,M7=118,M7=154,M7=155,M7=156,M7=157,M7=158,M7=159,M7=160,M7=161,M7=162,M7=163,M7=164,M7=165,M7=166,M7=167),1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2,0)),0)</f>
        <v>0</v>
      </c>
      <c r="AF4" s="338" t="str">
        <f>IF($E$8&gt;=7,"C","")</f>
        <v/>
      </c>
      <c r="AG4" s="279"/>
      <c r="AH4" s="284"/>
      <c r="AI4" s="344"/>
      <c r="AJ4" s="345"/>
      <c r="AK4" s="280" t="str">
        <f>IF(OR($W$14=2,$E$8&lt;7),"","C")</f>
        <v/>
      </c>
      <c r="AL4" s="328" t="s">
        <v>15</v>
      </c>
      <c r="AM4" s="322">
        <v>0</v>
      </c>
      <c r="AN4" s="333" t="str">
        <f>IF(AND($W$14=1,$E$8&gt;=7,$R$22=TRUE,OR(L7=1,L7=7,L7=10,L7=11,L7=12,L7=13,L7=28,L7=29,L7=30,L7=31)),"o",IF(AND($W$14=1,$E$8&gt;=7,$R$22=TRUE,OR(M7=4,M7=38,M7=62)),"*",""))</f>
        <v/>
      </c>
      <c r="AO4" s="123"/>
      <c r="AP4" s="18" t="s">
        <v>12</v>
      </c>
    </row>
    <row r="5" spans="1:44" ht="18" customHeight="1" thickBot="1" x14ac:dyDescent="0.3">
      <c r="A5" s="87" t="str">
        <f>IF(AND($J$4=1,$E$8=7,$W$14=1,(D9-1)*(J4-1)*(D11-1)*(D10-1)=0,OR(R20=TRUE,R22=TRUE,R23=TRUE,Q24=TRUE)),"→",IF(AND($J$4=1,$E$8=8,$AC$22=1,(D9-1)*(J4-1)*(D11-1)*(D10-1)=0,OR(G23=TRUE,G21=TRUE,G20=TRUE,K22=TRUE,K20=TRUE,G22=TRUE,K21=TRUE,K23=TRUE)),"→",""))</f>
        <v/>
      </c>
      <c r="C5" s="131"/>
      <c r="D5" s="103">
        <f>IF(AND(Q12&lt;=0.2,OR(D6=7,D6=37,D6=42,D6=44,D6=45,D6=46,D6=47,D6=60,D6=61,D6=62,D6=63,D6=64,D6=65)),3,0)</f>
        <v>0</v>
      </c>
      <c r="E5" s="404" t="s">
        <v>12</v>
      </c>
      <c r="F5" s="24"/>
      <c r="G5" s="25" t="s">
        <v>12</v>
      </c>
      <c r="H5" s="25"/>
      <c r="I5" s="270" t="str">
        <f>IF($W$14=1,"C","")</f>
        <v/>
      </c>
      <c r="J5" s="26">
        <f>D11-1</f>
        <v>1</v>
      </c>
      <c r="K5" s="25"/>
      <c r="L5" s="25"/>
      <c r="M5" s="27">
        <f>J5</f>
        <v>1</v>
      </c>
      <c r="N5" s="25"/>
      <c r="O5" s="24"/>
      <c r="P5" s="25"/>
      <c r="Q5" s="25"/>
      <c r="R5" s="25"/>
      <c r="S5" s="25"/>
      <c r="T5" s="25"/>
      <c r="U5" s="25"/>
      <c r="V5" s="25"/>
      <c r="W5" s="28"/>
      <c r="X5" s="28"/>
      <c r="Y5" s="251"/>
      <c r="Z5" s="19"/>
      <c r="AC5" s="273" t="str">
        <f>IF($E$8=5,"Kabel","")</f>
        <v/>
      </c>
      <c r="AD5" s="315" t="str">
        <f>IF(OR($W$14&lt;&gt;1,$E$8&lt;7),"","KATODA"&amp;" "&amp;"("&amp;$AC$20&amp;"):")</f>
        <v/>
      </c>
      <c r="AE5" s="294">
        <f>IF(AND($E$10&gt;=11,$G$21=TRUE),IF(OR(M7=1,M7=2,M7=3,M7=5,M7=6,M7=7,M7=8,M7=9,M7=10,M7=11,M7=12,M7=13,M7=14,M7=15,M7=16,M7=17,M7=18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3,IF(OR(M7=4,M7=41),4,IF(OR(M7=19,M7=20,M7=21,M7=22,M7=23,M7=24,M7=25,M7=26,M7=27,M7=78,M7=79,M7=80,M7=81,M7=83,M7=84,M7=85,M7=86,M7=87,M7=88,M7=89,M7=90,M7=91,M7=92,M7=93,M7=94,M7=95,M7=96,M7=97,M7=98,M7=99,M7=100,M7=101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5,0))),0)</f>
        <v>0</v>
      </c>
      <c r="AF5" s="339" t="str">
        <f>IF($E$8&gt;=7,"Cu","")</f>
        <v/>
      </c>
      <c r="AG5" s="282" t="str">
        <f>IF(AND($W$14=1,$E$8&gt;=7),"LARUTAN","")</f>
        <v/>
      </c>
      <c r="AH5" s="282" t="str">
        <f>IF(AND($W$14=1,$E$8&gt;=7),IF($M$5=0,AI5,IF($M$5=1,AI5,IF($M$5=2,AJ5))),"")</f>
        <v/>
      </c>
      <c r="AI5" s="158" t="str">
        <f>IF($C$11=1,"HF",IF($C$11=2,"HCl",IF($C$11=3,"HBr",IF($C$11=4,"HI",""))))</f>
        <v>HF</v>
      </c>
      <c r="AJ5" s="158" t="s">
        <v>8</v>
      </c>
      <c r="AK5" s="280" t="str">
        <f>IF(OR($W$14=2,$E$8&lt;7),"","Cu")</f>
        <v/>
      </c>
      <c r="AL5" s="307" t="s">
        <v>18</v>
      </c>
      <c r="AM5" s="323" t="s">
        <v>26</v>
      </c>
      <c r="AN5" s="30" t="s">
        <v>12</v>
      </c>
      <c r="AO5" s="335" t="str">
        <f>IF(AND(W14=1,$E$8&gt;=7),IF(R23=TRUE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,M7=169,M7=170),"O",""),""),"")</f>
        <v/>
      </c>
      <c r="AQ5" s="126"/>
      <c r="AR5" s="127"/>
    </row>
    <row r="6" spans="1:44" ht="18" customHeight="1" thickBot="1" x14ac:dyDescent="0.4">
      <c r="A6" s="87" t="str">
        <f>IF(AND($D$11=1,$E$8=7,$W$14=1,(D9-1)*(J4-1)*(D11-1)*(D10-1)=0,OR(R20=TRUE,R22=TRUE,R23=TRUE,Q24=TRUE)),"→",IF(AND($D$11=1,$E$8=8,$AC$22=1,(D9-1)*(J4-1)*(D11-1)*(D10-1)=0,OR(G23=TRUE,G21=TRUE,G20=TRUE,K22=TRUE,K20=TRUE,G22=TRUE,K21=TRUE,K23=TRUE)),"→",""))</f>
        <v/>
      </c>
      <c r="C6" s="131"/>
      <c r="D6" s="134">
        <f>IF($E$8&gt;=7,IF(AND($J$3=1,$J$5=1,$J$6=1,$C$11=2),37,IF(AND($J$3=1,$J$5=1,$J$6=1,$C$11=3),38,IF(AND($J$3=1,$J$5=1,$J$6=2,$C$11=2),39,IF(AND($J$3=1,$J$5=1,$J$6=2,$C$11=3),40,IF(AND(J3=1,J5=1,J6=1,C11=4),41,IF(AND(J3=1,J5=1,J6=4,C11=2),42,IF(AND(J3=1,J5=1,J6=4,C11=3),43,IF(AND(J3=1,J5=1,J6=4,C11=4),44,IF(AND(J3=1,J5=1,J6=4,C11=5),45,IF(AND(J3=1,J5=1,J6=4,C11=6),46,IF(AND(J3=1,J5=1,J6=4,C11=7),47,IF(AND(J3=1,J5=1,J6=5,C11=2),48,IF(AND(J3=1,J5=1,J6=5,C11=3),49,IF(AND(J3=1,J5=1,J6=5,C11=4),50,IF(AND(J3=1,J5=1,J6=5,C11=5),51,IF(AND(J3=1,J5=1,J6=5,C11=6),52,IF(AND(J3=1,J5=1,J6=5,C11=7),53,IF(AND(J3=1,J5=1,J6=6,C11=2),54,IF(AND(J3=1,J5=1,J6=6,C11=3),55,IF(AND(J3=1,J5=1,J6=6,C11=4),56,IF(AND(J3=1,J5=1,J6=6,C11=5),57,IF(AND(J3=1,J5=1,J6=6,C11=6),58,IF(AND(J3=1,J5=1,J6=6,C11=7),59,IF(AND(J3=1,J5=1,J6=7,C11=2),60,IF(AND(J3=1,J5=1,J6=7,C11=3),61,IF(AND(J3=1,J5=1,J6=7,C11=4),62,IF(AND(J3=1,J5=1,J6=7,C11=5),63,IF(AND(J3=1,J5=1,J6=7,C11=6),64,IF(AND(J3=1,J5=1,J6=7,C11=7),65,IF(AND(J3=1,J5=1,J6=8,C11=2),66,IF(AND(J3=1,J5=1,J6=8,C11=3),67,IF(AND(J3=1,J5=1,J6=8,C11=4),68,IF(AND(J3=1,J5=1,J6=8,C11=5),69,IF(AND(J3=1,J5=1,J6=8,C11=6),70,IF(AND(J3=1,J5=1,J6=8,C11=7),71,IF(AND(J3=1,J5=1,J6=9,C11=2),72,IF(AND(J3=1,J5=1,J6=9,C11=3),73,IF(AND(J3=1,J5=1,J6=9,C11=4),74,IF(AND(J3=1,J5=1,J6=9,C11=5),75,IF(AND(J3=1,J5=1,J6=9,C11=6),76,IF(AND(J3=1,J5=1,J6=9,C11=7),77,IF(AND(J3=2,J5=1,J6=1,C11=4),170,IF(AND(J3=3,J5=1,J6=1,C11=4),169,L7))))))))))))))))))))))))))))))))))))))))))),0)</f>
        <v>0</v>
      </c>
      <c r="E6" s="404"/>
      <c r="F6" s="24"/>
      <c r="G6" s="25"/>
      <c r="H6" s="25"/>
      <c r="I6" s="270" t="str">
        <f>IF($W$14=1,"D","")</f>
        <v/>
      </c>
      <c r="J6" s="26">
        <f>D10-1</f>
        <v>5</v>
      </c>
      <c r="K6" s="25"/>
      <c r="L6" s="25"/>
      <c r="M6" s="27">
        <f>J6</f>
        <v>5</v>
      </c>
      <c r="N6" s="25"/>
      <c r="O6" s="24"/>
      <c r="P6" s="25"/>
      <c r="Q6" s="25"/>
      <c r="R6" s="25"/>
      <c r="S6" s="25"/>
      <c r="T6" s="25"/>
      <c r="U6" s="25"/>
      <c r="V6" s="25"/>
      <c r="W6" s="28"/>
      <c r="X6" s="28"/>
      <c r="Y6" s="251"/>
      <c r="Z6" s="19"/>
      <c r="AC6" s="273" t="str">
        <f>IF($E$8=5,"Baterai 12V 40AH","")</f>
        <v/>
      </c>
      <c r="AD6" s="315" t="str">
        <f>IF(OR($W$14&lt;&gt;1,$E$8&lt;7),"","ANODA"&amp;" "&amp;"("&amp;$AC$19&amp;"):")</f>
        <v/>
      </c>
      <c r="AE6" s="295">
        <f>IF(AND($E$10=12,$G$22=TRUE),6,0)</f>
        <v>0</v>
      </c>
      <c r="AF6" s="334" t="str">
        <f>IF($D$10=1,"",IF($D$10=2,AH5,IF($D$10=3,AH6,IF($D$10=4,AH7,IF($D$10=5,AH8,IF($D$10=6,AH9,IF($D$10=7,AH10,IF($D$10=8,AH11,IF($D$10=9,AH12,IF($D$10=10,AH13))))))))))</f>
        <v/>
      </c>
      <c r="AG6" s="283" t="str">
        <f>IF(AND($W$14=1,$E$8&gt;=7),"LELEHAN","")</f>
        <v/>
      </c>
      <c r="AH6" s="282" t="str">
        <f t="shared" ref="AH6:AH13" si="0">IF(AND($W$14=1,$E$8&gt;=7),IF($M$5=0,AI6,IF($M$5=1,AI6,IF($M$5=2,AJ6))),"")</f>
        <v/>
      </c>
      <c r="AI6" s="158" t="str">
        <f>IF($C$11=1,"H₂SO₄",IF($C$11=2,"HNO₃",IF($C$11=3,"H₃PO₄","")))</f>
        <v>H₂SO₄</v>
      </c>
      <c r="AJ6" s="158" t="s">
        <v>678</v>
      </c>
      <c r="AK6" s="280" t="str">
        <f>IF(OR($W$14=2,$E$8&lt;7),"","Ag")</f>
        <v/>
      </c>
      <c r="AL6" s="307" t="s">
        <v>16</v>
      </c>
      <c r="AM6" s="324">
        <v>0</v>
      </c>
      <c r="AN6" s="170" t="str">
        <f>IF(AND($W$14=1,$E$8&gt;=7),IF($R$22=TRUE,IF(OR(M7=2,M7=3,M7=5,M7=6,M7=8,M7=9,M7=14,M7=15,M7=16,M7=17,M7=18,M7=33,M7=34,M7=35,M7=36,M7=39,M7=40,M7=42,M7=43,M7=44,M7=45,M7=46,M7=47,M7=48,M7=49,M7=50,M7=51,M7=52,M7=53,M7=54,M7=55,M7=56,M7=57,M7=58,M7=59,M7=66,M7=67,M7=68,M7=69,M7=70,M7=71,M7=72,M7=73,M7=74,M7=75,M7=76,M7=77),"o",""),""),"")</f>
        <v/>
      </c>
      <c r="AO6" s="335" t="str">
        <f>IF(AND(W14=1,$E$8&gt;=7),IF(R23=TRUE,IF(OR(M7=21,M7=168),"O",""),""),"")</f>
        <v/>
      </c>
      <c r="AQ6" s="388" t="s">
        <v>12</v>
      </c>
    </row>
    <row r="7" spans="1:44" ht="18" customHeight="1" thickBot="1" x14ac:dyDescent="0.3">
      <c r="A7" s="87" t="str">
        <f>IF(AND($D$10=1,$E$8=7,$W$14=1,(D9-1)*(J4-1)*(D11-1)*(D10-1)=0,OR(R20=TRUE,R22=TRUE,R23=TRUE,Q24=TRUE)),"→",IF(AND($D$10=1,$E$8=8,$AC$22=1,(D9-1)*(J4-1)*(D11-1)*(D10-1)=0,OR(G23=TRUE,G21=TRUE,G20=TRUE,K22=TRUE,K20=TRUE,G22=TRUE,K21=TRUE,K23=TRUE)),"→",""))</f>
        <v/>
      </c>
      <c r="C7" s="131"/>
      <c r="D7" s="134">
        <f>IF(AND(J3=2,J5=1,J6=1,C11=2),78,IF(AND(J3=2,J5=1,J6=1,C11=3),79,IF(AND(J3=2,J5=1,J6=2,C11=2),80,IF(AND(J3=2,J5=1,J6=2,C11=3),81,IF(AND(J3=2,J5=1,J6=2,C11=4),82,IF(AND(J3=2,J5=1,J6=4,C11=2),83,IF(AND(J3=2,J5=1,J6=4,C11=3),84,IF(AND(J3=2,J5=1,J6=4,C11=4),85,IF(AND(J3=2,J5=1,J6=4,C11=5),86,IF(AND(J3=2,J5=1,J6=4,C11=6),87,IF(AND(J3=2,J5=1,J6=4,C11=7),88,IF(AND(J3=2,J5=1,J6=5,C11=2),89,IF(AND(J3=2,J5=1,J6=5,C11=3),90,IF(AND(J3=2,J5=1,J6=5,C11=4),91,IF(AND(J3=2,J5=1,J6=5,C11=5),92,IF(AND(J3=2,J5=1,J6=5,C11=6),93,IF(AND(J3=2,J5=1,J6=5,C11=7),94,IF(AND(J3=2,J5=1,J6=6,C11=2),95,IF(AND(J3=2,J5=1,J6=6,C11=3),96,IF(AND(J3=2,J5=1,J6=6,C11=4),97,IF(AND(J3=2,J5=1,J6=6,C11=5),98,IF(AND(J3=2,J5=1,J6=6,C11=6),99,IF(AND(J3=2,J5=1,J6=6,C11=7),100,IF(AND(J3=2,J5=1,J6=7,C11=2),101,IF(AND(J3=2,J5=1,J6=7,C11=3),102,IF(AND(J3=2,J5=1,J6=7,C11=4),103,IF(AND(J3=2,J5=1,J6=7,C11=5),104,IF(AND(J3=2,J5=1,J6=7,C11=6),105,IF(AND(J3=2,J5=1,J6=7,C11=7),106,IF(AND(J3=2,J5=1,J6=8,C11=2),107,IF(AND(J3=2,J5=1,J6=8,C11=3),108,IF(AND(J3=2,J5=1,J6=8,C11=4),109,IF(AND(J3=2,J5=1,J6=8,C11=5),110,IF(AND(J3=2,J5=1,J6=8,C11=6),111,IF(AND(J3=2,J5=1,J6=8,C11=7),112,IF(AND(J3=2,J5=1,J6=9,C11=2),113,IF(AND(J3=2,J5=1,J6=9,C11=3),114,IF(AND(J3=2,J5=1,J6=9,C11=4),115,IF(AND(J3=2,J5=1,J6=9,C11=5),116,IF(AND(J3=2,J5=1,J6=9,C11=6),117,IF(AND(J3=2,J5=1,J6=9,C11=7),118,L7)))))))))))))))))))))))))))))))))))))))))</f>
        <v>5</v>
      </c>
      <c r="E7" s="405"/>
      <c r="F7" s="24"/>
      <c r="G7" s="25"/>
      <c r="H7" s="25"/>
      <c r="I7" s="25"/>
      <c r="J7" s="25"/>
      <c r="K7" s="31"/>
      <c r="L7" s="30">
        <f>(M6+9*M5+9*2*M3)-27</f>
        <v>5</v>
      </c>
      <c r="M7" s="146">
        <f>IF(AND(MAX(D6:D8)&gt;=0,Q12&gt;=0.2),MAX(D6:D8),IF(AND(MAX(D6:D8)&gt;=0,Q12&lt;0.2,D5=3),3))</f>
        <v>5</v>
      </c>
      <c r="N7" s="30"/>
      <c r="O7" s="32"/>
      <c r="P7" s="25"/>
      <c r="Q7" s="25"/>
      <c r="R7" s="25"/>
      <c r="S7" s="25"/>
      <c r="T7" s="25"/>
      <c r="U7" s="25"/>
      <c r="V7" s="25"/>
      <c r="W7" s="28"/>
      <c r="X7" s="28"/>
      <c r="Y7" s="251"/>
      <c r="Z7" s="19"/>
      <c r="AB7" s="86" t="s">
        <v>12</v>
      </c>
      <c r="AC7" s="273" t="str">
        <f>IF($E$8=5,"Elektroda 1","")</f>
        <v/>
      </c>
      <c r="AD7" s="315" t="str">
        <f>IF(OR($W$14&lt;&gt;1,$E$8&lt;7),"","REAKSI:")</f>
        <v/>
      </c>
      <c r="AE7" s="295">
        <f>IF(AND($E$10=13,$G$22=TRUE),7,0)</f>
        <v>0</v>
      </c>
      <c r="AG7" s="340" t="s">
        <v>12</v>
      </c>
      <c r="AH7" s="282" t="str">
        <f t="shared" si="0"/>
        <v/>
      </c>
      <c r="AI7" s="158" t="s">
        <v>677</v>
      </c>
      <c r="AJ7" s="158" t="s">
        <v>681</v>
      </c>
      <c r="AK7" s="280" t="str">
        <f>IF(OR($W$14=2,$E$8&lt;7),"","Fe")</f>
        <v/>
      </c>
      <c r="AL7" s="307" t="s">
        <v>17</v>
      </c>
      <c r="AM7" s="34" t="s">
        <v>21</v>
      </c>
      <c r="AN7" s="170" t="str">
        <f>IF(AND($W$14=1,$E$8&gt;=7),IF($R$22=TRUE,IF(OR(M7=19,M7=20,M7=21,M7=22,M7=23,M7=24,M7=25,M7=26,M7=27,M7=78,M7=79,M7=80,M7=81,M7=82,M7=83,M7=84,M7=85,M7=86,M7=87,M7=88,,M7=89,M7=90,M7=91,M7=92,M7=93,M7=94,M7=95,M7=96,M7=97,M7=98,M7=99,M7=100,,M7=101,M7=102,M7=103,M7=104,M7=105,M7=106,M7=107,M7=108,M7=109,M7=110,M7=111,M7=112,M7=113,M7=114,M7=115,M7=116,M7=117,M7=118,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,M7=169,M7=170),"+",""),""),"")</f>
        <v/>
      </c>
      <c r="AO7" s="124"/>
      <c r="AQ7" s="388"/>
    </row>
    <row r="8" spans="1:44" ht="15.75" thickBot="1" x14ac:dyDescent="0.3">
      <c r="A8" s="98"/>
      <c r="C8" s="131"/>
      <c r="D8" s="134">
        <f>IF(AND(J3=3,J5=1,J6=1,C11=1),119,IF(AND(J3=3,J5=1,J6=1,C11=2),120,IF(AND(J3=3,J5=1,J6=1,C11=3),121,IF(AND(J3=3,J5=1,J6=2,C11=1),122,IF(AND(J3=3,J5=1,J6=2,C11=2),123,IF(AND(J3=3,J5=1,J6=2,C11=3),124,IF(AND(J3=3,J5=1,J6=2,C11=4),125,IF(AND(J3=3,J5=1,J6=4,C11=1),126,IF(AND(J3=3,J5=1,J6=4,C11=2),127,IF(AND(J3=3,J5=1,J6=4,C11=3),128,IF(AND(J3=3,J5=1,J6=4,C11=4),129,IF(AND(J3=3,J5=1,J6=4,C11=5),130,IF(AND(J3=3,J5=1,J6=4,C11=6),131,IF(AND(J3=3,J5=1,J6=4,C11=7),132,IF(AND(J3=3,J5=1,J6=5,C11=1),133,IF(AND(J3=3,J5=1,J6=5,C11=2),134,IF(AND(J3=3,J5=1,J6=5,C11=3),135,IF(AND(J3=3,J5=1,J6=5,C11=4),136,IF(AND(J3=3,J5=1,J6=5,C11=5),137,IF(AND(J3=3,J5=1,J6=5,C11=6),138,IF(AND(J3=3,J5=1,J6=5,C11=7),139,IF(AND(J3=3,J5=1,J6=6,C11=1),140,IF(AND(J3=3,J5=1,J6=6,C11=2),141,IF(AND(J3=3,J5=1,J6=6,C11=3),142,IF(AND(J3=3,J5=1,J6=6,C11=4),143,IF(AND(J3=3,J5=1,J6=6,C11=5),144,IF(AND(J3=3,J5=1,J6=6,C11=6),145,IF(AND(J3=3,J5=1,J6=6,C11=7),146,IF(AND(J3=3,J5=1,J6=7,C11=1),147,IF(AND(J3=3,J5=1,J6=7,C11=2),148,IF(AND(J3=3,J5=1,J6=7,C11=3),149,IF(AND(J3=3,J5=1,J6=7,C11=4),150,IF(AND(J3=3,J5=1,J6=7,C11=5),151,IF(AND(J3=3,J5=1,J6=7,C11=6),152,IF(AND(J3=3,J5=1,J6=7,C11=7),153,IF(AND(J3=3,J5=1,J6=8,C11=1),154,IF(AND(J3=3,J5=1,J6=8,C11=2),155,IF(AND(J3=3,J5=1,J6=8,C11=3),156,IF(AND(J3=3,J5=1,J6=8,C11=4),157,IF(AND(J3=3,J5=1,J6=8,C11=5),158,IF(AND(J3=3,J5=1,J6=8,C11=6),159,IF(AND(J3=3,J5=1,J6=8,C11=7),160,IF(AND(J3=3,J5=1,J6=9,C11=1),161,IF(AND(J3=3,J5=1,J6=9,C11=2),162,IF(AND(J3=3,J5=1,J6=9,C11=3),163,IF(AND(J3=3,J5=1,J6=9,C11=4),164,IF(AND(J3=3,J5=1,J6=9,C11=5),165,IF(AND(J3=3,J5=1,J6=9,C11=6),166,IF(AND(J3=3,J5=1,J6=9,C11=7),167,IF(AND(J3=3,J5=1,J6=3,C11&gt;=1),168,L7))))))))))))))))))))))))))))))))))))))))))))))))))</f>
        <v>5</v>
      </c>
      <c r="E8" s="61">
        <f>IF(E9=9,0,IF(E9&gt;=10,8,E9))</f>
        <v>0</v>
      </c>
      <c r="F8" s="24"/>
      <c r="G8" s="406" t="str">
        <f>IF(E8=1,"1) Standar Kompetensi",IF(E8=2,"2) Kompetensi Dasar",IF(E8=3,"3) Indikator",IF(E8=4,"4) Tujuan Eksperimen",IF(E8=5,"5) Alat &amp; Bahan",IF(E8=6,"6) Prosedur Kerja di Laboratorium",IF(E8=7,"7) Prosedur Kerja Program Aplikasi Elektrolisis",IF(E8=8,"8) Stoikiometri",""))))))))</f>
        <v/>
      </c>
      <c r="H8" s="406"/>
      <c r="I8" s="406"/>
      <c r="J8" s="406"/>
      <c r="K8" s="406"/>
      <c r="L8" s="406"/>
      <c r="M8" s="25"/>
      <c r="N8" s="30"/>
      <c r="O8" s="32"/>
      <c r="P8" s="25"/>
      <c r="Q8" s="25"/>
      <c r="R8" s="25"/>
      <c r="S8" s="25"/>
      <c r="T8" s="25"/>
      <c r="U8" s="25"/>
      <c r="V8" s="25"/>
      <c r="W8" s="28"/>
      <c r="X8" s="28"/>
      <c r="Y8" s="253"/>
      <c r="Z8" s="19"/>
      <c r="AC8" s="273" t="str">
        <f>IF($E$8=5,"Elektroda 2","")</f>
        <v/>
      </c>
      <c r="AD8" s="316" t="str">
        <f>IF(AND($W$14=1,$E$8&gt;=7,$R$23=TRUE,$J$5=1,$M$7&lt;&gt;3,$M$7&lt;&gt;21,$M$7&lt;&gt;168),"Persaingan Reduksi Ion","")</f>
        <v/>
      </c>
      <c r="AE8" s="295">
        <f>IF(AND($E$10&gt;=14,$K$20=TRUE),8,0)</f>
        <v>0</v>
      </c>
      <c r="AG8" s="341" t="str">
        <f>IF(OR($W$14=2,$E$8&lt;7),"","C")</f>
        <v/>
      </c>
      <c r="AH8" s="282" t="str">
        <f t="shared" si="0"/>
        <v/>
      </c>
      <c r="AI8" s="158" t="str">
        <f>IF($C$11=1,"KI",IF($C$11=2,"KCl",IF($C$11=3,"NaBr",IF($C$11=4,"NaCl",IF($C$11=5,"CaCl₂",IF($C$11=6,"AlCl₃",IF($C$11=7,"MnCl₂")))))))</f>
        <v>KI</v>
      </c>
      <c r="AJ8" s="158" t="s">
        <v>679</v>
      </c>
      <c r="AK8" s="280" t="str">
        <f>IF(OR($W$14=2,$E$8&lt;7),"","Co")</f>
        <v/>
      </c>
      <c r="AL8" s="303" t="s">
        <v>20</v>
      </c>
      <c r="AM8" s="325" t="s">
        <v>22</v>
      </c>
      <c r="AN8" s="30"/>
      <c r="AO8" s="336" t="str">
        <f>IF(AND(W14=1,$E$8&gt;=7),IF(R23=TRUE,IF(OR(M7=7,M7=8,M7=9,M7=10,M7=11,M7=12,M7=13,M7=14,M7=15,M7=16,M7=17,M7=18,M7=25,M7=26,M7=27,M7=28,M7=29,M7=30,M7=31,M7=32,M7=33,M7=34,M7=35,M7=36,M7=60,M7=61,M7=62,M7=63,M7=64,M7=65,M7=66,M7=67,M7=68,M7=69,M7=70,M7=71,M7=72,M7=73,M7=74,M7=75,M7=76,M7=77,M7=101,M7=102,M7=103,M7=104,M7=105,M7=106,M7=107,M7=108,M7=109,M7=110,M7=111,M7=112,M7=113,M7=114,M7=115,M7=116,M7=117,M7=118,M7=147,M7=148,M7=149,M7=150,M7=151,M7=152,M7=153,M7=154,M7=155,M7=156,M7=157,M7=158,M7=159,M7=160,M7=161,M7=162,M7=163,M7=164,M7=165,M7=166,M7=167),"*",""),""),"")</f>
        <v/>
      </c>
      <c r="AQ8" s="388"/>
    </row>
    <row r="9" spans="1:44" ht="20.100000000000001" customHeight="1" thickBot="1" x14ac:dyDescent="0.3">
      <c r="A9" s="98" t="s">
        <v>239</v>
      </c>
      <c r="C9" s="131"/>
      <c r="D9" s="29">
        <v>2</v>
      </c>
      <c r="E9" s="33">
        <f>IF($E$10&lt;=$E$10,$E$10,8)</f>
        <v>9</v>
      </c>
      <c r="F9" s="34"/>
      <c r="G9" s="394" t="str">
        <f>IF(E8&lt;=7,"",IF(AND(C12=TRUE,E9=8,M6=3,M5=1,D11=2),"Sebanyak"&amp;" "&amp;Q11&amp;" "&amp;"liter "&amp;" "&amp;AI15&amp;" "&amp;"dielektrolisis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Tentukanlah:(a) Volume gas, (b) massa zat, (c)Waktu maksimum elektrolisis, (d) Quantitas elektrolisis, (e) laju reaksi di katoda, (f) Laju reaksi di anoda, (g) Konsentrasi H⁺ atau OH⁻, (h) pH larutan ",IF(AND(C12=TRUE,E8=8,M6&lt;&gt;3,M5=1,D11=2),"Sebanyak"&amp;" "&amp;Q11&amp;" "&amp;"liter larutan"&amp;" "&amp;AI15&amp;" "&amp;Q12&amp;" "&amp;"M 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 (a) Volume gas, (b) massa zat, (c)Waktu maksimum elektrolisis, (d) Quantitas elektrolisis, (e) laju reaksi di katoda, (f) Laju reaksi di anoda, (g) Konsentrasi H⁺ atau OH⁻, (h) pH larutan ",IF(AND(C12=TRUE,E8=8,D11=3),"Sebanyak"&amp;" "&amp;Q11&amp;" "&amp;"kg "&amp;" "&amp;AI15&amp;" "&amp;"(Mr ="&amp;" "&amp;AC21&amp;")"&amp;" "&amp;"dielektrolisis menggunakan anoda"&amp;" "&amp;AI16&amp;" "&amp;"dan katoda"&amp;" "&amp;AI17&amp;" "&amp;"dengan kuat arus"&amp;" "&amp;Q13&amp;" "&amp;"ampere selama"&amp;" "&amp;Q14&amp;" "&amp;"detik. Tuliskan reaksi elektrolisis &amp; Tentukanlah:",""))))</f>
        <v/>
      </c>
      <c r="H9" s="395"/>
      <c r="I9" s="395"/>
      <c r="J9" s="395"/>
      <c r="K9" s="395"/>
      <c r="L9" s="396"/>
      <c r="M9" s="25"/>
      <c r="N9" s="30"/>
      <c r="O9" s="32"/>
      <c r="P9" s="25"/>
      <c r="Q9" s="25"/>
      <c r="R9" s="25"/>
      <c r="S9" s="25"/>
      <c r="T9" s="25"/>
      <c r="U9" s="25"/>
      <c r="V9" s="25"/>
      <c r="W9" s="28"/>
      <c r="X9" s="28"/>
      <c r="Y9" s="253"/>
      <c r="Z9" s="19"/>
      <c r="AC9" s="273" t="str">
        <f>IF($E$8=5,"Wadah sel elektrolisis","")</f>
        <v/>
      </c>
      <c r="AD9" s="316" t="str">
        <f>IF(AND($W$14=1,$E$8&gt;=7,$R$22=TRUE,$J$5=1,$M$7=3,$AF$6&lt;&gt;"ERROR"),"",IF(AND($W$14=1,$E$8&gt;=7,$R$22=TRUE,$J$5=1,$AF$6&lt;&gt;"ERROR",OR($M$7=1,$M$7=7,$M$7=42,$M$7=44,$M$7=45,$M$7=46,$M$7=47,$M$7=60,$M$7=63,$M$7=64,$M$7=65)),"Persaingan Oksidasi Ion",IF(AND($W$14=1,$E$8&gt;=7,$R$22=TRUE,$J$5=1,$AF$6&lt;&gt;"ERROR",$M$7&lt;&gt;1,$M$7&lt;&gt;3,$M$7&lt;&gt;7,$M$7&lt;&gt;42,$M$7&lt;&gt;44,$M$7&lt;&gt;45,$M$7&lt;&gt;46,$M$7&lt;&gt;47,$M$7&lt;&gt;60,$M$7&lt;&gt;63,$M$7&lt;&gt;64,$M$7&lt;&gt;65),"Persaingan Oksidasi Ion","")))</f>
        <v/>
      </c>
      <c r="AE9" s="295">
        <f>IF(AND($E$10&gt;=15,$K$21=TRUE),9,0)</f>
        <v>0</v>
      </c>
      <c r="AG9" s="341" t="str">
        <f>IF(OR($W$14=2,$E$8&lt;7),"","Cu")</f>
        <v/>
      </c>
      <c r="AH9" s="282" t="str">
        <f t="shared" si="0"/>
        <v/>
      </c>
      <c r="AI9" s="158" t="str">
        <f>IF($C$11=1,"Na₂SO₄",IF($C$11=2,"KNO₃",IF($C$11=3,"Na₃PO₄",IF($C$11=4,"Ca(NO₃)₂",IF($C$11=5,"CaSO₄",IF($C$11=6,"AlPO₄",IF($C$11=7,"MnSO₄")))))))</f>
        <v>Na₂SO₄</v>
      </c>
      <c r="AJ9" s="158" t="s">
        <v>13</v>
      </c>
      <c r="AK9" s="280" t="str">
        <f>IF(OR($W$14=2,$E$8&lt;7),"","Ni")</f>
        <v/>
      </c>
      <c r="AM9" s="24"/>
      <c r="AN9" s="170" t="str">
        <f>IF(AND($W$14=1,$E$8&gt;=7),IF($R$22=TRUE,IF(OR(M7=4,M7=38,7=62),"I2(s)",IF(OR(M7=37,M7=43,M7=61),"Br2(g)",IF(OR(M7=1,M7=7,M7=10,M7=11,M7=12,M7=13,M7=28,M7=29,M7=30,M7=31,M7=42,M7=44,M7=45,M7=46,M7=47,M7=60,M7=63,M7=64,M7=65),"Cl2(g)",IF(OR(M7=2,M7=3,M7=5,M7=6,M7=8,M7=9,M7=14,M7=15,M7=16,M7=17,M7=18,M7=33,M7=34,M7=35,M7=36,M7=39,M7=40,M7=41,M7=48,M7=49,M7=50,M7=51,M7=52,M7=53,M7=54,M7=55,M7=56,M7=57,M7=58,M7=59,M7=66,M7=67,M7=68,M7=69,M7=70,M7=71,M7=72,M7=73,M7=74,M7=75,M7=76,M7=77),"O2(g)",IF(OR(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168),"Ag+(aq)",IF(OR(M7=19,M7=20,M7=21,M7=22,M7=23,M7=24,M7=25,M7=26,M7=27,M7=78,M7=79,M7=80,M7=81,M7=82,M7=83,M7=84,M7=85,M7=86,M7=87,M7=88,M7=89,M7=90,M7=91,M7=92,M7=93,M7=94,M7=95,M7=96,M7=97,M7=98,M7=99,M7=100,M7=101,M7=102,M7=103,M7=104,M7=105,M7=106,M7=107,M7=108,M7=109,M7=110,M7=111,M7=112,M7=113,M7=114,M7=115,M7=116,M7=117,M7=118),"Cu2+(aq)","")))))),""),"")</f>
        <v/>
      </c>
      <c r="AO9" s="337" t="str">
        <f>IF(AND($W$14=1,$E$8&gt;=7),IF($R$23=TRUE,IF(OR(M7=21,M7=168),"O2(g)"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146),"H2(g)",IF(OR(M7=16,M7=34,M7=70,M7=111,M7=159),"Cd(s)",IF(OR(M7=12,M7=30,M7=64,M7=105,M7=152),"Cr(s)",IF(OR(M7=7,M7=8,M7=9,M7=25,M7=26,M7=27,M7=62,M7=103,M7=147,M7=150,M7=154,M7=161),"Cu(s)",IF(OR(M7=15,M7=33,M7=60,M7=66,M7=101,M7=107,M7=148,M7=155),"Ag(s)",IF(OR(M7=61,M7=102,M7=110,M7=149),"Ni(s)",IF(OR(M7=76,M7=117,M7=166),"Pb(s)",IF(OR(M7=65,M7=71,M7=75,M7=106,M7=112,M7=116,M7=153,M7=160,M7=165),"Sn(s)",IF(OR(M7=17,M7=35),"Al(s)",IF(OR(M7=67,M7=108,M7=156),"Fe(s)",IF(OR(M7=68,M7=72,M7=109,M7=113,M7=157,M7=162),"Co(s)",IF(OR(M7=69,M7=73,M7=114,M7=158,M7=163),"Ni(s)",IF(OR(M7=11,M7=14,M7=29,M7=32),"Mg(s)",IF(OR(M7=10,M7=28),"Na(s)",IF(OR(M7=77,M7=118,M7=167),"Cd(s)",IF(OR(M7=13,M7=31,M7=36,M7=63,M7=74,M7=104,M7=115,M7=151,M7=164),"Zn(s)",""))))))))))))))))),""),"")</f>
        <v/>
      </c>
      <c r="AQ9" s="388"/>
    </row>
    <row r="10" spans="1:44" ht="20.100000000000001" customHeight="1" thickBot="1" x14ac:dyDescent="0.3">
      <c r="A10" s="98"/>
      <c r="C10" s="132"/>
      <c r="D10" s="102">
        <v>6</v>
      </c>
      <c r="E10" s="37">
        <v>9</v>
      </c>
      <c r="F10" s="24"/>
      <c r="G10" s="397"/>
      <c r="H10" s="398"/>
      <c r="I10" s="398"/>
      <c r="J10" s="398"/>
      <c r="K10" s="398"/>
      <c r="L10" s="399"/>
      <c r="M10" s="25"/>
      <c r="N10" s="30"/>
      <c r="O10" s="32"/>
      <c r="P10" s="25"/>
      <c r="Q10" s="25"/>
      <c r="R10" s="25"/>
      <c r="S10" s="25"/>
      <c r="T10" s="25"/>
      <c r="U10" s="25"/>
      <c r="V10" s="25"/>
      <c r="W10" s="28"/>
      <c r="X10" s="28"/>
      <c r="Y10" s="251"/>
      <c r="Z10" s="19"/>
      <c r="AC10" s="300" t="str">
        <f>IF($E$8=6,"VIDEO","")</f>
        <v/>
      </c>
      <c r="AD10" s="317" t="str">
        <f>IF(AND(W14=1,E8&gt;=7),"SAMPEL","")</f>
        <v/>
      </c>
      <c r="AE10" s="294">
        <f>IF(AND($E$10&gt;=16,$K$22=TRUE),10,0)</f>
        <v>0</v>
      </c>
      <c r="AF10" s="331"/>
      <c r="AG10" s="342" t="str">
        <f>IF(AND($W$14=1,$E$8&gt;=7,$D$11=2),"Ag","")</f>
        <v/>
      </c>
      <c r="AH10" s="282" t="str">
        <f t="shared" si="0"/>
        <v/>
      </c>
      <c r="AI10" s="158" t="str">
        <f>IF($C$11=1,"NaOH",IF($C$11=2,"KOH",IF($C$11=3,"Ca(OH)₂",IF($C$11=4,"Sr(OH)₂",IF($C$11=5,"Ba(OH)₂",IF($C$11=6,"Al(OH)₃",IF($C$11=7,"Mn(OH)₂")))))))</f>
        <v>NaOH</v>
      </c>
      <c r="AJ10" s="158" t="s">
        <v>680</v>
      </c>
      <c r="AK10" s="280" t="str">
        <f>IF(OR($W$14=2,$E$8&lt;7),"","Zn")</f>
        <v/>
      </c>
      <c r="AM10" s="24"/>
      <c r="AN10" s="25"/>
      <c r="AO10" s="28"/>
    </row>
    <row r="11" spans="1:44" ht="20.100000000000001" customHeight="1" thickBot="1" x14ac:dyDescent="0.3">
      <c r="A11" s="178" t="str">
        <f>IF(AND($C$12=FALSE,$E$8=7,$W$14=1,(D9-1)*(J4-1)*(D11-1)*(D10-1)&gt;0,OR(R20=TRUE,R22=TRUE,R23=TRUE,Q24=TRUE)),"→",IF(AND($E$8=8,$AC$22=1,(D9-1)*(J4-1)*(D11-1)*(D10-1)&gt;0,$C$12=FALSE,OR(G23=TRUE,G21=TRUE,G20=TRUE,K22=TRUE,K20=TRUE,G22=TRUE,K21=TRUE,K23=TRUE)),"→",""))</f>
        <v/>
      </c>
      <c r="B11" s="17" t="s">
        <v>12</v>
      </c>
      <c r="C11" s="145">
        <v>1</v>
      </c>
      <c r="D11" s="102">
        <v>2</v>
      </c>
      <c r="E11" s="198"/>
      <c r="F11" s="24"/>
      <c r="G11" s="397"/>
      <c r="H11" s="398"/>
      <c r="I11" s="398"/>
      <c r="J11" s="398"/>
      <c r="K11" s="398"/>
      <c r="L11" s="399"/>
      <c r="M11" s="25"/>
      <c r="N11" s="30"/>
      <c r="O11" s="32"/>
      <c r="P11" s="67" t="str">
        <f>IF(AND(E8=8,W14=1,D11=2),"Volume (V) :",IF(AND(E8=8,W14=1,D11=3),"Massa Zat(m) :",""))</f>
        <v/>
      </c>
      <c r="Q11" s="357">
        <v>1</v>
      </c>
      <c r="R11" s="83" t="str">
        <f>IF(AND(E8=8,W14=1,D11=2),"L",IF(AND(E8=8,W14=1,D11=3),"kg",""))</f>
        <v/>
      </c>
      <c r="S11" s="25"/>
      <c r="T11" s="25"/>
      <c r="U11" s="25"/>
      <c r="V11" s="35" t="s">
        <v>12</v>
      </c>
      <c r="W11" s="36"/>
      <c r="X11" s="28"/>
      <c r="Y11" s="251"/>
      <c r="Z11" s="19"/>
      <c r="AC11" s="297" t="str">
        <f>IF(OR($E$8=7,$E$8=8,$W$12=TRUE),"START","")</f>
        <v/>
      </c>
      <c r="AD11" s="318" t="str">
        <f>IF(AND($W$14=1,$E$8&gt;=8),"INPUT DATA","")</f>
        <v/>
      </c>
      <c r="AE11" s="294">
        <f>IF(AND($E$10&gt;=17,$K$23=TRUE),11,0)</f>
        <v>0</v>
      </c>
      <c r="AG11" s="154"/>
      <c r="AH11" s="282" t="str">
        <f t="shared" si="0"/>
        <v/>
      </c>
      <c r="AI11" s="158" t="str">
        <f>IF($C$11=1,"CuCl₂",IF($C$11=2,"AgCl",IF($C$11=3,"NiBr₂",IF($C$11=4,"CuI₂",IF($C$11=5,"ZnCl₂",IF($C$11=6,"CrCl₃",IF($C$11=7,"SnCl₂")))))))</f>
        <v>CuCl₂</v>
      </c>
      <c r="AJ11" s="158" t="s">
        <v>11</v>
      </c>
      <c r="AK11" s="280" t="str">
        <f>IF(OR($W$14=2,$E$8&lt;7),"","Sn")</f>
        <v/>
      </c>
      <c r="AL11" s="86"/>
      <c r="AM11" s="24"/>
      <c r="AN11" s="25"/>
      <c r="AO11" s="28"/>
    </row>
    <row r="12" spans="1:44" ht="14.1" customHeight="1" thickBot="1" x14ac:dyDescent="0.3">
      <c r="A12" s="98"/>
      <c r="B12" s="87"/>
      <c r="C12" s="98" t="b">
        <v>0</v>
      </c>
      <c r="D12" s="17">
        <f>J4</f>
        <v>2</v>
      </c>
      <c r="E12" s="407" t="s">
        <v>12</v>
      </c>
      <c r="F12" s="24"/>
      <c r="G12" s="400"/>
      <c r="H12" s="401"/>
      <c r="I12" s="401"/>
      <c r="J12" s="401"/>
      <c r="K12" s="401"/>
      <c r="L12" s="402"/>
      <c r="M12" s="25"/>
      <c r="N12" s="25"/>
      <c r="O12" s="24"/>
      <c r="P12" s="67" t="str">
        <f>IF(AND(E8=8,W14=1,D11=2),"Konsentrasi (M):","")</f>
        <v/>
      </c>
      <c r="Q12" s="357">
        <v>1</v>
      </c>
      <c r="R12" s="83" t="str">
        <f>IF(AND(E8=8,W14=1,D11=2),"mol/L","")</f>
        <v/>
      </c>
      <c r="S12" s="25"/>
      <c r="T12" s="25"/>
      <c r="U12" s="25"/>
      <c r="V12" s="35" t="s">
        <v>12</v>
      </c>
      <c r="W12" s="130" t="b">
        <v>0</v>
      </c>
      <c r="X12" s="28"/>
      <c r="Y12" s="251"/>
      <c r="Z12" s="346"/>
      <c r="AC12" s="297" t="str">
        <f>IF(OR($E$8=7,$E$8=8,$W$13=TRUE),"STOP","")</f>
        <v>STOP</v>
      </c>
      <c r="AD12" s="273" t="str">
        <f>IF(OR(E8=0,M7=0,W14=2),"",IF(AND(E8&gt;=7,OR(M7=148,M7=155),AC20&lt;&gt;"C",AC20&lt;&gt;"Ag"),"Penyepuhan logam"&amp;" "&amp;AC20&amp;" "&amp;"dengan perak (Ag)",IF(AND(E8&gt;=7,AC20&lt;&gt;"C",OR(M7=25,M7=103)),"Proses Pemurnian Logam Tembaga",IF(AND(E8&gt;=7,AC20&lt;&gt;"C",M7=148),"Proses Pemurnian Logam Perak",IF(AND(E8&gt;=7,AC19="C",AC20="C",OR(M7=4,M7=62)),"Produksi Iodin (I₂)",IF(AND(E8&gt;=7,AC19="C",AC20="C",OR(M7=7,M7=42,M7=44,M7=45,M7=46,M7=47,M7=60,M7=63,M7=64,M7=65)),"Produksi Gas Klorin (Cl₂)",IF(AND(E8&gt;=7,AC19="C",AC20="C",OR(M7=43,M7=61)),"Produksi Gas Bromin (Br₂)","")))))))</f>
        <v/>
      </c>
      <c r="AE12" s="296">
        <f>MAX($AE$4:$AE$11)</f>
        <v>0</v>
      </c>
      <c r="AG12" s="154"/>
      <c r="AH12" s="282" t="str">
        <f t="shared" si="0"/>
        <v/>
      </c>
      <c r="AI12" s="158" t="str">
        <f>IF($C$11=1,"CuSO₄",IF($C$11=2,"AgNO₃",IF($C$11=3,"FePO₄",IF($C$11=4,"Co(NO₃)₂",IF($C$11=5,"NiSO₄",IF($C$11=6,"ZnSO₄",IF($C$11=7,"Sn(NO₃)₂")))))))</f>
        <v>CuSO₄</v>
      </c>
      <c r="AJ12" s="158" t="s">
        <v>682</v>
      </c>
      <c r="AK12" s="280" t="str">
        <f>IF(OR($W$14=2,$E$8&lt;7),"","Pb")</f>
        <v/>
      </c>
      <c r="AL12" s="30" t="s">
        <v>15</v>
      </c>
      <c r="AM12" s="24"/>
      <c r="AN12" s="25"/>
      <c r="AO12" s="28"/>
    </row>
    <row r="13" spans="1:44" ht="15.75" thickBot="1" x14ac:dyDescent="0.3">
      <c r="A13" s="98"/>
      <c r="B13" s="87"/>
      <c r="C13" s="98">
        <f>L7</f>
        <v>5</v>
      </c>
      <c r="E13" s="407"/>
      <c r="F13" s="38"/>
      <c r="G13" s="176"/>
      <c r="H13" s="39" t="s">
        <v>12</v>
      </c>
      <c r="I13" s="147"/>
      <c r="J13" s="148"/>
      <c r="K13" s="403"/>
      <c r="L13" s="403"/>
      <c r="M13" s="35"/>
      <c r="N13" s="25"/>
      <c r="O13" s="24"/>
      <c r="P13" s="67" t="str">
        <f>IF(AND(E8=8,W14=1),"Kuat Arus (i) :","")</f>
        <v/>
      </c>
      <c r="Q13" s="358">
        <v>10</v>
      </c>
      <c r="R13" s="83" t="str">
        <f>IF(AND(E8=8,W14=1),"A","")</f>
        <v/>
      </c>
      <c r="S13" s="25"/>
      <c r="T13" s="25"/>
      <c r="U13" s="25"/>
      <c r="V13" s="35" t="s">
        <v>12</v>
      </c>
      <c r="W13" s="130" t="b">
        <v>1</v>
      </c>
      <c r="X13" s="28"/>
      <c r="Y13" s="251"/>
      <c r="Z13" s="19"/>
      <c r="AA13" s="164"/>
      <c r="AC13" s="300" t="str">
        <f>IF(AND(W14=1,E8&gt;=7),"ANODA","")</f>
        <v/>
      </c>
      <c r="AD13" s="273" t="str">
        <f>IF(AND($W$14=1,$E$8&gt;=7,$R$20=TRUE,J5=1,OR(M7=37,M7=42,M7=44,M7=45,M7=46,M7=47,M7=7,M7=60,M7=63,M7=64,M7=65)),"konsentrasi [Cl⁻] harus besar","")</f>
        <v/>
      </c>
      <c r="AG13" s="276"/>
      <c r="AH13" s="283" t="str">
        <f t="shared" si="0"/>
        <v/>
      </c>
      <c r="AI13" s="159" t="str">
        <f>IF($C$11=1,"Cu(OH)₂",IF($C$11=2,"Co(OH)₂",IF($C$11=3,"Ni(OH)₂",IF($C$11=4,"Zn(OH)₂",IF($C$11=5,"Sn(OH)₂",IF($C$11=6,"Pb(OH)₂",IF($C$11=7,"Cd(OH)₂")))))))</f>
        <v>Cu(OH)₂</v>
      </c>
      <c r="AJ13" s="159" t="s">
        <v>10</v>
      </c>
      <c r="AK13" s="281" t="str">
        <f>IF(OR($W$14=2,$E$8&lt;7),"","Cd")</f>
        <v/>
      </c>
      <c r="AL13" s="86"/>
      <c r="AM13" s="24"/>
      <c r="AN13" s="25"/>
      <c r="AO13" s="28"/>
    </row>
    <row r="14" spans="1:44" ht="15.75" thickBot="1" x14ac:dyDescent="0.3">
      <c r="A14" s="103"/>
      <c r="B14" s="87"/>
      <c r="C14" s="88"/>
      <c r="D14" s="170">
        <f>(M6+9*M5+9*2*M3)-27</f>
        <v>5</v>
      </c>
      <c r="E14" s="407"/>
      <c r="F14" s="24"/>
      <c r="G14" s="171"/>
      <c r="H14" s="171"/>
      <c r="I14" s="172"/>
      <c r="J14" s="192"/>
      <c r="K14" s="196"/>
      <c r="L14" s="255" t="s">
        <v>12</v>
      </c>
      <c r="M14" s="218"/>
      <c r="N14" s="25"/>
      <c r="O14" s="24"/>
      <c r="P14" s="67" t="str">
        <f>IF(AND(E8=8,W14=1),"Waktu (t):","")</f>
        <v/>
      </c>
      <c r="Q14" s="359">
        <v>7200</v>
      </c>
      <c r="R14" s="83" t="str">
        <f>IF(AND(E8=8,W14=1),"s","")</f>
        <v/>
      </c>
      <c r="S14" s="25"/>
      <c r="T14" s="25"/>
      <c r="U14" s="25"/>
      <c r="V14" s="25"/>
      <c r="W14" s="26">
        <f>IF(AND(W12=TRUE,W13=FALSE),1,IF(AND(W12=FALSE,W13=TRUE),2,IF(AND(W12=TRUE,W13=TRUE),3,0)))</f>
        <v>2</v>
      </c>
      <c r="X14" s="28"/>
      <c r="Y14" s="251"/>
      <c r="Z14" s="19"/>
      <c r="AC14" s="300" t="str">
        <f>IF(AND(W14=1,E8&gt;=7),"KATODA","")</f>
        <v/>
      </c>
      <c r="AD14" s="318" t="s">
        <v>12</v>
      </c>
      <c r="AF14" s="285" t="s">
        <v>0</v>
      </c>
      <c r="AG14" s="285" t="s">
        <v>14</v>
      </c>
      <c r="AL14" s="86"/>
      <c r="AM14" s="24"/>
      <c r="AN14" s="25"/>
      <c r="AO14" s="28"/>
    </row>
    <row r="15" spans="1:44" ht="15.75" x14ac:dyDescent="0.25">
      <c r="A15" s="103"/>
      <c r="B15" s="87"/>
      <c r="C15" s="88"/>
      <c r="D15" s="183">
        <f>M6</f>
        <v>5</v>
      </c>
      <c r="E15" s="180">
        <f>E17</f>
        <v>0</v>
      </c>
      <c r="F15" s="24"/>
      <c r="G15" s="171"/>
      <c r="H15" s="171"/>
      <c r="I15" s="172"/>
      <c r="J15" s="192"/>
      <c r="K15" s="196"/>
      <c r="L15" s="256" t="str">
        <f>IFERROR(IF(AND($E$8=8,$E$17&gt;=1,C12=TRUE,#REF!=TRUE),L14/96500,""),"")</f>
        <v/>
      </c>
      <c r="M15" s="218"/>
      <c r="N15" s="25"/>
      <c r="O15" s="24"/>
      <c r="P15" s="67" t="str">
        <f>IF(AND(E8=8,W14=1),"Suhu (T):","")</f>
        <v/>
      </c>
      <c r="Q15" s="360">
        <v>273</v>
      </c>
      <c r="R15" s="25" t="str">
        <f>IF(AND(E8=8,W14=1),"K","")</f>
        <v/>
      </c>
      <c r="S15" s="25"/>
      <c r="T15" s="25"/>
      <c r="U15" s="25"/>
      <c r="V15" s="25"/>
      <c r="W15" s="28"/>
      <c r="X15" s="28"/>
      <c r="Y15" s="251"/>
      <c r="Z15" s="19"/>
      <c r="AC15" s="297" t="str">
        <f>IF(AND(W14=1,E8&gt;=7),"ACCU 40 AH","")</f>
        <v/>
      </c>
      <c r="AD15" s="319">
        <f>IF(D11=2,Q11*Q12*Q13*Q14,IF(D11=3,Q11*Q13*Q14))</f>
        <v>72000</v>
      </c>
      <c r="AF15" s="286" t="str">
        <f>IF($M$3=1,"C",IF($M$3=2,"Cu",""))</f>
        <v>C</v>
      </c>
      <c r="AG15" s="287" t="str">
        <f>IF(AND(W14=1,$E$8&gt;=7),IF($C$12=TRUE,IF(AND($M$5=1,$M$6=1),"HF",IF(AND($M$5=1,$M$6=2),"H₂SO₄",IF(AND($M$5=1,$M$6=4),"KI",IF(AND($M$5=1,$M$6=5),"Na₂SO₄",IF(AND($M$5=1,$M$6=6),"NaOH",IF(AND($M$5=1,$M$6=7),"CuCl₂",IF(AND($M$5=1,$M$6=8),"CuSO₄",IF(AND($M$5=1,$M$6=9),"Cu(OH)₂","")))))))),""),"")</f>
        <v/>
      </c>
      <c r="AH15" s="289" t="str">
        <f>IF(J14="","x",Q11)</f>
        <v>x</v>
      </c>
      <c r="AI15" s="123" t="str">
        <f>VLOOKUP(M7,REAKSI!B3:C172,2)</f>
        <v>Na₂SO₄</v>
      </c>
      <c r="AJ15" s="17"/>
      <c r="AL15" s="86"/>
      <c r="AM15" s="24"/>
      <c r="AN15" s="25"/>
      <c r="AO15" s="28"/>
    </row>
    <row r="16" spans="1:44" ht="15.75" x14ac:dyDescent="0.25">
      <c r="A16" s="98" t="s">
        <v>12</v>
      </c>
      <c r="B16" s="87"/>
      <c r="C16" s="134" t="b">
        <v>0</v>
      </c>
      <c r="D16" s="183">
        <f>M5</f>
        <v>1</v>
      </c>
      <c r="E16" s="41"/>
      <c r="F16" s="24"/>
      <c r="G16" s="171"/>
      <c r="H16" s="171"/>
      <c r="I16" s="174"/>
      <c r="J16" s="193"/>
      <c r="K16" s="195"/>
      <c r="L16" s="257"/>
      <c r="M16" s="218"/>
      <c r="N16" s="25"/>
      <c r="O16" s="24"/>
      <c r="P16" s="67" t="str">
        <f>IF(AND(E8=8,W14=1),"Tekanan (P):","")</f>
        <v/>
      </c>
      <c r="Q16" s="361">
        <v>1</v>
      </c>
      <c r="R16" s="25" t="str">
        <f>IF(AND(E8=8,W14=1),"atm","")</f>
        <v/>
      </c>
      <c r="S16" s="25"/>
      <c r="T16" s="25"/>
      <c r="U16" s="25"/>
      <c r="V16" s="25"/>
      <c r="W16" s="28"/>
      <c r="X16" s="28"/>
      <c r="Y16" s="251"/>
      <c r="Z16" s="19"/>
      <c r="AC16" s="300" t="str">
        <f>IF(AND(W14=1,E8&gt;=7),"ELEKTROLIT","")</f>
        <v/>
      </c>
      <c r="AD16" s="287" t="str">
        <f>IF(AND(W14=1,E8&gt;=7),"NOMOR PERCOBAAN →","")</f>
        <v/>
      </c>
      <c r="AF16" s="286" t="str">
        <f>IF($M$3=1,"Au",IF($M$3=2,"Ag",""))</f>
        <v>Au</v>
      </c>
      <c r="AG16" s="287" t="str">
        <f>IF(AND(W14=1,$E$8&gt;=7),IF($C$12=TRUE,IF(AND($M$5=1,$M$6=1),"HCl",IF(AND($M$5=1,$M$6=2),"HNO₃",IF(AND($M$5=1,$M$6=4),"KCl",IF(AND($M$5=1,$M$6=5),"KNO₃",IF(AND($M$5=1,$M$6=6),"KOH",IF(AND($M$5=1,$M$6=7),"AgCl",IF(AND($M$5=1,$M$6=8),"AgNO₃",IF(AND($M$5=1,$M$6=9),"Co(OH)₂","")))))))),""),"")</f>
        <v/>
      </c>
      <c r="AH16" s="290" t="str">
        <f>IF(J15="","x",Q12)</f>
        <v>x</v>
      </c>
      <c r="AI16" s="124" t="str">
        <f>AC19</f>
        <v/>
      </c>
      <c r="AL16" s="86"/>
      <c r="AM16" s="24"/>
      <c r="AN16" s="25"/>
      <c r="AO16" s="28"/>
    </row>
    <row r="17" spans="1:43" ht="15.75" x14ac:dyDescent="0.25">
      <c r="A17" s="98" t="s">
        <v>12</v>
      </c>
      <c r="C17" s="19" t="b">
        <v>0</v>
      </c>
      <c r="D17" s="183">
        <f>M3</f>
        <v>1</v>
      </c>
      <c r="E17" s="37">
        <f>IF(AND($C$16=TRUE,$C$17=FALSE,$C$18=FALSE),1,IF(AND($C$17=TRUE,$C$18=FALSE),2,IF($C$18=TRUE,3,0)))</f>
        <v>0</v>
      </c>
      <c r="F17" s="24"/>
      <c r="G17" s="171"/>
      <c r="H17" s="171"/>
      <c r="I17" s="173"/>
      <c r="J17" s="194"/>
      <c r="K17" s="197"/>
      <c r="L17" s="257"/>
      <c r="M17" s="194"/>
      <c r="N17" s="25"/>
      <c r="O17" s="24"/>
      <c r="P17" s="25"/>
      <c r="Q17" s="125"/>
      <c r="R17" s="25"/>
      <c r="S17" s="25"/>
      <c r="T17" s="25"/>
      <c r="U17" s="25"/>
      <c r="V17" s="25"/>
      <c r="W17" s="28"/>
      <c r="X17" s="28"/>
      <c r="Y17" s="251"/>
      <c r="Z17" s="19"/>
      <c r="AC17" s="297" t="str">
        <f>$AN$4&amp;$AN$6&amp;$AN$7</f>
        <v/>
      </c>
      <c r="AD17" s="320" t="str">
        <f>IF(AND($AC$17="+",OR($R$22=TRUE,$R$23=TRUE)),"+ ion",IF(AND($AC$17="0",OR($R$22=TRUE,$R$23=TRUE)),"o gas",IF(AND($AC$17="O",OR($R$22=TRUE,$R$23=TRUE)),"o gas","")))</f>
        <v/>
      </c>
      <c r="AF17" s="286" t="str">
        <f>IF($M$3=1,"Pt",IF($M$3=2,"Ni",""))</f>
        <v>Pt</v>
      </c>
      <c r="AG17" s="287" t="str">
        <f>IF(AND(W14=1,$E$8&gt;=7),IF($C$12=TRUE,IF(AND($M$5=1,$M$6=1),"HBr",IF(AND($M$5=1,$M$6=2),"H₃PO₄",IF(AND($M$5=1,$M$6=4),"NaBr",IF(AND($M$5=1,$M$6=5),"Na₃PO₄",IF(AND($M$5=1,$M$6=6),"Ca(OH)₂",IF(AND($M$5=1,$M$6=7),"NiBr₂",IF(AND($M$5=1,$M$6=8),"FePO₄",IF(AND($M$5=1,$M$6=9),"Ni(OH)₂","")))))))),""),"")</f>
        <v/>
      </c>
      <c r="AH17" s="290" t="str">
        <f>IF(J16="","x",Q14)</f>
        <v>x</v>
      </c>
      <c r="AI17" s="124" t="str">
        <f>AC20</f>
        <v/>
      </c>
      <c r="AL17" s="30" t="s">
        <v>18</v>
      </c>
      <c r="AM17" s="24"/>
      <c r="AN17" s="25"/>
      <c r="AO17" s="28"/>
    </row>
    <row r="18" spans="1:43" ht="15.75" thickBot="1" x14ac:dyDescent="0.3">
      <c r="A18" s="98" t="s">
        <v>12</v>
      </c>
      <c r="C18" s="19" t="b">
        <v>0</v>
      </c>
      <c r="D18" s="40"/>
      <c r="E18" s="41"/>
      <c r="F18" s="24"/>
      <c r="G18" s="176"/>
      <c r="H18" s="39"/>
      <c r="I18" s="176"/>
      <c r="J18" s="176"/>
      <c r="K18" s="138" t="s">
        <v>12</v>
      </c>
      <c r="L18" s="139" t="s">
        <v>12</v>
      </c>
      <c r="M18" s="39"/>
      <c r="N18" s="25"/>
      <c r="O18" s="43"/>
      <c r="P18" s="201" t="b">
        <v>0</v>
      </c>
      <c r="Q18" s="44"/>
      <c r="R18" s="44"/>
      <c r="S18" s="44"/>
      <c r="T18" s="44"/>
      <c r="U18" s="44"/>
      <c r="V18" s="44"/>
      <c r="W18" s="45"/>
      <c r="X18" s="28"/>
      <c r="Y18" s="251"/>
      <c r="Z18" s="19"/>
      <c r="AC18" s="297" t="str">
        <f>$AO$5&amp;$AO$6&amp;$AO$8</f>
        <v/>
      </c>
      <c r="AD18" s="321" t="str">
        <f>IF(AND($AC$18="*",OR($R$22=TRUE,$R$23=TRUE)),"* solid",IF(AND($AC$18="0",OR($R$22=TRUE,$R$23=TRUE)),"O gas",IF(AND($AC$18="O",OR($R$22=TRUE,$R$23=TRUE)),"O gas","")))</f>
        <v/>
      </c>
      <c r="AF18" s="286" t="str">
        <f>IF($M$3=1,"",IF($M$3=2,"Fe",""))</f>
        <v/>
      </c>
      <c r="AG18" s="287" t="str">
        <f>IF(AND(W14=1,$E$8&gt;=7),IF($C$12=TRUE,IF(AND($M$5=1,$M$6=1),"HI",IF(AND($M$5=1,$M$6=4),"NaCl",IF(AND($M$5=1,$M$6=5),"Ca(NO₃)₂",IF(AND($M$5=1,$M$6=6),"Sr(OH)₂",IF(AND($M$5=1,$M$6=7),"CuI₂",IF(AND($M$5=1,$M$6=8),"Co(NO₃)₂",IF(AND($M$5=1,$M$6=9),"Zn(OH)₂",""))))))),""),"")</f>
        <v/>
      </c>
      <c r="AH18" s="290" t="str">
        <f>IF(J15="","x",Q13)</f>
        <v>x</v>
      </c>
      <c r="AI18" s="124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L18" s="86"/>
      <c r="AM18" s="24"/>
      <c r="AN18" s="25"/>
      <c r="AO18" s="28"/>
    </row>
    <row r="19" spans="1:43" ht="17.100000000000001" customHeight="1" x14ac:dyDescent="0.25">
      <c r="A19" s="98" t="s">
        <v>12</v>
      </c>
      <c r="C19" s="99" t="str">
        <f>IF(AND($E$8=8,$W$14=1),"DIKETAHUI","")</f>
        <v/>
      </c>
      <c r="D19" s="86">
        <f>J3</f>
        <v>1</v>
      </c>
      <c r="E19" s="198"/>
      <c r="F19" s="24"/>
      <c r="G19" s="175" t="s">
        <v>12</v>
      </c>
      <c r="H19" s="35"/>
      <c r="I19" s="67"/>
      <c r="J19" s="67"/>
      <c r="K19" s="89"/>
      <c r="L19" s="89"/>
      <c r="M19" s="90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8"/>
      <c r="Y19" s="251"/>
      <c r="Z19" s="19"/>
      <c r="AC19" s="300" t="str">
        <f>IF($W$14=1,IF(AND(E8&gt;=7,J3=1),"C",IF(AND(E8&gt;=7,J3=2),"Cu",IF(AND(E8&gt;=7,J3=3),"Ag",""))),"")</f>
        <v/>
      </c>
      <c r="AD19" s="299" t="str">
        <f>IF(AND($E$8=6,$P$18=TRUE),"KI","")</f>
        <v/>
      </c>
      <c r="AF19" s="286" t="str">
        <f>IF($M$3=1,"",IF($M$3=2,"Zn",""))</f>
        <v/>
      </c>
      <c r="AG19" s="287" t="str">
        <f>IF(AND(W14=1,$E$8&gt;=7),IF($C$12=TRUE,IF(AND($M$5=1,$M$6=4),"CaCl₂",IF(AND($M$5=1,$M$6=5),"CaSO₄",IF(AND($M$5=1,$M$6=6),"Ba(OH)₂",IF(AND($M$5=1,$M$6=7),"ZnCl₂",IF(AND($M$5=1,$M$6=8),"NiSO₄",IF(AND($M$5=1,$M$6=9),"Sn(OH)₂","")))))),""),"")</f>
        <v/>
      </c>
      <c r="AH19" s="30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I19" s="124" t="str">
        <f>IF(OR(M7=1,M7=4,M7=7,M7=10,M7=11,M7=12,M7=13,M7=28,M7=29,M7=30,M7=31),"Cl2(g)",IF(OR(M7=2,M7=3,M7=5,M7=6,M7=8,M7=9,M7=14,M7=15,M7=16,M7=17,M7=18,M7=32,M7=33,M7=34,M7=35,M7=36),"O2(g)",IF(OR(M7=19,M7=20,M7=21,M7=22,M7=23,M7=24,M7=25,M7=26,M7=27),"Cu2+(aq)","")))</f>
        <v>O2(g)</v>
      </c>
      <c r="AL19" s="86"/>
      <c r="AM19" s="24"/>
      <c r="AN19" s="25"/>
      <c r="AO19" s="28"/>
    </row>
    <row r="20" spans="1:43" ht="15.75" thickBot="1" x14ac:dyDescent="0.3">
      <c r="A20" s="98"/>
      <c r="B20" s="7"/>
      <c r="C20" s="99" t="str">
        <f>IF(AND($E$8=8,$W$14=1),"PERTANYAAN ","")</f>
        <v/>
      </c>
      <c r="D20" s="86">
        <f>J4</f>
        <v>2</v>
      </c>
      <c r="E20" s="355">
        <f>E21</f>
        <v>0</v>
      </c>
      <c r="F20" s="24"/>
      <c r="G20" s="265" t="b">
        <v>0</v>
      </c>
      <c r="H20" s="39"/>
      <c r="I20" s="68"/>
      <c r="J20" s="91"/>
      <c r="K20" s="265" t="b">
        <v>0</v>
      </c>
      <c r="L20" s="90"/>
      <c r="M20" s="140"/>
      <c r="N20" s="141"/>
      <c r="O20" s="141"/>
      <c r="P20" s="25"/>
      <c r="Q20" s="268" t="str">
        <f>IF($W$14=1,"E","")</f>
        <v/>
      </c>
      <c r="R20" s="64" t="b">
        <v>0</v>
      </c>
      <c r="S20" s="25"/>
      <c r="T20" s="25"/>
      <c r="U20" s="25"/>
      <c r="V20" s="25"/>
      <c r="W20" s="25" t="str">
        <f>IF(Y21=2,IF(AND(W14=1,$E$8&gt;=7,Q24=TRUE,C12=TRUE,M7&lt;&gt;3,M7&lt;&gt;21,M7&lt;&gt;168),IF(OR(M7=1,M7=2,M7=4,M7=8,M7=9,M7=10,M7=12,M7=14,M7=15,M7=16,M7=17,M7=18,M7=19,M7=24,M7=28,M7=30,M7=32,M7=33,M7=34,M7=35,M7=36,M7=37,M7=38,M7=39,M7=40,M7=41,M7=42,M7=43,M7=44,M7=46,M7=60,M7=64,M7=68,M7=69,M7=70,M7=71,M7=72,M7=73,M7=74,M7=75,M7=76,M7=77,M7=78,M7=79,M7=80,M7=81,M7=95,M7=99,M7=101,M7=105,M7=107,M7=108,M7=119,M7=121,M7=124,M7=125,M7=120,M7=123,M7=131,M7=140,M7=141,M7=145,M7=169,M7=170),"( x2 )",IF(OR(M7=17,M7=33,M7=35,M7=66,M7=67),"( x4 )","( x1 )")),""),"")</f>
        <v/>
      </c>
      <c r="X20" s="28"/>
      <c r="Y20" s="254"/>
      <c r="Z20" s="19"/>
      <c r="AC20" s="300" t="str">
        <f>IF($W$14=1,IF(AND(E8&gt;=7,J4=2),"C",IF(AND(E8&gt;=7,J4=3),"Cu",IF(AND(E8&gt;=7,J4=4),"Ag",IF(AND(E8&gt;=7,J4=5),"Fe",IF(AND(E8&gt;=7,J4=6),"Co",IF(AND(E8&gt;=7,J4=7),"Ni",IF(AND(E8&gt;=7,J4=8),"Zn",IF(AND(E8&gt;=7,J4=9),"Sn",IF(AND(E8&gt;=7,J4=10),"Pb",IF(AND(E8&gt;=7,J4=11),"Cd","")))))))))),"")</f>
        <v/>
      </c>
      <c r="AD20" s="298" t="str">
        <f>IF(AND($E$8=6,$P$18=TRUE),"H₂SO₄","")</f>
        <v/>
      </c>
      <c r="AF20" s="286" t="str">
        <f>IF($M$3=1,"",IF($M$3=2,"Pb",""))</f>
        <v/>
      </c>
      <c r="AG20" s="287" t="str">
        <f>IF(AND(W14=1,$E$8&gt;=7),IF($C$12=TRUE,IF(AND($M$5=1,$M$6=4),"AlCl₃",IF(AND($M$5=1,$M$6=5),"AlPO₄",IF(AND($M$5=1,$M$6=6),"Al(OH)₃",IF(AND($M$5=1,$M$6=7),"CrCl₃",IF(AND($M$5=1,$M$6=8),"ZnSO₄",IF(AND($M$5=1,$M$6=9),"Pb(OH)₂","")))))),""),"")</f>
        <v/>
      </c>
      <c r="AH20" s="30"/>
      <c r="AI20" s="124" t="str">
        <f>IF(OR(M7=8,M7=9,M7=19,M7=20,M7=21,M7=22,M7=23,M7=24),"pH",IF(OR(M7=7,M7=8,M7=9,M7=25,M7=26,M7=27),"Ar Cu =",IF(OR(M7=10,M7=10,M7=28),"Ar Na =",IF(OR(M7=11,M7=14,M7=29,M7=32),"Ar Mg",IF(OR(M7=12,M7=30),"Ar Cr",IF(OR(M7=13,M7=18,M7=31,M7=36),"Ar Zn",IF(OR(M7=15,M7=33),"Ar Ag =",IF(OR(M7=16,M7=34),"Ar Cd =",IF(OR(M7=17,M7=35),"Ar Al =","")))))))))</f>
        <v/>
      </c>
      <c r="AL20" s="86"/>
      <c r="AM20" s="24"/>
      <c r="AN20" s="25"/>
      <c r="AO20" s="28"/>
      <c r="AQ20" s="179" t="s">
        <v>241</v>
      </c>
    </row>
    <row r="21" spans="1:43" ht="16.5" thickBot="1" x14ac:dyDescent="0.3">
      <c r="A21" s="98"/>
      <c r="C21" s="99" t="str">
        <f>IF(AND($E$8=8,$W$14=1),"HASIL","")</f>
        <v/>
      </c>
      <c r="D21" s="86">
        <f>D11</f>
        <v>2</v>
      </c>
      <c r="E21" s="177">
        <f>AE12</f>
        <v>0</v>
      </c>
      <c r="F21" s="24"/>
      <c r="G21" s="265" t="b">
        <v>0</v>
      </c>
      <c r="H21" s="39" t="s">
        <v>12</v>
      </c>
      <c r="I21" s="46"/>
      <c r="J21" s="47"/>
      <c r="K21" s="265" t="b">
        <v>0</v>
      </c>
      <c r="L21" s="90"/>
      <c r="M21" s="142"/>
      <c r="N21" s="141"/>
      <c r="O21" s="141"/>
      <c r="P21" s="25"/>
      <c r="Q21" s="268" t="str">
        <f>IF($W$14=1,"F","")</f>
        <v/>
      </c>
      <c r="R21" s="65"/>
      <c r="S21" s="25"/>
      <c r="T21" s="25"/>
      <c r="U21" s="25"/>
      <c r="V21" s="25"/>
      <c r="W21" s="25" t="str">
        <f>IF(AND(W14=1,$E$8&gt;=7,Q24=TRUE,C12=TRUE),IF(OR(M7=1,M7=2,M7=3,M7=5,M7=6,M7=8,M7=9,M7=10,M7=12,M7=14,M7=16,M7=18,M7=28,M7=30,M7=32,M7=34,M7=36,M7=39,M7=40,M7=48,M7=49,M7=50,M7=51,M7=52,M7=53,M7=54,M7=55,M7=56,M7=57,M7=58,M7=59,M7=60,M7=64,M7=68,M7=69,M7=70,M7=71,M7=72,M7=73,M7=74,M7=75,M7=76,M7=77,M7=101,M7=105,M7=107,M7=108),"( x2 )",IF(OR(M7=15,M7=17,M7=33,M7=35,M7=66,M7=67),"( x4 )",IF(OR(M7=46,M7=81,M7=124),"(x3)","( x1 )"))),"")</f>
        <v/>
      </c>
      <c r="X21" s="28"/>
      <c r="Y21" s="117">
        <f>Y23</f>
        <v>1</v>
      </c>
      <c r="Z21" s="19"/>
      <c r="AC21" s="302">
        <f>IFERROR(VLOOKUP($M$7,REAKSI!$B$3:$BM$38,REAKSI!Z1),0)</f>
        <v>32</v>
      </c>
      <c r="AD21" s="298" t="str">
        <f>IF(AND($E$8=6,$P$18=TRUE),"CuSO₄","")</f>
        <v/>
      </c>
      <c r="AE21" s="309"/>
      <c r="AF21" s="286" t="str">
        <f>IF($M$3=1,"",IF($M$3=2,"Sn",""))</f>
        <v/>
      </c>
      <c r="AG21" s="288" t="str">
        <f>IF(AND(W14=1,$E$8&gt;=7),IF($C$12=TRUE,IF(AND($M$5=1,$M$6=4),"MnCl₂",IF(AND($M$5=1,$M$6=5),"MnSO₄",IF(AND($M$5=1,$M$6=6),"Mn(OH)₂",IF(AND($M$5=1,$M$6=7),"SnCl₂",IF(AND($M$5=1,$M$6=8),"Sn(NO₃)₂",IF(AND($M$5=1,$M$6=9),"Cd(OH)₂","")))))),""),"")</f>
        <v/>
      </c>
      <c r="AH21" s="389"/>
      <c r="AI21" s="390"/>
      <c r="AL21" s="86"/>
      <c r="AM21" s="24"/>
      <c r="AN21" s="25"/>
      <c r="AO21" s="28"/>
    </row>
    <row r="22" spans="1:43" ht="15.75" thickBot="1" x14ac:dyDescent="0.3">
      <c r="A22" s="98"/>
      <c r="C22" s="271" t="str">
        <f>IF(AND(W14=1,E8=8),IF($E$20=0,"Klik O (RUMUS)",IF($E$20=1,"Massa zat (w)",IF(OR($E$20=2,$E$20=3),"Volume gas (V)",IF($E$20=4,"Massa zat (w)",IF($E$20=5,"Molaratis (M)",IF($E$20=6,"Waktu (t_maks)",IF($E$20=7,"Quantitas (Q)",IF($E$20=8,"Laju reaksi (r)",IF($E$20=9,"Laju Reaksi (r)",IF($E$20=10,"[H+], [X]sisa, Kw",IF($E$20=11,"pH larutan"))))))))))),"")</f>
        <v/>
      </c>
      <c r="D22" s="86">
        <f>C11</f>
        <v>1</v>
      </c>
      <c r="E22" s="23"/>
      <c r="F22" s="24"/>
      <c r="G22" s="265" t="b">
        <v>0</v>
      </c>
      <c r="H22" s="39"/>
      <c r="I22" s="39"/>
      <c r="J22" s="42"/>
      <c r="K22" s="265" t="b">
        <v>0</v>
      </c>
      <c r="L22" s="90"/>
      <c r="M22" s="266"/>
      <c r="N22" s="266"/>
      <c r="O22" s="266"/>
      <c r="P22" s="25"/>
      <c r="Q22" s="268" t="str">
        <f>IF($W$14=1,"G","")</f>
        <v/>
      </c>
      <c r="R22" s="66" t="b">
        <v>0</v>
      </c>
      <c r="S22" s="44"/>
      <c r="T22" s="44"/>
      <c r="U22" s="44"/>
      <c r="V22" s="44"/>
      <c r="W22" s="48" t="str">
        <f>IF(AND(W14=1,$E$8&gt;=7,Q24=TRUE,C12=TRUE),IF(OR(M7=119,M7=120,M7=121,M7=122,M7=123,M7=125,M7=126,M7=127,M7=128,M7=129,M7=130,M7=131,M7=132,M7=133,M7=134,M7=135,M7=136,M7=137,M7=138,M7=139,M7=140,M7=141,M7=142,M7=143,M7=144,M7=145,M7=146,M7=147,M7=149,M7=150,M7=151,M7=153,M7=154,M7=157,M7=158,M7=159,M7=160,M7=161,M7=162,M7=163,M7=164,M7=165,M7=166,M7=167,M7=168,M7=169),"( x2 )",IF(OR(M7=168,M7=168),"( x4 )",IF(OR(M7=12,M7=17,M7=30,M7=35,M7=64,M7=67,M7=105,M7=108,M7=152,M7=156),"( x3 )",IF(OR(M7=46,M7=81),"(x3)",IF(M7=124,"(x6)","( x1 )"))))),"")</f>
        <v/>
      </c>
      <c r="X22" s="28"/>
      <c r="Z22" s="19"/>
      <c r="AC22" s="303">
        <f>IF(OR($R$20=FALSE,$R$22=FALSE,$R$23=FALSE,$Q$24=FALSE),0,1)</f>
        <v>0</v>
      </c>
      <c r="AD22" s="298" t="str">
        <f>IF(AND($E$8=6,$P$18=TRUE),"NaCl","")</f>
        <v/>
      </c>
      <c r="AE22" s="308"/>
      <c r="AF22" s="343" t="str">
        <f>IF(E9=1,"Memahami, menerapkan, menganalisis, dan mengevaluasi konsep-konsep esensial",IF(E9=2,"Menerapkan konsep reduksi dan oksidasi dalam elektrolisis.",IF(E9=3,"1. Menjelaskan konsep reaksi reduksi dan oksidasi dalam elektrolisis",IF(E9=4,"1) Menganalisis reaksi di anoda dan katoda dari beberapa ",IF(E9=5,"(1) Wadah  sel elektrolisis  1 buah",IF(E9=6,"1. Klik Tombol VIDEO",IF(E9=7,"1. Klik Tombol START",IF(AND(C12=FALSE,$E$9=8,$D$11=2),"1. Klik Tombol START",IF(AND(C12=FALSE,$E$9=8,$D$11=3),"1. Klik Tombol START","")))))))))</f>
        <v/>
      </c>
      <c r="AG22" s="311" t="str">
        <f>IF(E8=5,"(5) Elektrolit (larutan atau lelehan)",IF($E$8=7,"5. Jawab dulu pertanyaan berikut! Lalu Klik Tombol E, F, G, H dan I",IF(AND(C12=FALSE,$E$9=8),"5. Aktifkan Tombol STOP untuk berhenti","")))</f>
        <v/>
      </c>
      <c r="AH22" s="313"/>
      <c r="AI22" s="99"/>
      <c r="AJ22" s="99"/>
      <c r="AK22" s="99"/>
      <c r="AL22" s="30" t="s">
        <v>16</v>
      </c>
      <c r="AM22" s="24"/>
      <c r="AN22" s="25"/>
      <c r="AO22" s="28"/>
    </row>
    <row r="23" spans="1:43" ht="17.100000000000001" customHeight="1" thickBot="1" x14ac:dyDescent="0.3">
      <c r="A23" s="98"/>
      <c r="C23" s="99" t="str">
        <f>IF($W$14=1,"LATIHAN","")</f>
        <v/>
      </c>
      <c r="E23" s="23"/>
      <c r="F23" s="24"/>
      <c r="G23" s="265" t="b">
        <v>0</v>
      </c>
      <c r="H23" s="39"/>
      <c r="I23" s="137"/>
      <c r="J23" s="42"/>
      <c r="K23" s="265" t="b">
        <v>0</v>
      </c>
      <c r="L23" s="90"/>
      <c r="M23" s="267"/>
      <c r="N23" s="267"/>
      <c r="O23" s="267"/>
      <c r="P23" s="25"/>
      <c r="Q23" s="268" t="str">
        <f>IF($W$14=1,"H","")</f>
        <v/>
      </c>
      <c r="R23" s="118" t="b">
        <v>0</v>
      </c>
      <c r="S23" s="21"/>
      <c r="T23" s="21"/>
      <c r="U23" s="21"/>
      <c r="V23" s="21"/>
      <c r="W23" s="48"/>
      <c r="X23" s="28"/>
      <c r="Y23" s="29">
        <v>1</v>
      </c>
      <c r="Z23" s="19"/>
      <c r="AC23" s="301" t="str">
        <f>IF(AND(E8&gt;=7,W14=1,Q24=TRUE),IF(Y21=1,"(bersih)",IF(Y21=2,"(total)",IF(Y21=0,"Klik → I"))),"")</f>
        <v/>
      </c>
      <c r="AD23" s="293" t="str">
        <f>IF(AND($E$8=6,$P$18=TRUE),"Penyepuhan","")</f>
        <v/>
      </c>
      <c r="AE23" s="308"/>
      <c r="AF23" s="287" t="str">
        <f>IF(E9=1,"dalam substansi kajian Kimia Dasar sebagai pengetahuan faktual,",IF(E9=2,"",IF(E9=3,"2. Menuliskan reaksi elektrolisis yang terjadi di anoda dan katoda",IF(E9=4,"     larutan elektrolit dalam sel elektrolisis.",IF(E9=5,"(2) Elektroda 2 buah",IF(E9=6,"2. Pilihlah percobaan (KI, H2SO4, CuSO4, NaCl, atau Penyepuhan)",IF(AND(E9=7,D11&lt;=2),"2. Klik Tombol A dan B, Pilihlah elektroda C, Cu, atau Ag",IF(AND(E9=7,D11=3),"2. Klik Tombol A dan B, Pilihlah elektroda C atau  Cu",IF(AND(C12=FALSE,$E$9=8,D11=2),"2. INPUT DATA  -&gt; Volume, Konsentrasi, Kuat Arus dan Waktu",IF(AND(C12=FALSE,$E$9=8,D11=3),"2. INPUT DATA  -&gt; Massa Zat, Kuat Arus dan Waktu",""))))))))))</f>
        <v/>
      </c>
      <c r="AG23" s="312"/>
      <c r="AH23" s="99"/>
      <c r="AI23" s="292" t="str">
        <f>IF(AND($E$8=8,$AC$22=1,$AD$15=0,(D9-1)*(J4-1)*(D11-1)*(D10-1)&gt;0,$D$11=3,OR(G23=TRUE,G21=TRUE,G20=TRUE,K22=TRUE,K20=TRUE,G22=TRUE,K21=TRUE,K23=TRUE)),"INPUT DATA: m, i, t",IF(AND($E$8=8,$AC$22=1,$AD$15=0,(D9-1)*(J4-1)*(D11-1)*(D10-1)&gt;0,$D$11=2,OR(G23=TRUE,G21=TRUE,G20=TRUE,K22=TRUE,K20=TRUE,G22=TRUE,K21=TRUE,K23=TRUE)),"INPUT DATA: V, M, i, t",IF(AND($E$8=8,$AC$22=0,OR(G23=TRUE,G21=TRUE,G20=TRUE,K22=TRUE,K20=TRUE,G22=TRUE,K21=TRUE,K23=TRUE)),"REAKSI BELUM LENGKAP",IF(AND($E$8=8,$AC$22=1,(D9-1)*(J4-1)*(D11-1)*(D10-1)=0,OR(G23=TRUE,G21=TRUE,G20=TRUE,K22=TRUE,K20=TRUE,G22=TRUE,K21=TRUE,K23=TRUE)),"DATA BELUM LENGKAP",IF(AND($E$8=8,$AC$22=1,$AD$15&gt;0,(D9-1)*(J4-1)*(D11-1)*(D10-1)&gt;0,$C$12=FALSE,OR(G23=TRUE,G21=TRUE,G20=TRUE,K22=TRUE,K20=TRUE,G22=TRUE,K21=TRUE,K23=TRUE)),"Klik KOTAK Latihan",IF(AND($E$8=8,$AC$22=1,$AD$15&gt;0,(D9-1)*(J4-1)*(D11-1)*(D10-1)&gt;0,E15=0,OR(G23=TRUE,G21=TRUE,G20=TRUE,K22=TRUE,K20=TRUE,G22=TRUE,K21=TRUE,K23=TRUE)),"Klik KOTAK Diketahui",IF(AND($E$8=8,$AC$22=1,$AD$15&gt;0,(D9-1)*(J4-1)*(D11-1)*(D10-1)&gt;0,E15=1,OR(G23=TRUE,G21=TRUE,G20=TRUE,K22=TRUE,K20=TRUE,G22=TRUE,K21=TRUE,K23=TRUE)),"Klik KOTAK Pertanyaan",IF(AND($E$8=8,$AC$22=1,$AD$15&gt;0,(D9-1)*(J4-1)*(D11-1)*(D10-1)&gt;0,E15=2,OR(G23=TRUE,G21=TRUE,G20=TRUE,K22=TRUE,K20=TRUE,G22=TRUE,K21=TRUE,K23=TRUE)),"Klik KOTAK Hasil",IF(AND($E$8=7,$W$14&lt;&gt;1,OR(R20=TRUE,R22=TRUE,R23=TRUE,Q24=TRUE)),"Klik START",IF(AND($E$8=7,$W$14=1,(D9-1)*(J4-1)*(D11-1)*(D10-1)=0,OR(R20=TRUE,R22=TRUE,R23=TRUE,Q24=TRUE)),"Data Belum Lengkap",IF(AND($C$12=FALSE,$E$8=7,$W$14=1,(D9-1)*(J4-1)*(D11-1)*(D10-1)&gt;0,OR(R20=TRUE,R22=TRUE,R23=TRUE,Q24=TRUE)),"Klik KOTAK Latihan",IF(AND($E$8=8,$AC$22=1,(D9-1)*(J4-1)*(D11-1)*(D10-1)&gt;0,$C$12=FALSE,OR(G23=TRUE,G21=TRUE,G20=TRUE,K22=TRUE,K20=TRUE,G22=TRUE,K21=TRUE,K23=TRUE)),"Klik KOTAK Latihan",""))))))))))))</f>
        <v/>
      </c>
      <c r="AJ23" s="99"/>
      <c r="AK23" s="99"/>
      <c r="AL23" s="86"/>
      <c r="AM23" s="24"/>
      <c r="AN23" s="25"/>
      <c r="AO23" s="28"/>
    </row>
    <row r="24" spans="1:43" ht="17.100000000000001" customHeight="1" thickBot="1" x14ac:dyDescent="0.3">
      <c r="A24" s="98"/>
      <c r="C24" s="99"/>
      <c r="E24" s="49"/>
      <c r="F24" s="43"/>
      <c r="G24" s="44"/>
      <c r="H24" s="50"/>
      <c r="I24" s="133"/>
      <c r="J24" s="120"/>
      <c r="K24" s="121"/>
      <c r="L24" s="50"/>
      <c r="M24" s="385"/>
      <c r="N24" s="385"/>
      <c r="O24" s="385"/>
      <c r="P24" s="44"/>
      <c r="Q24" s="66" t="b">
        <v>0</v>
      </c>
      <c r="R24" s="122" t="s">
        <v>12</v>
      </c>
      <c r="S24" s="44"/>
      <c r="T24" s="44"/>
      <c r="U24" s="44"/>
      <c r="V24" s="44"/>
      <c r="W24" s="44"/>
      <c r="X24" s="45"/>
      <c r="Y24" s="88" t="str">
        <f>IF($W$14=1,"I","")</f>
        <v/>
      </c>
      <c r="Z24" s="19"/>
      <c r="AC24" s="304" t="str">
        <f>IF(AND($E$8=8,$C$12=TRUE,$AC$22=1,$AD$15&gt;0,(D9-1)*(J4-1)*(D11-1)*(D10-1)&gt;0,E15=0,OR(G23=TRUE,G21=TRUE,G20=TRUE,K22=TRUE,K20=TRUE,G22=TRUE,K21=TRUE,K23=TRUE)),"→","")</f>
        <v/>
      </c>
      <c r="AE24" s="332"/>
      <c r="AF24" s="287" t="str">
        <f>IF(E9=1,"konseptual, prosedural, dan metakognitif serta mengaplikasikan",IF(E9=2,"",IF(E9=3,"3. Menjelaskan faktor-faktor yang mempengaruhi terjadinya reaksi reduksi dan oksidasi",IF(E9=4,"2) Menghubungkan kuat arus dan waktu elektrolisis terhadap",IF(E9=5,"(3) Baterai  12V 40AH   1 buah   (40 amper selama 1 jam)",IF(E9=6,"3. Buatlah LKPD berdasarkan tayangan pada Video",IF(E9=7,"3. Klik Tombol C, Pilihlah elektrolit (Larutan atau Lelehan)",IF(AND(C12=FALSE,$E$9=8,D11=2),"3. Klik Tombol  LATIHAN, pilihlah salah satu elektrolit ",IF(AND(C12=FALSE,$E$9=8,D11=3),"3. Klik Tombol  LATIHAN, pilihlah salah satu elektrolit ","")))))))))</f>
        <v/>
      </c>
      <c r="AG24" s="306"/>
      <c r="AH24" s="99"/>
      <c r="AI24" s="291" t="str">
        <f>IF(AND($E$8=8,$AC$22=1,$AD$15=0,(D9-1)*(J4-1)*(D11-1)*(D10-1)&gt;0,OR(G23=TRUE,G21=TRUE,G20=TRUE,K22=TRUE,K20=TRUE,G22=TRUE,K21=TRUE,K23=TRUE)),"SALAH !!!",IF(AND($E$8=8,$AC$22=0,OR(G23=TRUE,G21=TRUE,G20=TRUE,K22=TRUE,K20=TRUE,G22=TRUE,K21=TRUE,K23=TRUE)),"SALAH !!!",IF(AND($E$8=8,$AC$22=1,(D9-1)*(J4-1)*(D11-1)*(D10-1)=0,OR(G23=TRUE,G21=TRUE,G20=TRUE,K22=TRUE,K20=TRUE,G22=TRUE,K21=TRUE,K23=TRUE)),"SALAH !!!",IF(AND($E$8=8,$AC$22=1,$AD$15&gt;0,(D9-1)*(J4-1)*(D11-1)*(D10-1)&gt;0,E15=0,OR(G23=TRUE,G21=TRUE,G20=TRUE,K22=TRUE,K20=TRUE,G22=TRUE,K21=TRUE,K23=TRUE)),"SALAH !!!",IF(AND($E$8=8,$AC$22=1,$AD$15&gt;0,(D9-1)*(J4-1)*(D11-1)*(D10-1)&gt;0,E15=1,OR(G23=TRUE,G21=TRUE,G20=TRUE,K22=TRUE,K20=TRUE,G22=TRUE,K21=TRUE,K23=TRUE)),"SALAH !!!",IF(AND($E$8=8,$AC$22=1,$AD$15&gt;0,(D9-1)*(J4-1)*(D11-1)*(D10-1)&gt;0,E15=2,OR(G23=TRUE,G21=TRUE,G20=TRUE,K22=TRUE,K20=TRUE,G22=TRUE,K21=TRUE,K23=TRUE)),"SALAH !!!",IF(AND($E$8=7,$W$14&lt;&gt;1,OR(R20=TRUE,R22=TRUE,R23=TRUE,Q24=TRUE)),"SALAH !!!",IF(AND($E$8=7,$W$14=1,(D9-1)*(J4-1)*(D11-1)*(D10-1)=0,OR(R20=TRUE,R22=TRUE,R23=TRUE,Q24=TRUE)),"SALAH !!!",IF(AND($C$12=FALSE,$E$8=7,$W$14=1,(D9-1)*(J4-1)*(D11-1)*(D10-1)&gt;0,OR(R20=TRUE,R22=TRUE,R23=TRUE,Q24=TRUE)),"SALAH !!!",IF(AND($E$8=8,$AC$22=1,(D9-1)*(J4-1)*(D11-1)*(D10-1)&gt;0,$C$12=FALSE,OR(G23=TRUE,G21=TRUE,G20=TRUE,K22=TRUE,K20=TRUE,G22=TRUE,K21=TRUE,K23=TRUE)),"SALAH !!!",""))))))))))</f>
        <v/>
      </c>
      <c r="AJ24" s="99"/>
      <c r="AK24" s="99"/>
      <c r="AL24" s="86"/>
      <c r="AM24" s="24"/>
      <c r="AN24" s="25"/>
      <c r="AO24" s="28"/>
    </row>
    <row r="25" spans="1:43" x14ac:dyDescent="0.25">
      <c r="C25" s="368"/>
      <c r="E25" s="86"/>
      <c r="F25" s="9"/>
      <c r="G25" s="86"/>
      <c r="H25" s="86"/>
      <c r="I25" s="86"/>
      <c r="J25" s="362"/>
      <c r="K25" s="119"/>
      <c r="L25" s="212"/>
      <c r="M25" s="212"/>
      <c r="N25" s="17"/>
      <c r="O25" s="17"/>
      <c r="P25" s="17"/>
      <c r="Q25" s="17"/>
      <c r="R25" s="17"/>
      <c r="S25" s="17"/>
      <c r="T25" s="17"/>
      <c r="Y25" s="29"/>
      <c r="Z25" s="19"/>
      <c r="AC25" s="273" t="str">
        <f>IF(AND($E$8=8,$AC$22=1,$AD$15&gt;0,(D9-1)*(J4-1)*(D11-1)*(D10-1)&gt;0,E15=1,OR(G23=TRUE,G21=TRUE,G20=TRUE,K22=TRUE,K20=TRUE,G22=TRUE,K21=TRUE,K23=TRUE)),"→","")</f>
        <v/>
      </c>
      <c r="AE25" s="332"/>
      <c r="AF25" s="287" t="str">
        <f>IF(E9=1,"konsep-konsep tersebut untuk memecahkan masalah yang berhubungan", IF(E9=3,"dan oksidasi",IF(E9=4,"     massa zat atau volume gas yang dihasilkan di elektroda",IF(E9=5,"(4) Kabel  2  buah",IF(E9=6,"4. Lengkapi LKPD dengan hasil pengamatan &amp; pembahasan",IF(AND(M7&lt;&gt;3,E9=7),"4. Klik Tombol D, Pilihlah  SAMPEL",IF(AND(M7=3,E9=7),"4. Input data Waktu dan Kuat Arus",IF(AND(C12=FALSE,$E$9=8,D11=2),"4. Klik Tombol DIKETAHUI, PERTANYAAN, HASIL",IF(AND(C12=FALSE,$E$9=8,D11=3),"4. Klik Tombol DIKETAHUI, PERTANYAAN, HASIL","")))))))))</f>
        <v/>
      </c>
      <c r="AH25" s="99"/>
      <c r="AI25" s="99"/>
      <c r="AJ25" s="87"/>
      <c r="AK25" s="99"/>
      <c r="AL25" s="86"/>
      <c r="AM25" s="24"/>
      <c r="AN25" s="25"/>
      <c r="AO25" s="28"/>
    </row>
    <row r="26" spans="1:43" ht="15.75" thickBot="1" x14ac:dyDescent="0.3">
      <c r="C26" s="369" t="s">
        <v>12</v>
      </c>
      <c r="E26" s="182"/>
      <c r="G26" s="86"/>
      <c r="I26" s="143"/>
      <c r="J26" s="129" t="s">
        <v>12</v>
      </c>
      <c r="K26" s="155"/>
      <c r="L26" s="215"/>
      <c r="M26" s="354"/>
      <c r="N26" s="17"/>
      <c r="O26" s="17"/>
      <c r="P26" s="376"/>
      <c r="Q26" s="17"/>
      <c r="R26" s="213"/>
      <c r="S26" s="215"/>
      <c r="T26" s="17"/>
      <c r="Y26" s="29"/>
      <c r="Z26" s="19"/>
      <c r="AC26" s="274" t="str">
        <f>IF(AND($E$8=8,$AC$22=1,$AD$15&gt;0,(D9-1)*(J4-1)*(D11-1)*(D10-1)&gt;0,E15=2,OR(G23=TRUE,G21=TRUE,G20=TRUE,K22=TRUE,K20=TRUE,G22=TRUE,K21=TRUE,K23=TRUE)),"→","")</f>
        <v/>
      </c>
      <c r="AE26" s="213"/>
      <c r="AF26" s="288" t="str">
        <f>IF(E9=1, "dengan substansi kajian secara teoritis maupun eksperimental", IF(E9=3,"",IF(E9=4,"3) Mengetahui laju reaksi, waktu optimum, dan pH larutan",IF(E9=5,"(5) Elektrolit (larutan atau lelehan)",IF(AND(M7&lt;&gt;3,E9=7),"5. Klik LATIHAN (jawablah pertanyaan), Hasilnya Klik Tombol E, F, G, H, I",IF(AND(C12=FALSE,$E$9=8,D11=2),"5. Klik Tombol  JAWABAN (a - h) berurutan &amp; Lihat Rumusnya",IF(AND(C12=FALSE,$E$9=8,D11=3),"5. Klik Tombol JAWABAN (a - f) berurutan &amp; Lihat Rumusnya","")))))))</f>
        <v/>
      </c>
      <c r="AI26" s="17"/>
      <c r="AJ26" s="17"/>
      <c r="AL26" s="86"/>
      <c r="AM26" s="24"/>
      <c r="AN26" s="25"/>
      <c r="AO26" s="28"/>
    </row>
    <row r="27" spans="1:43" x14ac:dyDescent="0.25">
      <c r="C27" s="380"/>
      <c r="E27" s="182"/>
      <c r="G27" s="86"/>
      <c r="I27" s="143" t="s">
        <v>12</v>
      </c>
      <c r="J27" s="129"/>
      <c r="K27" s="155"/>
      <c r="L27" s="215"/>
      <c r="M27" s="165"/>
      <c r="N27" s="17"/>
      <c r="O27" s="17"/>
      <c r="P27" s="376"/>
      <c r="Q27" s="215"/>
      <c r="R27" s="213"/>
      <c r="S27" s="215" t="s">
        <v>12</v>
      </c>
      <c r="T27" s="215"/>
      <c r="U27" s="367" t="s">
        <v>12</v>
      </c>
      <c r="AE27" s="17"/>
      <c r="AI27" s="17"/>
      <c r="AL27" s="30" t="s">
        <v>17</v>
      </c>
      <c r="AM27" s="24"/>
      <c r="AN27" s="334" t="str">
        <f>IF(OR(L7=16,L7=34),"Cd(s)",IF(OR(L7=12,L7=30),"Cr(s)",IF(OR(L7=7,L7=8,L7=9,L7=15,L7=25,L7=26,L7=27,L7=33),"Cu(s)",IF(OR(L7=17,L7=35),"Al(s)",IF(OR(L7=11,L7=14,L7=29,L7=32),"Mg(s)",IF(OR(L7=10,L7=28),"Na(s)",IF(OR(L7=13,L7=18,L7=31,L7=36),"Zn(s)","")))))))</f>
        <v/>
      </c>
      <c r="AO27" s="28"/>
    </row>
    <row r="28" spans="1:43" x14ac:dyDescent="0.25">
      <c r="C28" s="370"/>
      <c r="E28" s="182"/>
      <c r="G28" s="86"/>
      <c r="I28" s="143" t="s">
        <v>12</v>
      </c>
      <c r="J28" s="129" t="s">
        <v>12</v>
      </c>
      <c r="K28" s="129"/>
      <c r="L28" s="215"/>
      <c r="M28" s="215"/>
      <c r="N28" s="17"/>
      <c r="O28" s="17"/>
      <c r="P28" s="214"/>
      <c r="Q28" s="17"/>
      <c r="R28" s="213"/>
      <c r="S28" s="215"/>
      <c r="T28" s="376"/>
      <c r="AE28" s="213"/>
      <c r="AI28" s="17"/>
      <c r="AL28" s="86"/>
      <c r="AM28" s="24"/>
      <c r="AN28" s="25"/>
      <c r="AO28" s="28"/>
    </row>
    <row r="29" spans="1:43" x14ac:dyDescent="0.25">
      <c r="C29" s="371"/>
      <c r="E29" s="182"/>
      <c r="G29" s="86"/>
      <c r="H29" s="63"/>
      <c r="I29" s="143"/>
      <c r="J29" s="129"/>
      <c r="K29" s="152"/>
      <c r="L29" s="213"/>
      <c r="M29" s="215"/>
      <c r="N29" s="376"/>
      <c r="O29" s="376"/>
      <c r="P29" s="214"/>
      <c r="Q29" s="17"/>
      <c r="R29" s="213"/>
      <c r="S29" s="215"/>
      <c r="T29" s="377"/>
      <c r="V29" s="182"/>
      <c r="AD29" s="18" t="s">
        <v>12</v>
      </c>
      <c r="AE29" s="17"/>
      <c r="AI29" s="17"/>
      <c r="AL29" s="86"/>
      <c r="AM29" s="24"/>
      <c r="AN29" s="25"/>
      <c r="AO29" s="28"/>
    </row>
    <row r="30" spans="1:43" x14ac:dyDescent="0.25">
      <c r="C30" s="371"/>
      <c r="G30" s="129"/>
      <c r="H30" s="63"/>
      <c r="I30" s="143"/>
      <c r="J30" s="155"/>
      <c r="K30" s="152"/>
      <c r="L30" s="214"/>
      <c r="M30" s="352"/>
      <c r="N30" s="17"/>
      <c r="O30" s="17"/>
      <c r="P30" s="214"/>
      <c r="Q30" s="17"/>
      <c r="R30" s="213"/>
      <c r="S30" s="378"/>
      <c r="T30" s="17"/>
      <c r="AE30" s="17"/>
      <c r="AI30" s="17"/>
      <c r="AM30" s="24"/>
      <c r="AN30" s="25"/>
      <c r="AO30" s="28"/>
    </row>
    <row r="31" spans="1:43" ht="15.75" thickBot="1" x14ac:dyDescent="0.3">
      <c r="C31" s="372"/>
      <c r="G31" s="153"/>
      <c r="I31" s="143"/>
      <c r="J31" s="153"/>
      <c r="K31" s="152"/>
      <c r="L31" s="214"/>
      <c r="M31" s="347"/>
      <c r="N31" s="17"/>
      <c r="O31" s="17"/>
      <c r="P31" s="214"/>
      <c r="Q31" s="213"/>
      <c r="R31" s="213"/>
      <c r="S31" s="215"/>
      <c r="T31" s="17"/>
      <c r="U31" s="164"/>
      <c r="AE31" s="305"/>
      <c r="AM31" s="43"/>
      <c r="AN31" s="44"/>
      <c r="AO31" s="45"/>
    </row>
    <row r="32" spans="1:43" x14ac:dyDescent="0.25">
      <c r="C32" s="370"/>
      <c r="G32" s="152"/>
      <c r="I32" s="143"/>
      <c r="J32" s="153"/>
      <c r="K32" s="152"/>
      <c r="L32" s="214"/>
      <c r="M32" s="348"/>
      <c r="N32" s="17"/>
      <c r="O32" s="17"/>
      <c r="P32" s="214"/>
      <c r="Q32" s="17"/>
      <c r="R32" s="377"/>
      <c r="S32" s="377"/>
      <c r="T32" s="17"/>
      <c r="AJ32" s="17"/>
    </row>
    <row r="33" spans="3:43" x14ac:dyDescent="0.25">
      <c r="C33" s="86"/>
      <c r="G33" s="155"/>
      <c r="I33" s="143"/>
      <c r="J33" s="153"/>
      <c r="K33" s="152"/>
      <c r="L33" s="214"/>
      <c r="M33" s="349"/>
      <c r="P33" s="214"/>
      <c r="Q33" s="86"/>
      <c r="R33" s="213"/>
      <c r="S33" s="215"/>
      <c r="AJ33" s="17"/>
    </row>
    <row r="34" spans="3:43" x14ac:dyDescent="0.25">
      <c r="C34" s="86"/>
      <c r="G34" s="155"/>
      <c r="I34" s="143"/>
      <c r="J34" s="153"/>
      <c r="K34" s="152"/>
      <c r="L34" s="214"/>
      <c r="M34" s="350"/>
      <c r="P34" s="214"/>
      <c r="Q34" s="17"/>
      <c r="R34" s="226"/>
      <c r="S34" s="226"/>
      <c r="AJ34" s="17"/>
    </row>
    <row r="35" spans="3:43" x14ac:dyDescent="0.25">
      <c r="C35" s="86"/>
      <c r="G35" s="155"/>
      <c r="I35" s="143"/>
      <c r="J35" s="153"/>
      <c r="K35" s="152"/>
      <c r="L35" s="214"/>
      <c r="M35" s="351"/>
      <c r="P35" s="214"/>
      <c r="Q35" s="86"/>
      <c r="R35" s="226"/>
    </row>
    <row r="36" spans="3:43" x14ac:dyDescent="0.25">
      <c r="C36" s="86"/>
      <c r="G36" s="155"/>
      <c r="I36" s="129"/>
      <c r="J36" s="153"/>
      <c r="K36" s="152"/>
      <c r="L36" s="169"/>
      <c r="M36" s="351"/>
      <c r="P36" s="169"/>
      <c r="Q36" s="17"/>
      <c r="R36" s="86"/>
      <c r="AG36" s="86"/>
      <c r="AP36" s="18" t="s">
        <v>12</v>
      </c>
    </row>
    <row r="37" spans="3:43" x14ac:dyDescent="0.25">
      <c r="C37" s="86"/>
      <c r="G37" s="155"/>
      <c r="I37" s="155"/>
      <c r="J37" s="152"/>
      <c r="K37" s="152"/>
      <c r="L37" s="152"/>
      <c r="R37" s="151"/>
    </row>
    <row r="38" spans="3:43" x14ac:dyDescent="0.25">
      <c r="G38" s="119"/>
      <c r="I38" s="155"/>
      <c r="J38" s="152"/>
      <c r="K38" s="152"/>
      <c r="L38" s="152"/>
      <c r="Q38" s="154"/>
      <c r="R38" s="151"/>
    </row>
    <row r="39" spans="3:43" x14ac:dyDescent="0.25">
      <c r="G39" s="247"/>
      <c r="I39" s="163"/>
      <c r="J39" s="152"/>
      <c r="K39" s="152"/>
      <c r="L39" s="152"/>
      <c r="R39" s="151"/>
    </row>
    <row r="40" spans="3:43" x14ac:dyDescent="0.25">
      <c r="G40" s="247"/>
      <c r="I40" s="163"/>
      <c r="J40" s="152"/>
      <c r="K40" s="152"/>
      <c r="L40" s="152"/>
      <c r="Q40" s="154"/>
      <c r="R40" s="151"/>
      <c r="Z40" s="143"/>
      <c r="AI40" s="226"/>
      <c r="AL40" s="18" t="str">
        <f>IF(AND(W14=3,E8&gt;=7),"Pilih START atau STOP","")</f>
        <v/>
      </c>
    </row>
    <row r="41" spans="3:43" x14ac:dyDescent="0.25">
      <c r="G41" s="247"/>
      <c r="I41" s="163"/>
      <c r="J41" s="152"/>
      <c r="K41" s="153"/>
      <c r="L41" s="152"/>
      <c r="R41" s="151"/>
      <c r="Z41" s="143"/>
      <c r="AI41" s="226"/>
    </row>
    <row r="42" spans="3:43" x14ac:dyDescent="0.25">
      <c r="G42" s="247"/>
      <c r="I42" s="163"/>
      <c r="J42" s="152"/>
      <c r="K42" s="153"/>
      <c r="L42" s="152"/>
      <c r="Q42" s="154"/>
      <c r="R42" s="151"/>
      <c r="AG42" s="275"/>
      <c r="AQ42" s="18" t="s">
        <v>12</v>
      </c>
    </row>
    <row r="43" spans="3:43" x14ac:dyDescent="0.25">
      <c r="G43" s="129"/>
      <c r="I43" s="163"/>
      <c r="J43" s="152"/>
      <c r="K43" s="153"/>
      <c r="L43" s="152"/>
      <c r="R43" s="151"/>
    </row>
    <row r="44" spans="3:43" x14ac:dyDescent="0.25">
      <c r="G44" s="129"/>
      <c r="I44" s="163"/>
      <c r="J44" s="152"/>
      <c r="K44" s="153"/>
      <c r="L44" s="152"/>
      <c r="AG44" s="164"/>
      <c r="AH44" s="86"/>
      <c r="AI44" s="86"/>
      <c r="AJ44" s="86"/>
      <c r="AM44" s="86"/>
      <c r="AO44" s="169"/>
      <c r="AP44" s="164"/>
    </row>
    <row r="45" spans="3:43" x14ac:dyDescent="0.25">
      <c r="G45" s="129"/>
      <c r="I45" s="163"/>
      <c r="J45" s="152"/>
      <c r="K45" s="153"/>
      <c r="L45" s="152"/>
      <c r="AG45" s="278"/>
      <c r="AH45" s="86"/>
      <c r="AI45" s="86"/>
      <c r="AJ45" s="86"/>
      <c r="AM45" s="86"/>
      <c r="AP45" s="277" t="s">
        <v>12</v>
      </c>
    </row>
    <row r="46" spans="3:43" x14ac:dyDescent="0.25">
      <c r="AH46" s="86"/>
    </row>
    <row r="47" spans="3:43" x14ac:dyDescent="0.25">
      <c r="AH47" s="86"/>
    </row>
  </sheetData>
  <sheetProtection algorithmName="SHA-512" hashValue="rc+DpN+ZNK79sAcHj0vB0OOjCmgohrwsUpPhfwO1WeSWd7y4zTPrQE+CkU/qWzsot6W4tz8jwL3OXPCXRRnqqQ==" saltValue="06VbQRSbaEGN5ptSI4thYQ==" spinCount="100000" sheet="1" selectLockedCells="1"/>
  <sortState xmlns:xlrd2="http://schemas.microsoft.com/office/spreadsheetml/2017/richdata2" ref="AC4:AD23">
    <sortCondition ref="AC4:AC23"/>
  </sortState>
  <mergeCells count="10">
    <mergeCell ref="M24:O24"/>
    <mergeCell ref="E2:E4"/>
    <mergeCell ref="AQ6:AQ9"/>
    <mergeCell ref="AH21:AI21"/>
    <mergeCell ref="O3:W3"/>
    <mergeCell ref="G9:L12"/>
    <mergeCell ref="K13:L13"/>
    <mergeCell ref="E5:E7"/>
    <mergeCell ref="G8:L8"/>
    <mergeCell ref="E12:E14"/>
  </mergeCells>
  <conditionalFormatting sqref="C11">
    <cfRule type="expression" dxfId="47" priority="78">
      <formula>$C$11=FALSE</formula>
    </cfRule>
  </conditionalFormatting>
  <conditionalFormatting sqref="D10">
    <cfRule type="expression" dxfId="46" priority="19">
      <formula>$D$10=""</formula>
    </cfRule>
  </conditionalFormatting>
  <conditionalFormatting sqref="F24">
    <cfRule type="expression" dxfId="45" priority="98">
      <formula>$D$10="over voltage"</formula>
    </cfRule>
  </conditionalFormatting>
  <conditionalFormatting sqref="F9:M12">
    <cfRule type="expression" dxfId="44" priority="5">
      <formula>$E$8=0</formula>
    </cfRule>
  </conditionalFormatting>
  <conditionalFormatting sqref="G8">
    <cfRule type="expression" dxfId="43" priority="94">
      <formula>$E$9=0</formula>
    </cfRule>
  </conditionalFormatting>
  <conditionalFormatting sqref="G9">
    <cfRule type="expression" dxfId="42" priority="13">
      <formula>$E$8=6</formula>
    </cfRule>
    <cfRule type="expression" dxfId="41" priority="14">
      <formula>$E$8=5</formula>
    </cfRule>
    <cfRule type="expression" dxfId="40" priority="15">
      <formula>$E$8=4</formula>
    </cfRule>
    <cfRule type="expression" dxfId="39" priority="16">
      <formula>$E$8=3</formula>
    </cfRule>
    <cfRule type="expression" dxfId="38" priority="17">
      <formula>$E$8=2</formula>
    </cfRule>
    <cfRule type="expression" dxfId="37" priority="18">
      <formula>$E$8=1</formula>
    </cfRule>
    <cfRule type="expression" dxfId="36" priority="33">
      <formula>$E$8=0</formula>
    </cfRule>
  </conditionalFormatting>
  <conditionalFormatting sqref="G16:I16 K16:L16">
    <cfRule type="expression" dxfId="35" priority="53">
      <formula>$E$8&lt;&gt;7</formula>
    </cfRule>
  </conditionalFormatting>
  <conditionalFormatting sqref="G9:L12">
    <cfRule type="expression" dxfId="34" priority="8">
      <formula>$E$80</formula>
    </cfRule>
  </conditionalFormatting>
  <conditionalFormatting sqref="G9:L13">
    <cfRule type="expression" dxfId="33" priority="7">
      <formula>$E$8=0</formula>
    </cfRule>
  </conditionalFormatting>
  <conditionalFormatting sqref="G15:L16">
    <cfRule type="expression" dxfId="32" priority="52">
      <formula>$E$8&lt;&gt;7</formula>
    </cfRule>
  </conditionalFormatting>
  <conditionalFormatting sqref="G8:M12">
    <cfRule type="expression" dxfId="31" priority="4">
      <formula>$E$8=0</formula>
    </cfRule>
  </conditionalFormatting>
  <conditionalFormatting sqref="J15">
    <cfRule type="expression" dxfId="30" priority="96">
      <formula>$E$8&lt;8</formula>
    </cfRule>
    <cfRule type="expression" dxfId="29" priority="97">
      <formula>$E$17=0</formula>
    </cfRule>
  </conditionalFormatting>
  <conditionalFormatting sqref="M17:M20">
    <cfRule type="expression" dxfId="28" priority="95">
      <formula>#REF!=0</formula>
    </cfRule>
  </conditionalFormatting>
  <conditionalFormatting sqref="M21">
    <cfRule type="expression" dxfId="27" priority="91">
      <formula>$E$21=0</formula>
    </cfRule>
  </conditionalFormatting>
  <conditionalFormatting sqref="M24">
    <cfRule type="expression" dxfId="26" priority="48">
      <formula>$E$15&lt;3</formula>
    </cfRule>
  </conditionalFormatting>
  <conditionalFormatting sqref="P11:R14">
    <cfRule type="expression" dxfId="25" priority="27">
      <formula>$E$8&lt;8</formula>
    </cfRule>
    <cfRule type="expression" dxfId="24" priority="49">
      <formula>$E$8&lt;7</formula>
    </cfRule>
  </conditionalFormatting>
  <conditionalFormatting sqref="P11:R16">
    <cfRule type="expression" dxfId="23" priority="10">
      <formula>$E$8&lt;8</formula>
    </cfRule>
  </conditionalFormatting>
  <conditionalFormatting sqref="Q11:Q14">
    <cfRule type="expression" dxfId="22" priority="26">
      <formula>$W$14&lt;&gt;1</formula>
    </cfRule>
    <cfRule type="expression" dxfId="21" priority="44">
      <formula>$W$14=2</formula>
    </cfRule>
    <cfRule type="expression" dxfId="20" priority="30">
      <formula>$E$8=8</formula>
    </cfRule>
    <cfRule type="expression" dxfId="19" priority="32">
      <formula>$E$8&lt;8</formula>
    </cfRule>
  </conditionalFormatting>
  <conditionalFormatting sqref="Q12">
    <cfRule type="expression" dxfId="18" priority="28">
      <formula>$D$11=3</formula>
    </cfRule>
  </conditionalFormatting>
  <conditionalFormatting sqref="Q15:Q16">
    <cfRule type="expression" dxfId="17" priority="2">
      <formula>$W$14=2</formula>
    </cfRule>
    <cfRule type="expression" dxfId="16" priority="1">
      <formula>$W$14&gt;=2</formula>
    </cfRule>
  </conditionalFormatting>
  <conditionalFormatting sqref="R22:V23">
    <cfRule type="expression" dxfId="15" priority="3">
      <formula>$E$8=0</formula>
    </cfRule>
  </conditionalFormatting>
  <conditionalFormatting sqref="U22:V22">
    <cfRule type="expression" dxfId="14" priority="35">
      <formula>$E$8&lt;7</formula>
    </cfRule>
    <cfRule type="expression" dxfId="13" priority="36">
      <formula>$E$8=0</formula>
    </cfRule>
  </conditionalFormatting>
  <conditionalFormatting sqref="AC3:AO31">
    <cfRule type="expression" dxfId="12" priority="9">
      <formula>$AB$3=0</formula>
    </cfRule>
  </conditionalFormatting>
  <conditionalFormatting sqref="AE2:AK2 AC2:AD18 AL2:AO31 AG3 AI3:AK3 AE3:AE12 AF4:AF5 AG4:AK13 AF10 AF14:AG14 AI14:AK14 AF15:AK20 P18 C19:C21 AD19:AD23 AC19:AC28 Q20:Q21 AE21:AK26 Y24 AE26:AE30 AG27:AK30 AK27:AK31 AC29:AE35 AG31:AH31 AJ31:AK31 AM32:AO33 AG32:AK35 AI32:AK38 AL34:AO45 AC36:AK39 AK39:AK40 AG40:AK40 AC40:AE44 AG41 AI41:AK41 AG42:AK42 AH43:AI43 AK43 AG44:AK44 AC45:AK45">
    <cfRule type="expression" dxfId="11" priority="12">
      <formula>$AB$3=0</formula>
    </cfRule>
  </conditionalFormatting>
  <conditionalFormatting sqref="AF16:AI21 AH22:AI24 AO32:AO35 AG36 AI39 AM44:AM45 AO44:AO45">
    <cfRule type="expression" dxfId="10" priority="85">
      <formula>$AB$3=0</formula>
    </cfRule>
  </conditionalFormatting>
  <conditionalFormatting sqref="AG4">
    <cfRule type="expression" dxfId="9" priority="50">
      <formula>$AB$3=0</formula>
    </cfRule>
  </conditionalFormatting>
  <conditionalFormatting sqref="AH33:AH39">
    <cfRule type="expression" dxfId="8" priority="20">
      <formula>$AB$3=0</formula>
    </cfRule>
  </conditionalFormatting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10</xdr:col>
                    <xdr:colOff>123825</xdr:colOff>
                    <xdr:row>1</xdr:row>
                    <xdr:rowOff>190500</xdr:rowOff>
                  </from>
                  <to>
                    <xdr:col>12</xdr:col>
                    <xdr:colOff>123825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10</xdr:col>
                    <xdr:colOff>123825</xdr:colOff>
                    <xdr:row>3</xdr:row>
                    <xdr:rowOff>209550</xdr:rowOff>
                  </from>
                  <to>
                    <xdr:col>12</xdr:col>
                    <xdr:colOff>123825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123825</xdr:colOff>
                    <xdr:row>2</xdr:row>
                    <xdr:rowOff>228600</xdr:rowOff>
                  </from>
                  <to>
                    <xdr:col>12</xdr:col>
                    <xdr:colOff>123825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Line="0" autoPict="0">
                <anchor moveWithCells="1">
                  <from>
                    <xdr:col>10</xdr:col>
                    <xdr:colOff>123825</xdr:colOff>
                    <xdr:row>4</xdr:row>
                    <xdr:rowOff>219075</xdr:rowOff>
                  </from>
                  <to>
                    <xdr:col>12</xdr:col>
                    <xdr:colOff>123825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15</xdr:col>
                    <xdr:colOff>638175</xdr:colOff>
                    <xdr:row>19</xdr:row>
                    <xdr:rowOff>123825</xdr:rowOff>
                  </from>
                  <to>
                    <xdr:col>17</xdr:col>
                    <xdr:colOff>342900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Check Box 119">
              <controlPr defaultSize="0" autoFill="0" autoLine="0" autoPict="0">
                <anchor moveWithCells="1">
                  <from>
                    <xdr:col>15</xdr:col>
                    <xdr:colOff>638175</xdr:colOff>
                    <xdr:row>18</xdr:row>
                    <xdr:rowOff>95250</xdr:rowOff>
                  </from>
                  <to>
                    <xdr:col>17</xdr:col>
                    <xdr:colOff>342900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" name="Check Box 120">
              <controlPr defaultSize="0" autoFill="0" autoLine="0" autoPict="0">
                <anchor moveWithCells="1">
                  <from>
                    <xdr:col>15</xdr:col>
                    <xdr:colOff>638175</xdr:colOff>
                    <xdr:row>20</xdr:row>
                    <xdr:rowOff>152400</xdr:rowOff>
                  </from>
                  <to>
                    <xdr:col>17</xdr:col>
                    <xdr:colOff>342900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" name="Check Box 121">
              <controlPr defaultSize="0" autoFill="0" autoLine="0" autoPict="0">
                <anchor moveWithCells="1">
                  <from>
                    <xdr:col>15</xdr:col>
                    <xdr:colOff>647700</xdr:colOff>
                    <xdr:row>22</xdr:row>
                    <xdr:rowOff>38100</xdr:rowOff>
                  </from>
                  <to>
                    <xdr:col>17</xdr:col>
                    <xdr:colOff>352425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4" r:id="rId13" name="Spinner 2116">
              <controlPr defaultSize="0" autoPict="0">
                <anchor moveWithCells="1" sizeWithCells="1">
                  <from>
                    <xdr:col>26</xdr:col>
                    <xdr:colOff>428625</xdr:colOff>
                    <xdr:row>1</xdr:row>
                    <xdr:rowOff>190500</xdr:rowOff>
                  </from>
                  <to>
                    <xdr:col>27</xdr:col>
                    <xdr:colOff>238125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5" r:id="rId14" name="Check Box 354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28575</xdr:rowOff>
                  </from>
                  <to>
                    <xdr:col>2</xdr:col>
                    <xdr:colOff>1390650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5" r:id="rId15" name="Check Box 4967">
              <controlPr defaultSize="0" autoFill="0" autoLine="0" autoPict="0">
                <anchor moveWithCells="1">
                  <from>
                    <xdr:col>14</xdr:col>
                    <xdr:colOff>28575</xdr:colOff>
                    <xdr:row>16</xdr:row>
                    <xdr:rowOff>180975</xdr:rowOff>
                  </from>
                  <to>
                    <xdr:col>16</xdr:col>
                    <xdr:colOff>152400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13" r:id="rId16" name="Drop Down 15333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9525</xdr:rowOff>
                  </from>
                  <to>
                    <xdr:col>2</xdr:col>
                    <xdr:colOff>1390650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45" r:id="rId17" name="Option Button 22953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190500</xdr:rowOff>
                  </from>
                  <to>
                    <xdr:col>2</xdr:col>
                    <xdr:colOff>1381125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3" r:id="rId18" name="Option Button 2441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219075</xdr:rowOff>
                  </from>
                  <to>
                    <xdr:col>2</xdr:col>
                    <xdr:colOff>1381125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4" r:id="rId19" name="Option Button 2441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209550</xdr:rowOff>
                  </from>
                  <to>
                    <xdr:col>2</xdr:col>
                    <xdr:colOff>1381125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5" r:id="rId20" name="Option Button 2441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200025</xdr:rowOff>
                  </from>
                  <to>
                    <xdr:col>2</xdr:col>
                    <xdr:colOff>1381125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6" r:id="rId21" name="Option Button 2441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200025</xdr:rowOff>
                  </from>
                  <to>
                    <xdr:col>2</xdr:col>
                    <xdr:colOff>1381125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7" r:id="rId22" name="Option Button 2441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190500</xdr:rowOff>
                  </from>
                  <to>
                    <xdr:col>2</xdr:col>
                    <xdr:colOff>1381125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8" r:id="rId23" name="Option Button 2441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190500</xdr:rowOff>
                  </from>
                  <to>
                    <xdr:col>2</xdr:col>
                    <xdr:colOff>1381125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9" r:id="rId24" name="Option Button 2441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228600</xdr:rowOff>
                  </from>
                  <to>
                    <xdr:col>2</xdr:col>
                    <xdr:colOff>1381125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99" r:id="rId25" name="Check Box 24771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114300</xdr:rowOff>
                  </from>
                  <to>
                    <xdr:col>2</xdr:col>
                    <xdr:colOff>1066800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0" r:id="rId26" name="Check Box 24772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180975</xdr:rowOff>
                  </from>
                  <to>
                    <xdr:col>2</xdr:col>
                    <xdr:colOff>1066800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1" r:id="rId27" name="Check Box 24773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47625</xdr:rowOff>
                  </from>
                  <to>
                    <xdr:col>2</xdr:col>
                    <xdr:colOff>1066800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632" r:id="rId28" name="Option Button 27656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9525</xdr:rowOff>
                  </from>
                  <to>
                    <xdr:col>2</xdr:col>
                    <xdr:colOff>1381125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7" r:id="rId29" name="Check Box 28031">
              <controlPr defaultSize="0" autoFill="0" autoLine="0" autoPict="0">
                <anchor moveWithCells="1">
                  <from>
                    <xdr:col>21</xdr:col>
                    <xdr:colOff>476250</xdr:colOff>
                    <xdr:row>11</xdr:row>
                    <xdr:rowOff>66675</xdr:rowOff>
                  </from>
                  <to>
                    <xdr:col>22</xdr:col>
                    <xdr:colOff>590550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8" r:id="rId30" name="Check Box 28032">
              <controlPr defaultSize="0" autoFill="0" autoLine="0" autoPict="0">
                <anchor moveWithCells="1">
                  <from>
                    <xdr:col>21</xdr:col>
                    <xdr:colOff>476250</xdr:colOff>
                    <xdr:row>12</xdr:row>
                    <xdr:rowOff>123825</xdr:rowOff>
                  </from>
                  <to>
                    <xdr:col>22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449" r:id="rId31" name="Spinner 34529">
              <controlPr defaultSize="0" autoPict="0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24</xdr:col>
                    <xdr:colOff>247650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6" r:id="rId32" name="Check Box 49512">
              <controlPr defaultSize="0" autoFill="0" autoLine="0" autoPict="0">
                <anchor moveWithCells="1">
                  <from>
                    <xdr:col>6</xdr:col>
                    <xdr:colOff>85725</xdr:colOff>
                    <xdr:row>21</xdr:row>
                    <xdr:rowOff>114300</xdr:rowOff>
                  </from>
                  <to>
                    <xdr:col>6</xdr:col>
                    <xdr:colOff>381000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7" r:id="rId33" name="Check Box 49513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66675</xdr:rowOff>
                  </from>
                  <to>
                    <xdr:col>9</xdr:col>
                    <xdr:colOff>800100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8" r:id="rId34" name="Check Box 49514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95250</xdr:rowOff>
                  </from>
                  <to>
                    <xdr:col>9</xdr:col>
                    <xdr:colOff>800100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9" r:id="rId35" name="Check Box 49515">
              <controlPr defaultSize="0" autoFill="0" autoLine="0" autoPict="0">
                <anchor moveWithCells="1">
                  <from>
                    <xdr:col>6</xdr:col>
                    <xdr:colOff>85725</xdr:colOff>
                    <xdr:row>22</xdr:row>
                    <xdr:rowOff>142875</xdr:rowOff>
                  </from>
                  <to>
                    <xdr:col>6</xdr:col>
                    <xdr:colOff>381000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1" r:id="rId36" name="Check Box 49517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133350</xdr:rowOff>
                  </from>
                  <to>
                    <xdr:col>9</xdr:col>
                    <xdr:colOff>809625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2" r:id="rId37" name="Check Box 49518">
              <controlPr defaultSize="0" autoFill="0" autoLine="0" autoPict="0">
                <anchor moveWithCells="1">
                  <from>
                    <xdr:col>6</xdr:col>
                    <xdr:colOff>85725</xdr:colOff>
                    <xdr:row>19</xdr:row>
                    <xdr:rowOff>66675</xdr:rowOff>
                  </from>
                  <to>
                    <xdr:col>6</xdr:col>
                    <xdr:colOff>381000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3" r:id="rId38" name="Check Box 49519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114300</xdr:rowOff>
                  </from>
                  <to>
                    <xdr:col>9</xdr:col>
                    <xdr:colOff>800100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50" r:id="rId39" name="Check Box 49586">
              <controlPr defaultSize="0" autoFill="0" autoLine="0" autoPict="0">
                <anchor moveWithCells="1">
                  <from>
                    <xdr:col>6</xdr:col>
                    <xdr:colOff>85725</xdr:colOff>
                    <xdr:row>20</xdr:row>
                    <xdr:rowOff>104775</xdr:rowOff>
                  </from>
                  <to>
                    <xdr:col>6</xdr:col>
                    <xdr:colOff>381000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3" r:id="rId40" name="Option Button 57259">
              <controlPr defaultSize="0" autoFill="0" autoLine="0" autoPict="0">
                <anchor moveWithCells="1">
                  <from>
                    <xdr:col>5</xdr:col>
                    <xdr:colOff>28575</xdr:colOff>
                    <xdr:row>19</xdr:row>
                    <xdr:rowOff>95250</xdr:rowOff>
                  </from>
                  <to>
                    <xdr:col>6</xdr:col>
                    <xdr:colOff>161925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4" r:id="rId41" name="Option Button 57260">
              <controlPr defaultSize="0" autoFill="0" autoLine="0" autoPict="0">
                <anchor moveWithCells="1">
                  <from>
                    <xdr:col>5</xdr:col>
                    <xdr:colOff>28575</xdr:colOff>
                    <xdr:row>20</xdr:row>
                    <xdr:rowOff>114300</xdr:rowOff>
                  </from>
                  <to>
                    <xdr:col>6</xdr:col>
                    <xdr:colOff>161925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5" r:id="rId42" name="Option Button 57261">
              <controlPr defaultSize="0" autoFill="0" autoLine="0" autoPict="0">
                <anchor moveWithCells="1">
                  <from>
                    <xdr:col>5</xdr:col>
                    <xdr:colOff>28575</xdr:colOff>
                    <xdr:row>21</xdr:row>
                    <xdr:rowOff>123825</xdr:rowOff>
                  </from>
                  <to>
                    <xdr:col>6</xdr:col>
                    <xdr:colOff>161925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6" r:id="rId43" name="Option Button 57262">
              <controlPr defaultSize="0" autoFill="0" autoLine="0" autoPict="0">
                <anchor moveWithCells="1">
                  <from>
                    <xdr:col>5</xdr:col>
                    <xdr:colOff>28575</xdr:colOff>
                    <xdr:row>22</xdr:row>
                    <xdr:rowOff>142875</xdr:rowOff>
                  </from>
                  <to>
                    <xdr:col>6</xdr:col>
                    <xdr:colOff>161925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7" r:id="rId44" name="Option Button 57263">
              <controlPr defaultSize="0" autoFill="0" autoLine="0" autoPict="0">
                <anchor moveWithCells="1">
                  <from>
                    <xdr:col>9</xdr:col>
                    <xdr:colOff>276225</xdr:colOff>
                    <xdr:row>19</xdr:row>
                    <xdr:rowOff>66675</xdr:rowOff>
                  </from>
                  <to>
                    <xdr:col>9</xdr:col>
                    <xdr:colOff>476250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8" r:id="rId45" name="Option Button 57264">
              <controlPr defaultSize="0" autoFill="0" autoLine="0" autoPict="0">
                <anchor moveWithCells="1">
                  <from>
                    <xdr:col>9</xdr:col>
                    <xdr:colOff>276225</xdr:colOff>
                    <xdr:row>20</xdr:row>
                    <xdr:rowOff>95250</xdr:rowOff>
                  </from>
                  <to>
                    <xdr:col>9</xdr:col>
                    <xdr:colOff>476250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9" r:id="rId46" name="Option Button 57265">
              <controlPr defaultSize="0" autoFill="0" autoLine="0" autoPict="0">
                <anchor moveWithCells="1">
                  <from>
                    <xdr:col>9</xdr:col>
                    <xdr:colOff>276225</xdr:colOff>
                    <xdr:row>21</xdr:row>
                    <xdr:rowOff>123825</xdr:rowOff>
                  </from>
                  <to>
                    <xdr:col>9</xdr:col>
                    <xdr:colOff>476250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70" r:id="rId47" name="Option Button 57266">
              <controlPr defaultSize="0" autoFill="0" autoLine="0" autoPict="0">
                <anchor moveWithCells="1">
                  <from>
                    <xdr:col>9</xdr:col>
                    <xdr:colOff>276225</xdr:colOff>
                    <xdr:row>22</xdr:row>
                    <xdr:rowOff>152400</xdr:rowOff>
                  </from>
                  <to>
                    <xdr:col>9</xdr:col>
                    <xdr:colOff>476250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X20" sqref="X20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41"/>
  <sheetViews>
    <sheetView topLeftCell="F19" zoomScale="98" zoomScaleNormal="98" workbookViewId="0">
      <selection activeCell="L93" sqref="L93"/>
    </sheetView>
  </sheetViews>
  <sheetFormatPr defaultColWidth="9.140625" defaultRowHeight="15" x14ac:dyDescent="0.25"/>
  <cols>
    <col min="1" max="1" width="4.5703125" style="104" customWidth="1"/>
    <col min="2" max="2" width="7" style="110" customWidth="1"/>
    <col min="3" max="3" width="14.42578125" style="104" customWidth="1"/>
    <col min="4" max="4" width="12.42578125" style="110" customWidth="1"/>
    <col min="5" max="5" width="1.85546875" style="104" customWidth="1"/>
    <col min="6" max="6" width="5.140625" style="111" customWidth="1"/>
    <col min="7" max="13" width="9.140625" style="104"/>
    <col min="14" max="14" width="12.85546875" style="104" customWidth="1"/>
    <col min="15" max="16384" width="9.140625" style="104"/>
  </cols>
  <sheetData>
    <row r="1" spans="1:15" s="109" customFormat="1" x14ac:dyDescent="0.25">
      <c r="B1" s="115"/>
      <c r="D1" s="115"/>
      <c r="F1" s="116"/>
    </row>
    <row r="2" spans="1:15" s="109" customFormat="1" x14ac:dyDescent="0.25">
      <c r="B2" s="115"/>
      <c r="D2" s="115"/>
      <c r="F2" s="116"/>
    </row>
    <row r="3" spans="1:15" s="109" customFormat="1" x14ac:dyDescent="0.25">
      <c r="B3" s="115"/>
      <c r="D3" s="115"/>
      <c r="F3" s="116"/>
    </row>
    <row r="4" spans="1:15" s="109" customFormat="1" x14ac:dyDescent="0.25">
      <c r="B4" s="115"/>
      <c r="D4" s="115"/>
      <c r="F4" s="116"/>
    </row>
    <row r="5" spans="1:15" s="109" customFormat="1" x14ac:dyDescent="0.25">
      <c r="B5" s="115"/>
      <c r="D5" s="115"/>
      <c r="F5" s="116"/>
    </row>
    <row r="6" spans="1:15" s="112" customFormat="1" x14ac:dyDescent="0.25">
      <c r="B6" s="113"/>
      <c r="D6" s="113"/>
      <c r="F6" s="114"/>
    </row>
    <row r="7" spans="1:15" ht="15.75" thickBot="1" x14ac:dyDescent="0.3"/>
    <row r="8" spans="1:15" x14ac:dyDescent="0.25">
      <c r="A8" s="410" t="s">
        <v>58</v>
      </c>
      <c r="B8" s="58" t="s">
        <v>19</v>
      </c>
      <c r="C8" s="59" t="s">
        <v>4</v>
      </c>
      <c r="D8" s="60" t="s">
        <v>39</v>
      </c>
      <c r="F8" s="58"/>
      <c r="G8" s="78"/>
      <c r="H8" s="1"/>
      <c r="I8" s="1"/>
      <c r="J8" s="1"/>
      <c r="K8" s="1"/>
      <c r="L8" s="1"/>
      <c r="M8" s="1"/>
      <c r="N8" s="1"/>
      <c r="O8" s="72"/>
    </row>
    <row r="9" spans="1:15" x14ac:dyDescent="0.25">
      <c r="A9" s="411"/>
      <c r="B9" s="54">
        <v>1</v>
      </c>
      <c r="C9" s="2" t="s">
        <v>40</v>
      </c>
      <c r="D9" s="55" t="s">
        <v>33</v>
      </c>
      <c r="F9" s="73">
        <v>1</v>
      </c>
      <c r="G9" s="79"/>
      <c r="H9" s="2"/>
      <c r="I9" s="2"/>
      <c r="J9" s="2"/>
      <c r="K9" s="2"/>
      <c r="L9" s="2"/>
      <c r="M9" s="2"/>
      <c r="N9" s="2"/>
      <c r="O9" s="74"/>
    </row>
    <row r="10" spans="1:15" x14ac:dyDescent="0.25">
      <c r="A10" s="411"/>
      <c r="B10" s="54">
        <v>2</v>
      </c>
      <c r="C10" s="2" t="s">
        <v>46</v>
      </c>
      <c r="D10" s="55" t="s">
        <v>33</v>
      </c>
      <c r="F10" s="73"/>
      <c r="G10" s="79"/>
      <c r="H10" s="2"/>
      <c r="I10" s="2"/>
      <c r="J10" s="2"/>
      <c r="K10" s="2"/>
      <c r="L10" s="2"/>
      <c r="M10" s="2"/>
      <c r="N10" s="2"/>
      <c r="O10" s="74"/>
    </row>
    <row r="11" spans="1:15" x14ac:dyDescent="0.25">
      <c r="A11" s="411"/>
      <c r="B11" s="54">
        <v>3</v>
      </c>
      <c r="C11" s="2" t="s">
        <v>35</v>
      </c>
      <c r="D11" s="55" t="s">
        <v>3</v>
      </c>
      <c r="F11" s="73"/>
      <c r="G11" s="79"/>
      <c r="H11" s="2"/>
      <c r="I11" s="2"/>
      <c r="J11" s="2"/>
      <c r="K11" s="2"/>
      <c r="L11" s="2"/>
      <c r="M11" s="2"/>
      <c r="N11" s="409" t="s">
        <v>69</v>
      </c>
      <c r="O11" s="413"/>
    </row>
    <row r="12" spans="1:15" x14ac:dyDescent="0.25">
      <c r="A12" s="411"/>
      <c r="B12" s="54">
        <v>4</v>
      </c>
      <c r="C12" s="2" t="s">
        <v>36</v>
      </c>
      <c r="D12" s="55" t="s">
        <v>2</v>
      </c>
      <c r="F12" s="73"/>
      <c r="G12" s="79"/>
      <c r="H12" s="2"/>
      <c r="I12" s="2"/>
      <c r="J12" s="2"/>
      <c r="K12" s="2"/>
      <c r="L12" s="2"/>
      <c r="M12" s="2"/>
      <c r="N12" s="2"/>
      <c r="O12" s="74"/>
    </row>
    <row r="13" spans="1:15" x14ac:dyDescent="0.25">
      <c r="A13" s="411"/>
      <c r="B13" s="54">
        <v>5</v>
      </c>
      <c r="C13" s="2" t="s">
        <v>43</v>
      </c>
      <c r="D13" s="55" t="s">
        <v>33</v>
      </c>
      <c r="F13" s="73"/>
      <c r="G13" s="79"/>
      <c r="H13" s="2"/>
      <c r="I13" s="2"/>
      <c r="J13" s="2"/>
      <c r="K13" s="2"/>
      <c r="L13" s="2"/>
      <c r="M13" s="2"/>
      <c r="N13" s="2"/>
      <c r="O13" s="74"/>
    </row>
    <row r="14" spans="1:15" x14ac:dyDescent="0.25">
      <c r="A14" s="411"/>
      <c r="B14" s="54">
        <v>6</v>
      </c>
      <c r="C14" s="2" t="s">
        <v>45</v>
      </c>
      <c r="D14" s="55" t="s">
        <v>3</v>
      </c>
      <c r="F14" s="73"/>
      <c r="G14" s="79"/>
      <c r="H14" s="2"/>
      <c r="I14" s="2"/>
      <c r="J14" s="2"/>
      <c r="K14" s="2"/>
      <c r="L14" s="2"/>
      <c r="M14" s="2"/>
      <c r="N14" s="2"/>
      <c r="O14" s="74"/>
    </row>
    <row r="15" spans="1:15" x14ac:dyDescent="0.25">
      <c r="A15" s="411"/>
      <c r="B15" s="54">
        <v>7</v>
      </c>
      <c r="C15" s="2" t="s">
        <v>34</v>
      </c>
      <c r="D15" s="55" t="s">
        <v>2</v>
      </c>
      <c r="F15" s="73"/>
      <c r="G15" s="79"/>
      <c r="H15" s="2"/>
      <c r="I15" s="2"/>
      <c r="J15" s="2"/>
      <c r="K15" s="2"/>
      <c r="L15" s="2"/>
      <c r="M15" s="2"/>
      <c r="N15" s="2"/>
      <c r="O15" s="74"/>
    </row>
    <row r="16" spans="1:15" x14ac:dyDescent="0.25">
      <c r="A16" s="411"/>
      <c r="B16" s="54">
        <v>8</v>
      </c>
      <c r="C16" s="2" t="s">
        <v>38</v>
      </c>
      <c r="D16" s="55" t="s">
        <v>33</v>
      </c>
      <c r="F16" s="73">
        <v>2</v>
      </c>
      <c r="G16" s="79"/>
      <c r="H16" s="2"/>
      <c r="I16" s="2"/>
      <c r="J16" s="2"/>
      <c r="K16" s="2"/>
      <c r="L16" s="2"/>
      <c r="M16" s="2"/>
      <c r="N16" s="2"/>
      <c r="O16" s="74"/>
    </row>
    <row r="17" spans="1:15" x14ac:dyDescent="0.25">
      <c r="A17" s="411"/>
      <c r="B17" s="54">
        <v>9</v>
      </c>
      <c r="C17" s="2" t="s">
        <v>41</v>
      </c>
      <c r="D17" s="55" t="s">
        <v>33</v>
      </c>
      <c r="F17" s="73"/>
      <c r="G17" s="79"/>
      <c r="H17" s="2"/>
      <c r="I17" s="2"/>
      <c r="J17" s="2"/>
      <c r="K17" s="2"/>
      <c r="L17" s="2"/>
      <c r="M17" s="2"/>
      <c r="N17" s="2"/>
      <c r="O17" s="75" t="s">
        <v>70</v>
      </c>
    </row>
    <row r="18" spans="1:15" x14ac:dyDescent="0.25">
      <c r="A18" s="411"/>
      <c r="B18" s="54">
        <v>10</v>
      </c>
      <c r="C18" s="2" t="s">
        <v>42</v>
      </c>
      <c r="D18" s="55" t="s">
        <v>2</v>
      </c>
      <c r="F18" s="73"/>
      <c r="G18" s="79"/>
      <c r="H18" s="2"/>
      <c r="I18" s="2"/>
      <c r="J18" s="2"/>
      <c r="K18" s="2"/>
      <c r="L18" s="2"/>
      <c r="M18" s="2"/>
      <c r="N18" s="2"/>
      <c r="O18" s="75" t="s">
        <v>71</v>
      </c>
    </row>
    <row r="19" spans="1:15" x14ac:dyDescent="0.25">
      <c r="A19" s="411"/>
      <c r="B19" s="54">
        <v>11</v>
      </c>
      <c r="C19" s="2" t="s">
        <v>42</v>
      </c>
      <c r="D19" s="55" t="s">
        <v>44</v>
      </c>
      <c r="F19" s="73"/>
      <c r="G19" s="79"/>
      <c r="H19" s="2"/>
      <c r="I19" s="2"/>
      <c r="J19" s="2"/>
      <c r="K19" s="2"/>
      <c r="L19" s="2"/>
      <c r="M19" s="2"/>
      <c r="N19" s="2"/>
      <c r="O19" s="74"/>
    </row>
    <row r="20" spans="1:15" x14ac:dyDescent="0.25">
      <c r="A20" s="411"/>
      <c r="B20" s="54">
        <v>12</v>
      </c>
      <c r="C20" s="2" t="s">
        <v>37</v>
      </c>
      <c r="D20" s="55" t="s">
        <v>2</v>
      </c>
      <c r="F20" s="73"/>
      <c r="G20" s="79"/>
      <c r="H20" s="2"/>
      <c r="I20" s="2"/>
      <c r="J20" s="2"/>
      <c r="K20" s="2"/>
      <c r="L20" s="2"/>
      <c r="M20" s="2"/>
      <c r="N20" s="2"/>
      <c r="O20" s="74"/>
    </row>
    <row r="21" spans="1:15" ht="15.75" thickBot="1" x14ac:dyDescent="0.3">
      <c r="A21" s="412"/>
      <c r="B21" s="56">
        <v>13</v>
      </c>
      <c r="C21" s="3" t="s">
        <v>57</v>
      </c>
      <c r="D21" s="57" t="s">
        <v>2</v>
      </c>
      <c r="F21" s="73"/>
      <c r="G21" s="79"/>
      <c r="H21" s="2"/>
      <c r="I21" s="2"/>
      <c r="J21" s="2"/>
      <c r="K21" s="2"/>
      <c r="L21" s="2"/>
      <c r="M21" s="2"/>
      <c r="N21" s="2"/>
      <c r="O21" s="74"/>
    </row>
    <row r="22" spans="1:15" x14ac:dyDescent="0.25">
      <c r="A22" s="411" t="s">
        <v>59</v>
      </c>
      <c r="B22" s="54">
        <v>14</v>
      </c>
      <c r="C22" s="2" t="s">
        <v>46</v>
      </c>
      <c r="D22" s="55" t="s">
        <v>2</v>
      </c>
      <c r="F22" s="73"/>
      <c r="G22" s="79"/>
      <c r="H22" s="2"/>
      <c r="I22" s="2"/>
      <c r="J22" s="2"/>
      <c r="K22" s="2"/>
      <c r="L22" s="2"/>
      <c r="M22" s="2"/>
      <c r="N22" s="2"/>
      <c r="O22" s="74"/>
    </row>
    <row r="23" spans="1:15" x14ac:dyDescent="0.25">
      <c r="A23" s="411"/>
      <c r="B23" s="54">
        <v>15</v>
      </c>
      <c r="C23" s="2" t="s">
        <v>67</v>
      </c>
      <c r="D23" s="55"/>
      <c r="F23" s="73"/>
      <c r="G23" s="79"/>
      <c r="H23" s="2"/>
      <c r="I23" s="2"/>
      <c r="J23" s="2"/>
      <c r="K23" s="2"/>
      <c r="L23" s="2"/>
      <c r="M23" s="2"/>
      <c r="N23" s="2"/>
      <c r="O23" s="74"/>
    </row>
    <row r="24" spans="1:15" x14ac:dyDescent="0.25">
      <c r="A24" s="411"/>
      <c r="B24" s="54"/>
      <c r="C24" s="2"/>
      <c r="D24" s="55"/>
      <c r="F24" s="73"/>
      <c r="G24" s="79"/>
      <c r="H24" s="2"/>
      <c r="I24" s="2"/>
      <c r="J24" s="2"/>
      <c r="K24" s="2"/>
      <c r="L24" s="2"/>
      <c r="M24" s="2"/>
      <c r="N24" s="2"/>
      <c r="O24" s="74"/>
    </row>
    <row r="25" spans="1:15" ht="15.75" thickBot="1" x14ac:dyDescent="0.3">
      <c r="A25" s="411"/>
      <c r="B25" s="56"/>
      <c r="C25" s="3"/>
      <c r="D25" s="57"/>
      <c r="F25" s="73"/>
      <c r="G25" s="79"/>
      <c r="H25" s="2"/>
      <c r="I25" s="2"/>
      <c r="J25" s="2"/>
      <c r="K25" s="2"/>
      <c r="L25" s="2"/>
      <c r="M25" s="2"/>
      <c r="N25" s="2"/>
      <c r="O25" s="74"/>
    </row>
    <row r="26" spans="1:15" x14ac:dyDescent="0.25">
      <c r="A26" s="51" t="s">
        <v>24</v>
      </c>
      <c r="B26" s="52" t="s">
        <v>55</v>
      </c>
      <c r="C26" s="52" t="s">
        <v>44</v>
      </c>
      <c r="D26" s="53" t="s">
        <v>62</v>
      </c>
      <c r="F26" s="73"/>
      <c r="G26" s="79"/>
      <c r="H26" s="2"/>
      <c r="I26" s="2"/>
      <c r="J26" s="2"/>
      <c r="K26" s="2"/>
      <c r="L26" s="2"/>
      <c r="M26" s="2"/>
      <c r="N26" s="2"/>
      <c r="O26" s="74"/>
    </row>
    <row r="27" spans="1:15" x14ac:dyDescent="0.25">
      <c r="A27" s="54" t="s">
        <v>27</v>
      </c>
      <c r="B27" s="4"/>
      <c r="C27" s="4" t="s">
        <v>3</v>
      </c>
      <c r="D27" s="55" t="s">
        <v>63</v>
      </c>
      <c r="F27" s="73"/>
      <c r="G27" s="79"/>
      <c r="H27" s="2"/>
      <c r="I27" s="2"/>
      <c r="J27" s="2"/>
      <c r="K27" s="2"/>
      <c r="L27" s="2"/>
      <c r="M27" s="2"/>
      <c r="N27" s="2"/>
      <c r="O27" s="74"/>
    </row>
    <row r="28" spans="1:15" x14ac:dyDescent="0.25">
      <c r="A28" s="54" t="s">
        <v>61</v>
      </c>
      <c r="B28" s="4"/>
      <c r="C28" s="4" t="s">
        <v>60</v>
      </c>
      <c r="D28" s="55" t="s">
        <v>64</v>
      </c>
      <c r="F28" s="73">
        <v>3</v>
      </c>
      <c r="G28" s="79"/>
      <c r="H28" s="2"/>
      <c r="I28" s="2"/>
      <c r="J28" s="2"/>
      <c r="K28" s="2"/>
      <c r="L28" s="2"/>
      <c r="M28" s="2"/>
      <c r="N28" s="2"/>
      <c r="O28" s="74"/>
    </row>
    <row r="29" spans="1:15" x14ac:dyDescent="0.25">
      <c r="A29" s="54" t="s">
        <v>32</v>
      </c>
      <c r="B29" s="4"/>
      <c r="C29" s="4" t="s">
        <v>30</v>
      </c>
      <c r="D29" s="55" t="s">
        <v>25</v>
      </c>
      <c r="F29" s="73"/>
      <c r="G29" s="79"/>
      <c r="H29" s="2"/>
      <c r="I29" s="2"/>
      <c r="J29" s="2"/>
      <c r="K29" s="2"/>
      <c r="L29" s="2"/>
      <c r="M29" s="71" t="s">
        <v>66</v>
      </c>
      <c r="N29" s="2"/>
      <c r="O29" s="74"/>
    </row>
    <row r="30" spans="1:15" ht="15.75" thickBot="1" x14ac:dyDescent="0.3">
      <c r="A30" s="56"/>
      <c r="B30" s="16"/>
      <c r="C30" s="16" t="s">
        <v>68</v>
      </c>
      <c r="D30" s="57" t="s">
        <v>65</v>
      </c>
      <c r="F30" s="73"/>
      <c r="G30" s="79"/>
      <c r="H30" s="2"/>
      <c r="I30" s="2"/>
      <c r="J30" s="2"/>
      <c r="K30" s="2"/>
      <c r="L30" s="2"/>
      <c r="M30" s="2"/>
      <c r="N30" s="2"/>
      <c r="O30" s="74"/>
    </row>
    <row r="31" spans="1:15" x14ac:dyDescent="0.25">
      <c r="F31" s="73"/>
      <c r="G31" s="79"/>
      <c r="H31" s="2"/>
      <c r="I31" s="2"/>
      <c r="J31" s="2"/>
      <c r="K31" s="2"/>
      <c r="L31" s="2"/>
      <c r="M31" s="2"/>
      <c r="N31" s="2"/>
      <c r="O31" s="74"/>
    </row>
    <row r="32" spans="1:15" x14ac:dyDescent="0.25">
      <c r="F32" s="73"/>
      <c r="G32" s="79"/>
      <c r="H32" s="2"/>
      <c r="I32" s="2"/>
      <c r="J32" s="2"/>
      <c r="K32" s="2"/>
      <c r="L32" s="2"/>
      <c r="M32" s="2"/>
      <c r="N32" s="2"/>
      <c r="O32" s="74"/>
    </row>
    <row r="33" spans="6:15" x14ac:dyDescent="0.25">
      <c r="F33" s="73"/>
      <c r="G33" s="79"/>
      <c r="H33" s="2"/>
      <c r="I33" s="2"/>
      <c r="J33" s="2"/>
      <c r="K33" s="2"/>
      <c r="L33" s="2"/>
      <c r="M33" s="2"/>
      <c r="N33" s="2"/>
      <c r="O33" s="74"/>
    </row>
    <row r="34" spans="6:15" x14ac:dyDescent="0.25">
      <c r="F34" s="73"/>
      <c r="G34" s="79"/>
      <c r="H34" s="2"/>
      <c r="I34" s="2"/>
      <c r="J34" s="2"/>
      <c r="K34" s="2"/>
      <c r="L34" s="2"/>
      <c r="M34" s="2"/>
      <c r="N34" s="2"/>
      <c r="O34" s="74"/>
    </row>
    <row r="35" spans="6:15" x14ac:dyDescent="0.25">
      <c r="F35" s="73"/>
      <c r="G35" s="79"/>
      <c r="H35" s="2"/>
      <c r="I35" s="2"/>
      <c r="J35" s="2"/>
      <c r="K35" s="2"/>
      <c r="L35" s="2"/>
      <c r="M35" s="2"/>
      <c r="N35" s="2"/>
      <c r="O35" s="74"/>
    </row>
    <row r="36" spans="6:15" x14ac:dyDescent="0.25">
      <c r="F36" s="73"/>
      <c r="G36" s="79"/>
      <c r="H36" s="2"/>
      <c r="I36" s="2"/>
      <c r="J36" s="2"/>
      <c r="K36" s="2"/>
      <c r="L36" s="2"/>
      <c r="M36" s="2"/>
      <c r="N36" s="2"/>
      <c r="O36" s="74"/>
    </row>
    <row r="37" spans="6:15" x14ac:dyDescent="0.25">
      <c r="F37" s="73"/>
      <c r="G37" s="79"/>
      <c r="H37" s="2"/>
      <c r="I37" s="2"/>
      <c r="J37" s="2"/>
      <c r="K37" s="2"/>
      <c r="L37" s="2"/>
      <c r="M37" s="2"/>
      <c r="N37" s="2"/>
      <c r="O37" s="74"/>
    </row>
    <row r="38" spans="6:15" x14ac:dyDescent="0.25">
      <c r="F38" s="73"/>
      <c r="G38" s="79"/>
      <c r="H38" s="2"/>
      <c r="I38" s="2"/>
      <c r="J38" s="2"/>
      <c r="K38" s="2"/>
      <c r="L38" s="2"/>
      <c r="M38" s="2"/>
      <c r="N38" s="2"/>
      <c r="O38" s="74"/>
    </row>
    <row r="39" spans="6:15" x14ac:dyDescent="0.25">
      <c r="F39" s="73" t="s">
        <v>12</v>
      </c>
      <c r="G39" s="80" t="s">
        <v>12</v>
      </c>
      <c r="H39" s="2"/>
      <c r="I39" s="2"/>
      <c r="J39" s="2"/>
      <c r="K39" s="2"/>
      <c r="L39" s="2"/>
      <c r="M39" s="2"/>
      <c r="N39" s="2"/>
      <c r="O39" s="74"/>
    </row>
    <row r="40" spans="6:15" x14ac:dyDescent="0.25">
      <c r="F40" s="73">
        <v>4</v>
      </c>
      <c r="G40" s="79"/>
      <c r="H40" s="2"/>
      <c r="I40" s="2"/>
      <c r="J40" s="2"/>
      <c r="K40" s="2"/>
      <c r="L40" s="2"/>
      <c r="M40" s="2"/>
      <c r="N40" s="2"/>
      <c r="O40" s="74"/>
    </row>
    <row r="41" spans="6:15" x14ac:dyDescent="0.25">
      <c r="F41" s="73"/>
      <c r="G41" s="79"/>
      <c r="H41" s="2"/>
      <c r="I41" s="2"/>
      <c r="J41" s="2"/>
      <c r="K41" s="2"/>
      <c r="L41" s="2"/>
      <c r="M41" s="2"/>
      <c r="N41" s="2"/>
      <c r="O41" s="74"/>
    </row>
    <row r="42" spans="6:15" x14ac:dyDescent="0.25">
      <c r="F42" s="73"/>
      <c r="G42" s="79"/>
      <c r="H42" s="2"/>
      <c r="I42" s="2"/>
      <c r="J42" s="2"/>
      <c r="K42" s="2"/>
      <c r="L42" s="2"/>
      <c r="M42" s="2"/>
      <c r="N42" s="2"/>
      <c r="O42" s="74"/>
    </row>
    <row r="43" spans="6:15" x14ac:dyDescent="0.25">
      <c r="F43" s="73"/>
      <c r="G43" s="79"/>
      <c r="H43" s="2"/>
      <c r="I43" s="2"/>
      <c r="J43" s="2"/>
      <c r="K43" s="2"/>
      <c r="L43" s="2"/>
      <c r="M43" s="2"/>
      <c r="N43" s="409" t="s">
        <v>66</v>
      </c>
      <c r="O43" s="413"/>
    </row>
    <row r="44" spans="6:15" x14ac:dyDescent="0.25">
      <c r="F44" s="73"/>
      <c r="G44" s="79"/>
      <c r="H44" s="2"/>
      <c r="I44" s="2"/>
      <c r="J44" s="2"/>
      <c r="K44" s="2"/>
      <c r="L44" s="2"/>
      <c r="M44" s="2"/>
      <c r="N44" s="2"/>
      <c r="O44" s="74"/>
    </row>
    <row r="45" spans="6:15" x14ac:dyDescent="0.25">
      <c r="F45" s="73"/>
      <c r="G45" s="79"/>
      <c r="H45" s="2"/>
      <c r="I45" s="2"/>
      <c r="J45" s="2"/>
      <c r="K45" s="2"/>
      <c r="L45" s="2"/>
      <c r="M45" s="2"/>
      <c r="N45" s="2"/>
      <c r="O45" s="74"/>
    </row>
    <row r="46" spans="6:15" x14ac:dyDescent="0.25">
      <c r="F46" s="73"/>
      <c r="G46" s="79"/>
      <c r="H46" s="2"/>
      <c r="I46" s="2"/>
      <c r="J46" s="2"/>
      <c r="K46" s="2"/>
      <c r="L46" s="2"/>
      <c r="M46" s="2"/>
      <c r="N46" s="2"/>
      <c r="O46" s="74"/>
    </row>
    <row r="47" spans="6:15" x14ac:dyDescent="0.25">
      <c r="F47" s="73"/>
      <c r="G47" s="79"/>
      <c r="H47" s="2"/>
      <c r="I47" s="2"/>
      <c r="J47" s="2"/>
      <c r="K47" s="2"/>
      <c r="L47" s="2"/>
      <c r="M47" s="2"/>
      <c r="N47" s="2"/>
      <c r="O47" s="74"/>
    </row>
    <row r="48" spans="6:15" x14ac:dyDescent="0.25">
      <c r="F48" s="73"/>
      <c r="G48" s="79"/>
      <c r="H48" s="2"/>
      <c r="I48" s="2"/>
      <c r="J48" s="2"/>
      <c r="K48" s="2"/>
      <c r="L48" s="2"/>
      <c r="M48" s="2"/>
      <c r="N48" s="2"/>
      <c r="O48" s="74"/>
    </row>
    <row r="49" spans="6:15" x14ac:dyDescent="0.25">
      <c r="F49" s="73"/>
      <c r="G49" s="79"/>
      <c r="H49" s="2"/>
      <c r="I49" s="2"/>
      <c r="J49" s="2"/>
      <c r="K49" s="2"/>
      <c r="L49" s="2"/>
      <c r="M49" s="2"/>
      <c r="N49" s="2"/>
      <c r="O49" s="74"/>
    </row>
    <row r="50" spans="6:15" x14ac:dyDescent="0.25">
      <c r="F50" s="73"/>
      <c r="G50" s="79"/>
      <c r="H50" s="2"/>
      <c r="I50" s="2"/>
      <c r="J50" s="2"/>
      <c r="K50" s="2"/>
      <c r="L50" s="2"/>
      <c r="M50" s="2"/>
      <c r="N50" s="2"/>
      <c r="O50" s="74"/>
    </row>
    <row r="51" spans="6:15" x14ac:dyDescent="0.25">
      <c r="F51" s="73"/>
      <c r="G51" s="79"/>
      <c r="H51" s="2"/>
      <c r="I51" s="2"/>
      <c r="J51" s="2"/>
      <c r="K51" s="2"/>
      <c r="L51" s="2"/>
      <c r="M51" s="2"/>
      <c r="N51" s="2"/>
      <c r="O51" s="74"/>
    </row>
    <row r="52" spans="6:15" x14ac:dyDescent="0.25">
      <c r="F52" s="73"/>
      <c r="G52" s="79"/>
      <c r="H52" s="2"/>
      <c r="I52" s="2"/>
      <c r="J52" s="2"/>
      <c r="K52" s="2"/>
      <c r="L52" s="2"/>
      <c r="M52" s="2"/>
      <c r="N52" s="2"/>
      <c r="O52" s="74"/>
    </row>
    <row r="53" spans="6:15" x14ac:dyDescent="0.25">
      <c r="F53" s="73" t="s">
        <v>12</v>
      </c>
      <c r="G53" s="79"/>
      <c r="H53" s="2"/>
      <c r="I53" s="2"/>
      <c r="J53" s="2"/>
      <c r="K53" s="2"/>
      <c r="L53" s="2"/>
      <c r="M53" s="2"/>
      <c r="N53" s="2"/>
      <c r="O53" s="74"/>
    </row>
    <row r="54" spans="6:15" x14ac:dyDescent="0.25">
      <c r="F54" s="73"/>
      <c r="G54" s="79"/>
      <c r="H54" s="2"/>
      <c r="I54" s="2"/>
      <c r="J54" s="2"/>
      <c r="K54" s="2"/>
      <c r="L54" s="2"/>
      <c r="M54" s="2"/>
      <c r="N54" s="2"/>
      <c r="O54" s="74"/>
    </row>
    <row r="55" spans="6:15" x14ac:dyDescent="0.25">
      <c r="F55" s="73">
        <v>5</v>
      </c>
      <c r="G55" s="79"/>
      <c r="H55" s="2"/>
      <c r="I55" s="2"/>
      <c r="J55" s="2"/>
      <c r="K55" s="2"/>
      <c r="L55" s="2"/>
      <c r="M55" s="2"/>
      <c r="N55" s="2"/>
      <c r="O55" s="74"/>
    </row>
    <row r="56" spans="6:15" x14ac:dyDescent="0.25">
      <c r="F56" s="73"/>
      <c r="G56" s="79"/>
      <c r="H56" s="2"/>
      <c r="I56" s="2"/>
      <c r="J56" s="2"/>
      <c r="K56" s="2"/>
      <c r="L56" s="2"/>
      <c r="M56" s="2"/>
      <c r="N56" s="409" t="s">
        <v>69</v>
      </c>
      <c r="O56" s="413"/>
    </row>
    <row r="57" spans="6:15" x14ac:dyDescent="0.25">
      <c r="F57" s="73"/>
      <c r="G57" s="79"/>
      <c r="H57" s="2"/>
      <c r="I57" s="2"/>
      <c r="J57" s="2"/>
      <c r="K57" s="2"/>
      <c r="L57" s="2"/>
      <c r="M57" s="2"/>
      <c r="N57" s="2"/>
      <c r="O57" s="74"/>
    </row>
    <row r="58" spans="6:15" x14ac:dyDescent="0.25">
      <c r="F58" s="73"/>
      <c r="G58" s="79"/>
      <c r="H58" s="2"/>
      <c r="I58" s="2"/>
      <c r="J58" s="2"/>
      <c r="K58" s="2"/>
      <c r="L58" s="2"/>
      <c r="M58" s="2"/>
      <c r="N58" s="2"/>
      <c r="O58" s="74"/>
    </row>
    <row r="59" spans="6:15" x14ac:dyDescent="0.25">
      <c r="F59" s="73"/>
      <c r="G59" s="79"/>
      <c r="H59" s="2"/>
      <c r="I59" s="2"/>
      <c r="J59" s="2"/>
      <c r="K59" s="2"/>
      <c r="L59" s="2"/>
      <c r="M59" s="2"/>
      <c r="N59" s="2"/>
      <c r="O59" s="74"/>
    </row>
    <row r="60" spans="6:15" x14ac:dyDescent="0.25">
      <c r="F60" s="73"/>
      <c r="G60" s="79"/>
      <c r="H60" s="2"/>
      <c r="I60" s="2"/>
      <c r="J60" s="2"/>
      <c r="K60" s="2"/>
      <c r="L60" s="2"/>
      <c r="M60" s="2"/>
      <c r="N60" s="2"/>
      <c r="O60" s="74"/>
    </row>
    <row r="61" spans="6:15" x14ac:dyDescent="0.25">
      <c r="F61" s="73"/>
      <c r="G61" s="79"/>
      <c r="H61" s="2"/>
      <c r="I61" s="2"/>
      <c r="J61" s="2"/>
      <c r="K61" s="2"/>
      <c r="L61" s="2"/>
      <c r="M61" s="2"/>
      <c r="N61" s="2"/>
      <c r="O61" s="74"/>
    </row>
    <row r="62" spans="6:15" x14ac:dyDescent="0.25">
      <c r="F62" s="73"/>
      <c r="G62" s="79"/>
      <c r="H62" s="2"/>
      <c r="I62" s="2"/>
      <c r="J62" s="2"/>
      <c r="K62" s="2"/>
      <c r="L62" s="2"/>
      <c r="M62" s="2"/>
      <c r="N62" s="2"/>
      <c r="O62" s="74"/>
    </row>
    <row r="63" spans="6:15" x14ac:dyDescent="0.25">
      <c r="F63" s="73" t="s">
        <v>12</v>
      </c>
      <c r="G63" s="79"/>
      <c r="H63" s="2"/>
      <c r="I63" s="2"/>
      <c r="J63" s="2"/>
      <c r="K63" s="2"/>
      <c r="L63" s="2"/>
      <c r="M63" s="2"/>
      <c r="N63" s="2"/>
      <c r="O63" s="74"/>
    </row>
    <row r="64" spans="6:15" x14ac:dyDescent="0.25">
      <c r="F64" s="73"/>
      <c r="G64" s="79"/>
      <c r="H64" s="2"/>
      <c r="I64" s="2"/>
      <c r="J64" s="2"/>
      <c r="K64" s="2"/>
      <c r="L64" s="2"/>
      <c r="M64" s="2"/>
      <c r="N64" s="2"/>
      <c r="O64" s="74"/>
    </row>
    <row r="65" spans="6:15" x14ac:dyDescent="0.25">
      <c r="F65" s="73"/>
      <c r="G65" s="79"/>
      <c r="H65" s="2"/>
      <c r="I65" s="2"/>
      <c r="J65" s="2"/>
      <c r="K65" s="2"/>
      <c r="L65" s="2"/>
      <c r="M65" s="2"/>
      <c r="N65" s="2"/>
      <c r="O65" s="74"/>
    </row>
    <row r="66" spans="6:15" x14ac:dyDescent="0.25">
      <c r="F66" s="73">
        <v>6</v>
      </c>
      <c r="G66" s="79"/>
      <c r="H66" s="2"/>
      <c r="I66" s="2"/>
      <c r="J66" s="2"/>
      <c r="K66" s="2"/>
      <c r="L66" s="2"/>
      <c r="M66" s="2"/>
      <c r="N66" s="2"/>
      <c r="O66" s="74"/>
    </row>
    <row r="67" spans="6:15" x14ac:dyDescent="0.25">
      <c r="F67" s="73"/>
      <c r="G67" s="79"/>
      <c r="H67" s="2"/>
      <c r="I67" s="2"/>
      <c r="J67" s="2"/>
      <c r="K67" s="2"/>
      <c r="L67" s="2"/>
      <c r="M67" s="2"/>
      <c r="N67" s="2"/>
      <c r="O67" s="74"/>
    </row>
    <row r="68" spans="6:15" x14ac:dyDescent="0.25">
      <c r="F68" s="73"/>
      <c r="G68" s="79"/>
      <c r="H68" s="2"/>
      <c r="I68" s="2"/>
      <c r="J68" s="2"/>
      <c r="K68" s="2"/>
      <c r="L68" s="2"/>
      <c r="M68" s="2"/>
      <c r="N68" s="2"/>
      <c r="O68" s="75" t="s">
        <v>70</v>
      </c>
    </row>
    <row r="69" spans="6:15" x14ac:dyDescent="0.25">
      <c r="F69" s="73"/>
      <c r="G69" s="79"/>
      <c r="H69" s="2"/>
      <c r="I69" s="2"/>
      <c r="J69" s="2"/>
      <c r="K69" s="2"/>
      <c r="L69" s="2"/>
      <c r="M69" s="2"/>
      <c r="N69" s="2"/>
      <c r="O69" s="75" t="s">
        <v>71</v>
      </c>
    </row>
    <row r="70" spans="6:15" x14ac:dyDescent="0.25">
      <c r="F70" s="73"/>
      <c r="G70" s="79"/>
      <c r="H70" s="2"/>
      <c r="I70" s="2"/>
      <c r="J70" s="2"/>
      <c r="K70" s="2"/>
      <c r="L70" s="2"/>
      <c r="M70" s="2"/>
      <c r="N70" s="2"/>
      <c r="O70" s="74"/>
    </row>
    <row r="71" spans="6:15" x14ac:dyDescent="0.25">
      <c r="F71" s="73"/>
      <c r="G71" s="79"/>
      <c r="H71" s="2"/>
      <c r="I71" s="2"/>
      <c r="J71" s="2"/>
      <c r="K71" s="2"/>
      <c r="L71" s="2"/>
      <c r="M71" s="2"/>
      <c r="N71" s="2"/>
      <c r="O71" s="74"/>
    </row>
    <row r="72" spans="6:15" x14ac:dyDescent="0.25">
      <c r="F72" s="73" t="s">
        <v>12</v>
      </c>
      <c r="G72" s="79"/>
      <c r="H72" s="2"/>
      <c r="I72" s="2"/>
      <c r="J72" s="2"/>
      <c r="K72" s="2"/>
      <c r="L72" s="2"/>
      <c r="M72" s="2"/>
      <c r="N72" s="2"/>
      <c r="O72" s="74"/>
    </row>
    <row r="73" spans="6:15" x14ac:dyDescent="0.25">
      <c r="F73" s="73"/>
      <c r="G73" s="79"/>
      <c r="H73" s="2"/>
      <c r="I73" s="2"/>
      <c r="J73" s="2"/>
      <c r="K73" s="2"/>
      <c r="L73" s="2"/>
      <c r="M73" s="2"/>
      <c r="N73" s="2"/>
      <c r="O73" s="74"/>
    </row>
    <row r="74" spans="6:15" x14ac:dyDescent="0.25">
      <c r="F74" s="73"/>
      <c r="G74" s="79"/>
      <c r="H74" s="2"/>
      <c r="I74" s="2"/>
      <c r="J74" s="2"/>
      <c r="K74" s="2"/>
      <c r="L74" s="2"/>
      <c r="M74" s="2"/>
      <c r="N74" s="2"/>
      <c r="O74" s="74"/>
    </row>
    <row r="75" spans="6:15" x14ac:dyDescent="0.25">
      <c r="F75" s="73">
        <v>7</v>
      </c>
      <c r="G75" s="79"/>
      <c r="H75" s="2"/>
      <c r="I75" s="2"/>
      <c r="J75" s="2"/>
      <c r="K75" s="2"/>
      <c r="L75" s="2"/>
      <c r="M75" s="2"/>
      <c r="N75" s="2"/>
      <c r="O75" s="74"/>
    </row>
    <row r="76" spans="6:15" x14ac:dyDescent="0.25">
      <c r="F76" s="73"/>
      <c r="G76" s="79"/>
      <c r="H76" s="2"/>
      <c r="I76" s="2"/>
      <c r="J76" s="2"/>
      <c r="K76" s="2"/>
      <c r="L76" s="2"/>
      <c r="M76" s="2"/>
      <c r="N76" s="71" t="s">
        <v>66</v>
      </c>
      <c r="O76" s="74"/>
    </row>
    <row r="77" spans="6:15" x14ac:dyDescent="0.25">
      <c r="F77" s="73"/>
      <c r="G77" s="79"/>
      <c r="H77" s="2"/>
      <c r="I77" s="2"/>
      <c r="J77" s="2"/>
      <c r="K77" s="2"/>
      <c r="L77" s="2"/>
      <c r="M77" s="2"/>
      <c r="N77" s="2"/>
      <c r="O77" s="74"/>
    </row>
    <row r="78" spans="6:15" x14ac:dyDescent="0.25">
      <c r="F78" s="73"/>
      <c r="G78" s="79"/>
      <c r="H78" s="2"/>
      <c r="I78" s="2"/>
      <c r="J78" s="2"/>
      <c r="K78" s="2"/>
      <c r="L78" s="2"/>
      <c r="M78" s="2"/>
      <c r="N78" s="2"/>
      <c r="O78" s="74"/>
    </row>
    <row r="79" spans="6:15" x14ac:dyDescent="0.25">
      <c r="F79" s="73"/>
      <c r="G79" s="79"/>
      <c r="H79" s="2"/>
      <c r="I79" s="2"/>
      <c r="J79" s="2"/>
      <c r="K79" s="2"/>
      <c r="L79" s="2"/>
      <c r="M79" s="2"/>
      <c r="N79" s="2"/>
      <c r="O79" s="74"/>
    </row>
    <row r="80" spans="6:15" x14ac:dyDescent="0.25">
      <c r="F80" s="73"/>
      <c r="G80" s="79"/>
      <c r="H80" s="2"/>
      <c r="I80" s="2"/>
      <c r="J80" s="2"/>
      <c r="K80" s="2"/>
      <c r="L80" s="2"/>
      <c r="M80" s="2"/>
      <c r="N80" s="2"/>
      <c r="O80" s="74"/>
    </row>
    <row r="81" spans="6:15" x14ac:dyDescent="0.25">
      <c r="F81" s="73" t="s">
        <v>12</v>
      </c>
      <c r="G81" s="79"/>
      <c r="H81" s="2"/>
      <c r="I81" s="2"/>
      <c r="J81" s="2"/>
      <c r="K81" s="2"/>
      <c r="L81" s="2"/>
      <c r="M81" s="2"/>
      <c r="N81" s="2"/>
      <c r="O81" s="74"/>
    </row>
    <row r="82" spans="6:15" x14ac:dyDescent="0.25">
      <c r="F82" s="73"/>
      <c r="G82" s="79"/>
      <c r="H82" s="2"/>
      <c r="I82" s="2"/>
      <c r="J82" s="2"/>
      <c r="K82" s="2"/>
      <c r="L82" s="2"/>
      <c r="M82" s="2"/>
      <c r="N82" s="2"/>
      <c r="O82" s="74"/>
    </row>
    <row r="83" spans="6:15" x14ac:dyDescent="0.25">
      <c r="F83" s="73"/>
      <c r="G83" s="80" t="s">
        <v>12</v>
      </c>
      <c r="H83" s="2"/>
      <c r="I83" s="2"/>
      <c r="J83" s="2"/>
      <c r="K83" s="2"/>
      <c r="L83" s="2"/>
      <c r="M83" s="2"/>
      <c r="N83" s="2"/>
      <c r="O83" s="74"/>
    </row>
    <row r="84" spans="6:15" x14ac:dyDescent="0.25">
      <c r="F84" s="73"/>
      <c r="G84" s="79"/>
      <c r="H84" s="2"/>
      <c r="I84" s="2"/>
      <c r="J84" s="2"/>
      <c r="K84" s="2"/>
      <c r="L84" s="2"/>
      <c r="M84" s="2"/>
      <c r="N84" s="2"/>
      <c r="O84" s="74"/>
    </row>
    <row r="85" spans="6:15" x14ac:dyDescent="0.25">
      <c r="F85" s="73">
        <v>8</v>
      </c>
      <c r="G85" s="79"/>
      <c r="H85" s="2"/>
      <c r="I85" s="2"/>
      <c r="J85" s="2"/>
      <c r="K85" s="2"/>
      <c r="L85" s="2"/>
      <c r="M85" s="414" t="s">
        <v>12</v>
      </c>
      <c r="N85" s="414"/>
      <c r="O85" s="74"/>
    </row>
    <row r="86" spans="6:15" x14ac:dyDescent="0.25">
      <c r="F86" s="73"/>
      <c r="G86" s="79"/>
      <c r="H86" s="2"/>
      <c r="I86" s="2"/>
      <c r="J86" s="2"/>
      <c r="K86" s="2"/>
      <c r="L86" s="2"/>
      <c r="M86" s="2"/>
      <c r="N86" s="71" t="s">
        <v>66</v>
      </c>
      <c r="O86" s="74"/>
    </row>
    <row r="87" spans="6:15" x14ac:dyDescent="0.25">
      <c r="F87" s="73"/>
      <c r="G87" s="79"/>
      <c r="H87" s="2"/>
      <c r="I87" s="2"/>
      <c r="J87" s="2"/>
      <c r="K87" s="2"/>
      <c r="L87" s="2"/>
      <c r="M87" s="2"/>
      <c r="N87" s="2"/>
      <c r="O87" s="74"/>
    </row>
    <row r="88" spans="6:15" x14ac:dyDescent="0.25">
      <c r="F88" s="73"/>
      <c r="G88" s="79"/>
      <c r="H88" s="2"/>
      <c r="I88" s="2"/>
      <c r="J88" s="2"/>
      <c r="K88" s="2"/>
      <c r="L88" s="2"/>
      <c r="M88" s="2"/>
      <c r="N88" s="2"/>
      <c r="O88" s="74"/>
    </row>
    <row r="89" spans="6:15" x14ac:dyDescent="0.25">
      <c r="F89" s="73"/>
      <c r="G89" s="79"/>
      <c r="H89" s="2"/>
      <c r="I89" s="2"/>
      <c r="J89" s="2"/>
      <c r="K89" s="2"/>
      <c r="L89" s="2"/>
      <c r="M89" s="2"/>
      <c r="N89" s="2"/>
      <c r="O89" s="74"/>
    </row>
    <row r="90" spans="6:15" x14ac:dyDescent="0.25">
      <c r="F90" s="73"/>
      <c r="G90" s="79"/>
      <c r="H90" s="2"/>
      <c r="I90" s="2"/>
      <c r="J90" s="2"/>
      <c r="K90" s="2"/>
      <c r="L90" s="2"/>
      <c r="M90" s="2"/>
      <c r="N90" s="2"/>
      <c r="O90" s="74"/>
    </row>
    <row r="91" spans="6:15" x14ac:dyDescent="0.25">
      <c r="F91" s="73" t="s">
        <v>12</v>
      </c>
      <c r="G91" s="79"/>
      <c r="H91" s="2"/>
      <c r="I91" s="2"/>
      <c r="J91" s="2"/>
      <c r="K91" s="2"/>
      <c r="L91" s="2"/>
      <c r="M91" s="2"/>
      <c r="N91" s="2"/>
      <c r="O91" s="74"/>
    </row>
    <row r="92" spans="6:15" x14ac:dyDescent="0.25">
      <c r="F92" s="73"/>
      <c r="G92" s="79"/>
      <c r="H92" s="2"/>
      <c r="I92" s="2"/>
      <c r="J92" s="2"/>
      <c r="K92" s="2"/>
      <c r="L92" s="2"/>
      <c r="M92" s="2"/>
      <c r="N92" s="2"/>
      <c r="O92" s="74"/>
    </row>
    <row r="93" spans="6:15" x14ac:dyDescent="0.25">
      <c r="F93" s="73"/>
      <c r="G93" s="79"/>
      <c r="H93" s="2"/>
      <c r="I93" s="2"/>
      <c r="J93" s="2"/>
      <c r="K93" s="2"/>
      <c r="L93" s="2"/>
      <c r="M93" s="2"/>
      <c r="N93" s="2"/>
      <c r="O93" s="74"/>
    </row>
    <row r="94" spans="6:15" x14ac:dyDescent="0.25">
      <c r="F94" s="73" t="s">
        <v>12</v>
      </c>
      <c r="G94" s="79"/>
      <c r="H94" s="2"/>
      <c r="I94" s="2"/>
      <c r="J94" s="2"/>
      <c r="K94" s="2"/>
      <c r="L94" s="2"/>
      <c r="M94" s="2"/>
      <c r="N94" s="2"/>
      <c r="O94" s="74"/>
    </row>
    <row r="95" spans="6:15" x14ac:dyDescent="0.25">
      <c r="F95" s="73">
        <v>9</v>
      </c>
      <c r="G95" s="79"/>
      <c r="H95" s="2"/>
      <c r="I95" s="2"/>
      <c r="J95" s="2"/>
      <c r="K95" s="2"/>
      <c r="L95" s="2"/>
      <c r="M95" s="2"/>
      <c r="N95" s="2"/>
      <c r="O95" s="74"/>
    </row>
    <row r="96" spans="6:15" x14ac:dyDescent="0.25">
      <c r="F96" s="73"/>
      <c r="G96" s="79"/>
      <c r="H96" s="2"/>
      <c r="I96" s="2"/>
      <c r="J96" s="2"/>
      <c r="K96" s="2"/>
      <c r="L96" s="2"/>
      <c r="M96" s="2"/>
      <c r="N96" s="414"/>
      <c r="O96" s="415"/>
    </row>
    <row r="97" spans="6:15" x14ac:dyDescent="0.25">
      <c r="F97" s="73"/>
      <c r="G97" s="79"/>
      <c r="H97" s="2"/>
      <c r="I97" s="2"/>
      <c r="J97" s="2"/>
      <c r="K97" s="2"/>
      <c r="L97" s="2"/>
      <c r="M97" s="2"/>
      <c r="N97" s="409" t="s">
        <v>69</v>
      </c>
      <c r="O97" s="413"/>
    </row>
    <row r="98" spans="6:15" x14ac:dyDescent="0.25">
      <c r="F98" s="73"/>
      <c r="G98" s="79"/>
      <c r="H98" s="2"/>
      <c r="I98" s="2"/>
      <c r="J98" s="2"/>
      <c r="K98" s="2"/>
      <c r="L98" s="2"/>
      <c r="M98" s="2"/>
      <c r="N98" s="2"/>
      <c r="O98" s="74"/>
    </row>
    <row r="99" spans="6:15" x14ac:dyDescent="0.25">
      <c r="F99" s="73"/>
      <c r="G99" s="79"/>
      <c r="H99" s="2"/>
      <c r="I99" s="2"/>
      <c r="J99" s="2"/>
      <c r="K99" s="2"/>
      <c r="L99" s="2"/>
      <c r="M99" s="2"/>
      <c r="N99" s="2"/>
      <c r="O99" s="74"/>
    </row>
    <row r="100" spans="6:15" x14ac:dyDescent="0.25">
      <c r="F100" s="73"/>
      <c r="G100" s="79"/>
      <c r="H100" s="2"/>
      <c r="I100" s="2"/>
      <c r="J100" s="2"/>
      <c r="K100" s="2"/>
      <c r="L100" s="2"/>
      <c r="M100" s="2"/>
      <c r="N100" s="2"/>
      <c r="O100" s="74"/>
    </row>
    <row r="101" spans="6:15" x14ac:dyDescent="0.25">
      <c r="F101" s="73"/>
      <c r="G101" s="79"/>
      <c r="H101" s="2"/>
      <c r="I101" s="2"/>
      <c r="J101" s="2"/>
      <c r="K101" s="2"/>
      <c r="L101" s="2"/>
      <c r="M101" s="2"/>
      <c r="N101" s="2"/>
      <c r="O101" s="74"/>
    </row>
    <row r="102" spans="6:15" x14ac:dyDescent="0.25">
      <c r="F102" s="73"/>
      <c r="G102" s="79"/>
      <c r="H102" s="2"/>
      <c r="I102" s="2"/>
      <c r="J102" s="2"/>
      <c r="K102" s="2"/>
      <c r="L102" s="2"/>
      <c r="M102" s="2"/>
      <c r="N102" s="2"/>
      <c r="O102" s="74"/>
    </row>
    <row r="103" spans="6:15" x14ac:dyDescent="0.25">
      <c r="F103" s="73"/>
      <c r="G103" s="79"/>
      <c r="H103" s="2"/>
      <c r="I103" s="2"/>
      <c r="J103" s="2"/>
      <c r="K103" s="2"/>
      <c r="L103" s="2"/>
      <c r="M103" s="2"/>
      <c r="N103" s="2"/>
      <c r="O103" s="74"/>
    </row>
    <row r="104" spans="6:15" x14ac:dyDescent="0.25">
      <c r="F104" s="73" t="s">
        <v>12</v>
      </c>
      <c r="G104" s="79"/>
      <c r="H104" s="2"/>
      <c r="I104" s="2"/>
      <c r="J104" s="2"/>
      <c r="K104" s="2"/>
      <c r="L104" s="2"/>
      <c r="M104" s="2"/>
      <c r="N104" s="2"/>
      <c r="O104" s="74"/>
    </row>
    <row r="105" spans="6:15" x14ac:dyDescent="0.25">
      <c r="F105" s="73">
        <v>10</v>
      </c>
      <c r="G105" s="79"/>
      <c r="H105" s="2"/>
      <c r="I105" s="2"/>
      <c r="J105" s="2"/>
      <c r="K105" s="2"/>
      <c r="L105" s="2"/>
      <c r="M105" s="2"/>
      <c r="N105" s="2"/>
      <c r="O105" s="74"/>
    </row>
    <row r="106" spans="6:15" x14ac:dyDescent="0.25">
      <c r="F106" s="73"/>
      <c r="G106" s="79"/>
      <c r="H106" s="2"/>
      <c r="I106" s="2"/>
      <c r="J106" s="2"/>
      <c r="K106" s="2"/>
      <c r="L106" s="2"/>
      <c r="M106" s="2"/>
      <c r="N106" s="2"/>
      <c r="O106" s="74"/>
    </row>
    <row r="107" spans="6:15" x14ac:dyDescent="0.25">
      <c r="F107" s="73"/>
      <c r="G107" s="79"/>
      <c r="H107" s="2"/>
      <c r="I107" s="2"/>
      <c r="J107" s="2"/>
      <c r="K107" s="2"/>
      <c r="L107" s="2"/>
      <c r="M107" s="2"/>
      <c r="N107" s="2"/>
      <c r="O107" s="74"/>
    </row>
    <row r="108" spans="6:15" x14ac:dyDescent="0.25">
      <c r="F108" s="73"/>
      <c r="G108" s="79"/>
      <c r="H108" s="2"/>
      <c r="I108" s="2"/>
      <c r="J108" s="2"/>
      <c r="K108" s="2"/>
      <c r="L108" s="2"/>
      <c r="M108" s="2"/>
      <c r="N108" s="409" t="s">
        <v>69</v>
      </c>
      <c r="O108" s="413"/>
    </row>
    <row r="109" spans="6:15" x14ac:dyDescent="0.25">
      <c r="F109" s="73"/>
      <c r="G109" s="79"/>
      <c r="H109" s="2"/>
      <c r="I109" s="2"/>
      <c r="J109" s="2"/>
      <c r="K109" s="2"/>
      <c r="L109" s="2"/>
      <c r="M109" s="2"/>
      <c r="N109" s="2"/>
      <c r="O109" s="74"/>
    </row>
    <row r="110" spans="6:15" x14ac:dyDescent="0.25">
      <c r="F110" s="73"/>
      <c r="G110" s="79"/>
      <c r="H110" s="2"/>
      <c r="I110" s="2"/>
      <c r="J110" s="2"/>
      <c r="K110" s="2"/>
      <c r="L110" s="2"/>
      <c r="M110" s="2"/>
      <c r="N110" s="2"/>
      <c r="O110" s="74"/>
    </row>
    <row r="111" spans="6:15" x14ac:dyDescent="0.25">
      <c r="F111" s="73"/>
      <c r="G111" s="79"/>
      <c r="H111" s="2"/>
      <c r="I111" s="2"/>
      <c r="J111" s="2"/>
      <c r="K111" s="2"/>
      <c r="L111" s="2"/>
      <c r="M111" s="2"/>
      <c r="N111" s="2"/>
      <c r="O111" s="74"/>
    </row>
    <row r="112" spans="6:15" x14ac:dyDescent="0.25">
      <c r="F112" s="73"/>
      <c r="G112" s="79"/>
      <c r="H112" s="2"/>
      <c r="I112" s="2"/>
      <c r="J112" s="2"/>
      <c r="K112" s="2"/>
      <c r="L112" s="2"/>
      <c r="M112" s="2"/>
      <c r="N112" s="2"/>
      <c r="O112" s="74"/>
    </row>
    <row r="113" spans="6:15" x14ac:dyDescent="0.25">
      <c r="F113" s="73" t="s">
        <v>12</v>
      </c>
      <c r="G113" s="79"/>
      <c r="H113" s="2"/>
      <c r="I113" s="2"/>
      <c r="J113" s="2"/>
      <c r="K113" s="2"/>
      <c r="L113" s="2"/>
      <c r="M113" s="2"/>
      <c r="N113" s="2"/>
      <c r="O113" s="74"/>
    </row>
    <row r="114" spans="6:15" x14ac:dyDescent="0.25">
      <c r="F114" s="73"/>
      <c r="G114" s="79"/>
      <c r="H114" s="2"/>
      <c r="I114" s="2"/>
      <c r="J114" s="2"/>
      <c r="K114" s="2"/>
      <c r="L114" s="2"/>
      <c r="M114" s="2"/>
      <c r="N114" s="2"/>
      <c r="O114" s="74"/>
    </row>
    <row r="115" spans="6:15" x14ac:dyDescent="0.25">
      <c r="F115" s="73">
        <v>11</v>
      </c>
      <c r="G115" s="79"/>
      <c r="H115" s="2"/>
      <c r="I115" s="2"/>
      <c r="J115" s="2"/>
      <c r="K115" s="2"/>
      <c r="L115" s="2"/>
      <c r="M115" s="2"/>
      <c r="N115" s="2"/>
      <c r="O115" s="74"/>
    </row>
    <row r="116" spans="6:15" x14ac:dyDescent="0.25">
      <c r="F116" s="73"/>
      <c r="G116" s="79"/>
      <c r="H116" s="2"/>
      <c r="I116" s="2"/>
      <c r="J116" s="2"/>
      <c r="K116" s="2"/>
      <c r="L116" s="2"/>
      <c r="M116" s="2"/>
      <c r="N116" s="2"/>
      <c r="O116" s="74"/>
    </row>
    <row r="117" spans="6:15" x14ac:dyDescent="0.25">
      <c r="F117" s="73"/>
      <c r="G117" s="79"/>
      <c r="H117" s="2"/>
      <c r="I117" s="2"/>
      <c r="J117" s="2"/>
      <c r="K117" s="2"/>
      <c r="L117" s="2"/>
      <c r="M117" s="2"/>
      <c r="N117" s="409" t="s">
        <v>69</v>
      </c>
      <c r="O117" s="413"/>
    </row>
    <row r="118" spans="6:15" x14ac:dyDescent="0.25">
      <c r="F118" s="73"/>
      <c r="G118" s="79"/>
      <c r="H118" s="2"/>
      <c r="I118" s="2"/>
      <c r="J118" s="2"/>
      <c r="K118" s="2"/>
      <c r="L118" s="2"/>
      <c r="M118" s="2"/>
      <c r="N118" s="2"/>
      <c r="O118" s="74"/>
    </row>
    <row r="119" spans="6:15" x14ac:dyDescent="0.25">
      <c r="F119" s="73"/>
      <c r="G119" s="79"/>
      <c r="H119" s="2"/>
      <c r="I119" s="2"/>
      <c r="J119" s="2"/>
      <c r="K119" s="2"/>
      <c r="L119" s="2"/>
      <c r="M119" s="2"/>
      <c r="N119" s="2"/>
      <c r="O119" s="74"/>
    </row>
    <row r="120" spans="6:15" x14ac:dyDescent="0.25">
      <c r="F120" s="73"/>
      <c r="G120" s="79"/>
      <c r="H120" s="2"/>
      <c r="I120" s="2"/>
      <c r="J120" s="2"/>
      <c r="K120" s="2"/>
      <c r="L120" s="2"/>
      <c r="M120" s="2"/>
      <c r="N120" s="2"/>
      <c r="O120" s="74"/>
    </row>
    <row r="121" spans="6:15" x14ac:dyDescent="0.25">
      <c r="F121" s="73"/>
      <c r="G121" s="79"/>
      <c r="H121" s="2"/>
      <c r="I121" s="2"/>
      <c r="J121" s="2"/>
      <c r="K121" s="2"/>
      <c r="L121" s="2"/>
      <c r="M121" s="2"/>
      <c r="N121" s="2"/>
      <c r="O121" s="74"/>
    </row>
    <row r="122" spans="6:15" x14ac:dyDescent="0.25">
      <c r="F122" s="73"/>
      <c r="G122" s="79"/>
      <c r="H122" s="2"/>
      <c r="I122" s="2"/>
      <c r="J122" s="2"/>
      <c r="K122" s="2"/>
      <c r="L122" s="2"/>
      <c r="M122" s="2"/>
      <c r="N122" s="2"/>
      <c r="O122" s="74"/>
    </row>
    <row r="123" spans="6:15" x14ac:dyDescent="0.25">
      <c r="F123" s="73"/>
      <c r="G123" s="79"/>
      <c r="H123" s="2"/>
      <c r="I123" s="2"/>
      <c r="J123" s="2"/>
      <c r="K123" s="2"/>
      <c r="L123" s="2"/>
      <c r="M123" s="2"/>
      <c r="N123" s="2"/>
      <c r="O123" s="74"/>
    </row>
    <row r="124" spans="6:15" x14ac:dyDescent="0.25">
      <c r="F124" s="73"/>
      <c r="G124" s="79"/>
      <c r="H124" s="2"/>
      <c r="I124" s="2"/>
      <c r="J124" s="2"/>
      <c r="K124" s="2"/>
      <c r="L124" s="2"/>
      <c r="M124" s="2"/>
      <c r="N124" s="2"/>
      <c r="O124" s="74"/>
    </row>
    <row r="125" spans="6:15" x14ac:dyDescent="0.25">
      <c r="F125" s="73"/>
      <c r="G125" s="79"/>
      <c r="H125" s="2"/>
      <c r="I125" s="2"/>
      <c r="J125" s="2"/>
      <c r="K125" s="2"/>
      <c r="L125" s="2"/>
      <c r="M125" s="2"/>
      <c r="N125" s="2"/>
      <c r="O125" s="74"/>
    </row>
    <row r="126" spans="6:15" x14ac:dyDescent="0.25">
      <c r="F126" s="73">
        <v>12</v>
      </c>
      <c r="G126" s="79"/>
      <c r="H126" s="2"/>
      <c r="I126" s="2"/>
      <c r="J126" s="2"/>
      <c r="K126" s="2"/>
      <c r="L126" s="2"/>
      <c r="M126" s="2"/>
      <c r="N126" s="2"/>
      <c r="O126" s="74"/>
    </row>
    <row r="127" spans="6:15" x14ac:dyDescent="0.25">
      <c r="F127" s="73"/>
      <c r="G127" s="79"/>
      <c r="H127" s="2"/>
      <c r="I127" s="2"/>
      <c r="J127" s="2"/>
      <c r="K127" s="2"/>
      <c r="L127" s="2"/>
      <c r="M127" s="2"/>
      <c r="N127" s="409" t="s">
        <v>66</v>
      </c>
      <c r="O127" s="413"/>
    </row>
    <row r="128" spans="6:15" x14ac:dyDescent="0.25">
      <c r="F128" s="73"/>
      <c r="G128" s="79"/>
      <c r="H128" s="2"/>
      <c r="I128" s="2"/>
      <c r="J128" s="2"/>
      <c r="K128" s="2"/>
      <c r="L128" s="2"/>
      <c r="M128" s="2"/>
      <c r="N128" s="2"/>
      <c r="O128" s="74"/>
    </row>
    <row r="129" spans="6:15" x14ac:dyDescent="0.25">
      <c r="F129" s="73"/>
      <c r="G129" s="79"/>
      <c r="H129" s="2"/>
      <c r="I129" s="2"/>
      <c r="J129" s="2"/>
      <c r="K129" s="2"/>
      <c r="L129" s="2"/>
      <c r="M129" s="2"/>
      <c r="N129" s="2"/>
      <c r="O129" s="74"/>
    </row>
    <row r="130" spans="6:15" x14ac:dyDescent="0.25">
      <c r="F130" s="73"/>
      <c r="G130" s="79"/>
      <c r="H130" s="2"/>
      <c r="I130" s="2"/>
      <c r="J130" s="2"/>
      <c r="K130" s="2"/>
      <c r="L130" s="2"/>
      <c r="M130" s="2"/>
      <c r="N130" s="2"/>
      <c r="O130" s="74"/>
    </row>
    <row r="131" spans="6:15" x14ac:dyDescent="0.25">
      <c r="F131" s="73"/>
      <c r="G131" s="79"/>
      <c r="H131" s="2"/>
      <c r="I131" s="2"/>
      <c r="J131" s="2"/>
      <c r="K131" s="2"/>
      <c r="L131" s="2"/>
      <c r="M131" s="2"/>
      <c r="N131" s="2"/>
      <c r="O131" s="74"/>
    </row>
    <row r="132" spans="6:15" x14ac:dyDescent="0.25">
      <c r="F132" s="73"/>
      <c r="G132" s="79"/>
      <c r="H132" s="2"/>
      <c r="I132" s="2"/>
      <c r="J132" s="2"/>
      <c r="K132" s="2"/>
      <c r="L132" s="2"/>
      <c r="M132" s="2"/>
      <c r="N132" s="2"/>
      <c r="O132" s="74"/>
    </row>
    <row r="133" spans="6:15" x14ac:dyDescent="0.25">
      <c r="F133" s="73"/>
      <c r="G133" s="79"/>
      <c r="H133" s="2"/>
      <c r="I133" s="2"/>
      <c r="J133" s="2"/>
      <c r="K133" s="2"/>
      <c r="L133" s="2"/>
      <c r="M133" s="2"/>
      <c r="N133" s="2"/>
      <c r="O133" s="74"/>
    </row>
    <row r="134" spans="6:15" x14ac:dyDescent="0.25">
      <c r="F134" s="73"/>
      <c r="G134" s="79"/>
      <c r="H134" s="2"/>
      <c r="I134" s="2"/>
      <c r="J134" s="2"/>
      <c r="K134" s="2"/>
      <c r="L134" s="2"/>
      <c r="M134" s="2"/>
      <c r="N134" s="2"/>
      <c r="O134" s="74"/>
    </row>
    <row r="135" spans="6:15" x14ac:dyDescent="0.25">
      <c r="F135" s="73">
        <v>13</v>
      </c>
      <c r="G135" s="79"/>
      <c r="H135" s="2"/>
      <c r="I135" s="2"/>
      <c r="J135" s="2"/>
      <c r="K135" s="2"/>
      <c r="L135" s="2"/>
      <c r="M135" s="2"/>
      <c r="N135" s="2"/>
      <c r="O135" s="74"/>
    </row>
    <row r="136" spans="6:15" x14ac:dyDescent="0.25">
      <c r="F136" s="73"/>
      <c r="G136" s="79"/>
      <c r="H136" s="2"/>
      <c r="I136" s="2"/>
      <c r="J136" s="2"/>
      <c r="K136" s="2"/>
      <c r="L136" s="2"/>
      <c r="M136" s="2"/>
      <c r="N136" s="2"/>
      <c r="O136" s="74"/>
    </row>
    <row r="137" spans="6:15" x14ac:dyDescent="0.25">
      <c r="F137" s="73"/>
      <c r="G137" s="79"/>
      <c r="H137" s="2"/>
      <c r="I137" s="2"/>
      <c r="J137" s="2"/>
      <c r="K137" s="2"/>
      <c r="L137" s="2"/>
      <c r="M137" s="2"/>
      <c r="N137" s="2"/>
      <c r="O137" s="74"/>
    </row>
    <row r="138" spans="6:15" x14ac:dyDescent="0.25">
      <c r="F138" s="73"/>
      <c r="G138" s="79"/>
      <c r="H138" s="2"/>
      <c r="I138" s="2"/>
      <c r="J138" s="2"/>
      <c r="K138" s="2"/>
      <c r="L138" s="2"/>
      <c r="M138" s="2"/>
      <c r="N138" s="2"/>
      <c r="O138" s="74"/>
    </row>
    <row r="139" spans="6:15" x14ac:dyDescent="0.25">
      <c r="F139" s="73"/>
      <c r="G139" s="79"/>
      <c r="H139" s="2"/>
      <c r="I139" s="2"/>
      <c r="J139" s="2"/>
      <c r="K139" s="2"/>
      <c r="L139" s="2"/>
      <c r="M139" s="2"/>
      <c r="N139" s="2"/>
      <c r="O139" s="74"/>
    </row>
    <row r="140" spans="6:15" x14ac:dyDescent="0.25">
      <c r="F140" s="73"/>
      <c r="G140" s="79"/>
      <c r="H140" s="2"/>
      <c r="I140" s="2"/>
      <c r="J140" s="2"/>
      <c r="K140" s="2"/>
      <c r="L140" s="2"/>
      <c r="M140" s="2"/>
      <c r="N140" s="2"/>
      <c r="O140" s="74"/>
    </row>
    <row r="141" spans="6:15" x14ac:dyDescent="0.25">
      <c r="F141" s="73">
        <v>14</v>
      </c>
      <c r="G141" s="79"/>
      <c r="H141" s="2"/>
      <c r="I141" s="2"/>
      <c r="J141" s="2"/>
      <c r="K141" s="2"/>
      <c r="L141" s="2"/>
      <c r="M141" s="2"/>
      <c r="N141" s="2"/>
      <c r="O141" s="74"/>
    </row>
    <row r="142" spans="6:15" x14ac:dyDescent="0.25">
      <c r="F142" s="73" t="s">
        <v>12</v>
      </c>
      <c r="G142" s="79"/>
      <c r="H142" s="2"/>
      <c r="I142" s="2"/>
      <c r="J142" s="2"/>
      <c r="K142" s="2"/>
      <c r="L142" s="2"/>
      <c r="M142" s="2"/>
      <c r="N142" s="2"/>
      <c r="O142" s="74"/>
    </row>
    <row r="143" spans="6:15" x14ac:dyDescent="0.25">
      <c r="F143" s="73" t="s">
        <v>12</v>
      </c>
      <c r="G143" s="79"/>
      <c r="H143" s="2"/>
      <c r="I143" s="2"/>
      <c r="J143" s="2"/>
      <c r="K143" s="2"/>
      <c r="L143" s="2"/>
      <c r="M143" s="2"/>
      <c r="N143" s="2"/>
      <c r="O143" s="74"/>
    </row>
    <row r="144" spans="6:15" x14ac:dyDescent="0.25">
      <c r="F144" s="73"/>
      <c r="G144" s="79"/>
      <c r="H144" s="2"/>
      <c r="I144" s="2"/>
      <c r="J144" s="2"/>
      <c r="K144" s="2"/>
      <c r="L144" s="2"/>
      <c r="M144" s="2"/>
      <c r="N144" s="2"/>
      <c r="O144" s="74"/>
    </row>
    <row r="145" spans="6:15" x14ac:dyDescent="0.25">
      <c r="F145" s="73"/>
      <c r="G145" s="79"/>
      <c r="H145" s="2"/>
      <c r="I145" s="2"/>
      <c r="J145" s="2"/>
      <c r="K145" s="2"/>
      <c r="L145" s="2"/>
      <c r="M145" s="2"/>
      <c r="N145" s="2"/>
      <c r="O145" s="74"/>
    </row>
    <row r="146" spans="6:15" x14ac:dyDescent="0.25">
      <c r="F146" s="73"/>
      <c r="G146" s="79"/>
      <c r="H146" s="2"/>
      <c r="I146" s="2"/>
      <c r="J146" s="2"/>
      <c r="K146" s="2"/>
      <c r="L146" s="2"/>
      <c r="M146" s="2"/>
      <c r="N146" s="2"/>
      <c r="O146" s="74"/>
    </row>
    <row r="147" spans="6:15" x14ac:dyDescent="0.25">
      <c r="F147" s="73"/>
      <c r="G147" s="79"/>
      <c r="H147" s="2"/>
      <c r="I147" s="2"/>
      <c r="J147" s="2"/>
      <c r="K147" s="2"/>
      <c r="L147" s="2"/>
      <c r="M147" s="2"/>
      <c r="N147" s="2"/>
      <c r="O147" s="74"/>
    </row>
    <row r="148" spans="6:15" x14ac:dyDescent="0.25">
      <c r="F148" s="73"/>
      <c r="G148" s="79"/>
      <c r="H148" s="2"/>
      <c r="I148" s="2"/>
      <c r="J148" s="2"/>
      <c r="K148" s="2"/>
      <c r="L148" s="2"/>
      <c r="M148" s="2"/>
      <c r="N148" s="2"/>
      <c r="O148" s="74"/>
    </row>
    <row r="149" spans="6:15" x14ac:dyDescent="0.25">
      <c r="F149" s="73"/>
      <c r="G149" s="79"/>
      <c r="H149" s="2"/>
      <c r="I149" s="2"/>
      <c r="J149" s="2"/>
      <c r="K149" s="2"/>
      <c r="L149" s="2"/>
      <c r="M149" s="2"/>
      <c r="N149" s="2"/>
      <c r="O149" s="74"/>
    </row>
    <row r="150" spans="6:15" x14ac:dyDescent="0.25">
      <c r="F150" s="73"/>
      <c r="G150" s="79"/>
      <c r="H150" s="2"/>
      <c r="I150" s="2"/>
      <c r="J150" s="2"/>
      <c r="K150" s="2"/>
      <c r="L150" s="2"/>
      <c r="M150" s="2"/>
      <c r="N150" s="2"/>
      <c r="O150" s="74"/>
    </row>
    <row r="151" spans="6:15" x14ac:dyDescent="0.25">
      <c r="F151" s="73"/>
      <c r="G151" s="79"/>
      <c r="H151" s="2"/>
      <c r="I151" s="2"/>
      <c r="J151" s="2"/>
      <c r="K151" s="2"/>
      <c r="L151" s="2"/>
      <c r="M151" s="2"/>
      <c r="N151" s="2"/>
      <c r="O151" s="74"/>
    </row>
    <row r="152" spans="6:15" x14ac:dyDescent="0.25">
      <c r="F152" s="73"/>
      <c r="G152" s="79"/>
      <c r="H152" s="2"/>
      <c r="I152" s="2"/>
      <c r="J152" s="2"/>
      <c r="K152" s="2"/>
      <c r="L152" s="2"/>
      <c r="M152" s="2"/>
      <c r="N152" s="2"/>
      <c r="O152" s="74"/>
    </row>
    <row r="153" spans="6:15" x14ac:dyDescent="0.25">
      <c r="F153" s="73"/>
      <c r="G153" s="79"/>
      <c r="H153" s="2"/>
      <c r="I153" s="2"/>
      <c r="J153" s="2"/>
      <c r="K153" s="2"/>
      <c r="L153" s="2"/>
      <c r="M153" s="2"/>
      <c r="N153" s="2"/>
      <c r="O153" s="74"/>
    </row>
    <row r="154" spans="6:15" x14ac:dyDescent="0.25">
      <c r="F154" s="73"/>
      <c r="G154" s="79"/>
      <c r="H154" s="2"/>
      <c r="I154" s="2"/>
      <c r="J154" s="2"/>
      <c r="K154" s="2"/>
      <c r="L154" s="2"/>
      <c r="M154" s="2"/>
      <c r="N154" s="2"/>
      <c r="O154" s="74"/>
    </row>
    <row r="155" spans="6:15" x14ac:dyDescent="0.25">
      <c r="F155" s="73"/>
      <c r="G155" s="79"/>
      <c r="H155" s="2"/>
      <c r="I155" s="2"/>
      <c r="J155" s="2"/>
      <c r="K155" s="2"/>
      <c r="L155" s="2"/>
      <c r="M155" s="2"/>
      <c r="N155" s="2"/>
      <c r="O155" s="74"/>
    </row>
    <row r="156" spans="6:15" x14ac:dyDescent="0.25">
      <c r="F156" s="73"/>
      <c r="G156" s="79"/>
      <c r="H156" s="2"/>
      <c r="I156" s="2"/>
      <c r="J156" s="2"/>
      <c r="K156" s="2"/>
      <c r="L156" s="2"/>
      <c r="M156" s="2"/>
      <c r="N156" s="2"/>
      <c r="O156" s="74"/>
    </row>
    <row r="157" spans="6:15" x14ac:dyDescent="0.25">
      <c r="F157" s="73"/>
      <c r="G157" s="79"/>
      <c r="H157" s="2"/>
      <c r="I157" s="2"/>
      <c r="J157" s="2"/>
      <c r="K157" s="2"/>
      <c r="L157" s="2"/>
      <c r="M157" s="2"/>
      <c r="N157" s="2"/>
      <c r="O157" s="74"/>
    </row>
    <row r="158" spans="6:15" x14ac:dyDescent="0.25">
      <c r="F158" s="73"/>
      <c r="G158" s="79"/>
      <c r="H158" s="2"/>
      <c r="I158" s="2"/>
      <c r="J158" s="2"/>
      <c r="K158" s="2"/>
      <c r="L158" s="2"/>
      <c r="M158" s="2"/>
      <c r="N158" s="2"/>
      <c r="O158" s="74"/>
    </row>
    <row r="159" spans="6:15" x14ac:dyDescent="0.25">
      <c r="F159" s="73"/>
      <c r="G159" s="79"/>
      <c r="H159" s="2"/>
      <c r="I159" s="2"/>
      <c r="J159" s="2"/>
      <c r="K159" s="2"/>
      <c r="L159" s="2"/>
      <c r="M159" s="2"/>
      <c r="N159" s="2"/>
      <c r="O159" s="74"/>
    </row>
    <row r="160" spans="6:15" x14ac:dyDescent="0.25">
      <c r="F160" s="73"/>
      <c r="G160" s="79"/>
      <c r="H160" s="2"/>
      <c r="I160" s="2"/>
      <c r="J160" s="2"/>
      <c r="K160" s="2"/>
      <c r="L160" s="2"/>
      <c r="M160" s="2"/>
      <c r="N160" s="2"/>
      <c r="O160" s="74"/>
    </row>
    <row r="161" spans="6:15" x14ac:dyDescent="0.25">
      <c r="F161" s="73"/>
      <c r="G161" s="79"/>
      <c r="H161" s="2"/>
      <c r="I161" s="2"/>
      <c r="J161" s="2"/>
      <c r="K161" s="2"/>
      <c r="L161" s="2"/>
      <c r="M161" s="2"/>
      <c r="N161" s="2"/>
      <c r="O161" s="74"/>
    </row>
    <row r="162" spans="6:15" x14ac:dyDescent="0.25">
      <c r="F162" s="73">
        <v>15</v>
      </c>
      <c r="G162" s="79"/>
      <c r="H162" s="2"/>
      <c r="I162" s="2"/>
      <c r="J162" s="2"/>
      <c r="K162" s="2"/>
      <c r="L162" s="2"/>
      <c r="M162" s="2"/>
      <c r="N162" s="2"/>
      <c r="O162" s="74"/>
    </row>
    <row r="163" spans="6:15" x14ac:dyDescent="0.25">
      <c r="F163" s="73"/>
      <c r="G163" s="79"/>
      <c r="H163" s="2"/>
      <c r="I163" s="2"/>
      <c r="J163" s="2"/>
      <c r="K163" s="2"/>
      <c r="L163" s="2"/>
      <c r="M163" s="409" t="s">
        <v>66</v>
      </c>
      <c r="N163" s="409"/>
      <c r="O163" s="74"/>
    </row>
    <row r="164" spans="6:15" x14ac:dyDescent="0.25">
      <c r="F164" s="73"/>
      <c r="G164" s="79"/>
      <c r="H164" s="2"/>
      <c r="I164" s="2"/>
      <c r="J164" s="2"/>
      <c r="K164" s="2"/>
      <c r="L164" s="2"/>
      <c r="M164" s="2"/>
      <c r="N164" s="2"/>
      <c r="O164" s="74"/>
    </row>
    <row r="165" spans="6:15" x14ac:dyDescent="0.25">
      <c r="F165" s="73"/>
      <c r="G165" s="79"/>
      <c r="H165" s="2"/>
      <c r="I165" s="2"/>
      <c r="J165" s="2"/>
      <c r="K165" s="2"/>
      <c r="L165" s="2"/>
      <c r="M165" s="2"/>
      <c r="N165" s="2"/>
      <c r="O165" s="74"/>
    </row>
    <row r="166" spans="6:15" x14ac:dyDescent="0.25">
      <c r="F166" s="73"/>
      <c r="G166" s="79"/>
      <c r="H166" s="2"/>
      <c r="I166" s="2"/>
      <c r="J166" s="2"/>
      <c r="K166" s="2"/>
      <c r="L166" s="2"/>
      <c r="M166" s="2"/>
      <c r="N166" s="2"/>
      <c r="O166" s="74"/>
    </row>
    <row r="167" spans="6:15" x14ac:dyDescent="0.25">
      <c r="F167" s="73"/>
      <c r="G167" s="79"/>
      <c r="H167" s="2"/>
      <c r="I167" s="2"/>
      <c r="J167" s="2"/>
      <c r="K167" s="2"/>
      <c r="L167" s="2"/>
      <c r="M167" s="2"/>
      <c r="N167" s="2"/>
      <c r="O167" s="74"/>
    </row>
    <row r="168" spans="6:15" x14ac:dyDescent="0.25">
      <c r="F168" s="73"/>
      <c r="G168" s="79"/>
      <c r="H168" s="2"/>
      <c r="I168" s="2"/>
      <c r="J168" s="2"/>
      <c r="K168" s="2"/>
      <c r="L168" s="2"/>
      <c r="M168" s="2"/>
      <c r="N168" s="2"/>
      <c r="O168" s="74"/>
    </row>
    <row r="169" spans="6:15" x14ac:dyDescent="0.25">
      <c r="F169" s="73"/>
      <c r="G169" s="79"/>
      <c r="H169" s="2"/>
      <c r="I169" s="2"/>
      <c r="J169" s="2"/>
      <c r="K169" s="2"/>
      <c r="L169" s="2"/>
      <c r="M169" s="2"/>
      <c r="N169" s="2"/>
      <c r="O169" s="74"/>
    </row>
    <row r="170" spans="6:15" x14ac:dyDescent="0.25">
      <c r="F170" s="73"/>
      <c r="G170" s="79"/>
      <c r="H170" s="2"/>
      <c r="I170" s="2"/>
      <c r="J170" s="2"/>
      <c r="K170" s="2"/>
      <c r="L170" s="2"/>
      <c r="M170" s="2"/>
      <c r="N170" s="2"/>
      <c r="O170" s="74"/>
    </row>
    <row r="171" spans="6:15" x14ac:dyDescent="0.25">
      <c r="F171" s="73"/>
      <c r="G171" s="79"/>
      <c r="H171" s="2"/>
      <c r="I171" s="2"/>
      <c r="J171" s="2"/>
      <c r="K171" s="2"/>
      <c r="L171" s="2"/>
      <c r="M171" s="2"/>
      <c r="N171" s="2"/>
      <c r="O171" s="74"/>
    </row>
    <row r="172" spans="6:15" x14ac:dyDescent="0.25">
      <c r="F172" s="73"/>
      <c r="G172" s="79"/>
      <c r="H172" s="2"/>
      <c r="I172" s="2"/>
      <c r="J172" s="2"/>
      <c r="K172" s="2"/>
      <c r="L172" s="2"/>
      <c r="M172" s="2"/>
      <c r="N172" s="2"/>
      <c r="O172" s="74"/>
    </row>
    <row r="173" spans="6:15" x14ac:dyDescent="0.25">
      <c r="F173" s="73"/>
      <c r="G173" s="79"/>
      <c r="H173" s="2"/>
      <c r="I173" s="2"/>
      <c r="J173" s="2"/>
      <c r="K173" s="2"/>
      <c r="L173" s="2"/>
      <c r="M173" s="2"/>
      <c r="N173" s="2"/>
      <c r="O173" s="74"/>
    </row>
    <row r="174" spans="6:15" x14ac:dyDescent="0.25">
      <c r="F174" s="73" t="s">
        <v>12</v>
      </c>
      <c r="G174" s="79"/>
      <c r="H174" s="2"/>
      <c r="I174" s="2"/>
      <c r="J174" s="2"/>
      <c r="K174" s="2"/>
      <c r="L174" s="2"/>
      <c r="M174" s="2"/>
      <c r="N174" s="71" t="s">
        <v>12</v>
      </c>
      <c r="O174" s="74"/>
    </row>
    <row r="175" spans="6:15" x14ac:dyDescent="0.25">
      <c r="F175" s="73"/>
      <c r="G175" s="79"/>
      <c r="H175" s="2"/>
      <c r="I175" s="2"/>
      <c r="J175" s="2"/>
      <c r="K175" s="2"/>
      <c r="L175" s="2"/>
      <c r="M175" s="2"/>
      <c r="N175" s="2"/>
      <c r="O175" s="74"/>
    </row>
    <row r="176" spans="6:15" x14ac:dyDescent="0.25">
      <c r="F176" s="73"/>
      <c r="G176" s="79"/>
      <c r="H176" s="2"/>
      <c r="I176" s="2"/>
      <c r="J176" s="2"/>
      <c r="K176" s="2"/>
      <c r="L176" s="2"/>
      <c r="M176" s="2"/>
      <c r="N176" s="2"/>
      <c r="O176" s="74"/>
    </row>
    <row r="177" spans="6:15" x14ac:dyDescent="0.25">
      <c r="F177" s="73"/>
      <c r="G177" s="79"/>
      <c r="H177" s="2"/>
      <c r="I177" s="2"/>
      <c r="J177" s="2"/>
      <c r="K177" s="2"/>
      <c r="L177" s="2"/>
      <c r="M177" s="2"/>
      <c r="N177" s="2"/>
      <c r="O177" s="74"/>
    </row>
    <row r="178" spans="6:15" ht="15.75" thickBot="1" x14ac:dyDescent="0.3">
      <c r="F178" s="76"/>
      <c r="G178" s="81"/>
      <c r="H178" s="3"/>
      <c r="I178" s="3"/>
      <c r="J178" s="3"/>
      <c r="K178" s="3"/>
      <c r="L178" s="3"/>
      <c r="M178" s="3"/>
      <c r="N178" s="3"/>
      <c r="O178" s="77"/>
    </row>
    <row r="179" spans="6:15" x14ac:dyDescent="0.25">
      <c r="F179" s="92">
        <v>16</v>
      </c>
      <c r="G179" s="2"/>
      <c r="H179" s="2"/>
      <c r="I179" s="2"/>
      <c r="J179" s="2"/>
      <c r="K179" s="2"/>
      <c r="L179" s="2"/>
      <c r="M179" s="2"/>
      <c r="N179" s="2"/>
      <c r="O179" s="2"/>
    </row>
    <row r="180" spans="6:15" x14ac:dyDescent="0.25">
      <c r="F180" s="93"/>
      <c r="G180" s="2"/>
      <c r="H180" s="2"/>
      <c r="I180" s="2"/>
      <c r="J180" s="2"/>
      <c r="K180" s="2"/>
      <c r="L180" s="2"/>
      <c r="M180" s="2"/>
      <c r="N180" s="2"/>
      <c r="O180" s="2"/>
    </row>
    <row r="181" spans="6:15" x14ac:dyDescent="0.25">
      <c r="F181" s="93"/>
      <c r="G181" s="2"/>
      <c r="H181" s="2"/>
      <c r="I181" s="2"/>
      <c r="J181" s="2"/>
      <c r="K181" s="2"/>
      <c r="L181" s="2"/>
      <c r="M181" s="2"/>
      <c r="N181" s="2"/>
      <c r="O181" s="2"/>
    </row>
    <row r="182" spans="6:15" x14ac:dyDescent="0.25">
      <c r="F182" s="93"/>
      <c r="G182" s="2"/>
      <c r="H182" s="2"/>
      <c r="I182" s="2"/>
      <c r="J182" s="2"/>
      <c r="K182" s="2"/>
      <c r="L182" s="2"/>
      <c r="M182" s="2"/>
      <c r="N182" s="2"/>
      <c r="O182" s="2"/>
    </row>
    <row r="183" spans="6:15" x14ac:dyDescent="0.25">
      <c r="F183" s="93"/>
      <c r="G183" s="2"/>
      <c r="H183" s="2"/>
      <c r="I183" s="2"/>
      <c r="J183" s="2"/>
      <c r="K183" s="2"/>
      <c r="L183" s="2"/>
      <c r="M183" s="2"/>
      <c r="N183" s="2"/>
      <c r="O183" s="2"/>
    </row>
    <row r="184" spans="6:15" x14ac:dyDescent="0.25">
      <c r="F184" s="93"/>
      <c r="G184" s="2"/>
      <c r="H184" s="2"/>
      <c r="I184" s="2"/>
      <c r="J184" s="2"/>
      <c r="K184" s="2"/>
      <c r="L184" s="2"/>
      <c r="M184" s="2"/>
      <c r="N184" s="2"/>
      <c r="O184" s="2"/>
    </row>
    <row r="185" spans="6:15" x14ac:dyDescent="0.25">
      <c r="F185" s="93"/>
      <c r="G185" s="2"/>
      <c r="H185" s="2"/>
      <c r="I185" s="2"/>
      <c r="J185" s="2"/>
      <c r="K185" s="2"/>
      <c r="L185" s="2"/>
      <c r="M185" s="2"/>
      <c r="N185" s="2"/>
      <c r="O185" s="2"/>
    </row>
    <row r="186" spans="6:15" x14ac:dyDescent="0.25">
      <c r="F186" s="93"/>
      <c r="G186" s="2"/>
      <c r="H186" s="2"/>
      <c r="I186" s="2"/>
      <c r="J186" s="2"/>
      <c r="K186" s="2"/>
      <c r="L186" s="2"/>
      <c r="M186" s="2"/>
      <c r="N186" s="2"/>
      <c r="O186" s="2"/>
    </row>
    <row r="187" spans="6:15" x14ac:dyDescent="0.25">
      <c r="F187" s="93"/>
      <c r="G187" s="2"/>
      <c r="H187" s="2"/>
      <c r="I187" s="2"/>
      <c r="J187" s="2"/>
      <c r="K187" s="2"/>
      <c r="L187" s="2"/>
      <c r="M187" s="2"/>
      <c r="N187" s="2"/>
      <c r="O187" s="2"/>
    </row>
    <row r="188" spans="6:15" x14ac:dyDescent="0.25">
      <c r="F188" s="93"/>
      <c r="G188" s="2"/>
      <c r="H188" s="2"/>
      <c r="I188" s="2"/>
      <c r="J188" s="2"/>
      <c r="K188" s="2"/>
      <c r="L188" s="2"/>
      <c r="M188" s="2"/>
      <c r="N188" s="2"/>
      <c r="O188" s="2"/>
    </row>
    <row r="189" spans="6:15" x14ac:dyDescent="0.25">
      <c r="F189" s="93"/>
      <c r="G189" s="2"/>
      <c r="H189" s="2"/>
      <c r="I189" s="2"/>
      <c r="J189" s="2"/>
      <c r="K189" s="2"/>
      <c r="L189" s="2"/>
      <c r="M189" s="2"/>
      <c r="N189" s="2"/>
      <c r="O189" s="2"/>
    </row>
    <row r="190" spans="6:15" x14ac:dyDescent="0.25">
      <c r="F190" s="93"/>
      <c r="G190" s="2"/>
      <c r="H190" s="2"/>
      <c r="I190" s="2"/>
      <c r="J190" s="2"/>
      <c r="K190" s="2"/>
      <c r="L190" s="2"/>
      <c r="M190" s="2"/>
      <c r="N190" s="2"/>
      <c r="O190" s="2"/>
    </row>
    <row r="191" spans="6:15" x14ac:dyDescent="0.25">
      <c r="F191" s="93"/>
      <c r="G191" s="2"/>
      <c r="H191" s="2"/>
      <c r="I191" s="2"/>
      <c r="J191" s="2"/>
      <c r="K191" s="2"/>
      <c r="L191" s="2"/>
      <c r="M191" s="2"/>
      <c r="N191" s="2"/>
      <c r="O191" s="2"/>
    </row>
    <row r="192" spans="6:15" x14ac:dyDescent="0.25">
      <c r="F192" s="93"/>
      <c r="G192" s="2"/>
      <c r="H192" s="2"/>
      <c r="I192" s="2"/>
      <c r="J192" s="2"/>
      <c r="K192" s="2"/>
      <c r="L192" s="2"/>
      <c r="M192" s="2"/>
      <c r="N192" s="2"/>
      <c r="O192" s="2"/>
    </row>
    <row r="193" spans="6:15" x14ac:dyDescent="0.25">
      <c r="F193" s="93"/>
      <c r="G193" s="2"/>
      <c r="H193" s="2"/>
      <c r="I193" s="2"/>
      <c r="J193" s="2"/>
      <c r="K193" s="2"/>
      <c r="L193" s="2"/>
      <c r="M193" s="2"/>
      <c r="N193" s="2"/>
      <c r="O193" s="2"/>
    </row>
    <row r="194" spans="6:15" ht="15.75" thickBot="1" x14ac:dyDescent="0.3">
      <c r="F194" s="94"/>
      <c r="G194" s="2"/>
      <c r="H194" s="2"/>
      <c r="I194" s="2"/>
      <c r="J194" s="2"/>
      <c r="K194" s="2"/>
      <c r="L194" s="2"/>
      <c r="M194" s="2"/>
      <c r="N194" s="2"/>
      <c r="O194" s="2"/>
    </row>
    <row r="195" spans="6:15" x14ac:dyDescent="0.25">
      <c r="F195" s="85"/>
      <c r="G195" s="2"/>
      <c r="H195" s="2"/>
      <c r="I195" s="2"/>
      <c r="J195" s="2"/>
      <c r="K195" s="2"/>
      <c r="L195" s="2"/>
      <c r="M195" s="2"/>
      <c r="N195" s="71" t="s">
        <v>122</v>
      </c>
      <c r="O195" s="2"/>
    </row>
    <row r="196" spans="6:15" x14ac:dyDescent="0.25">
      <c r="F196" s="85"/>
      <c r="G196" s="2"/>
      <c r="H196" s="2"/>
      <c r="I196" s="2"/>
      <c r="J196" s="2"/>
      <c r="K196" s="2"/>
      <c r="L196" s="2"/>
      <c r="M196" s="2"/>
      <c r="N196" s="2"/>
      <c r="O196" s="2"/>
    </row>
    <row r="197" spans="6:15" x14ac:dyDescent="0.25">
      <c r="F197" s="85"/>
      <c r="G197" s="2"/>
      <c r="H197" s="2"/>
      <c r="I197" s="2"/>
      <c r="J197" s="2"/>
      <c r="K197" s="2"/>
      <c r="L197" s="2"/>
      <c r="M197" s="2"/>
      <c r="N197" s="2"/>
      <c r="O197" s="2"/>
    </row>
    <row r="198" spans="6:15" x14ac:dyDescent="0.25">
      <c r="F198" s="85"/>
      <c r="G198" s="2"/>
      <c r="H198" s="2"/>
      <c r="I198" s="2"/>
      <c r="J198" s="2"/>
      <c r="K198" s="2"/>
      <c r="L198" s="2"/>
      <c r="M198" s="2"/>
      <c r="N198" s="2"/>
      <c r="O198" s="2"/>
    </row>
    <row r="199" spans="6:15" x14ac:dyDescent="0.25">
      <c r="F199" s="85"/>
      <c r="G199" s="2"/>
      <c r="H199" s="2"/>
      <c r="I199" s="2"/>
      <c r="J199" s="2"/>
      <c r="K199" s="2"/>
      <c r="L199" s="2"/>
      <c r="M199" s="2"/>
      <c r="N199" s="2"/>
      <c r="O199" s="2"/>
    </row>
    <row r="200" spans="6:15" x14ac:dyDescent="0.25">
      <c r="F200" s="85"/>
      <c r="G200" s="2"/>
      <c r="H200" s="2"/>
      <c r="I200" s="2"/>
      <c r="J200" s="2"/>
      <c r="K200" s="2"/>
      <c r="L200" s="2"/>
      <c r="M200" s="2"/>
      <c r="N200" s="2"/>
      <c r="O200" s="2"/>
    </row>
    <row r="201" spans="6:15" x14ac:dyDescent="0.25">
      <c r="F201" s="85"/>
      <c r="G201" s="2"/>
      <c r="H201" s="2"/>
      <c r="I201" s="2"/>
      <c r="J201" s="2"/>
      <c r="K201" s="2"/>
      <c r="L201" s="2"/>
      <c r="M201" s="2"/>
      <c r="N201" s="2"/>
      <c r="O201" s="2"/>
    </row>
    <row r="202" spans="6:15" x14ac:dyDescent="0.25">
      <c r="F202" s="85"/>
      <c r="G202" s="2"/>
      <c r="H202" s="2"/>
      <c r="I202" s="2"/>
      <c r="J202" s="2"/>
      <c r="K202" s="2"/>
      <c r="L202" s="2"/>
      <c r="M202" s="2"/>
      <c r="N202" s="2"/>
      <c r="O202" s="2"/>
    </row>
    <row r="203" spans="6:15" x14ac:dyDescent="0.25">
      <c r="F203" s="85"/>
      <c r="G203" s="2"/>
      <c r="H203" s="2"/>
      <c r="I203" s="2"/>
      <c r="J203" s="2"/>
      <c r="K203" s="2"/>
      <c r="L203" s="2"/>
      <c r="M203" s="2"/>
      <c r="N203" s="2"/>
      <c r="O203" s="2"/>
    </row>
    <row r="204" spans="6:15" x14ac:dyDescent="0.25">
      <c r="F204" s="85"/>
      <c r="G204" s="2"/>
      <c r="H204" s="2"/>
      <c r="I204" s="2"/>
      <c r="J204" s="2"/>
      <c r="K204" s="2"/>
      <c r="L204" s="2"/>
      <c r="M204" s="2"/>
      <c r="N204" s="2"/>
      <c r="O204" s="2"/>
    </row>
    <row r="205" spans="6:15" x14ac:dyDescent="0.25">
      <c r="F205" s="85"/>
      <c r="G205" s="2"/>
      <c r="H205" s="2"/>
      <c r="I205" s="2"/>
      <c r="J205" s="2"/>
      <c r="K205" s="2"/>
      <c r="L205" s="2"/>
      <c r="M205" s="2"/>
      <c r="N205" s="2"/>
      <c r="O205" s="2"/>
    </row>
    <row r="206" spans="6:15" x14ac:dyDescent="0.25">
      <c r="F206" s="85"/>
      <c r="G206" s="2"/>
      <c r="H206" s="2"/>
      <c r="I206" s="2"/>
      <c r="J206" s="2"/>
      <c r="K206" s="2"/>
      <c r="L206" s="2"/>
      <c r="M206" s="2"/>
      <c r="N206" s="2"/>
      <c r="O206" s="2"/>
    </row>
    <row r="341" spans="6:6" x14ac:dyDescent="0.25">
      <c r="F341" s="111" t="s">
        <v>237</v>
      </c>
    </row>
  </sheetData>
  <mergeCells count="12">
    <mergeCell ref="M163:N163"/>
    <mergeCell ref="A8:A21"/>
    <mergeCell ref="N11:O11"/>
    <mergeCell ref="A22:A25"/>
    <mergeCell ref="N43:O43"/>
    <mergeCell ref="N56:O56"/>
    <mergeCell ref="M85:N85"/>
    <mergeCell ref="N96:O96"/>
    <mergeCell ref="N97:O97"/>
    <mergeCell ref="N108:O108"/>
    <mergeCell ref="N117:O117"/>
    <mergeCell ref="N127:O127"/>
  </mergeCells>
  <pageMargins left="0.7" right="0.45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4E08-49D7-4BB0-9BDD-86A5440EF594}">
  <dimension ref="A1"/>
  <sheetViews>
    <sheetView workbookViewId="0">
      <selection activeCell="A89" sqref="A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6"/>
  <sheetViews>
    <sheetView workbookViewId="0">
      <selection activeCell="D5" sqref="D5"/>
    </sheetView>
  </sheetViews>
  <sheetFormatPr defaultRowHeight="15" x14ac:dyDescent="0.25"/>
  <cols>
    <col min="2" max="2" width="5.85546875" style="5" customWidth="1"/>
  </cols>
  <sheetData>
    <row r="2" spans="2:7" x14ac:dyDescent="0.25">
      <c r="B2" s="408" t="s">
        <v>251</v>
      </c>
      <c r="C2" s="408"/>
      <c r="D2" s="408"/>
      <c r="E2" s="408"/>
    </row>
    <row r="3" spans="2:7" x14ac:dyDescent="0.25">
      <c r="B3" s="200" t="s">
        <v>19</v>
      </c>
      <c r="C3" s="200" t="s">
        <v>246</v>
      </c>
      <c r="D3" s="200" t="s">
        <v>247</v>
      </c>
      <c r="E3" s="200" t="s">
        <v>243</v>
      </c>
    </row>
    <row r="4" spans="2:7" x14ac:dyDescent="0.25">
      <c r="B4" s="5">
        <v>1</v>
      </c>
      <c r="C4" s="211">
        <v>0</v>
      </c>
      <c r="D4" s="208">
        <f>D15</f>
        <v>0.1</v>
      </c>
      <c r="E4" s="210">
        <f t="shared" ref="E4:G14" si="0">-LOG(D4)</f>
        <v>1</v>
      </c>
      <c r="F4" s="217">
        <v>0.1</v>
      </c>
      <c r="G4" s="210">
        <f t="shared" si="0"/>
        <v>1</v>
      </c>
    </row>
    <row r="5" spans="2:7" x14ac:dyDescent="0.25">
      <c r="B5" s="5">
        <v>2</v>
      </c>
      <c r="C5" s="211">
        <v>100</v>
      </c>
      <c r="D5" s="208">
        <f>$D$15-(($D$16*C5)/(96500*2*$D$17))</f>
        <v>8.9637305699481876E-2</v>
      </c>
      <c r="E5" s="210">
        <f t="shared" si="0"/>
        <v>1.0475112058789784</v>
      </c>
      <c r="F5" s="217">
        <v>7.9299999999999995E-2</v>
      </c>
      <c r="G5" s="210">
        <f t="shared" si="0"/>
        <v>1.1007268126823961</v>
      </c>
    </row>
    <row r="6" spans="2:7" x14ac:dyDescent="0.25">
      <c r="B6" s="5">
        <v>3</v>
      </c>
      <c r="C6" s="211">
        <v>200</v>
      </c>
      <c r="D6" s="208">
        <f t="shared" ref="D6:D14" si="1">$D$15-(($D$16*C6)/(96500*2*$D$17))</f>
        <v>7.9274611398963732E-2</v>
      </c>
      <c r="E6" s="210">
        <f t="shared" si="0"/>
        <v>1.100865878190175</v>
      </c>
      <c r="F6" s="217">
        <v>5.8500000000000003E-2</v>
      </c>
      <c r="G6" s="210">
        <f t="shared" si="0"/>
        <v>1.2328441339178196</v>
      </c>
    </row>
    <row r="7" spans="2:7" x14ac:dyDescent="0.25">
      <c r="B7" s="5">
        <v>4</v>
      </c>
      <c r="C7" s="211">
        <v>300</v>
      </c>
      <c r="D7" s="208">
        <f t="shared" si="1"/>
        <v>6.8911917098445602E-2</v>
      </c>
      <c r="E7" s="210">
        <f t="shared" si="0"/>
        <v>1.1617056680406879</v>
      </c>
      <c r="F7" s="217">
        <v>3.78E-2</v>
      </c>
      <c r="G7" s="210">
        <f t="shared" si="0"/>
        <v>1.4225082001627747</v>
      </c>
    </row>
    <row r="8" spans="2:7" x14ac:dyDescent="0.25">
      <c r="B8" s="5">
        <v>5</v>
      </c>
      <c r="C8" s="211">
        <v>400</v>
      </c>
      <c r="D8" s="208">
        <f t="shared" si="1"/>
        <v>5.8549222797927465E-2</v>
      </c>
      <c r="E8" s="210">
        <f t="shared" si="0"/>
        <v>1.2324788655243539</v>
      </c>
      <c r="F8" s="217">
        <v>1.7100000000000001E-2</v>
      </c>
      <c r="G8" s="210">
        <f t="shared" si="0"/>
        <v>1.7670038896078462</v>
      </c>
    </row>
    <row r="9" spans="2:7" x14ac:dyDescent="0.25">
      <c r="B9" s="5">
        <v>6</v>
      </c>
      <c r="C9" s="211">
        <v>500</v>
      </c>
      <c r="D9" s="208">
        <f t="shared" si="1"/>
        <v>4.8186528497409335E-2</v>
      </c>
      <c r="E9" s="210">
        <f t="shared" si="0"/>
        <v>1.3170743604538386</v>
      </c>
      <c r="F9" s="217"/>
      <c r="G9" s="210" t="e">
        <f t="shared" si="0"/>
        <v>#NUM!</v>
      </c>
    </row>
    <row r="10" spans="2:7" x14ac:dyDescent="0.25">
      <c r="B10" s="5">
        <v>7</v>
      </c>
      <c r="C10" s="211">
        <v>600</v>
      </c>
      <c r="D10" s="208">
        <f t="shared" si="1"/>
        <v>3.7823834196891198E-2</v>
      </c>
      <c r="E10" s="210">
        <f t="shared" si="0"/>
        <v>1.4222344488873178</v>
      </c>
      <c r="F10" s="217"/>
      <c r="G10" s="210" t="e">
        <f t="shared" si="0"/>
        <v>#NUM!</v>
      </c>
    </row>
    <row r="11" spans="2:7" x14ac:dyDescent="0.25">
      <c r="B11" s="5">
        <v>8</v>
      </c>
      <c r="C11" s="211">
        <v>700</v>
      </c>
      <c r="D11" s="208">
        <f t="shared" si="1"/>
        <v>2.7461139896373069E-2</v>
      </c>
      <c r="E11" s="210">
        <f t="shared" si="0"/>
        <v>1.5612814394069845</v>
      </c>
      <c r="F11" s="217"/>
      <c r="G11" s="210" t="e">
        <f t="shared" si="0"/>
        <v>#NUM!</v>
      </c>
    </row>
    <row r="12" spans="2:7" x14ac:dyDescent="0.25">
      <c r="B12" s="5">
        <v>9</v>
      </c>
      <c r="C12" s="211">
        <v>800</v>
      </c>
      <c r="D12" s="208">
        <f t="shared" si="1"/>
        <v>1.7098445595854925E-2</v>
      </c>
      <c r="E12" s="210">
        <f t="shared" si="0"/>
        <v>1.7670433691298861</v>
      </c>
      <c r="F12" s="217"/>
      <c r="G12" s="210" t="e">
        <f t="shared" si="0"/>
        <v>#NUM!</v>
      </c>
    </row>
    <row r="13" spans="2:7" x14ac:dyDescent="0.25">
      <c r="B13" s="5">
        <v>10</v>
      </c>
      <c r="C13" s="211">
        <v>900</v>
      </c>
      <c r="D13" s="208">
        <f t="shared" si="1"/>
        <v>6.7357512953367948E-3</v>
      </c>
      <c r="E13" s="210">
        <f t="shared" si="0"/>
        <v>2.1716139567009365</v>
      </c>
      <c r="F13" s="217"/>
      <c r="G13" s="210" t="e">
        <f t="shared" si="0"/>
        <v>#NUM!</v>
      </c>
    </row>
    <row r="14" spans="2:7" x14ac:dyDescent="0.25">
      <c r="B14" s="5">
        <v>11</v>
      </c>
      <c r="C14" s="211">
        <v>960</v>
      </c>
      <c r="D14" s="208">
        <f t="shared" si="1"/>
        <v>5.181347150259169E-4</v>
      </c>
      <c r="E14" s="210">
        <f t="shared" si="0"/>
        <v>3.2855573090077654</v>
      </c>
      <c r="F14" s="217"/>
      <c r="G14" s="210" t="e">
        <f t="shared" si="0"/>
        <v>#NUM!</v>
      </c>
    </row>
    <row r="15" spans="2:7" x14ac:dyDescent="0.25">
      <c r="C15" s="5" t="s">
        <v>249</v>
      </c>
      <c r="D15" s="5">
        <v>0.1</v>
      </c>
      <c r="E15" t="s">
        <v>248</v>
      </c>
    </row>
    <row r="16" spans="2:7" x14ac:dyDescent="0.25">
      <c r="C16" s="5" t="s">
        <v>250</v>
      </c>
      <c r="D16" s="5">
        <v>20</v>
      </c>
      <c r="E16" t="s">
        <v>23</v>
      </c>
    </row>
    <row r="17" spans="2:5" x14ac:dyDescent="0.25">
      <c r="C17" s="5" t="s">
        <v>244</v>
      </c>
      <c r="D17" s="209">
        <v>1</v>
      </c>
      <c r="E17" t="s">
        <v>20</v>
      </c>
    </row>
    <row r="18" spans="2:5" x14ac:dyDescent="0.25">
      <c r="C18" s="5" t="s">
        <v>245</v>
      </c>
      <c r="D18" s="5">
        <v>2</v>
      </c>
    </row>
    <row r="20" spans="2:5" x14ac:dyDescent="0.25">
      <c r="B20" s="408" t="s">
        <v>252</v>
      </c>
      <c r="C20" s="408"/>
      <c r="D20" s="408"/>
      <c r="E20" s="408"/>
    </row>
    <row r="21" spans="2:5" x14ac:dyDescent="0.25">
      <c r="B21" s="200" t="s">
        <v>19</v>
      </c>
      <c r="C21" s="200" t="s">
        <v>246</v>
      </c>
      <c r="D21" s="200" t="s">
        <v>247</v>
      </c>
      <c r="E21" s="200" t="s">
        <v>243</v>
      </c>
    </row>
    <row r="22" spans="2:5" x14ac:dyDescent="0.25">
      <c r="B22" s="5">
        <v>1</v>
      </c>
      <c r="C22" s="211">
        <v>0</v>
      </c>
      <c r="D22" s="208">
        <f>D33</f>
        <v>0.1</v>
      </c>
      <c r="E22" s="210">
        <f>14+LOG(D22)</f>
        <v>13</v>
      </c>
    </row>
    <row r="23" spans="2:5" x14ac:dyDescent="0.25">
      <c r="B23" s="5">
        <v>2</v>
      </c>
      <c r="C23" s="211">
        <v>100</v>
      </c>
      <c r="D23" s="208">
        <f>$D$15-(($D$16*C23)/(96500*2*$D$17))</f>
        <v>8.9637305699481876E-2</v>
      </c>
      <c r="E23" s="210">
        <f t="shared" ref="E23:E32" si="2">14+LOG(D23)</f>
        <v>12.952488794121022</v>
      </c>
    </row>
    <row r="24" spans="2:5" x14ac:dyDescent="0.25">
      <c r="B24" s="5">
        <v>3</v>
      </c>
      <c r="C24" s="211">
        <v>200</v>
      </c>
      <c r="D24" s="208">
        <f t="shared" ref="D24:D32" si="3">$D$15-(($D$16*C24)/(96500*2*$D$17))</f>
        <v>7.9274611398963732E-2</v>
      </c>
      <c r="E24" s="210">
        <f t="shared" si="2"/>
        <v>12.899134121809825</v>
      </c>
    </row>
    <row r="25" spans="2:5" x14ac:dyDescent="0.25">
      <c r="B25" s="5">
        <v>4</v>
      </c>
      <c r="C25" s="211">
        <v>300</v>
      </c>
      <c r="D25" s="208">
        <f t="shared" si="3"/>
        <v>6.8911917098445602E-2</v>
      </c>
      <c r="E25" s="210">
        <f t="shared" si="2"/>
        <v>12.838294331959313</v>
      </c>
    </row>
    <row r="26" spans="2:5" x14ac:dyDescent="0.25">
      <c r="B26" s="5">
        <v>5</v>
      </c>
      <c r="C26" s="211">
        <v>400</v>
      </c>
      <c r="D26" s="208">
        <f t="shared" si="3"/>
        <v>5.8549222797927465E-2</v>
      </c>
      <c r="E26" s="210">
        <f t="shared" si="2"/>
        <v>12.767521134475647</v>
      </c>
    </row>
    <row r="27" spans="2:5" x14ac:dyDescent="0.25">
      <c r="B27" s="5">
        <v>6</v>
      </c>
      <c r="C27" s="211">
        <v>500</v>
      </c>
      <c r="D27" s="208">
        <f t="shared" si="3"/>
        <v>4.8186528497409335E-2</v>
      </c>
      <c r="E27" s="210">
        <f t="shared" si="2"/>
        <v>12.682925639546161</v>
      </c>
    </row>
    <row r="28" spans="2:5" x14ac:dyDescent="0.25">
      <c r="B28" s="5">
        <v>7</v>
      </c>
      <c r="C28" s="211">
        <v>600</v>
      </c>
      <c r="D28" s="208">
        <f t="shared" si="3"/>
        <v>3.7823834196891198E-2</v>
      </c>
      <c r="E28" s="210">
        <f t="shared" si="2"/>
        <v>12.577765551112682</v>
      </c>
    </row>
    <row r="29" spans="2:5" x14ac:dyDescent="0.25">
      <c r="B29" s="5">
        <v>8</v>
      </c>
      <c r="C29" s="211">
        <v>700</v>
      </c>
      <c r="D29" s="208">
        <f t="shared" si="3"/>
        <v>2.7461139896373069E-2</v>
      </c>
      <c r="E29" s="210">
        <f t="shared" si="2"/>
        <v>12.438718560593015</v>
      </c>
    </row>
    <row r="30" spans="2:5" x14ac:dyDescent="0.25">
      <c r="B30" s="5">
        <v>9</v>
      </c>
      <c r="C30" s="211">
        <v>800</v>
      </c>
      <c r="D30" s="208">
        <f t="shared" si="3"/>
        <v>1.7098445595854925E-2</v>
      </c>
      <c r="E30" s="210">
        <f t="shared" si="2"/>
        <v>12.232956630870113</v>
      </c>
    </row>
    <row r="31" spans="2:5" x14ac:dyDescent="0.25">
      <c r="B31" s="5">
        <v>10</v>
      </c>
      <c r="C31" s="211">
        <v>900</v>
      </c>
      <c r="D31" s="208">
        <f t="shared" si="3"/>
        <v>6.7357512953367948E-3</v>
      </c>
      <c r="E31" s="210">
        <f t="shared" si="2"/>
        <v>11.828386043299064</v>
      </c>
    </row>
    <row r="32" spans="2:5" x14ac:dyDescent="0.25">
      <c r="B32" s="5">
        <v>11</v>
      </c>
      <c r="C32" s="211">
        <v>960</v>
      </c>
      <c r="D32" s="208">
        <f t="shared" si="3"/>
        <v>5.181347150259169E-4</v>
      </c>
      <c r="E32" s="210">
        <f t="shared" si="2"/>
        <v>10.714442690992234</v>
      </c>
    </row>
    <row r="33" spans="3:5" x14ac:dyDescent="0.25">
      <c r="C33" s="5" t="s">
        <v>249</v>
      </c>
      <c r="D33" s="5">
        <v>0.1</v>
      </c>
      <c r="E33" t="s">
        <v>248</v>
      </c>
    </row>
    <row r="34" spans="3:5" x14ac:dyDescent="0.25">
      <c r="C34" s="5" t="s">
        <v>250</v>
      </c>
      <c r="D34" s="5">
        <v>20</v>
      </c>
      <c r="E34" t="s">
        <v>23</v>
      </c>
    </row>
    <row r="35" spans="3:5" x14ac:dyDescent="0.25">
      <c r="C35" s="5" t="s">
        <v>244</v>
      </c>
      <c r="D35" s="209">
        <v>1</v>
      </c>
      <c r="E35" t="s">
        <v>20</v>
      </c>
    </row>
    <row r="36" spans="3:5" x14ac:dyDescent="0.25">
      <c r="C36" s="5" t="s">
        <v>245</v>
      </c>
      <c r="D36" s="5">
        <v>2</v>
      </c>
    </row>
  </sheetData>
  <mergeCells count="2">
    <mergeCell ref="B2:E2"/>
    <mergeCell ref="B20:E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CX388"/>
  <sheetViews>
    <sheetView topLeftCell="A136" zoomScale="120" zoomScaleNormal="120" zoomScaleSheetLayoutView="100" workbookViewId="0">
      <selection activeCell="C221" sqref="C221"/>
    </sheetView>
  </sheetViews>
  <sheetFormatPr defaultColWidth="9.140625" defaultRowHeight="15" x14ac:dyDescent="0.25"/>
  <cols>
    <col min="1" max="1" width="9.140625" style="5"/>
    <col min="2" max="2" width="7.85546875" style="4" customWidth="1"/>
    <col min="3" max="3" width="10.85546875" style="4" customWidth="1"/>
    <col min="4" max="4" width="6.7109375" style="4" customWidth="1"/>
    <col min="5" max="5" width="15.7109375" style="106" customWidth="1"/>
    <col min="6" max="6" width="7.85546875" style="6" customWidth="1"/>
    <col min="7" max="7" width="2.7109375" style="2" customWidth="1"/>
    <col min="8" max="9" width="42.85546875" style="6" customWidth="1"/>
    <col min="10" max="10" width="29.85546875" style="6" bestFit="1" customWidth="1"/>
    <col min="11" max="11" width="62.7109375" style="62" customWidth="1"/>
    <col min="12" max="12" width="42.85546875" customWidth="1"/>
    <col min="13" max="14" width="62.7109375" customWidth="1"/>
    <col min="15" max="16" width="5.7109375" customWidth="1"/>
    <col min="17" max="17" width="5.85546875" customWidth="1"/>
    <col min="18" max="19" width="7.7109375" customWidth="1"/>
    <col min="20" max="20" width="5.7109375" customWidth="1"/>
    <col min="21" max="22" width="6.42578125" customWidth="1"/>
    <col min="23" max="23" width="9.5703125" style="5" customWidth="1"/>
    <col min="24" max="24" width="3.7109375" style="5" customWidth="1"/>
    <col min="25" max="25" width="5" style="5" customWidth="1"/>
    <col min="26" max="26" width="6" style="5" customWidth="1"/>
    <col min="27" max="27" width="6.7109375" style="5" customWidth="1"/>
    <col min="28" max="28" width="8.7109375" style="5" customWidth="1"/>
    <col min="29" max="29" width="6.7109375" style="5" customWidth="1"/>
    <col min="30" max="30" width="7.85546875" style="5" customWidth="1"/>
    <col min="31" max="31" width="3.7109375" style="5" customWidth="1"/>
    <col min="32" max="32" width="6.7109375" style="5" customWidth="1"/>
    <col min="33" max="33" width="3.7109375" style="5" customWidth="1"/>
    <col min="34" max="34" width="6.7109375" style="5" customWidth="1"/>
    <col min="35" max="35" width="9" style="5" customWidth="1"/>
    <col min="36" max="36" width="3.7109375" style="5" customWidth="1"/>
    <col min="37" max="37" width="6.7109375" style="5" customWidth="1"/>
    <col min="38" max="38" width="7.28515625" style="5" customWidth="1"/>
    <col min="39" max="39" width="6.7109375" style="5" customWidth="1"/>
    <col min="40" max="40" width="8.7109375" style="5" customWidth="1"/>
    <col min="41" max="41" width="6.7109375" style="5" customWidth="1"/>
    <col min="42" max="42" width="3.7109375" style="5" customWidth="1"/>
    <col min="43" max="43" width="6.7109375" style="5" customWidth="1"/>
    <col min="44" max="44" width="8.7109375" style="5" customWidth="1"/>
    <col min="45" max="45" width="9.5703125" style="5" customWidth="1"/>
    <col min="46" max="46" width="7.5703125" style="5" customWidth="1"/>
    <col min="47" max="47" width="6.42578125" style="5" customWidth="1"/>
    <col min="48" max="52" width="6.7109375" style="5" customWidth="1"/>
    <col min="53" max="53" width="3.7109375" style="5" customWidth="1"/>
    <col min="54" max="54" width="17.7109375" customWidth="1"/>
    <col min="55" max="55" width="18.85546875" customWidth="1"/>
    <col min="56" max="58" width="17.7109375" customWidth="1"/>
    <col min="59" max="59" width="5.7109375" customWidth="1"/>
    <col min="60" max="63" width="5.7109375" style="11" customWidth="1"/>
    <col min="64" max="64" width="5.7109375" style="101" customWidth="1"/>
    <col min="65" max="66" width="15.7109375" customWidth="1"/>
    <col min="67" max="73" width="16.7109375" customWidth="1"/>
    <col min="74" max="74" width="14.7109375" customWidth="1"/>
    <col min="75" max="78" width="11.7109375" style="62" customWidth="1"/>
    <col min="79" max="79" width="11.7109375" customWidth="1"/>
    <col min="80" max="81" width="3.7109375" customWidth="1"/>
    <col min="82" max="83" width="23.85546875" customWidth="1"/>
    <col min="84" max="93" width="14.140625" style="2" customWidth="1"/>
    <col min="94" max="94" width="14.140625" customWidth="1"/>
    <col min="95" max="95" width="14.28515625" customWidth="1"/>
    <col min="96" max="96" width="8" customWidth="1"/>
    <col min="97" max="98" width="53.7109375" customWidth="1"/>
    <col min="99" max="99" width="13.7109375" customWidth="1"/>
    <col min="100" max="101" width="32.7109375" customWidth="1"/>
    <col min="102" max="102" width="15.7109375" customWidth="1"/>
  </cols>
  <sheetData>
    <row r="1" spans="1:102" s="5" customFormat="1" x14ac:dyDescent="0.25">
      <c r="A1" s="8"/>
      <c r="B1" s="70">
        <v>1</v>
      </c>
      <c r="C1" s="224">
        <v>2</v>
      </c>
      <c r="D1" s="70">
        <v>3</v>
      </c>
      <c r="E1" s="224">
        <v>4</v>
      </c>
      <c r="F1" s="70">
        <v>5</v>
      </c>
      <c r="G1" s="224">
        <v>6</v>
      </c>
      <c r="H1" s="70">
        <v>7</v>
      </c>
      <c r="I1" s="224">
        <v>8</v>
      </c>
      <c r="J1" s="70">
        <v>9</v>
      </c>
      <c r="K1" s="224">
        <v>10</v>
      </c>
      <c r="L1" s="70">
        <v>11</v>
      </c>
      <c r="M1" s="224">
        <v>12</v>
      </c>
      <c r="N1" s="70">
        <v>13</v>
      </c>
      <c r="O1" s="224">
        <v>14</v>
      </c>
      <c r="P1" s="70">
        <v>15</v>
      </c>
      <c r="Q1" s="224">
        <v>16</v>
      </c>
      <c r="R1" s="70">
        <v>17</v>
      </c>
      <c r="S1" s="224">
        <v>18</v>
      </c>
      <c r="T1" s="70">
        <v>19</v>
      </c>
      <c r="U1" s="224">
        <v>20</v>
      </c>
      <c r="V1" s="70">
        <v>21</v>
      </c>
      <c r="W1" s="224">
        <v>22</v>
      </c>
      <c r="X1" s="70">
        <v>23</v>
      </c>
      <c r="Y1" s="224">
        <v>24</v>
      </c>
      <c r="Z1" s="70">
        <v>25</v>
      </c>
      <c r="AA1" s="224">
        <v>26</v>
      </c>
      <c r="AB1" s="70">
        <v>27</v>
      </c>
      <c r="AC1" s="224">
        <v>28</v>
      </c>
      <c r="AD1" s="70">
        <v>29</v>
      </c>
      <c r="AE1" s="224">
        <v>30</v>
      </c>
      <c r="AF1" s="70">
        <v>31</v>
      </c>
      <c r="AG1" s="224">
        <v>32</v>
      </c>
      <c r="AH1" s="70">
        <v>33</v>
      </c>
      <c r="AI1" s="224">
        <v>34</v>
      </c>
      <c r="AJ1" s="70">
        <v>35</v>
      </c>
      <c r="AK1" s="224">
        <v>36</v>
      </c>
      <c r="AL1" s="70">
        <v>37</v>
      </c>
      <c r="AM1" s="224">
        <v>38</v>
      </c>
      <c r="AN1" s="70">
        <v>39</v>
      </c>
      <c r="AO1" s="224">
        <v>40</v>
      </c>
      <c r="AP1" s="70">
        <v>41</v>
      </c>
      <c r="AQ1" s="224">
        <v>42</v>
      </c>
      <c r="AR1" s="70">
        <v>43</v>
      </c>
      <c r="AS1" s="224">
        <v>44</v>
      </c>
      <c r="AT1" s="70">
        <v>45</v>
      </c>
      <c r="AU1" s="224">
        <v>46</v>
      </c>
      <c r="AV1" s="70">
        <v>47</v>
      </c>
      <c r="AW1" s="224">
        <v>48</v>
      </c>
      <c r="AX1" s="70">
        <v>49</v>
      </c>
      <c r="AY1" s="224">
        <v>50</v>
      </c>
      <c r="AZ1" s="70">
        <v>51</v>
      </c>
      <c r="BA1" s="224">
        <v>52</v>
      </c>
      <c r="BB1" s="70">
        <v>53</v>
      </c>
      <c r="BC1" s="224">
        <v>54</v>
      </c>
      <c r="BD1" s="70">
        <v>55</v>
      </c>
      <c r="BE1" s="224">
        <v>56</v>
      </c>
      <c r="BF1" s="70">
        <v>57</v>
      </c>
      <c r="BG1" s="224">
        <v>58</v>
      </c>
      <c r="BH1" s="70">
        <v>59</v>
      </c>
      <c r="BI1" s="224">
        <v>60</v>
      </c>
      <c r="BJ1" s="70">
        <v>61</v>
      </c>
      <c r="BK1" s="224">
        <v>62</v>
      </c>
      <c r="BL1" s="70">
        <v>63</v>
      </c>
      <c r="BM1" s="224">
        <v>64</v>
      </c>
      <c r="BN1" s="70">
        <v>65</v>
      </c>
      <c r="BO1" s="224">
        <v>66</v>
      </c>
      <c r="BP1" s="70">
        <v>67</v>
      </c>
      <c r="BQ1" s="224">
        <v>68</v>
      </c>
      <c r="BR1" s="70">
        <v>69</v>
      </c>
      <c r="BS1" s="224">
        <v>70</v>
      </c>
      <c r="BT1" s="70">
        <v>71</v>
      </c>
      <c r="BU1" s="224">
        <v>72</v>
      </c>
      <c r="BV1" s="70">
        <v>73</v>
      </c>
      <c r="BW1" s="224">
        <v>74</v>
      </c>
      <c r="BX1" s="70">
        <v>75</v>
      </c>
      <c r="BY1" s="224">
        <v>76</v>
      </c>
      <c r="BZ1" s="70">
        <v>77</v>
      </c>
      <c r="CA1" s="224">
        <v>78</v>
      </c>
      <c r="CB1" s="70">
        <v>79</v>
      </c>
      <c r="CC1" s="224">
        <v>80</v>
      </c>
      <c r="CD1" s="70">
        <v>81</v>
      </c>
      <c r="CE1" s="224">
        <v>82</v>
      </c>
      <c r="CF1" s="70">
        <v>83</v>
      </c>
      <c r="CG1" s="224">
        <v>84</v>
      </c>
      <c r="CH1" s="70">
        <v>85</v>
      </c>
      <c r="CI1" s="224">
        <v>86</v>
      </c>
      <c r="CJ1" s="70">
        <v>87</v>
      </c>
      <c r="CK1" s="224">
        <v>88</v>
      </c>
      <c r="CL1" s="70">
        <v>89</v>
      </c>
      <c r="CM1" s="224">
        <v>90</v>
      </c>
      <c r="CN1" s="70">
        <v>91</v>
      </c>
      <c r="CO1" s="224">
        <v>92</v>
      </c>
      <c r="CP1" s="70">
        <v>93</v>
      </c>
      <c r="CQ1" s="224">
        <v>94</v>
      </c>
      <c r="CR1" s="70">
        <v>95</v>
      </c>
      <c r="CS1" s="224">
        <v>96</v>
      </c>
      <c r="CT1" s="70">
        <v>97</v>
      </c>
      <c r="CU1" s="224">
        <v>98</v>
      </c>
      <c r="CV1" s="70">
        <v>99</v>
      </c>
      <c r="CW1" s="224">
        <v>100</v>
      </c>
    </row>
    <row r="2" spans="1:102" s="199" customFormat="1" ht="18.95" customHeight="1" x14ac:dyDescent="0.25">
      <c r="A2" s="128">
        <f>Elektro!$M$7</f>
        <v>5</v>
      </c>
      <c r="B2" s="85">
        <v>0</v>
      </c>
      <c r="C2" s="4"/>
      <c r="D2" s="4"/>
      <c r="E2" s="381"/>
      <c r="F2" s="168"/>
      <c r="G2" s="4"/>
      <c r="H2" s="4" t="s">
        <v>240</v>
      </c>
      <c r="I2" s="4" t="s">
        <v>0</v>
      </c>
      <c r="J2" s="4" t="s">
        <v>1</v>
      </c>
      <c r="K2" s="227" t="s">
        <v>285</v>
      </c>
      <c r="L2" s="4"/>
      <c r="M2" s="228" t="s">
        <v>12</v>
      </c>
      <c r="N2" s="229"/>
      <c r="O2" s="85" t="s">
        <v>244</v>
      </c>
      <c r="P2" s="85" t="s">
        <v>248</v>
      </c>
      <c r="Q2" s="85" t="s">
        <v>250</v>
      </c>
      <c r="R2" s="85" t="s">
        <v>286</v>
      </c>
      <c r="S2" s="85" t="s">
        <v>287</v>
      </c>
      <c r="T2" s="85" t="s">
        <v>288</v>
      </c>
      <c r="U2" s="85" t="s">
        <v>415</v>
      </c>
      <c r="V2" s="85" t="s">
        <v>254</v>
      </c>
      <c r="W2" s="238" t="s">
        <v>0</v>
      </c>
      <c r="X2" s="239"/>
      <c r="Y2" s="238"/>
      <c r="Z2" s="238"/>
      <c r="AA2" s="241" t="s">
        <v>291</v>
      </c>
      <c r="AB2" s="244" t="s">
        <v>292</v>
      </c>
      <c r="AC2" s="238"/>
      <c r="AD2" s="235" t="s">
        <v>289</v>
      </c>
      <c r="AE2" s="235"/>
      <c r="AF2" s="235" t="s">
        <v>290</v>
      </c>
      <c r="AG2" s="235"/>
      <c r="AH2" s="4"/>
      <c r="AI2" s="216" t="s">
        <v>1</v>
      </c>
      <c r="AJ2" s="240"/>
      <c r="AK2" s="216"/>
      <c r="AL2" s="216"/>
      <c r="AM2" s="242" t="s">
        <v>291</v>
      </c>
      <c r="AN2" s="245" t="s">
        <v>293</v>
      </c>
      <c r="AO2" s="216"/>
      <c r="AP2" s="237"/>
      <c r="AQ2" s="243" t="s">
        <v>291</v>
      </c>
      <c r="AR2" s="246" t="s">
        <v>293</v>
      </c>
      <c r="AS2" s="4"/>
      <c r="AT2" s="4"/>
      <c r="AU2" s="5"/>
      <c r="AV2" s="263" t="str">
        <f>IF(OR($A$2=1,$A$2=19,$A$2=37,$A$2=38,$A$2=41,$A$2=78,$A$2=79,$A$2=119,$A$2=120,$A$2=121,$A$2=169,$A$2=170,$A$2=2,$A$2=20,$A$2=39,$A$2=40,$A$2=80,$A$2=81,$A$2=122,$A$2=123,$A$2=124),"AK",IF(OR($A$2=0,$A$2=0)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8,$A$2=66,$A$2=67,$A$2=68,$A$2=69,$A$2=70,$A$2=71),"S","X"))))))</f>
        <v>N</v>
      </c>
      <c r="AW2" s="375"/>
      <c r="AX2" s="4"/>
      <c r="AY2" s="374" t="str">
        <f>IF(OR($A$2=1,$A$2=2,$A$2=19,$A$2=20,$A$2=37,$A$2=38,$A$2=39,$A$2=40,$A$2=41,$A$2=78,$A$2=79,$A$2=80,$A$2=81,$A$2=119,$A$2=120,$A$2=121,$A$2=122,$A$2=123,$A$2=124,$A$2=169,$A$2=170),"AK",IF(OR($A$2=8,$A$2=66,$A$2=67,$A$2=68,$A$2=69,$A$2=70,$A$2=71)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0,$A$2=0),"S","X"))))))</f>
        <v>N</v>
      </c>
      <c r="AZ2" s="234"/>
      <c r="BA2" s="4"/>
      <c r="BB2" s="4"/>
      <c r="BC2" s="4"/>
      <c r="BD2" s="4"/>
      <c r="BE2" s="4"/>
      <c r="BF2" s="4"/>
      <c r="BG2" s="4"/>
      <c r="BH2" s="185"/>
      <c r="BI2" s="185"/>
      <c r="BJ2" s="185"/>
      <c r="BK2" s="185"/>
      <c r="BL2" s="185"/>
      <c r="BM2" s="97"/>
      <c r="BN2" s="97"/>
      <c r="BO2" s="199" t="s">
        <v>23</v>
      </c>
      <c r="BP2" s="199" t="s">
        <v>2</v>
      </c>
      <c r="BQ2" s="199" t="s">
        <v>255</v>
      </c>
      <c r="BR2" s="199" t="s">
        <v>256</v>
      </c>
      <c r="BS2" s="199" t="s">
        <v>254</v>
      </c>
      <c r="BT2" s="199" t="s">
        <v>257</v>
      </c>
      <c r="BU2" s="199" t="s">
        <v>55</v>
      </c>
      <c r="BV2" s="85"/>
      <c r="BW2" s="258"/>
      <c r="BX2" s="258"/>
      <c r="BY2" s="258"/>
      <c r="BZ2" s="258"/>
      <c r="CA2" s="85"/>
      <c r="CB2" s="249"/>
      <c r="CC2" s="85"/>
      <c r="CD2" s="85"/>
      <c r="CE2" s="111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199" t="s">
        <v>12</v>
      </c>
      <c r="CR2" s="85"/>
      <c r="CU2" s="199" t="s">
        <v>416</v>
      </c>
      <c r="CV2" s="199" t="s">
        <v>414</v>
      </c>
      <c r="CX2" s="111"/>
    </row>
    <row r="3" spans="1:102" ht="18.95" customHeight="1" x14ac:dyDescent="0.35">
      <c r="A3" s="262" t="s">
        <v>55</v>
      </c>
      <c r="B3" s="128">
        <v>1</v>
      </c>
      <c r="C3" s="184" t="s">
        <v>102</v>
      </c>
      <c r="E3" s="382" t="s">
        <v>586</v>
      </c>
      <c r="F3" s="69" t="s">
        <v>230</v>
      </c>
      <c r="H3" s="69" t="s">
        <v>367</v>
      </c>
      <c r="I3" s="69" t="s">
        <v>418</v>
      </c>
      <c r="J3" s="69" t="s">
        <v>419</v>
      </c>
      <c r="K3" s="160" t="s">
        <v>420</v>
      </c>
      <c r="L3" s="2"/>
      <c r="M3" s="69" t="s">
        <v>697</v>
      </c>
      <c r="N3" s="2"/>
      <c r="O3" s="230" t="str">
        <f>IF($A$2=B3,Elektro!$Q$11,"")</f>
        <v/>
      </c>
      <c r="P3" s="230" t="str">
        <f>IF($A$2=B3,Elektro!$Q$12,"")</f>
        <v/>
      </c>
      <c r="Q3" s="236" t="str">
        <f>IF($A$2=B3,Elektro!$Q$13,"")</f>
        <v/>
      </c>
      <c r="R3" s="231" t="str">
        <f>IF($A$2=B3,Elektro!$Q$14,"")</f>
        <v/>
      </c>
      <c r="S3" s="231" t="str">
        <f>IF($A$2=B3,Elektro!$Q$15,"")</f>
        <v/>
      </c>
      <c r="T3" s="230" t="str">
        <f>IF($A$2=B3,Elektro!$Q$16,"")</f>
        <v/>
      </c>
      <c r="U3" s="353" t="str">
        <f>IF($A$2=B3,40*60*60/96500,"")</f>
        <v/>
      </c>
      <c r="V3" s="353" t="str">
        <f>IF($A$2=B3,(Q3*R3/96500),"")</f>
        <v/>
      </c>
      <c r="W3" s="4" t="s">
        <v>138</v>
      </c>
      <c r="X3" s="4" t="s">
        <v>20</v>
      </c>
      <c r="Y3" s="4">
        <v>4</v>
      </c>
      <c r="Z3" s="4">
        <v>32</v>
      </c>
      <c r="AA3" s="232" t="str">
        <f>IF($A$2=B3,IF(X3="L",(Q3*R3/96500)*(0.08205*S3)/(Y3*T3),IF(X3="g",(Z3/Y3)*(Q3*R3/96500),IF(X3="M",(Q3*R3/96500*Y3*O3)))),"")</f>
        <v/>
      </c>
      <c r="AB3" s="233" t="str">
        <f>IF($A$2=B3,IF(OR(X3="L",X3="M"),Q3/(Y3*96500),IF(X3="g",(Z3/Y3)*(Q3/96500))),"")</f>
        <v/>
      </c>
      <c r="AC3" s="233" t="str">
        <f>IF(OR(X3="L",X3="M"),"mol/s",IF(X3="g","g/s"))</f>
        <v>mol/s</v>
      </c>
      <c r="AD3" s="231" t="str">
        <f>IF($A$2=B3,O3*P3*AK3*96500/Q3,"")</f>
        <v/>
      </c>
      <c r="AE3" s="231" t="s">
        <v>283</v>
      </c>
      <c r="AF3" s="232" t="str">
        <f>IF($A$2=B3,(R3/AD3)*100,"")</f>
        <v/>
      </c>
      <c r="AG3" s="236" t="s">
        <v>284</v>
      </c>
      <c r="AH3" s="4"/>
      <c r="AI3" s="4" t="s">
        <v>142</v>
      </c>
      <c r="AJ3" s="4" t="s">
        <v>20</v>
      </c>
      <c r="AK3" s="4">
        <v>2</v>
      </c>
      <c r="AL3" s="4">
        <v>2</v>
      </c>
      <c r="AM3" s="232" t="str">
        <f>IF($A$2=B3,IF(AJ3="L",(Q3*R3/96500)*(0.082*S3)/(AK3*T3),IF(AJ3="g",(AL3/AK3)*(Q3*R3/96500),IF(AJ3="M",(Q3*R3/96500*Y3*O3)))),"")</f>
        <v/>
      </c>
      <c r="AN3" s="233" t="str">
        <f>IF($A$2=B3,IF(OR(AJ3="L",X3="M"),Q3/(AK3*96500),IF(AJ3="g",(AL3/AK3)*(Q3/96500))),"")</f>
        <v/>
      </c>
      <c r="AO3" s="4" t="str">
        <f>IF(OR(AJ3="L",AJ3="M"),"mol/s",IF(AJ3="g","g/s"))</f>
        <v>mol/s</v>
      </c>
      <c r="AP3" s="4"/>
      <c r="AQ3" s="4"/>
      <c r="AR3" s="4"/>
      <c r="AS3" s="4" t="s">
        <v>120</v>
      </c>
      <c r="AT3" s="4">
        <v>1</v>
      </c>
      <c r="AU3" s="5" t="s">
        <v>55</v>
      </c>
      <c r="AV3" s="248" t="str">
        <f>IF($A$2=B3,IF(OR($A$2=1,$A$2=2,$A$2=19,$A$2=20,$A$2=37,$A$2=38,$A$2=39,$A$2=40,$A$2=41,$A$2=78,$A$2=79,$A$2=80,$A$2=81,$A$2=119,$A$2=120,$A$2=121,$A$2=122,$A$2=123,$A$2=124,$A$2=169,$A$2=170),(O3*P3-(Q3*R3/96500))/O3,IF(OR($A$2=0,$A$2=0),(Q3*R3/96500)/O3,IF(OR($A$2=6,$A$2=24,$A$2=54,$A$2=55,$A$2=56,$A$2=57,$A$2=58,$A$2=59,$A$2=95,$A$2=96,$A$2=97,$A$2=98,$A$2=99,$A$2=100,$A$2=140,$A$2=141,$A$2=142,$A$2=143,$A$2=144,$A$2=145,$A$2=146),(O3*P3-(Q3*R3/96500))/O3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3*R3/96500)/O3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3*P3-(Q3*R3/96500)/AK3)/O3,"X")))))),"")</f>
        <v/>
      </c>
      <c r="AW3" s="248"/>
      <c r="AX3" s="4" t="str">
        <f>IF(AV3=0.00000000000001,"","M")</f>
        <v>M</v>
      </c>
      <c r="AY3" s="248" t="str">
        <f>IF($A$2=B3,IF(OR($A$2=1,$A$2=2,$A$2=19,$A$2=20,$A$2=37,$A$2=38,$A$2=39,$A$2=40,$A$2=41,$A$2=78,$A$2=79,$A$2=80,$A$2=81,$A$2=119,$A$2=120,$A$2=121,$A$2=122,$A$2=123,$A$2=124,$A$2=169,$A$2=170),-LOG((O3*P3-(Q3*R3/96500))/O3),IF(OR($A$2=8,$A$2=66,$A$2=67,$A$2=68,$A$2=69,$A$2=70,$A$2=71),-LOG((Q3*R3/96500)/O3)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3*P3-(Q3*R3/96500))/O3)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3*R3/96500)/O3)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3" s="232"/>
      <c r="BA3" s="4">
        <v>1</v>
      </c>
      <c r="BB3" s="2" t="s">
        <v>47</v>
      </c>
      <c r="BC3" s="2" t="s">
        <v>79</v>
      </c>
      <c r="BD3" s="15"/>
      <c r="BE3" s="2" t="s">
        <v>48</v>
      </c>
      <c r="BF3" s="2" t="s">
        <v>49</v>
      </c>
      <c r="BG3" s="2"/>
      <c r="BH3" s="185" t="s">
        <v>148</v>
      </c>
      <c r="BI3" s="185" t="s">
        <v>149</v>
      </c>
      <c r="BJ3" s="185" t="s">
        <v>146</v>
      </c>
      <c r="BK3" s="185" t="s">
        <v>147</v>
      </c>
      <c r="BL3" s="100"/>
      <c r="BM3" s="97">
        <f>AT3</f>
        <v>1</v>
      </c>
      <c r="BN3" s="225" t="s">
        <v>294</v>
      </c>
      <c r="BO3" s="225" t="s">
        <v>278</v>
      </c>
      <c r="BP3" s="225" t="s">
        <v>258</v>
      </c>
      <c r="BQ3" s="225" t="s">
        <v>259</v>
      </c>
      <c r="BR3" s="225" t="s">
        <v>318</v>
      </c>
      <c r="BS3" s="225" t="s">
        <v>322</v>
      </c>
      <c r="BT3" s="225" t="s">
        <v>273</v>
      </c>
      <c r="BU3" s="225" t="s">
        <v>260</v>
      </c>
      <c r="BV3" s="2"/>
      <c r="BW3" s="259" t="s">
        <v>264</v>
      </c>
      <c r="BX3" s="259" t="s">
        <v>265</v>
      </c>
      <c r="BY3" s="259" t="s">
        <v>266</v>
      </c>
      <c r="BZ3" s="259" t="s">
        <v>267</v>
      </c>
      <c r="CA3" s="225"/>
      <c r="CB3" s="249"/>
      <c r="CC3" s="250"/>
      <c r="CD3" s="249"/>
      <c r="CE3" s="225"/>
      <c r="CF3" s="225" t="str">
        <f>IF($A$2=B3,"Volume"&amp;" "&amp;"="&amp;" "&amp;O3&amp;" "&amp;"L","")</f>
        <v/>
      </c>
      <c r="CG3" s="225" t="str">
        <f>IF($A$2=B3,"Molar"&amp;" "&amp;"="&amp;" "&amp;P3&amp;" "&amp;"M","")</f>
        <v/>
      </c>
      <c r="CH3" s="225" t="str">
        <f>IF($A$2=B3,"Arus"&amp;" "&amp;"="&amp;" "&amp;Q3&amp;" "&amp;"A","")</f>
        <v/>
      </c>
      <c r="CI3" s="225" t="str">
        <f>IF($A$2=B3,"Waktu"&amp;" "&amp;"="&amp;" "&amp;R3&amp;" "&amp;"s","")</f>
        <v/>
      </c>
      <c r="CJ3" s="225" t="str">
        <f>IF($A$2=B3,"Suhu"&amp;" "&amp;"="&amp;" "&amp;S3&amp;" "&amp;"K","")</f>
        <v/>
      </c>
      <c r="CK3" s="225" t="str">
        <f>IF($A$2=B3,"Tekanan"&amp;" "&amp;"="&amp;" "&amp;T3&amp;" "&amp;"atm","")</f>
        <v/>
      </c>
      <c r="CL3" s="225" t="str">
        <f>IF($A$2=B3,"Muatan"&amp;" "&amp;"="&amp;" "&amp;Q3*R3/96500&amp;" "&amp;"F","")</f>
        <v/>
      </c>
      <c r="CM3" s="225" t="str">
        <f>IF($A$2=B3,"ACCU"&amp;" "&amp;"="&amp;" "&amp;1492&amp;" "&amp;"F","")</f>
        <v/>
      </c>
      <c r="CN3" s="225" t="str">
        <f>IF($A$2=B3,"Muatan"&amp;" "&amp;"="&amp;" "&amp;Q3*R3&amp;" "&amp;"C","")</f>
        <v/>
      </c>
      <c r="CO3" s="225" t="str">
        <f>IF($A$2=B3,"Kons."&amp;" "&amp;"="&amp;" "&amp;O3*P3&amp;" "&amp;"mol","")</f>
        <v/>
      </c>
      <c r="CP3" s="250"/>
      <c r="CQ3" s="250" t="str">
        <f>IF($A$2=B3,IF(AND((Q3*R3/96500)&lt;1492,(Q3*R3/96500)&gt;O3*P3),"Elektrolit habis",IF(AND((Q3*R3/96500)&gt;1492,(Q3*R3/96500)&lt;O3*P3),"Daya habis","")),"")</f>
        <v/>
      </c>
      <c r="CR3" s="329">
        <v>1</v>
      </c>
      <c r="CS3" s="260" t="str">
        <f>IF(Elektro!E8=8,"1. INPUT DATA → V, M, i, t, T, p  ke dalam Sel Q11 - Q16","")</f>
        <v/>
      </c>
      <c r="CU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" s="373" t="str">
        <f>IF($A$2=B3,IF(AND(O3*P3&lt;(Q3*R3/96500),AF3&gt;=100),"Info: Elektrolit Sudah Habis",IF(P3&lt;0.1,"Info: Konsentrasi Terlalu Encer",IF((Q3*R3/96500)&gt;1492,"Info: Aki Kurang Strum",""))),"")</f>
        <v/>
      </c>
      <c r="CW3" s="2" t="s">
        <v>12</v>
      </c>
      <c r="CX3" s="104"/>
    </row>
    <row r="4" spans="1:102" ht="18.95" customHeight="1" x14ac:dyDescent="0.35">
      <c r="A4" s="262" t="s">
        <v>55</v>
      </c>
      <c r="B4" s="128">
        <v>2</v>
      </c>
      <c r="C4" s="184" t="s">
        <v>687</v>
      </c>
      <c r="E4" s="382" t="s">
        <v>665</v>
      </c>
      <c r="F4" s="149" t="s">
        <v>230</v>
      </c>
      <c r="H4" s="69" t="s">
        <v>421</v>
      </c>
      <c r="I4" s="69" t="s">
        <v>418</v>
      </c>
      <c r="J4" s="69" t="s">
        <v>419</v>
      </c>
      <c r="K4" s="160" t="s">
        <v>420</v>
      </c>
      <c r="L4" s="2"/>
      <c r="M4" s="69" t="s">
        <v>698</v>
      </c>
      <c r="N4" s="2"/>
      <c r="O4" s="230" t="str">
        <f>IF($A$2=B4,Elektro!$Q$11,"")</f>
        <v/>
      </c>
      <c r="P4" s="230" t="str">
        <f>IF($A$2=B4,Elektro!$Q$12,"")</f>
        <v/>
      </c>
      <c r="Q4" s="236" t="str">
        <f>IF($A$2=B4,Elektro!$Q$13,"")</f>
        <v/>
      </c>
      <c r="R4" s="231" t="str">
        <f>IF($A$2=B4,Elektro!$Q$14,"")</f>
        <v/>
      </c>
      <c r="S4" s="231" t="str">
        <f>IF($A$2=B4,Elektro!$Q$15,"")</f>
        <v/>
      </c>
      <c r="T4" s="230" t="str">
        <f>IF($A$2=B4,Elektro!$Q$16,"")</f>
        <v/>
      </c>
      <c r="U4" s="353" t="str">
        <f t="shared" ref="U4:U67" si="0">IF($A$2=B4,40*60*60/96500,"")</f>
        <v/>
      </c>
      <c r="V4" s="230" t="str">
        <f t="shared" ref="V4:V67" si="1">IF($A$2=B4,(Q4*R4/96500),"")</f>
        <v/>
      </c>
      <c r="W4" s="4" t="s">
        <v>138</v>
      </c>
      <c r="X4" s="4" t="s">
        <v>20</v>
      </c>
      <c r="Y4" s="4">
        <v>4</v>
      </c>
      <c r="Z4" s="4">
        <v>32</v>
      </c>
      <c r="AA4" s="232" t="str">
        <f t="shared" ref="AA4:AA67" si="2">IF($A$2=B4,IF(X4="L",(Q4*R4/96500)*(0.08205*S4)/(Y4*T4),IF(X4="g",(Z4/Y4)*(Q4*R4/96500),IF(X4="M",(Q4*R4/96500*Y4*O4)))),"")</f>
        <v/>
      </c>
      <c r="AB4" s="233" t="str">
        <f t="shared" ref="AB4:AB67" si="3">IF($A$2=B4,IF(OR(X4="L",X4="M"),Q4/(Y4*96500),IF(X4="g",(Z4/Y4)*(Q4/96500))),"")</f>
        <v/>
      </c>
      <c r="AC4" s="233" t="str">
        <f t="shared" ref="AC4:AC67" si="4">IF(OR(X4="L",X4="M"),"mol/s",IF(X4="g","g/s"))</f>
        <v>mol/s</v>
      </c>
      <c r="AD4" s="231" t="str">
        <f t="shared" ref="AD4:AD67" si="5">IF($A$2=B4,O4*P4*AK4*96500/Q4,"")</f>
        <v/>
      </c>
      <c r="AE4" s="231" t="s">
        <v>283</v>
      </c>
      <c r="AF4" s="232" t="str">
        <f t="shared" ref="AF4:AF67" si="6">IF($A$2=B4,(R4/AD4)*100,"")</f>
        <v/>
      </c>
      <c r="AG4" s="236" t="s">
        <v>284</v>
      </c>
      <c r="AH4" s="4"/>
      <c r="AI4" s="4" t="s">
        <v>142</v>
      </c>
      <c r="AJ4" s="4" t="s">
        <v>20</v>
      </c>
      <c r="AK4" s="4">
        <v>2</v>
      </c>
      <c r="AL4" s="4">
        <v>2</v>
      </c>
      <c r="AM4" s="232" t="str">
        <f t="shared" ref="AM4:AM67" si="7">IF($A$2=B4,IF(AJ4="L",(Q4*R4/96500)*(0.082*S4)/(AK4*T4),IF(AJ4="g",(AL4/AK4)*(Q4*R4/96500),IF(AJ4="M",(Q4*R4/96500*Y4*O4)))),"")</f>
        <v/>
      </c>
      <c r="AN4" s="233" t="str">
        <f t="shared" ref="AN4:AN67" si="8">IF($A$2=B4,IF(OR(AJ4="L",X4="M"),Q4/(AK4*96500),IF(AJ4="g",(AL4/AK4)*(Q4/96500))),"")</f>
        <v/>
      </c>
      <c r="AO4" s="4" t="str">
        <f t="shared" ref="AO4:AO67" si="9">IF(OR(AJ4="L",AJ4="M"),"mol/s",IF(AJ4="g","g/s"))</f>
        <v>mol/s</v>
      </c>
      <c r="AP4" s="4"/>
      <c r="AQ4" s="4"/>
      <c r="AR4" s="4"/>
      <c r="AS4" s="4" t="s">
        <v>120</v>
      </c>
      <c r="AT4" s="4">
        <v>1</v>
      </c>
      <c r="AU4" s="5" t="s">
        <v>55</v>
      </c>
      <c r="AV4" s="248" t="str">
        <f t="shared" ref="AV4:AV67" si="10">IF($A$2=B4,IF(OR($A$2=1,$A$2=2,$A$2=19,$A$2=20,$A$2=37,$A$2=38,$A$2=39,$A$2=40,$A$2=41,$A$2=78,$A$2=79,$A$2=80,$A$2=81,$A$2=119,$A$2=120,$A$2=121,$A$2=122,$A$2=123,$A$2=124,$A$2=169,$A$2=170),(O4*P4-(Q4*R4/96500))/O4,IF(OR($A$2=0,$A$2=0),(Q4*R4/96500)/O4,IF(OR($A$2=6,$A$2=24,$A$2=54,$A$2=55,$A$2=56,$A$2=57,$A$2=58,$A$2=59,$A$2=95,$A$2=96,$A$2=97,$A$2=98,$A$2=99,$A$2=100,$A$2=140,$A$2=141,$A$2=142,$A$2=143,$A$2=144,$A$2=145,$A$2=146),(O4*P4-(Q4*R4/96500))/O4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4*R4/96500)/O4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4*P4-(Q4*R4/96500)/AK4)/O4,"X")))))),"")</f>
        <v/>
      </c>
      <c r="AW4" s="248" t="s">
        <v>12</v>
      </c>
      <c r="AX4" s="4" t="str">
        <f t="shared" ref="AX4:AX67" si="11">IF(AV4=0.00000000000001,"","M")</f>
        <v>M</v>
      </c>
      <c r="AY4" s="248" t="str">
        <f t="shared" ref="AY4:AY67" si="12">IF($A$2=B4,IF(OR($A$2=1,$A$2=2,$A$2=19,$A$2=20,$A$2=37,$A$2=38,$A$2=39,$A$2=40,$A$2=41,$A$2=78,$A$2=79,$A$2=80,$A$2=81,$A$2=119,$A$2=120,$A$2=121,$A$2=122,$A$2=123,$A$2=124,$A$2=169,$A$2=170),-LOG((O4*P4-(Q4*R4/96500))/O4),IF(OR($A$2=8,$A$2=66,$A$2=67,$A$2=68,$A$2=69,$A$2=70,$A$2=71),-LOG((Q4*R4/96500)/O4)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4*P4-(Q4*R4/96500))/O4)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4*R4/96500)/O4)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4" s="232"/>
      <c r="BA4" s="4">
        <v>2</v>
      </c>
      <c r="BB4" s="2" t="s">
        <v>47</v>
      </c>
      <c r="BC4" s="2" t="s">
        <v>234</v>
      </c>
      <c r="BD4" s="2"/>
      <c r="BE4" s="2" t="s">
        <v>48</v>
      </c>
      <c r="BF4" s="2" t="s">
        <v>49</v>
      </c>
      <c r="BG4" s="2"/>
      <c r="BH4" s="185" t="s">
        <v>148</v>
      </c>
      <c r="BI4" s="185" t="s">
        <v>149</v>
      </c>
      <c r="BJ4" s="185" t="s">
        <v>146</v>
      </c>
      <c r="BK4" s="185" t="s">
        <v>147</v>
      </c>
      <c r="BL4" s="100"/>
      <c r="BM4" s="97">
        <f t="shared" ref="BM4:BM67" si="13">AT4</f>
        <v>1</v>
      </c>
      <c r="BN4" s="225" t="s">
        <v>294</v>
      </c>
      <c r="BO4" s="225" t="s">
        <v>278</v>
      </c>
      <c r="BP4" s="225" t="s">
        <v>258</v>
      </c>
      <c r="BQ4" s="225" t="s">
        <v>259</v>
      </c>
      <c r="BR4" s="225" t="s">
        <v>318</v>
      </c>
      <c r="BS4" s="225" t="s">
        <v>322</v>
      </c>
      <c r="BT4" s="225" t="s">
        <v>273</v>
      </c>
      <c r="BU4" s="225" t="s">
        <v>260</v>
      </c>
      <c r="BV4" s="2"/>
      <c r="BW4" s="259" t="s">
        <v>264</v>
      </c>
      <c r="BX4" s="259" t="s">
        <v>265</v>
      </c>
      <c r="BY4" s="259" t="s">
        <v>266</v>
      </c>
      <c r="BZ4" s="259" t="s">
        <v>267</v>
      </c>
      <c r="CA4" s="225"/>
      <c r="CB4" s="249"/>
      <c r="CC4" s="250"/>
      <c r="CD4" s="249"/>
      <c r="CE4" s="250"/>
      <c r="CF4" s="225" t="str">
        <f t="shared" ref="CF4:CF67" si="14">IF($A$2=B4,"Volume"&amp;" "&amp;"="&amp;" "&amp;O4&amp;" "&amp;"L","")</f>
        <v/>
      </c>
      <c r="CG4" s="225" t="str">
        <f t="shared" ref="CG4:CG67" si="15">IF($A$2=B4,"Molar"&amp;" "&amp;"="&amp;" "&amp;P4&amp;" "&amp;"M","")</f>
        <v/>
      </c>
      <c r="CH4" s="225" t="str">
        <f t="shared" ref="CH4:CH67" si="16">IF($A$2=B4,"Arus"&amp;" "&amp;"="&amp;" "&amp;Q4&amp;" "&amp;"A","")</f>
        <v/>
      </c>
      <c r="CI4" s="225" t="str">
        <f t="shared" ref="CI4:CI67" si="17">IF($A$2=B4,"Waktu"&amp;" "&amp;"="&amp;" "&amp;R4&amp;" "&amp;"s","")</f>
        <v/>
      </c>
      <c r="CJ4" s="225" t="str">
        <f t="shared" ref="CJ4:CJ67" si="18">IF($A$2=B4,"Suhu"&amp;" "&amp;"="&amp;" "&amp;S4&amp;" "&amp;"K","")</f>
        <v/>
      </c>
      <c r="CK4" s="225" t="str">
        <f t="shared" ref="CK4:CK67" si="19">IF($A$2=B4,"Tekanan"&amp;" "&amp;"="&amp;" "&amp;T4&amp;" "&amp;"atm","")</f>
        <v/>
      </c>
      <c r="CL4" s="379" t="str">
        <f t="shared" ref="CL4:CL67" si="20">IF($A$2=B4,"Muatan"&amp;" "&amp;"="&amp;" "&amp;Q4*R4/96500&amp;" "&amp;"F","")</f>
        <v/>
      </c>
      <c r="CM4" s="225" t="str">
        <f t="shared" ref="CM4:CM67" si="21">IF($A$2=B4,"ACCU"&amp;" "&amp;"="&amp;" "&amp;1492&amp;" "&amp;"F","")</f>
        <v/>
      </c>
      <c r="CN4" s="225" t="str">
        <f t="shared" ref="CN4:CN67" si="22">IF($A$2=B4,"Muatan"&amp;" "&amp;"="&amp;" "&amp;Q4*R4&amp;" "&amp;"C","")</f>
        <v/>
      </c>
      <c r="CO4" s="225" t="str">
        <f t="shared" ref="CO4:CO67" si="23">IF($A$2=B4,"Kons."&amp;" "&amp;"="&amp;" "&amp;O4*P4&amp;" "&amp;"mol","")</f>
        <v/>
      </c>
      <c r="CP4" s="250"/>
      <c r="CQ4" s="250" t="str">
        <f t="shared" ref="CQ4:CQ67" si="24">IF($A$2=B4,IF(AND((Q4*R4/96500)&lt;1492,(Q4*R4/96500)&gt;O4*P4),"Elektrolit habis",IF(AND((Q4*R4/96500)&gt;1492,(Q4*R4/96500)&lt;O4*P4),"Daya habis","")),"")</f>
        <v/>
      </c>
      <c r="CR4" s="329">
        <v>2</v>
      </c>
      <c r="CS4" s="260" t="str">
        <f>IF(Elektro!E8=8,"2. Klik Tombol LATIHAN, pilihlah salah satu contoh larutan","")</f>
        <v/>
      </c>
      <c r="CU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" s="373" t="str">
        <f t="shared" ref="CV4:CV67" si="25">IF($A$2=B4,IF(AND(O4*P4&lt;(Q4*R4/96500),AF4&gt;=100),"Info: Elektrolit Sudah Habis",IF(P4&lt;0.1,"Info: Konsentrasi Terlalu Encer",IF((Q4*R4/96500)&gt;1492,"Info: Aki Kurang Strum",""))),"")</f>
        <v/>
      </c>
      <c r="CW4" s="2"/>
      <c r="CX4" s="104"/>
    </row>
    <row r="5" spans="1:102" ht="18.95" customHeight="1" x14ac:dyDescent="0.35">
      <c r="A5" s="262"/>
      <c r="B5" s="128">
        <v>3</v>
      </c>
      <c r="C5" s="184" t="s">
        <v>677</v>
      </c>
      <c r="E5" s="382" t="s">
        <v>587</v>
      </c>
      <c r="F5" s="149" t="s">
        <v>228</v>
      </c>
      <c r="H5" s="69" t="s">
        <v>422</v>
      </c>
      <c r="I5" s="69" t="s">
        <v>418</v>
      </c>
      <c r="J5" s="69" t="s">
        <v>423</v>
      </c>
      <c r="K5" s="160" t="s">
        <v>420</v>
      </c>
      <c r="L5" s="2"/>
      <c r="M5" s="69" t="s">
        <v>699</v>
      </c>
      <c r="N5" s="2"/>
      <c r="O5" s="230" t="str">
        <f>IF($A$2=B5,Elektro!$Q$11,"")</f>
        <v/>
      </c>
      <c r="P5" s="230" t="str">
        <f>IF($A$2=B5,Elektro!$Q$12,"")</f>
        <v/>
      </c>
      <c r="Q5" s="236" t="str">
        <f>IF($A$2=B5,Elektro!$Q$13,"")</f>
        <v/>
      </c>
      <c r="R5" s="231" t="str">
        <f>IF($A$2=B5,Elektro!$Q$14,"")</f>
        <v/>
      </c>
      <c r="S5" s="231" t="str">
        <f>IF($A$2=B5,Elektro!$Q$15,"")</f>
        <v/>
      </c>
      <c r="T5" s="230" t="str">
        <f>IF($A$2=B5,Elektro!$Q$16,"")</f>
        <v/>
      </c>
      <c r="U5" s="353" t="str">
        <f t="shared" si="0"/>
        <v/>
      </c>
      <c r="V5" s="353" t="str">
        <f t="shared" si="1"/>
        <v/>
      </c>
      <c r="W5" s="4" t="s">
        <v>138</v>
      </c>
      <c r="X5" s="4" t="s">
        <v>20</v>
      </c>
      <c r="Y5" s="4">
        <v>4</v>
      </c>
      <c r="Z5" s="4">
        <v>32</v>
      </c>
      <c r="AA5" s="232" t="str">
        <f t="shared" si="2"/>
        <v/>
      </c>
      <c r="AB5" s="233" t="str">
        <f t="shared" si="3"/>
        <v/>
      </c>
      <c r="AC5" s="233" t="str">
        <f t="shared" si="4"/>
        <v>mol/s</v>
      </c>
      <c r="AD5" s="231" t="str">
        <f t="shared" si="5"/>
        <v/>
      </c>
      <c r="AE5" s="231" t="s">
        <v>283</v>
      </c>
      <c r="AF5" s="232" t="str">
        <f t="shared" si="6"/>
        <v/>
      </c>
      <c r="AG5" s="236" t="s">
        <v>284</v>
      </c>
      <c r="AH5" s="4"/>
      <c r="AI5" s="4" t="s">
        <v>142</v>
      </c>
      <c r="AJ5" s="4" t="s">
        <v>20</v>
      </c>
      <c r="AK5" s="4">
        <v>2</v>
      </c>
      <c r="AL5" s="4">
        <v>2</v>
      </c>
      <c r="AM5" s="232" t="str">
        <f t="shared" si="7"/>
        <v/>
      </c>
      <c r="AN5" s="233" t="str">
        <f t="shared" si="8"/>
        <v/>
      </c>
      <c r="AO5" s="4" t="str">
        <f t="shared" si="9"/>
        <v>mol/s</v>
      </c>
      <c r="AP5" s="4"/>
      <c r="AQ5" s="4"/>
      <c r="AR5" s="4"/>
      <c r="AS5" s="4" t="s">
        <v>368</v>
      </c>
      <c r="AT5" s="4">
        <v>0</v>
      </c>
      <c r="AV5" s="248" t="str">
        <f t="shared" si="10"/>
        <v/>
      </c>
      <c r="AW5" s="248"/>
      <c r="AX5" s="4" t="str">
        <f t="shared" si="11"/>
        <v>M</v>
      </c>
      <c r="AY5" s="248" t="str">
        <f t="shared" si="12"/>
        <v/>
      </c>
      <c r="AZ5" s="232"/>
      <c r="BA5" s="4">
        <v>3</v>
      </c>
      <c r="BB5" s="2" t="s">
        <v>47</v>
      </c>
      <c r="BC5" s="2"/>
      <c r="BD5" s="2"/>
      <c r="BE5" s="2" t="s">
        <v>48</v>
      </c>
      <c r="BF5" s="2"/>
      <c r="BG5" s="2"/>
      <c r="BH5" s="185" t="s">
        <v>148</v>
      </c>
      <c r="BI5" s="185" t="s">
        <v>149</v>
      </c>
      <c r="BJ5" s="185" t="s">
        <v>148</v>
      </c>
      <c r="BK5" s="185" t="s">
        <v>147</v>
      </c>
      <c r="BL5" s="100"/>
      <c r="BM5" s="97">
        <f t="shared" si="13"/>
        <v>0</v>
      </c>
      <c r="BN5" s="225" t="s">
        <v>294</v>
      </c>
      <c r="BO5" s="225" t="s">
        <v>278</v>
      </c>
      <c r="BP5" s="225" t="s">
        <v>258</v>
      </c>
      <c r="BQ5" s="225" t="s">
        <v>259</v>
      </c>
      <c r="BR5" s="225" t="s">
        <v>318</v>
      </c>
      <c r="BS5" s="225" t="s">
        <v>322</v>
      </c>
      <c r="BT5" s="225" t="s">
        <v>274</v>
      </c>
      <c r="BU5" s="225" t="s">
        <v>260</v>
      </c>
      <c r="BV5" s="2"/>
      <c r="BW5" s="259" t="s">
        <v>264</v>
      </c>
      <c r="BX5" s="259" t="s">
        <v>265</v>
      </c>
      <c r="BY5" s="259" t="s">
        <v>266</v>
      </c>
      <c r="BZ5" s="259" t="s">
        <v>267</v>
      </c>
      <c r="CA5" s="225"/>
      <c r="CB5" s="249"/>
      <c r="CC5" s="250"/>
      <c r="CD5" s="249"/>
      <c r="CE5" s="250"/>
      <c r="CF5" s="225" t="str">
        <f t="shared" si="14"/>
        <v/>
      </c>
      <c r="CG5" s="225" t="str">
        <f t="shared" si="15"/>
        <v/>
      </c>
      <c r="CH5" s="225" t="str">
        <f t="shared" si="16"/>
        <v/>
      </c>
      <c r="CI5" s="225" t="str">
        <f t="shared" si="17"/>
        <v/>
      </c>
      <c r="CJ5" s="225" t="str">
        <f t="shared" si="18"/>
        <v/>
      </c>
      <c r="CK5" s="225" t="str">
        <f t="shared" si="19"/>
        <v/>
      </c>
      <c r="CL5" s="225" t="str">
        <f t="shared" si="20"/>
        <v/>
      </c>
      <c r="CM5" s="225" t="str">
        <f t="shared" si="21"/>
        <v/>
      </c>
      <c r="CN5" s="225" t="str">
        <f t="shared" si="22"/>
        <v/>
      </c>
      <c r="CO5" s="225" t="str">
        <f t="shared" si="23"/>
        <v/>
      </c>
      <c r="CP5" s="250"/>
      <c r="CQ5" s="250" t="str">
        <f t="shared" si="24"/>
        <v/>
      </c>
      <c r="CR5" s="329">
        <v>3</v>
      </c>
      <c r="CS5" s="260" t="str">
        <f>IF(Elektro!E8=8,"3. Klik Tombol DIKETAHUI, PERTANYAAN, HASIL","")</f>
        <v/>
      </c>
      <c r="CU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" s="373" t="str">
        <f t="shared" si="25"/>
        <v/>
      </c>
      <c r="CW5" s="2"/>
      <c r="CX5" s="104"/>
    </row>
    <row r="6" spans="1:102" ht="18.95" customHeight="1" x14ac:dyDescent="0.35">
      <c r="A6" s="262"/>
      <c r="B6" s="128">
        <v>4</v>
      </c>
      <c r="C6" s="184" t="s">
        <v>72</v>
      </c>
      <c r="E6" s="382" t="s">
        <v>588</v>
      </c>
      <c r="F6" s="149" t="s">
        <v>229</v>
      </c>
      <c r="H6" s="69" t="s">
        <v>424</v>
      </c>
      <c r="I6" s="69" t="s">
        <v>425</v>
      </c>
      <c r="J6" s="69" t="s">
        <v>423</v>
      </c>
      <c r="K6" s="160" t="s">
        <v>426</v>
      </c>
      <c r="L6" s="2"/>
      <c r="M6" s="69" t="s">
        <v>700</v>
      </c>
      <c r="N6" s="2"/>
      <c r="O6" s="230" t="str">
        <f>IF($A$2=B6,Elektro!$Q$11,"")</f>
        <v/>
      </c>
      <c r="P6" s="230" t="str">
        <f>IF($A$2=B6,Elektro!$Q$12,"")</f>
        <v/>
      </c>
      <c r="Q6" s="236" t="str">
        <f>IF($A$2=B6,Elektro!$Q$13,"")</f>
        <v/>
      </c>
      <c r="R6" s="231" t="str">
        <f>IF($A$2=B6,Elektro!$Q$14,"")</f>
        <v/>
      </c>
      <c r="S6" s="231" t="str">
        <f>IF($A$2=B6,Elektro!$Q$15,"")</f>
        <v/>
      </c>
      <c r="T6" s="230" t="str">
        <f>IF($A$2=B6,Elektro!$Q$16,"")</f>
        <v/>
      </c>
      <c r="U6" s="353" t="str">
        <f t="shared" si="0"/>
        <v/>
      </c>
      <c r="V6" s="353" t="str">
        <f t="shared" si="1"/>
        <v/>
      </c>
      <c r="W6" s="4" t="s">
        <v>242</v>
      </c>
      <c r="X6" s="4" t="s">
        <v>282</v>
      </c>
      <c r="Y6" s="4">
        <v>2</v>
      </c>
      <c r="Z6" s="4">
        <v>253.8</v>
      </c>
      <c r="AA6" s="232" t="str">
        <f t="shared" si="2"/>
        <v/>
      </c>
      <c r="AB6" s="233" t="str">
        <f t="shared" si="3"/>
        <v/>
      </c>
      <c r="AC6" s="233" t="str">
        <f t="shared" si="4"/>
        <v>g/s</v>
      </c>
      <c r="AD6" s="231" t="str">
        <f t="shared" si="5"/>
        <v/>
      </c>
      <c r="AE6" s="231" t="s">
        <v>283</v>
      </c>
      <c r="AF6" s="232" t="str">
        <f t="shared" si="6"/>
        <v/>
      </c>
      <c r="AG6" s="236" t="s">
        <v>284</v>
      </c>
      <c r="AH6" s="4"/>
      <c r="AI6" s="4" t="s">
        <v>142</v>
      </c>
      <c r="AJ6" s="4" t="s">
        <v>20</v>
      </c>
      <c r="AK6" s="4">
        <v>2</v>
      </c>
      <c r="AL6" s="4">
        <v>2</v>
      </c>
      <c r="AM6" s="232" t="str">
        <f t="shared" si="7"/>
        <v/>
      </c>
      <c r="AN6" s="233" t="str">
        <f t="shared" si="8"/>
        <v/>
      </c>
      <c r="AO6" s="4" t="str">
        <f t="shared" si="9"/>
        <v>mol/s</v>
      </c>
      <c r="AP6" s="4"/>
      <c r="AQ6" s="4"/>
      <c r="AR6" s="4"/>
      <c r="AS6" s="4" t="s">
        <v>121</v>
      </c>
      <c r="AT6" s="4">
        <v>2</v>
      </c>
      <c r="AV6" s="248" t="str">
        <f t="shared" si="10"/>
        <v/>
      </c>
      <c r="AW6" s="248"/>
      <c r="AX6" s="4" t="str">
        <f t="shared" si="11"/>
        <v>M</v>
      </c>
      <c r="AY6" s="248" t="str">
        <f t="shared" si="12"/>
        <v/>
      </c>
      <c r="AZ6" s="232"/>
      <c r="BA6" s="4">
        <v>4</v>
      </c>
      <c r="BB6" s="2" t="s">
        <v>47</v>
      </c>
      <c r="BC6" s="2" t="s">
        <v>73</v>
      </c>
      <c r="BD6" s="2"/>
      <c r="BE6" s="2" t="s">
        <v>48</v>
      </c>
      <c r="BF6" s="2" t="s">
        <v>74</v>
      </c>
      <c r="BG6" s="2"/>
      <c r="BH6" s="185" t="s">
        <v>150</v>
      </c>
      <c r="BI6" s="185" t="s">
        <v>156</v>
      </c>
      <c r="BJ6" s="185" t="s">
        <v>148</v>
      </c>
      <c r="BK6" s="185" t="s">
        <v>147</v>
      </c>
      <c r="BL6" s="100"/>
      <c r="BM6" s="97">
        <f t="shared" si="13"/>
        <v>2</v>
      </c>
      <c r="BN6" s="225" t="s">
        <v>294</v>
      </c>
      <c r="BO6" s="225" t="s">
        <v>308</v>
      </c>
      <c r="BP6" s="225" t="s">
        <v>258</v>
      </c>
      <c r="BQ6" s="225" t="s">
        <v>259</v>
      </c>
      <c r="BR6" s="225" t="s">
        <v>318</v>
      </c>
      <c r="BS6" s="225" t="s">
        <v>323</v>
      </c>
      <c r="BT6" s="225" t="s">
        <v>275</v>
      </c>
      <c r="BU6" s="225" t="s">
        <v>260</v>
      </c>
      <c r="BV6" s="2"/>
      <c r="BW6" s="259" t="s">
        <v>264</v>
      </c>
      <c r="BX6" s="259" t="s">
        <v>265</v>
      </c>
      <c r="BY6" s="259" t="s">
        <v>268</v>
      </c>
      <c r="BZ6" s="259" t="s">
        <v>269</v>
      </c>
      <c r="CA6" s="225"/>
      <c r="CB6" s="249"/>
      <c r="CC6" s="250"/>
      <c r="CD6" s="249"/>
      <c r="CE6" s="250"/>
      <c r="CF6" s="225" t="str">
        <f t="shared" si="14"/>
        <v/>
      </c>
      <c r="CG6" s="225" t="str">
        <f t="shared" si="15"/>
        <v/>
      </c>
      <c r="CH6" s="225" t="str">
        <f t="shared" si="16"/>
        <v/>
      </c>
      <c r="CI6" s="225" t="str">
        <f t="shared" si="17"/>
        <v/>
      </c>
      <c r="CJ6" s="225" t="str">
        <f t="shared" si="18"/>
        <v/>
      </c>
      <c r="CK6" s="225" t="str">
        <f t="shared" si="19"/>
        <v/>
      </c>
      <c r="CL6" s="225" t="str">
        <f t="shared" si="20"/>
        <v/>
      </c>
      <c r="CM6" s="225" t="str">
        <f t="shared" si="21"/>
        <v/>
      </c>
      <c r="CN6" s="225" t="str">
        <f t="shared" si="22"/>
        <v/>
      </c>
      <c r="CO6" s="225" t="str">
        <f t="shared" si="23"/>
        <v/>
      </c>
      <c r="CP6" s="250"/>
      <c r="CQ6" s="250" t="str">
        <f t="shared" si="24"/>
        <v/>
      </c>
      <c r="CR6" s="329">
        <v>4</v>
      </c>
      <c r="CS6" s="260" t="str">
        <f>IF(Elektro!E8=8,"4. Klik Tombol JAWABAN dan Klik Tombol O (Rumus)","")</f>
        <v/>
      </c>
      <c r="CU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" s="373" t="str">
        <f t="shared" si="25"/>
        <v/>
      </c>
      <c r="CW6" s="2"/>
      <c r="CX6" s="104"/>
    </row>
    <row r="7" spans="1:102" ht="18.95" customHeight="1" x14ac:dyDescent="0.35">
      <c r="A7" s="262"/>
      <c r="B7" s="128">
        <v>5</v>
      </c>
      <c r="C7" s="184" t="s">
        <v>688</v>
      </c>
      <c r="E7" s="382" t="s">
        <v>666</v>
      </c>
      <c r="F7" s="149" t="s">
        <v>228</v>
      </c>
      <c r="H7" s="69" t="s">
        <v>427</v>
      </c>
      <c r="I7" s="69" t="s">
        <v>418</v>
      </c>
      <c r="J7" s="69" t="s">
        <v>423</v>
      </c>
      <c r="K7" s="160" t="s">
        <v>420</v>
      </c>
      <c r="L7" s="2"/>
      <c r="M7" s="69" t="s">
        <v>701</v>
      </c>
      <c r="N7" s="2"/>
      <c r="O7" s="230">
        <f>IF($A$2=B7,Elektro!$Q$11,"")</f>
        <v>1</v>
      </c>
      <c r="P7" s="230">
        <f>IF($A$2=B7,Elektro!$Q$12,"")</f>
        <v>1</v>
      </c>
      <c r="Q7" s="236">
        <f>IF($A$2=B7,Elektro!$Q$13,"")</f>
        <v>10</v>
      </c>
      <c r="R7" s="231">
        <f>IF($A$2=B7,Elektro!$Q$14,"")</f>
        <v>7200</v>
      </c>
      <c r="S7" s="231">
        <f>IF($A$2=B7,Elektro!$Q$15,"")</f>
        <v>273</v>
      </c>
      <c r="T7" s="230">
        <f>IF($A$2=B7,Elektro!$Q$16,"")</f>
        <v>1</v>
      </c>
      <c r="U7" s="353">
        <f t="shared" si="0"/>
        <v>1.4922279792746114</v>
      </c>
      <c r="V7" s="353">
        <f t="shared" si="1"/>
        <v>0.74611398963730569</v>
      </c>
      <c r="W7" s="4" t="s">
        <v>138</v>
      </c>
      <c r="X7" s="4" t="s">
        <v>20</v>
      </c>
      <c r="Y7" s="4">
        <v>4</v>
      </c>
      <c r="Z7" s="4">
        <v>32</v>
      </c>
      <c r="AA7" s="232">
        <f t="shared" si="2"/>
        <v>4.1781730569948188</v>
      </c>
      <c r="AB7" s="233">
        <f t="shared" si="3"/>
        <v>2.5906735751295337E-5</v>
      </c>
      <c r="AC7" s="233" t="str">
        <f t="shared" si="4"/>
        <v>mol/s</v>
      </c>
      <c r="AD7" s="231">
        <f t="shared" si="5"/>
        <v>19300</v>
      </c>
      <c r="AE7" s="231" t="s">
        <v>283</v>
      </c>
      <c r="AF7" s="232">
        <f t="shared" si="6"/>
        <v>37.305699481865283</v>
      </c>
      <c r="AG7" s="236" t="s">
        <v>284</v>
      </c>
      <c r="AH7" s="4"/>
      <c r="AI7" s="4" t="s">
        <v>142</v>
      </c>
      <c r="AJ7" s="4" t="s">
        <v>20</v>
      </c>
      <c r="AK7" s="4">
        <v>2</v>
      </c>
      <c r="AL7" s="4">
        <v>2</v>
      </c>
      <c r="AM7" s="232">
        <f t="shared" si="7"/>
        <v>8.3512538860103618</v>
      </c>
      <c r="AN7" s="233">
        <f t="shared" si="8"/>
        <v>5.1813471502590674E-5</v>
      </c>
      <c r="AO7" s="4" t="str">
        <f t="shared" si="9"/>
        <v>mol/s</v>
      </c>
      <c r="AP7" s="4"/>
      <c r="AQ7" s="4"/>
      <c r="AR7" s="4"/>
      <c r="AS7" s="4" t="s">
        <v>368</v>
      </c>
      <c r="AT7" s="4">
        <v>0</v>
      </c>
      <c r="AV7" s="248">
        <f t="shared" si="10"/>
        <v>9.9999999999999995E-8</v>
      </c>
      <c r="AW7" s="248"/>
      <c r="AX7" s="4" t="str">
        <f t="shared" si="11"/>
        <v>M</v>
      </c>
      <c r="AY7" s="248">
        <f t="shared" si="12"/>
        <v>7</v>
      </c>
      <c r="AZ7" s="232"/>
      <c r="BA7" s="4">
        <v>5</v>
      </c>
      <c r="BB7" s="2" t="s">
        <v>47</v>
      </c>
      <c r="BC7" s="2" t="s">
        <v>234</v>
      </c>
      <c r="BD7" s="2"/>
      <c r="BE7" s="2" t="s">
        <v>48</v>
      </c>
      <c r="BF7" s="2" t="s">
        <v>50</v>
      </c>
      <c r="BG7" s="2"/>
      <c r="BH7" s="185" t="s">
        <v>148</v>
      </c>
      <c r="BI7" s="185" t="s">
        <v>149</v>
      </c>
      <c r="BJ7" s="185" t="s">
        <v>148</v>
      </c>
      <c r="BK7" s="185" t="s">
        <v>147</v>
      </c>
      <c r="BL7" s="100"/>
      <c r="BM7" s="97">
        <f t="shared" si="13"/>
        <v>0</v>
      </c>
      <c r="BN7" s="225" t="s">
        <v>294</v>
      </c>
      <c r="BO7" s="225" t="s">
        <v>278</v>
      </c>
      <c r="BP7" s="225" t="s">
        <v>258</v>
      </c>
      <c r="BQ7" s="225" t="s">
        <v>259</v>
      </c>
      <c r="BR7" s="225" t="s">
        <v>318</v>
      </c>
      <c r="BS7" s="225" t="s">
        <v>322</v>
      </c>
      <c r="BT7" s="225" t="s">
        <v>274</v>
      </c>
      <c r="BU7" s="225" t="s">
        <v>260</v>
      </c>
      <c r="BV7" s="2"/>
      <c r="BW7" s="259" t="s">
        <v>264</v>
      </c>
      <c r="BX7" s="259" t="s">
        <v>265</v>
      </c>
      <c r="BY7" s="259" t="s">
        <v>266</v>
      </c>
      <c r="BZ7" s="259" t="s">
        <v>267</v>
      </c>
      <c r="CA7" s="225"/>
      <c r="CB7" s="249"/>
      <c r="CC7" s="250"/>
      <c r="CD7" s="249"/>
      <c r="CE7" s="250"/>
      <c r="CF7" s="225" t="str">
        <f t="shared" si="14"/>
        <v>Volume = 1 L</v>
      </c>
      <c r="CG7" s="225" t="str">
        <f t="shared" si="15"/>
        <v>Molar = 1 M</v>
      </c>
      <c r="CH7" s="225" t="str">
        <f t="shared" si="16"/>
        <v>Arus = 10 A</v>
      </c>
      <c r="CI7" s="225" t="str">
        <f t="shared" si="17"/>
        <v>Waktu = 7200 s</v>
      </c>
      <c r="CJ7" s="225" t="str">
        <f t="shared" si="18"/>
        <v>Suhu = 273 K</v>
      </c>
      <c r="CK7" s="225" t="str">
        <f t="shared" si="19"/>
        <v>Tekanan = 1 atm</v>
      </c>
      <c r="CL7" s="225" t="str">
        <f t="shared" si="20"/>
        <v>Muatan = 0.746113989637306 F</v>
      </c>
      <c r="CM7" s="225" t="str">
        <f t="shared" si="21"/>
        <v>ACCU = 1492 F</v>
      </c>
      <c r="CN7" s="225" t="str">
        <f t="shared" si="22"/>
        <v>Muatan = 72000 C</v>
      </c>
      <c r="CO7" s="225" t="str">
        <f t="shared" si="23"/>
        <v>Kons. = 1 mol</v>
      </c>
      <c r="CP7" s="250"/>
      <c r="CQ7" s="250" t="str">
        <f t="shared" si="24"/>
        <v/>
      </c>
      <c r="CR7" s="329">
        <v>5</v>
      </c>
      <c r="CS7" s="261" t="str">
        <f>IF(Elektro!$C$16=TRUE,"DIKETAHUI","")</f>
        <v/>
      </c>
      <c r="CU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" s="373" t="str">
        <f t="shared" si="25"/>
        <v/>
      </c>
      <c r="CW7" s="2"/>
      <c r="CX7" s="104"/>
    </row>
    <row r="8" spans="1:102" ht="18.95" customHeight="1" x14ac:dyDescent="0.35">
      <c r="A8" s="262"/>
      <c r="B8" s="128">
        <v>6</v>
      </c>
      <c r="C8" s="184" t="s">
        <v>7</v>
      </c>
      <c r="E8" s="382" t="s">
        <v>589</v>
      </c>
      <c r="F8" s="149" t="s">
        <v>229</v>
      </c>
      <c r="H8" s="69" t="s">
        <v>428</v>
      </c>
      <c r="I8" s="69" t="s">
        <v>429</v>
      </c>
      <c r="J8" s="69" t="s">
        <v>423</v>
      </c>
      <c r="K8" s="160" t="s">
        <v>420</v>
      </c>
      <c r="L8" s="2"/>
      <c r="M8" s="69" t="s">
        <v>702</v>
      </c>
      <c r="N8" s="2"/>
      <c r="O8" s="230" t="str">
        <f>IF($A$2=B8,Elektro!$Q$11,"")</f>
        <v/>
      </c>
      <c r="P8" s="230" t="str">
        <f>IF($A$2=B8,Elektro!$Q$12,"")</f>
        <v/>
      </c>
      <c r="Q8" s="236" t="str">
        <f>IF($A$2=B8,Elektro!$Q$13,"")</f>
        <v/>
      </c>
      <c r="R8" s="231" t="str">
        <f>IF($A$2=B8,Elektro!$Q$14,"")</f>
        <v/>
      </c>
      <c r="S8" s="231" t="str">
        <f>IF($A$2=B8,Elektro!$Q$15,"")</f>
        <v/>
      </c>
      <c r="T8" s="230" t="str">
        <f>IF($A$2=B8,Elektro!$Q$16,"")</f>
        <v/>
      </c>
      <c r="U8" s="353" t="str">
        <f t="shared" si="0"/>
        <v/>
      </c>
      <c r="V8" s="353" t="str">
        <f t="shared" si="1"/>
        <v/>
      </c>
      <c r="W8" s="4" t="s">
        <v>138</v>
      </c>
      <c r="X8" s="4" t="s">
        <v>20</v>
      </c>
      <c r="Y8" s="4">
        <v>4</v>
      </c>
      <c r="Z8" s="4">
        <v>32</v>
      </c>
      <c r="AA8" s="232" t="str">
        <f t="shared" si="2"/>
        <v/>
      </c>
      <c r="AB8" s="233" t="str">
        <f t="shared" si="3"/>
        <v/>
      </c>
      <c r="AC8" s="233" t="str">
        <f t="shared" si="4"/>
        <v>mol/s</v>
      </c>
      <c r="AD8" s="231" t="str">
        <f t="shared" si="5"/>
        <v/>
      </c>
      <c r="AE8" s="231" t="s">
        <v>283</v>
      </c>
      <c r="AF8" s="232" t="str">
        <f t="shared" si="6"/>
        <v/>
      </c>
      <c r="AG8" s="236" t="s">
        <v>284</v>
      </c>
      <c r="AH8" s="4"/>
      <c r="AI8" s="4" t="s">
        <v>142</v>
      </c>
      <c r="AJ8" s="4" t="s">
        <v>20</v>
      </c>
      <c r="AK8" s="4">
        <v>2</v>
      </c>
      <c r="AL8" s="4">
        <v>2</v>
      </c>
      <c r="AM8" s="232" t="str">
        <f t="shared" si="7"/>
        <v/>
      </c>
      <c r="AN8" s="233" t="str">
        <f t="shared" si="8"/>
        <v/>
      </c>
      <c r="AO8" s="4" t="str">
        <f t="shared" si="9"/>
        <v>mol/s</v>
      </c>
      <c r="AP8" s="4"/>
      <c r="AQ8" s="4"/>
      <c r="AR8" s="4"/>
      <c r="AS8" s="4" t="s">
        <v>121</v>
      </c>
      <c r="AT8" s="4">
        <v>2</v>
      </c>
      <c r="AU8" s="5" t="s">
        <v>65</v>
      </c>
      <c r="AV8" s="248" t="str">
        <f t="shared" si="10"/>
        <v/>
      </c>
      <c r="AW8" s="248"/>
      <c r="AX8" s="4" t="str">
        <f t="shared" si="11"/>
        <v>M</v>
      </c>
      <c r="AY8" s="248" t="str">
        <f t="shared" si="12"/>
        <v/>
      </c>
      <c r="AZ8" s="232"/>
      <c r="BA8" s="4">
        <v>6</v>
      </c>
      <c r="BB8" s="2" t="s">
        <v>47</v>
      </c>
      <c r="BC8" s="2" t="s">
        <v>51</v>
      </c>
      <c r="BD8" s="2"/>
      <c r="BE8" s="2" t="s">
        <v>48</v>
      </c>
      <c r="BF8" s="2" t="s">
        <v>50</v>
      </c>
      <c r="BG8" s="2"/>
      <c r="BH8" s="185" t="s">
        <v>155</v>
      </c>
      <c r="BI8" s="185" t="s">
        <v>149</v>
      </c>
      <c r="BJ8" s="185" t="s">
        <v>148</v>
      </c>
      <c r="BK8" s="185" t="s">
        <v>147</v>
      </c>
      <c r="BL8" s="100"/>
      <c r="BM8" s="97">
        <f t="shared" si="13"/>
        <v>2</v>
      </c>
      <c r="BN8" s="225" t="s">
        <v>294</v>
      </c>
      <c r="BO8" s="225" t="s">
        <v>278</v>
      </c>
      <c r="BP8" s="225" t="s">
        <v>258</v>
      </c>
      <c r="BQ8" s="225" t="s">
        <v>259</v>
      </c>
      <c r="BR8" s="225" t="s">
        <v>318</v>
      </c>
      <c r="BS8" s="225" t="s">
        <v>322</v>
      </c>
      <c r="BT8" s="225" t="s">
        <v>275</v>
      </c>
      <c r="BU8" s="225" t="s">
        <v>260</v>
      </c>
      <c r="BV8" s="2"/>
      <c r="BW8" s="259" t="s">
        <v>264</v>
      </c>
      <c r="BX8" s="259" t="s">
        <v>265</v>
      </c>
      <c r="BY8" s="259" t="s">
        <v>266</v>
      </c>
      <c r="BZ8" s="259" t="s">
        <v>267</v>
      </c>
      <c r="CA8" s="225"/>
      <c r="CB8" s="249"/>
      <c r="CC8" s="250"/>
      <c r="CD8" s="249"/>
      <c r="CE8" s="250"/>
      <c r="CF8" s="225" t="str">
        <f t="shared" si="14"/>
        <v/>
      </c>
      <c r="CG8" s="225" t="str">
        <f t="shared" si="15"/>
        <v/>
      </c>
      <c r="CH8" s="225" t="str">
        <f t="shared" si="16"/>
        <v/>
      </c>
      <c r="CI8" s="225" t="str">
        <f t="shared" si="17"/>
        <v/>
      </c>
      <c r="CJ8" s="225" t="str">
        <f t="shared" si="18"/>
        <v/>
      </c>
      <c r="CK8" s="225" t="str">
        <f t="shared" si="19"/>
        <v/>
      </c>
      <c r="CL8" s="225" t="str">
        <f t="shared" si="20"/>
        <v/>
      </c>
      <c r="CM8" s="225" t="str">
        <f t="shared" si="21"/>
        <v/>
      </c>
      <c r="CN8" s="225" t="str">
        <f t="shared" si="22"/>
        <v/>
      </c>
      <c r="CO8" s="225" t="str">
        <f t="shared" si="23"/>
        <v/>
      </c>
      <c r="CP8" s="250"/>
      <c r="CQ8" s="250" t="str">
        <f t="shared" si="24"/>
        <v/>
      </c>
      <c r="CR8" s="329">
        <v>6</v>
      </c>
      <c r="CS8" t="str">
        <f>IF(Elektro!$C$17=TRUE,"PERTANYAAN","")</f>
        <v/>
      </c>
      <c r="CU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" s="373" t="str">
        <f t="shared" si="25"/>
        <v/>
      </c>
      <c r="CW8" s="2"/>
      <c r="CX8" s="104"/>
    </row>
    <row r="9" spans="1:102" ht="18.95" customHeight="1" x14ac:dyDescent="0.35">
      <c r="A9" s="262"/>
      <c r="B9" s="128">
        <v>7</v>
      </c>
      <c r="C9" s="184" t="s">
        <v>684</v>
      </c>
      <c r="E9" s="382" t="s">
        <v>590</v>
      </c>
      <c r="F9" s="150" t="s">
        <v>228</v>
      </c>
      <c r="H9" s="69" t="s">
        <v>430</v>
      </c>
      <c r="I9" s="69" t="s">
        <v>431</v>
      </c>
      <c r="J9" s="69" t="s">
        <v>262</v>
      </c>
      <c r="K9" s="160" t="s">
        <v>432</v>
      </c>
      <c r="L9" s="2"/>
      <c r="M9" s="69" t="s">
        <v>703</v>
      </c>
      <c r="N9" s="2"/>
      <c r="O9" s="230" t="str">
        <f>IF($A$2=B9,Elektro!$Q$11,"")</f>
        <v/>
      </c>
      <c r="P9" s="230" t="str">
        <f>IF($A$2=B9,Elektro!$Q$12,"")</f>
        <v/>
      </c>
      <c r="Q9" s="236" t="str">
        <f>IF($A$2=B9,Elektro!$Q$13,"")</f>
        <v/>
      </c>
      <c r="R9" s="231" t="str">
        <f>IF($A$2=B9,Elektro!$Q$14,"")</f>
        <v/>
      </c>
      <c r="S9" s="231" t="str">
        <f>IF($A$2=B9,Elektro!$Q$15,"")</f>
        <v/>
      </c>
      <c r="T9" s="230" t="str">
        <f>IF($A$2=B9,Elektro!$Q$16,"")</f>
        <v/>
      </c>
      <c r="U9" s="353" t="str">
        <f t="shared" si="0"/>
        <v/>
      </c>
      <c r="V9" s="353" t="str">
        <f t="shared" si="1"/>
        <v/>
      </c>
      <c r="W9" s="4" t="s">
        <v>137</v>
      </c>
      <c r="X9" s="4" t="s">
        <v>20</v>
      </c>
      <c r="Y9" s="4">
        <v>2</v>
      </c>
      <c r="Z9" s="4">
        <v>32</v>
      </c>
      <c r="AA9" s="232" t="str">
        <f t="shared" si="2"/>
        <v/>
      </c>
      <c r="AB9" s="233" t="str">
        <f t="shared" si="3"/>
        <v/>
      </c>
      <c r="AC9" s="233" t="str">
        <f t="shared" si="4"/>
        <v>mol/s</v>
      </c>
      <c r="AD9" s="231" t="str">
        <f t="shared" si="5"/>
        <v/>
      </c>
      <c r="AE9" s="231" t="s">
        <v>283</v>
      </c>
      <c r="AF9" s="232" t="str">
        <f t="shared" si="6"/>
        <v/>
      </c>
      <c r="AG9" s="236" t="s">
        <v>284</v>
      </c>
      <c r="AH9" s="4"/>
      <c r="AI9" s="4" t="s">
        <v>107</v>
      </c>
      <c r="AJ9" s="4" t="s">
        <v>282</v>
      </c>
      <c r="AK9" s="4">
        <v>2</v>
      </c>
      <c r="AL9" s="4">
        <v>63.55</v>
      </c>
      <c r="AM9" s="232" t="str">
        <f t="shared" si="7"/>
        <v/>
      </c>
      <c r="AN9" s="233" t="str">
        <f t="shared" si="8"/>
        <v/>
      </c>
      <c r="AO9" s="4" t="str">
        <f t="shared" si="9"/>
        <v>g/s</v>
      </c>
      <c r="AP9" s="4"/>
      <c r="AQ9" s="4"/>
      <c r="AR9" s="4"/>
      <c r="AS9" s="4" t="s">
        <v>368</v>
      </c>
      <c r="AT9" s="4">
        <v>0</v>
      </c>
      <c r="AV9" s="248" t="str">
        <f t="shared" si="10"/>
        <v/>
      </c>
      <c r="AW9" s="248"/>
      <c r="AX9" s="4" t="str">
        <f t="shared" si="11"/>
        <v>M</v>
      </c>
      <c r="AY9" s="248" t="str">
        <f t="shared" si="12"/>
        <v/>
      </c>
      <c r="AZ9" s="232"/>
      <c r="BA9" s="4">
        <v>7</v>
      </c>
      <c r="BB9" s="2" t="s">
        <v>47</v>
      </c>
      <c r="BC9" s="2" t="s">
        <v>52</v>
      </c>
      <c r="BD9" s="2"/>
      <c r="BE9" s="2" t="s">
        <v>48</v>
      </c>
      <c r="BF9" s="2" t="s">
        <v>53</v>
      </c>
      <c r="BG9" s="2"/>
      <c r="BH9" s="185" t="s">
        <v>144</v>
      </c>
      <c r="BI9" s="185" t="s">
        <v>145</v>
      </c>
      <c r="BJ9" s="185" t="s">
        <v>151</v>
      </c>
      <c r="BK9" s="185" t="s">
        <v>3</v>
      </c>
      <c r="BL9" s="100"/>
      <c r="BM9" s="97">
        <f t="shared" si="13"/>
        <v>0</v>
      </c>
      <c r="BN9" s="225" t="s">
        <v>296</v>
      </c>
      <c r="BO9" s="225" t="s">
        <v>309</v>
      </c>
      <c r="BP9" s="225" t="s">
        <v>258</v>
      </c>
      <c r="BQ9" s="225" t="s">
        <v>259</v>
      </c>
      <c r="BR9" s="225" t="s">
        <v>319</v>
      </c>
      <c r="BS9" s="225" t="s">
        <v>324</v>
      </c>
      <c r="BT9" s="225" t="s">
        <v>375</v>
      </c>
      <c r="BU9" s="225" t="s">
        <v>260</v>
      </c>
      <c r="BV9" s="2"/>
      <c r="BW9" s="259" t="s">
        <v>270</v>
      </c>
      <c r="BX9" s="259" t="s">
        <v>263</v>
      </c>
      <c r="BY9" s="259" t="s">
        <v>266</v>
      </c>
      <c r="BZ9" s="259" t="s">
        <v>271</v>
      </c>
      <c r="CA9" s="225"/>
      <c r="CB9" s="249"/>
      <c r="CC9" s="250"/>
      <c r="CD9" s="249"/>
      <c r="CE9" s="250"/>
      <c r="CF9" s="225" t="str">
        <f t="shared" si="14"/>
        <v/>
      </c>
      <c r="CG9" s="225" t="str">
        <f t="shared" si="15"/>
        <v/>
      </c>
      <c r="CH9" s="225" t="str">
        <f t="shared" si="16"/>
        <v/>
      </c>
      <c r="CI9" s="225" t="str">
        <f t="shared" si="17"/>
        <v/>
      </c>
      <c r="CJ9" s="225" t="str">
        <f t="shared" si="18"/>
        <v/>
      </c>
      <c r="CK9" s="225" t="str">
        <f t="shared" si="19"/>
        <v/>
      </c>
      <c r="CL9" s="225" t="str">
        <f t="shared" si="20"/>
        <v/>
      </c>
      <c r="CM9" s="225" t="str">
        <f t="shared" si="21"/>
        <v/>
      </c>
      <c r="CN9" s="225" t="str">
        <f t="shared" si="22"/>
        <v/>
      </c>
      <c r="CO9" s="225" t="str">
        <f t="shared" si="23"/>
        <v/>
      </c>
      <c r="CP9" s="250"/>
      <c r="CQ9" s="250" t="str">
        <f t="shared" si="24"/>
        <v/>
      </c>
      <c r="CR9" s="330">
        <v>7</v>
      </c>
      <c r="CS9" t="str">
        <f>IF(Elektro!$C$17=TRUE,"Hitunglah: w, V, t, Q, r, M, dan pH","")</f>
        <v/>
      </c>
      <c r="CU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" s="373" t="str">
        <f t="shared" si="25"/>
        <v/>
      </c>
      <c r="CW9" s="2"/>
      <c r="CX9" s="104"/>
    </row>
    <row r="10" spans="1:102" ht="18.95" customHeight="1" x14ac:dyDescent="0.35">
      <c r="A10" s="262"/>
      <c r="B10" s="128">
        <v>8</v>
      </c>
      <c r="C10" s="184" t="s">
        <v>693</v>
      </c>
      <c r="E10" s="382" t="s">
        <v>667</v>
      </c>
      <c r="F10" s="149" t="s">
        <v>230</v>
      </c>
      <c r="H10" s="69" t="s">
        <v>261</v>
      </c>
      <c r="I10" s="69" t="s">
        <v>418</v>
      </c>
      <c r="J10" s="69" t="s">
        <v>262</v>
      </c>
      <c r="K10" s="160" t="s">
        <v>433</v>
      </c>
      <c r="L10" s="2"/>
      <c r="M10" s="69" t="s">
        <v>704</v>
      </c>
      <c r="N10" s="2"/>
      <c r="O10" s="230" t="str">
        <f>IF($A$2=B10,Elektro!$Q$11,"")</f>
        <v/>
      </c>
      <c r="P10" s="230" t="str">
        <f>IF($A$2=B10,Elektro!$Q$12,"")</f>
        <v/>
      </c>
      <c r="Q10" s="236" t="str">
        <f>IF($A$2=B10,Elektro!$Q$13,"")</f>
        <v/>
      </c>
      <c r="R10" s="231" t="str">
        <f>IF($A$2=B10,Elektro!$Q$14,"")</f>
        <v/>
      </c>
      <c r="S10" s="231" t="str">
        <f>IF($A$2=B10,Elektro!$Q$15,"")</f>
        <v/>
      </c>
      <c r="T10" s="230" t="str">
        <f>IF($A$2=B10,Elektro!$Q$16,"")</f>
        <v/>
      </c>
      <c r="U10" s="353" t="str">
        <f t="shared" si="0"/>
        <v/>
      </c>
      <c r="V10" s="353" t="str">
        <f t="shared" si="1"/>
        <v/>
      </c>
      <c r="W10" s="4" t="s">
        <v>138</v>
      </c>
      <c r="X10" s="4" t="s">
        <v>20</v>
      </c>
      <c r="Y10" s="4">
        <v>4</v>
      </c>
      <c r="Z10" s="4">
        <v>32</v>
      </c>
      <c r="AA10" s="232" t="str">
        <f t="shared" si="2"/>
        <v/>
      </c>
      <c r="AB10" s="233" t="str">
        <f t="shared" si="3"/>
        <v/>
      </c>
      <c r="AC10" s="233" t="str">
        <f t="shared" si="4"/>
        <v>mol/s</v>
      </c>
      <c r="AD10" s="231" t="str">
        <f t="shared" si="5"/>
        <v/>
      </c>
      <c r="AE10" s="231" t="s">
        <v>283</v>
      </c>
      <c r="AF10" s="232" t="str">
        <f t="shared" si="6"/>
        <v/>
      </c>
      <c r="AG10" s="236" t="s">
        <v>284</v>
      </c>
      <c r="AH10" s="4" t="s">
        <v>120</v>
      </c>
      <c r="AI10" s="4" t="s">
        <v>107</v>
      </c>
      <c r="AJ10" s="4" t="s">
        <v>282</v>
      </c>
      <c r="AK10" s="4">
        <v>2</v>
      </c>
      <c r="AL10" s="4">
        <v>63.55</v>
      </c>
      <c r="AM10" s="232" t="str">
        <f t="shared" si="7"/>
        <v/>
      </c>
      <c r="AN10" s="233" t="str">
        <f t="shared" si="8"/>
        <v/>
      </c>
      <c r="AO10" s="4" t="str">
        <f t="shared" si="9"/>
        <v>g/s</v>
      </c>
      <c r="AP10" s="4"/>
      <c r="AQ10" s="4"/>
      <c r="AR10" s="4"/>
      <c r="AS10" s="4" t="s">
        <v>417</v>
      </c>
      <c r="AT10" s="4">
        <v>1</v>
      </c>
      <c r="AV10" s="248" t="str">
        <f t="shared" si="10"/>
        <v/>
      </c>
      <c r="AW10" s="248"/>
      <c r="AX10" s="4" t="str">
        <f t="shared" si="11"/>
        <v>M</v>
      </c>
      <c r="AY10" s="248" t="str">
        <f t="shared" si="12"/>
        <v/>
      </c>
      <c r="AZ10" s="232"/>
      <c r="BA10" s="4">
        <v>8</v>
      </c>
      <c r="BB10" s="2" t="s">
        <v>47</v>
      </c>
      <c r="BC10" s="2" t="s">
        <v>234</v>
      </c>
      <c r="BD10" s="2"/>
      <c r="BE10" s="2" t="s">
        <v>48</v>
      </c>
      <c r="BF10" s="2" t="s">
        <v>53</v>
      </c>
      <c r="BG10" s="2"/>
      <c r="BH10" s="185" t="s">
        <v>148</v>
      </c>
      <c r="BI10" s="185" t="s">
        <v>149</v>
      </c>
      <c r="BJ10" s="185" t="s">
        <v>151</v>
      </c>
      <c r="BK10" s="185" t="s">
        <v>3</v>
      </c>
      <c r="BL10" s="100"/>
      <c r="BM10" s="97">
        <f t="shared" si="13"/>
        <v>1</v>
      </c>
      <c r="BN10" s="225" t="s">
        <v>296</v>
      </c>
      <c r="BO10" s="225" t="s">
        <v>278</v>
      </c>
      <c r="BP10" s="225" t="s">
        <v>258</v>
      </c>
      <c r="BQ10" s="225" t="s">
        <v>259</v>
      </c>
      <c r="BR10" s="225" t="s">
        <v>319</v>
      </c>
      <c r="BS10" s="225" t="s">
        <v>322</v>
      </c>
      <c r="BT10" s="225" t="s">
        <v>375</v>
      </c>
      <c r="BU10" s="225" t="s">
        <v>260</v>
      </c>
      <c r="BV10" s="2"/>
      <c r="BW10" s="259" t="s">
        <v>270</v>
      </c>
      <c r="BX10" s="259" t="s">
        <v>263</v>
      </c>
      <c r="BY10" s="259" t="s">
        <v>266</v>
      </c>
      <c r="BZ10" s="259" t="s">
        <v>267</v>
      </c>
      <c r="CA10" s="225"/>
      <c r="CB10" s="249"/>
      <c r="CC10" s="250"/>
      <c r="CD10" s="249"/>
      <c r="CE10" s="250"/>
      <c r="CF10" s="225" t="str">
        <f t="shared" si="14"/>
        <v/>
      </c>
      <c r="CG10" s="225" t="str">
        <f t="shared" si="15"/>
        <v/>
      </c>
      <c r="CH10" s="225" t="str">
        <f t="shared" si="16"/>
        <v/>
      </c>
      <c r="CI10" s="225" t="str">
        <f t="shared" si="17"/>
        <v/>
      </c>
      <c r="CJ10" s="225" t="str">
        <f t="shared" si="18"/>
        <v/>
      </c>
      <c r="CK10" s="225" t="str">
        <f t="shared" si="19"/>
        <v/>
      </c>
      <c r="CL10" s="225" t="str">
        <f t="shared" si="20"/>
        <v/>
      </c>
      <c r="CM10" s="225" t="str">
        <f t="shared" si="21"/>
        <v/>
      </c>
      <c r="CN10" s="225" t="str">
        <f t="shared" si="22"/>
        <v/>
      </c>
      <c r="CO10" s="225" t="str">
        <f t="shared" si="23"/>
        <v/>
      </c>
      <c r="CP10" s="250"/>
      <c r="CQ10" s="250" t="str">
        <f t="shared" si="24"/>
        <v/>
      </c>
      <c r="CR10" s="330">
        <v>8</v>
      </c>
      <c r="CS10" t="str">
        <f>IF(AND(Elektro!$W$14=1,Elektro!$E$8&gt;=7,Elektro!$R$23=TRUE,Elektro!$J$5=1,Elektro!$M$7&lt;&gt;3,Elektro!$M$7&lt;&gt;21,Elektro!$M$7&lt;&gt;168,$CS$12&lt;&gt;"ERROR"),"Persaingan Reduksi Ion","")</f>
        <v/>
      </c>
      <c r="CU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" s="373" t="str">
        <f t="shared" si="25"/>
        <v/>
      </c>
      <c r="CW10" s="2"/>
      <c r="CX10" s="104"/>
    </row>
    <row r="11" spans="1:102" ht="18.95" customHeight="1" x14ac:dyDescent="0.35">
      <c r="A11" s="262"/>
      <c r="B11" s="128">
        <v>9</v>
      </c>
      <c r="C11" s="184" t="s">
        <v>685</v>
      </c>
      <c r="E11" s="382" t="s">
        <v>238</v>
      </c>
      <c r="F11" s="149" t="s">
        <v>229</v>
      </c>
      <c r="H11" s="69" t="s">
        <v>434</v>
      </c>
      <c r="I11" s="69" t="s">
        <v>429</v>
      </c>
      <c r="J11" s="69" t="s">
        <v>262</v>
      </c>
      <c r="K11" s="160" t="s">
        <v>435</v>
      </c>
      <c r="L11" s="2"/>
      <c r="M11" s="69" t="s">
        <v>705</v>
      </c>
      <c r="N11" s="2"/>
      <c r="O11" s="230" t="str">
        <f>IF($A$2=B11,Elektro!$Q$11,"")</f>
        <v/>
      </c>
      <c r="P11" s="230" t="str">
        <f>IF($A$2=B11,Elektro!$Q$12,"")</f>
        <v/>
      </c>
      <c r="Q11" s="236" t="str">
        <f>IF($A$2=B11,Elektro!$Q$13,"")</f>
        <v/>
      </c>
      <c r="R11" s="231" t="str">
        <f>IF($A$2=B11,Elektro!$Q$14,"")</f>
        <v/>
      </c>
      <c r="S11" s="231" t="str">
        <f>IF($A$2=B11,Elektro!$Q$15,"")</f>
        <v/>
      </c>
      <c r="T11" s="230" t="str">
        <f>IF($A$2=B11,Elektro!$Q$16,"")</f>
        <v/>
      </c>
      <c r="U11" s="353" t="str">
        <f t="shared" si="0"/>
        <v/>
      </c>
      <c r="V11" s="353" t="str">
        <f t="shared" si="1"/>
        <v/>
      </c>
      <c r="W11" s="4" t="s">
        <v>138</v>
      </c>
      <c r="X11" s="4" t="s">
        <v>20</v>
      </c>
      <c r="Y11" s="4">
        <v>4</v>
      </c>
      <c r="Z11" s="4">
        <v>32</v>
      </c>
      <c r="AA11" s="232" t="str">
        <f t="shared" si="2"/>
        <v/>
      </c>
      <c r="AB11" s="233" t="str">
        <f t="shared" si="3"/>
        <v/>
      </c>
      <c r="AC11" s="233" t="str">
        <f t="shared" si="4"/>
        <v>mol/s</v>
      </c>
      <c r="AD11" s="231" t="str">
        <f t="shared" si="5"/>
        <v/>
      </c>
      <c r="AE11" s="231" t="s">
        <v>283</v>
      </c>
      <c r="AF11" s="232" t="str">
        <f t="shared" si="6"/>
        <v/>
      </c>
      <c r="AG11" s="236" t="s">
        <v>284</v>
      </c>
      <c r="AH11" s="4"/>
      <c r="AI11" s="4" t="s">
        <v>107</v>
      </c>
      <c r="AJ11" s="4" t="s">
        <v>282</v>
      </c>
      <c r="AK11" s="4">
        <v>2</v>
      </c>
      <c r="AL11" s="4">
        <v>63.55</v>
      </c>
      <c r="AM11" s="232" t="str">
        <f t="shared" si="7"/>
        <v/>
      </c>
      <c r="AN11" s="233" t="str">
        <f t="shared" si="8"/>
        <v/>
      </c>
      <c r="AO11" s="4" t="str">
        <f t="shared" si="9"/>
        <v>g/s</v>
      </c>
      <c r="AP11" s="4"/>
      <c r="AQ11" s="4"/>
      <c r="AR11" s="4"/>
      <c r="AS11" s="4" t="s">
        <v>121</v>
      </c>
      <c r="AT11" s="4">
        <v>2</v>
      </c>
      <c r="AU11" s="5" t="s">
        <v>65</v>
      </c>
      <c r="AV11" s="248" t="str">
        <f t="shared" si="10"/>
        <v/>
      </c>
      <c r="AW11" s="248"/>
      <c r="AX11" s="4" t="str">
        <f t="shared" si="11"/>
        <v>M</v>
      </c>
      <c r="AY11" s="248" t="str">
        <f t="shared" si="12"/>
        <v/>
      </c>
      <c r="AZ11" s="232"/>
      <c r="BA11" s="4">
        <v>9</v>
      </c>
      <c r="BB11" s="2" t="s">
        <v>47</v>
      </c>
      <c r="BC11" s="2" t="s">
        <v>51</v>
      </c>
      <c r="BD11" s="2"/>
      <c r="BE11" s="2" t="s">
        <v>48</v>
      </c>
      <c r="BF11" s="2" t="s">
        <v>53</v>
      </c>
      <c r="BG11" s="2"/>
      <c r="BH11" s="185" t="s">
        <v>155</v>
      </c>
      <c r="BI11" s="185" t="s">
        <v>149</v>
      </c>
      <c r="BJ11" s="185" t="s">
        <v>151</v>
      </c>
      <c r="BK11" s="185" t="s">
        <v>3</v>
      </c>
      <c r="BL11" s="100"/>
      <c r="BM11" s="97">
        <f t="shared" si="13"/>
        <v>2</v>
      </c>
      <c r="BN11" s="225" t="s">
        <v>296</v>
      </c>
      <c r="BO11" s="225" t="s">
        <v>278</v>
      </c>
      <c r="BP11" s="225" t="s">
        <v>258</v>
      </c>
      <c r="BQ11" s="225" t="s">
        <v>259</v>
      </c>
      <c r="BR11" s="225" t="s">
        <v>319</v>
      </c>
      <c r="BS11" s="225" t="s">
        <v>322</v>
      </c>
      <c r="BT11" s="225" t="s">
        <v>375</v>
      </c>
      <c r="BU11" s="225" t="s">
        <v>260</v>
      </c>
      <c r="BV11" s="2"/>
      <c r="BW11" s="259" t="s">
        <v>270</v>
      </c>
      <c r="BX11" s="259" t="s">
        <v>263</v>
      </c>
      <c r="BY11" s="259" t="s">
        <v>266</v>
      </c>
      <c r="BZ11" s="259" t="s">
        <v>267</v>
      </c>
      <c r="CA11" s="225"/>
      <c r="CB11" s="249"/>
      <c r="CC11" s="250"/>
      <c r="CD11" s="249"/>
      <c r="CE11" s="250"/>
      <c r="CF11" s="225" t="str">
        <f t="shared" si="14"/>
        <v/>
      </c>
      <c r="CG11" s="225" t="str">
        <f t="shared" si="15"/>
        <v/>
      </c>
      <c r="CH11" s="225" t="str">
        <f t="shared" si="16"/>
        <v/>
      </c>
      <c r="CI11" s="225" t="str">
        <f t="shared" si="17"/>
        <v/>
      </c>
      <c r="CJ11" s="225" t="str">
        <f t="shared" si="18"/>
        <v/>
      </c>
      <c r="CK11" s="225" t="str">
        <f t="shared" si="19"/>
        <v/>
      </c>
      <c r="CL11" s="225" t="str">
        <f t="shared" si="20"/>
        <v/>
      </c>
      <c r="CM11" s="225" t="str">
        <f t="shared" si="21"/>
        <v/>
      </c>
      <c r="CN11" s="225" t="str">
        <f t="shared" si="22"/>
        <v/>
      </c>
      <c r="CO11" s="225" t="str">
        <f t="shared" si="23"/>
        <v/>
      </c>
      <c r="CP11" s="250"/>
      <c r="CQ11" s="250" t="str">
        <f t="shared" si="24"/>
        <v/>
      </c>
      <c r="CR11" s="330">
        <v>9</v>
      </c>
      <c r="CS11" t="str">
        <f>IF(AND(Elektro!$W$14=1,Elektro!$E$8&gt;=7,Elektro!$R$22=TRUE,Elektro!$J$5=1,Elektro!$M$7=3,$CS$12&lt;&gt;"ERROR"),"",IF(AND(Elektro!$W$14=1,Elektro!$E$8&gt;=7,Elektro!$R$22=TRUE,Elektro!$J$5=1,$CS$12&lt;&gt;"ERROR",OR(Elektro!$M$7=1,Elektro!$M$7=7,Elektro!$M$7=42,Elektro!$M$7=44,Elektro!$M$7=45,Elektro!$M$7=46,Elektro!$M$7=47,Elektro!$M$7=60,Elektro!$M$7=63,Elektro!$M$7=64,Elektro!$M$7=65)),"Persaingan Oksidasi Ion",IF(AND(Elektro!$W$14=1,Elektro!$E$8&gt;=7,Elektro!$R$22=TRUE,Elektro!$J$5=1,$CS$12&lt;&gt;"ERROR",Elektro!$M$7&lt;&gt;1,$M$7&lt;&gt;3,Elektro!$M$7&lt;&gt;7,Elektro!$M$7&lt;&gt;42,Elektro!$M$7&lt;&gt;44,Elektro!$M$7&lt;&gt;45,Elektro!$M$7&lt;&gt;46,Elektro!$M$7&lt;&gt;47,Elektro!$M$7&lt;&gt;60,Elektro!$M$7&lt;&gt;63,Elektro!$M$7&lt;&gt;64,Elektro!$M$7&lt;&gt;65),"Persaingan Oksidasi Ion","")))</f>
        <v/>
      </c>
      <c r="CU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" s="373" t="str">
        <f t="shared" si="25"/>
        <v/>
      </c>
      <c r="CW11" s="2"/>
      <c r="CX11" s="104"/>
    </row>
    <row r="12" spans="1:102" ht="18.95" customHeight="1" x14ac:dyDescent="0.35">
      <c r="A12" s="262"/>
      <c r="B12" s="128">
        <v>10</v>
      </c>
      <c r="C12" s="184" t="s">
        <v>8</v>
      </c>
      <c r="E12" s="382" t="s">
        <v>591</v>
      </c>
      <c r="F12" s="69"/>
      <c r="H12" s="69" t="s">
        <v>436</v>
      </c>
      <c r="I12" s="69" t="s">
        <v>431</v>
      </c>
      <c r="J12" s="69" t="s">
        <v>437</v>
      </c>
      <c r="K12" s="160" t="s">
        <v>438</v>
      </c>
      <c r="L12" s="2"/>
      <c r="M12" s="69" t="s">
        <v>706</v>
      </c>
      <c r="N12" s="2"/>
      <c r="O12" s="230" t="str">
        <f>IF($A$2=B12,Elektro!$Q$11,"")</f>
        <v/>
      </c>
      <c r="P12" s="230" t="str">
        <f>IF($A$2=B12,Elektro!$Q$12,"")</f>
        <v/>
      </c>
      <c r="Q12" s="236" t="str">
        <f>IF($A$2=B12,Elektro!$Q$13,"")</f>
        <v/>
      </c>
      <c r="R12" s="231" t="str">
        <f>IF($A$2=B12,Elektro!$Q$14,"")</f>
        <v/>
      </c>
      <c r="S12" s="231" t="str">
        <f>IF($A$2=B12,Elektro!$Q$15,"")</f>
        <v/>
      </c>
      <c r="T12" s="230" t="str">
        <f>IF($A$2=B12,Elektro!$Q$16,"")</f>
        <v/>
      </c>
      <c r="U12" s="353" t="str">
        <f t="shared" si="0"/>
        <v/>
      </c>
      <c r="V12" s="353" t="str">
        <f t="shared" si="1"/>
        <v/>
      </c>
      <c r="W12" s="4" t="s">
        <v>137</v>
      </c>
      <c r="X12" s="4" t="s">
        <v>20</v>
      </c>
      <c r="Y12" s="4">
        <v>2</v>
      </c>
      <c r="Z12" s="4">
        <v>71</v>
      </c>
      <c r="AA12" s="232" t="str">
        <f t="shared" si="2"/>
        <v/>
      </c>
      <c r="AB12" s="233" t="str">
        <f t="shared" si="3"/>
        <v/>
      </c>
      <c r="AC12" s="233" t="str">
        <f t="shared" si="4"/>
        <v>mol/s</v>
      </c>
      <c r="AD12" s="231" t="str">
        <f t="shared" si="5"/>
        <v/>
      </c>
      <c r="AE12" s="231" t="s">
        <v>283</v>
      </c>
      <c r="AF12" s="232" t="str">
        <f t="shared" si="6"/>
        <v/>
      </c>
      <c r="AG12" s="236" t="s">
        <v>284</v>
      </c>
      <c r="AH12" s="4"/>
      <c r="AI12" s="4" t="s">
        <v>108</v>
      </c>
      <c r="AJ12" s="4" t="s">
        <v>282</v>
      </c>
      <c r="AK12" s="4">
        <v>1</v>
      </c>
      <c r="AL12" s="4">
        <v>22.99</v>
      </c>
      <c r="AM12" s="232" t="str">
        <f t="shared" si="7"/>
        <v/>
      </c>
      <c r="AN12" s="233" t="str">
        <f t="shared" si="8"/>
        <v/>
      </c>
      <c r="AO12" s="4" t="str">
        <f t="shared" si="9"/>
        <v>g/s</v>
      </c>
      <c r="AP12" s="4"/>
      <c r="AQ12" s="4"/>
      <c r="AR12" s="4"/>
      <c r="AS12" s="4"/>
      <c r="AT12" s="128">
        <v>0</v>
      </c>
      <c r="AV12" s="248" t="str">
        <f t="shared" si="10"/>
        <v/>
      </c>
      <c r="AW12" s="248"/>
      <c r="AX12" s="4" t="str">
        <f t="shared" si="11"/>
        <v>M</v>
      </c>
      <c r="AY12" s="248" t="str">
        <f t="shared" si="12"/>
        <v/>
      </c>
      <c r="AZ12" s="232"/>
      <c r="BA12" s="4">
        <v>10</v>
      </c>
      <c r="BB12" s="2"/>
      <c r="BC12" s="2"/>
      <c r="BD12" s="2"/>
      <c r="BE12" s="2"/>
      <c r="BF12" s="2"/>
      <c r="BG12" s="2"/>
      <c r="BH12" s="185" t="s">
        <v>144</v>
      </c>
      <c r="BI12" s="185" t="s">
        <v>145</v>
      </c>
      <c r="BJ12" s="185" t="s">
        <v>152</v>
      </c>
      <c r="BK12" s="185" t="s">
        <v>27</v>
      </c>
      <c r="BL12" s="100"/>
      <c r="BM12" s="97">
        <f t="shared" si="13"/>
        <v>0</v>
      </c>
      <c r="BN12" s="225" t="s">
        <v>297</v>
      </c>
      <c r="BO12" s="225" t="s">
        <v>309</v>
      </c>
      <c r="BP12" s="225" t="s">
        <v>258</v>
      </c>
      <c r="BQ12" s="225" t="s">
        <v>259</v>
      </c>
      <c r="BR12" s="225" t="s">
        <v>403</v>
      </c>
      <c r="BS12" s="225" t="s">
        <v>324</v>
      </c>
      <c r="BT12" s="225"/>
      <c r="BU12" s="225"/>
      <c r="BV12" s="2"/>
      <c r="BW12" s="259" t="s">
        <v>332</v>
      </c>
      <c r="BX12" s="259" t="s">
        <v>333</v>
      </c>
      <c r="BY12" s="259" t="s">
        <v>281</v>
      </c>
      <c r="BZ12" s="259" t="s">
        <v>271</v>
      </c>
      <c r="CA12" s="71"/>
      <c r="CB12" s="249"/>
      <c r="CC12" s="107"/>
      <c r="CD12" s="249"/>
      <c r="CE12" s="107"/>
      <c r="CF12" s="225" t="str">
        <f t="shared" si="14"/>
        <v/>
      </c>
      <c r="CG12" s="225" t="str">
        <f t="shared" si="15"/>
        <v/>
      </c>
      <c r="CH12" s="225" t="str">
        <f t="shared" si="16"/>
        <v/>
      </c>
      <c r="CI12" s="225" t="str">
        <f t="shared" si="17"/>
        <v/>
      </c>
      <c r="CJ12" s="225" t="str">
        <f t="shared" si="18"/>
        <v/>
      </c>
      <c r="CK12" s="225" t="str">
        <f t="shared" si="19"/>
        <v/>
      </c>
      <c r="CL12" s="225" t="str">
        <f t="shared" si="20"/>
        <v/>
      </c>
      <c r="CM12" s="225" t="str">
        <f t="shared" si="21"/>
        <v/>
      </c>
      <c r="CN12" s="225" t="str">
        <f t="shared" si="22"/>
        <v/>
      </c>
      <c r="CO12" s="225" t="str">
        <f t="shared" si="23"/>
        <v/>
      </c>
      <c r="CP12" s="250"/>
      <c r="CQ12" s="250" t="str">
        <f t="shared" si="24"/>
        <v/>
      </c>
      <c r="CR12" s="330">
        <v>10</v>
      </c>
      <c r="CS12" t="str">
        <f>IFERROR(IF(AND(Elektro!$E$8=8,Elektro!$Q$14&gt;Elektro!#REF!,Elektro!$M$7&lt;&gt;3),"Error",IF(AND(Elektro!$E$8=8,Elektro!$Q$14=Elektro!#REF!,Elektro!$M$7&lt;&gt;3,Elektro!$W$14=1,Elektro!#REF!=Elektro!#REF!),"optimum",IF(AND(Elektro!$E$8&gt;=7,Elektro!$D$9=4,Elektro!$D$11=3),"NO",IF(AND(Elektro!#REF!&gt;Elektro!#REF!,Elektro!$E$8=8),"soak","")))),"")</f>
        <v/>
      </c>
      <c r="CU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" s="373" t="str">
        <f t="shared" si="25"/>
        <v/>
      </c>
      <c r="CW12" s="2"/>
      <c r="CX12" s="104"/>
    </row>
    <row r="13" spans="1:102" ht="18.95" customHeight="1" x14ac:dyDescent="0.35">
      <c r="A13" s="262"/>
      <c r="B13" s="128">
        <v>11</v>
      </c>
      <c r="C13" s="184" t="s">
        <v>686</v>
      </c>
      <c r="E13" s="382" t="s">
        <v>592</v>
      </c>
      <c r="F13" s="69"/>
      <c r="H13" s="69" t="s">
        <v>439</v>
      </c>
      <c r="I13" s="69" t="s">
        <v>431</v>
      </c>
      <c r="J13" s="69" t="s">
        <v>440</v>
      </c>
      <c r="K13" s="160" t="s">
        <v>441</v>
      </c>
      <c r="L13" s="2"/>
      <c r="M13" s="69" t="s">
        <v>707</v>
      </c>
      <c r="N13" s="2"/>
      <c r="O13" s="230" t="str">
        <f>IF($A$2=B13,Elektro!$Q$11,"")</f>
        <v/>
      </c>
      <c r="P13" s="230" t="str">
        <f>IF($A$2=B13,Elektro!$Q$12,"")</f>
        <v/>
      </c>
      <c r="Q13" s="236" t="str">
        <f>IF($A$2=B13,Elektro!$Q$13,"")</f>
        <v/>
      </c>
      <c r="R13" s="231" t="str">
        <f>IF($A$2=B13,Elektro!$Q$14,"")</f>
        <v/>
      </c>
      <c r="S13" s="231" t="str">
        <f>IF($A$2=B13,Elektro!$Q$15,"")</f>
        <v/>
      </c>
      <c r="T13" s="230" t="str">
        <f>IF($A$2=B13,Elektro!$Q$16,"")</f>
        <v/>
      </c>
      <c r="U13" s="353" t="str">
        <f t="shared" si="0"/>
        <v/>
      </c>
      <c r="V13" s="353" t="str">
        <f t="shared" si="1"/>
        <v/>
      </c>
      <c r="W13" s="4" t="s">
        <v>137</v>
      </c>
      <c r="X13" s="4" t="s">
        <v>20</v>
      </c>
      <c r="Y13" s="4">
        <v>2</v>
      </c>
      <c r="Z13" s="4">
        <v>71</v>
      </c>
      <c r="AA13" s="232" t="str">
        <f t="shared" si="2"/>
        <v/>
      </c>
      <c r="AB13" s="233" t="str">
        <f t="shared" si="3"/>
        <v/>
      </c>
      <c r="AC13" s="233" t="str">
        <f t="shared" si="4"/>
        <v>mol/s</v>
      </c>
      <c r="AD13" s="231" t="str">
        <f t="shared" si="5"/>
        <v/>
      </c>
      <c r="AE13" s="231" t="s">
        <v>283</v>
      </c>
      <c r="AF13" s="232" t="str">
        <f t="shared" si="6"/>
        <v/>
      </c>
      <c r="AG13" s="236" t="s">
        <v>284</v>
      </c>
      <c r="AH13" s="4"/>
      <c r="AI13" s="4" t="s">
        <v>109</v>
      </c>
      <c r="AJ13" s="4" t="s">
        <v>282</v>
      </c>
      <c r="AK13" s="4">
        <v>2</v>
      </c>
      <c r="AL13" s="4">
        <v>24.31</v>
      </c>
      <c r="AM13" s="232" t="str">
        <f t="shared" si="7"/>
        <v/>
      </c>
      <c r="AN13" s="233" t="str">
        <f t="shared" si="8"/>
        <v/>
      </c>
      <c r="AO13" s="4" t="str">
        <f t="shared" si="9"/>
        <v>g/s</v>
      </c>
      <c r="AP13" s="4"/>
      <c r="AQ13" s="4"/>
      <c r="AR13" s="4"/>
      <c r="AS13" s="4"/>
      <c r="AT13" s="128">
        <v>0</v>
      </c>
      <c r="AV13" s="248" t="str">
        <f t="shared" si="10"/>
        <v/>
      </c>
      <c r="AW13" s="248"/>
      <c r="AX13" s="4" t="str">
        <f t="shared" si="11"/>
        <v>M</v>
      </c>
      <c r="AY13" s="248" t="str">
        <f t="shared" si="12"/>
        <v/>
      </c>
      <c r="AZ13" s="232"/>
      <c r="BA13" s="4">
        <v>11</v>
      </c>
      <c r="BB13" s="2"/>
      <c r="BC13" s="2"/>
      <c r="BD13" s="2"/>
      <c r="BE13" s="2"/>
      <c r="BF13" s="2"/>
      <c r="BG13" s="2"/>
      <c r="BH13" s="185" t="s">
        <v>144</v>
      </c>
      <c r="BI13" s="185" t="s">
        <v>145</v>
      </c>
      <c r="BJ13" s="185" t="s">
        <v>153</v>
      </c>
      <c r="BK13" s="185" t="s">
        <v>28</v>
      </c>
      <c r="BL13" s="100"/>
      <c r="BM13" s="97">
        <f t="shared" si="13"/>
        <v>0</v>
      </c>
      <c r="BN13" s="225" t="s">
        <v>298</v>
      </c>
      <c r="BO13" s="225" t="s">
        <v>309</v>
      </c>
      <c r="BP13" s="225" t="s">
        <v>258</v>
      </c>
      <c r="BQ13" s="225" t="s">
        <v>259</v>
      </c>
      <c r="BR13" s="225" t="s">
        <v>404</v>
      </c>
      <c r="BS13" s="225" t="s">
        <v>324</v>
      </c>
      <c r="BT13" s="225"/>
      <c r="BU13" s="225"/>
      <c r="BV13" s="2"/>
      <c r="BW13" s="259" t="s">
        <v>343</v>
      </c>
      <c r="BX13" s="259" t="s">
        <v>344</v>
      </c>
      <c r="BY13" s="259" t="s">
        <v>281</v>
      </c>
      <c r="BZ13" s="259" t="s">
        <v>271</v>
      </c>
      <c r="CA13" s="71"/>
      <c r="CB13" s="249"/>
      <c r="CC13" s="107"/>
      <c r="CD13" s="249"/>
      <c r="CE13" s="107"/>
      <c r="CF13" s="225" t="str">
        <f t="shared" si="14"/>
        <v/>
      </c>
      <c r="CG13" s="225" t="str">
        <f t="shared" si="15"/>
        <v/>
      </c>
      <c r="CH13" s="225" t="str">
        <f t="shared" si="16"/>
        <v/>
      </c>
      <c r="CI13" s="225" t="str">
        <f t="shared" si="17"/>
        <v/>
      </c>
      <c r="CJ13" s="225" t="str">
        <f t="shared" si="18"/>
        <v/>
      </c>
      <c r="CK13" s="225" t="str">
        <f t="shared" si="19"/>
        <v/>
      </c>
      <c r="CL13" s="225" t="str">
        <f t="shared" si="20"/>
        <v/>
      </c>
      <c r="CM13" s="225" t="str">
        <f t="shared" si="21"/>
        <v/>
      </c>
      <c r="CN13" s="225" t="str">
        <f t="shared" si="22"/>
        <v/>
      </c>
      <c r="CO13" s="225" t="str">
        <f t="shared" si="23"/>
        <v/>
      </c>
      <c r="CP13" s="250"/>
      <c r="CQ13" s="250" t="str">
        <f t="shared" si="24"/>
        <v/>
      </c>
      <c r="CR13" s="330">
        <v>11</v>
      </c>
      <c r="CS13" t="str">
        <f>IF(AND(Elektro!$E$8=7,Elektro!$C$12=TRUE,Elektro!$D$11=2,Elektro!M7&lt;&gt;3),"a) Tuliskan REAKSI IONISASI"&amp;" "&amp;Elektro!$AF$6&amp;"?",IF(AND(Elektro!$E$8=7,Elektro!$C$12=TRUE,Elektro!$D$11=2,Elektro!M7=3),"a) Tuliskan REAKSI IONISASI"&amp;" "&amp;Elektro!$AF$6&amp;"?",IF(AND(Elektro!$E$8=7,Elektro!$C$12=TRUE,Elektro!$D$11=3),"a) Tuliskan REAKSI IONISASI lelehan"&amp;" "&amp;Elektro!$AF$6&amp;"?",IF(AND(Elektro!$E$8=8,Elektro!$C$12=TRUE,Elektro!$E$17=0,Elektro!D11=2),"1. INPUT DATA  -&gt; Volume, Konsentrasi, Kuat Arus dan Waktu",IF(AND(Elektro!$E$8=8,Elektro!$C$12=TRUE,Elektro!$E$17=0,Elektro!D11=3),"1. INPUT DATA  -&gt; Massa Zat, Kuat Arus dan Waktu","")))))</f>
        <v/>
      </c>
      <c r="CU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" s="373" t="str">
        <f t="shared" si="25"/>
        <v/>
      </c>
      <c r="CW13" s="2"/>
      <c r="CX13" s="104"/>
    </row>
    <row r="14" spans="1:102" ht="18.95" customHeight="1" x14ac:dyDescent="0.35">
      <c r="A14" s="262"/>
      <c r="B14" s="128">
        <v>12</v>
      </c>
      <c r="C14" s="184" t="s">
        <v>681</v>
      </c>
      <c r="E14" s="382" t="s">
        <v>593</v>
      </c>
      <c r="F14" s="69"/>
      <c r="H14" s="69" t="s">
        <v>442</v>
      </c>
      <c r="I14" s="69" t="s">
        <v>431</v>
      </c>
      <c r="J14" s="69" t="s">
        <v>443</v>
      </c>
      <c r="K14" s="160" t="s">
        <v>444</v>
      </c>
      <c r="L14" s="2"/>
      <c r="M14" s="69" t="s">
        <v>708</v>
      </c>
      <c r="N14" s="2"/>
      <c r="O14" s="230" t="str">
        <f>IF($A$2=B14,Elektro!$Q$11,"")</f>
        <v/>
      </c>
      <c r="P14" s="230" t="str">
        <f>IF($A$2=B14,Elektro!$Q$12,"")</f>
        <v/>
      </c>
      <c r="Q14" s="236" t="str">
        <f>IF($A$2=B14,Elektro!$Q$13,"")</f>
        <v/>
      </c>
      <c r="R14" s="231" t="str">
        <f>IF($A$2=B14,Elektro!$Q$14,"")</f>
        <v/>
      </c>
      <c r="S14" s="231" t="str">
        <f>IF($A$2=B14,Elektro!$Q$15,"")</f>
        <v/>
      </c>
      <c r="T14" s="230" t="str">
        <f>IF($A$2=B14,Elektro!$Q$16,"")</f>
        <v/>
      </c>
      <c r="U14" s="353" t="str">
        <f t="shared" si="0"/>
        <v/>
      </c>
      <c r="V14" s="353" t="str">
        <f t="shared" si="1"/>
        <v/>
      </c>
      <c r="W14" s="4" t="s">
        <v>137</v>
      </c>
      <c r="X14" s="4" t="s">
        <v>20</v>
      </c>
      <c r="Y14" s="4">
        <v>2</v>
      </c>
      <c r="Z14" s="4">
        <v>71</v>
      </c>
      <c r="AA14" s="232" t="str">
        <f t="shared" si="2"/>
        <v/>
      </c>
      <c r="AB14" s="233" t="str">
        <f t="shared" si="3"/>
        <v/>
      </c>
      <c r="AC14" s="233" t="str">
        <f t="shared" si="4"/>
        <v>mol/s</v>
      </c>
      <c r="AD14" s="231" t="str">
        <f t="shared" si="5"/>
        <v/>
      </c>
      <c r="AE14" s="231" t="s">
        <v>283</v>
      </c>
      <c r="AF14" s="232" t="str">
        <f t="shared" si="6"/>
        <v/>
      </c>
      <c r="AG14" s="236" t="s">
        <v>284</v>
      </c>
      <c r="AH14" s="4"/>
      <c r="AI14" s="4" t="s">
        <v>110</v>
      </c>
      <c r="AJ14" s="4" t="s">
        <v>282</v>
      </c>
      <c r="AK14" s="4">
        <v>3</v>
      </c>
      <c r="AL14" s="4">
        <v>52</v>
      </c>
      <c r="AM14" s="232" t="str">
        <f t="shared" si="7"/>
        <v/>
      </c>
      <c r="AN14" s="233" t="str">
        <f t="shared" si="8"/>
        <v/>
      </c>
      <c r="AO14" s="4" t="str">
        <f t="shared" si="9"/>
        <v>g/s</v>
      </c>
      <c r="AP14" s="4"/>
      <c r="AQ14" s="4"/>
      <c r="AR14" s="4"/>
      <c r="AS14" s="4"/>
      <c r="AT14" s="128">
        <v>0</v>
      </c>
      <c r="AV14" s="248" t="str">
        <f t="shared" si="10"/>
        <v/>
      </c>
      <c r="AW14" s="248"/>
      <c r="AX14" s="4" t="str">
        <f t="shared" si="11"/>
        <v>M</v>
      </c>
      <c r="AY14" s="248" t="str">
        <f t="shared" si="12"/>
        <v/>
      </c>
      <c r="AZ14" s="232"/>
      <c r="BA14" s="4">
        <v>12</v>
      </c>
      <c r="BB14" s="2"/>
      <c r="BC14" s="2"/>
      <c r="BD14" s="2"/>
      <c r="BE14" s="2"/>
      <c r="BF14" s="2"/>
      <c r="BG14" s="2"/>
      <c r="BH14" s="185" t="s">
        <v>144</v>
      </c>
      <c r="BI14" s="185" t="s">
        <v>145</v>
      </c>
      <c r="BJ14" s="185" t="s">
        <v>154</v>
      </c>
      <c r="BK14" s="185" t="s">
        <v>29</v>
      </c>
      <c r="BL14" s="100"/>
      <c r="BM14" s="97">
        <f t="shared" si="13"/>
        <v>0</v>
      </c>
      <c r="BN14" s="225" t="s">
        <v>299</v>
      </c>
      <c r="BO14" s="225" t="s">
        <v>309</v>
      </c>
      <c r="BP14" s="225" t="s">
        <v>258</v>
      </c>
      <c r="BQ14" s="225" t="s">
        <v>259</v>
      </c>
      <c r="BR14" s="225" t="s">
        <v>405</v>
      </c>
      <c r="BS14" s="225" t="s">
        <v>324</v>
      </c>
      <c r="BT14" s="225"/>
      <c r="BU14" s="225"/>
      <c r="BV14" s="2"/>
      <c r="BW14" s="259" t="s">
        <v>352</v>
      </c>
      <c r="BX14" s="259" t="s">
        <v>353</v>
      </c>
      <c r="BY14" s="259" t="s">
        <v>281</v>
      </c>
      <c r="BZ14" s="259" t="s">
        <v>271</v>
      </c>
      <c r="CA14" s="71"/>
      <c r="CB14" s="249"/>
      <c r="CC14" s="107"/>
      <c r="CD14" s="249"/>
      <c r="CE14" s="107"/>
      <c r="CF14" s="225" t="str">
        <f t="shared" si="14"/>
        <v/>
      </c>
      <c r="CG14" s="225" t="str">
        <f t="shared" si="15"/>
        <v/>
      </c>
      <c r="CH14" s="225" t="str">
        <f t="shared" si="16"/>
        <v/>
      </c>
      <c r="CI14" s="225" t="str">
        <f t="shared" si="17"/>
        <v/>
      </c>
      <c r="CJ14" s="225" t="str">
        <f t="shared" si="18"/>
        <v/>
      </c>
      <c r="CK14" s="225" t="str">
        <f t="shared" si="19"/>
        <v/>
      </c>
      <c r="CL14" s="225" t="str">
        <f t="shared" si="20"/>
        <v/>
      </c>
      <c r="CM14" s="225" t="str">
        <f t="shared" si="21"/>
        <v/>
      </c>
      <c r="CN14" s="225" t="str">
        <f t="shared" si="22"/>
        <v/>
      </c>
      <c r="CO14" s="225" t="str">
        <f t="shared" si="23"/>
        <v/>
      </c>
      <c r="CP14" s="250"/>
      <c r="CQ14" s="250" t="str">
        <f t="shared" si="24"/>
        <v/>
      </c>
      <c r="CR14" s="330">
        <v>12</v>
      </c>
      <c r="CS14" t="str">
        <f>IF(AND(Elektro!$E$8=7,Elektro!$C$12=TRUE,Elektro!$D$11=2),"b) Ion apa yang bersaing di KATODA?, ion yg direduksi?",IF(AND(Elektro!$E$8=7,Elektro!$C$12=TRUE,Elektro!$D$11=3),"b) Reaksi apa di KATODA?",IF(AND(Elektro!$E$8=8,Elektro!$C$12=TRUE,Elektro!$E$17=0,Elektro!D11=2),"2. Klik Tombol  LATIHAN, pilihlah salah satu contoh larutan",IF(AND(Elektro!$E$8=8,Elektro!$C$12=TRUE,Elektro!$E$17=0,Elektro!D11=3),"2. Klik Tombol  LATIHAN, pilihlah salah satu sampel lelehan",""))))</f>
        <v/>
      </c>
      <c r="CU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" s="373" t="str">
        <f t="shared" si="25"/>
        <v/>
      </c>
      <c r="CW14" s="2"/>
      <c r="CX14" s="104"/>
    </row>
    <row r="15" spans="1:102" ht="18.95" customHeight="1" x14ac:dyDescent="0.35">
      <c r="A15" s="262"/>
      <c r="B15" s="128">
        <v>13</v>
      </c>
      <c r="C15" s="184" t="s">
        <v>679</v>
      </c>
      <c r="E15" s="382" t="s">
        <v>594</v>
      </c>
      <c r="F15" s="69"/>
      <c r="H15" s="69" t="s">
        <v>445</v>
      </c>
      <c r="I15" s="69" t="s">
        <v>431</v>
      </c>
      <c r="J15" s="69" t="s">
        <v>446</v>
      </c>
      <c r="K15" s="160" t="s">
        <v>447</v>
      </c>
      <c r="L15" s="2"/>
      <c r="M15" s="69" t="s">
        <v>709</v>
      </c>
      <c r="N15" s="2"/>
      <c r="O15" s="230" t="str">
        <f>IF($A$2=B15,Elektro!$Q$11,"")</f>
        <v/>
      </c>
      <c r="P15" s="230" t="str">
        <f>IF($A$2=B15,Elektro!$Q$12,"")</f>
        <v/>
      </c>
      <c r="Q15" s="236" t="str">
        <f>IF($A$2=B15,Elektro!$Q$13,"")</f>
        <v/>
      </c>
      <c r="R15" s="231" t="str">
        <f>IF($A$2=B15,Elektro!$Q$14,"")</f>
        <v/>
      </c>
      <c r="S15" s="231" t="str">
        <f>IF($A$2=B15,Elektro!$Q$15,"")</f>
        <v/>
      </c>
      <c r="T15" s="230" t="str">
        <f>IF($A$2=B15,Elektro!$Q$16,"")</f>
        <v/>
      </c>
      <c r="U15" s="353" t="str">
        <f t="shared" si="0"/>
        <v/>
      </c>
      <c r="V15" s="353" t="str">
        <f t="shared" si="1"/>
        <v/>
      </c>
      <c r="W15" s="4" t="s">
        <v>137</v>
      </c>
      <c r="X15" s="4" t="s">
        <v>20</v>
      </c>
      <c r="Y15" s="4">
        <v>2</v>
      </c>
      <c r="Z15" s="4">
        <v>71</v>
      </c>
      <c r="AA15" s="232" t="str">
        <f t="shared" si="2"/>
        <v/>
      </c>
      <c r="AB15" s="233" t="str">
        <f t="shared" si="3"/>
        <v/>
      </c>
      <c r="AC15" s="233" t="str">
        <f t="shared" si="4"/>
        <v>mol/s</v>
      </c>
      <c r="AD15" s="231" t="str">
        <f t="shared" si="5"/>
        <v/>
      </c>
      <c r="AE15" s="231" t="s">
        <v>283</v>
      </c>
      <c r="AF15" s="232" t="str">
        <f t="shared" si="6"/>
        <v/>
      </c>
      <c r="AG15" s="236" t="s">
        <v>284</v>
      </c>
      <c r="AH15" s="4"/>
      <c r="AI15" s="4" t="s">
        <v>111</v>
      </c>
      <c r="AJ15" s="4" t="s">
        <v>282</v>
      </c>
      <c r="AK15" s="4">
        <v>2</v>
      </c>
      <c r="AL15" s="4">
        <v>65.39</v>
      </c>
      <c r="AM15" s="232" t="str">
        <f t="shared" si="7"/>
        <v/>
      </c>
      <c r="AN15" s="233" t="str">
        <f t="shared" si="8"/>
        <v/>
      </c>
      <c r="AO15" s="4" t="str">
        <f t="shared" si="9"/>
        <v>g/s</v>
      </c>
      <c r="AP15" s="4"/>
      <c r="AQ15" s="4"/>
      <c r="AR15" s="4"/>
      <c r="AS15" s="4"/>
      <c r="AT15" s="128">
        <v>0</v>
      </c>
      <c r="AV15" s="248" t="str">
        <f t="shared" si="10"/>
        <v/>
      </c>
      <c r="AW15" s="248"/>
      <c r="AX15" s="4" t="str">
        <f t="shared" si="11"/>
        <v>M</v>
      </c>
      <c r="AY15" s="248" t="str">
        <f t="shared" si="12"/>
        <v/>
      </c>
      <c r="AZ15" s="232"/>
      <c r="BA15" s="4">
        <v>13</v>
      </c>
      <c r="BB15" s="2"/>
      <c r="BC15" s="2"/>
      <c r="BD15" s="2"/>
      <c r="BE15" s="2"/>
      <c r="BF15" s="2"/>
      <c r="BG15" s="2"/>
      <c r="BH15" s="185" t="s">
        <v>144</v>
      </c>
      <c r="BI15" s="185" t="s">
        <v>145</v>
      </c>
      <c r="BJ15" s="185" t="s">
        <v>158</v>
      </c>
      <c r="BK15" s="185" t="s">
        <v>30</v>
      </c>
      <c r="BL15" s="100"/>
      <c r="BM15" s="97">
        <f t="shared" si="13"/>
        <v>0</v>
      </c>
      <c r="BN15" s="225" t="s">
        <v>300</v>
      </c>
      <c r="BO15" s="225" t="s">
        <v>309</v>
      </c>
      <c r="BP15" s="225" t="s">
        <v>258</v>
      </c>
      <c r="BQ15" s="225" t="s">
        <v>259</v>
      </c>
      <c r="BR15" s="225" t="s">
        <v>380</v>
      </c>
      <c r="BS15" s="225" t="s">
        <v>324</v>
      </c>
      <c r="BT15" s="225"/>
      <c r="BU15" s="225"/>
      <c r="BV15" s="2"/>
      <c r="BW15" s="259" t="s">
        <v>345</v>
      </c>
      <c r="BX15" s="259" t="s">
        <v>346</v>
      </c>
      <c r="BY15" s="259" t="s">
        <v>281</v>
      </c>
      <c r="BZ15" s="259" t="s">
        <v>271</v>
      </c>
      <c r="CA15" s="107"/>
      <c r="CB15" s="249"/>
      <c r="CC15" s="107"/>
      <c r="CD15" s="249"/>
      <c r="CE15" s="107"/>
      <c r="CF15" s="225" t="str">
        <f t="shared" si="14"/>
        <v/>
      </c>
      <c r="CG15" s="225" t="str">
        <f t="shared" si="15"/>
        <v/>
      </c>
      <c r="CH15" s="225" t="str">
        <f t="shared" si="16"/>
        <v/>
      </c>
      <c r="CI15" s="225" t="str">
        <f t="shared" si="17"/>
        <v/>
      </c>
      <c r="CJ15" s="225" t="str">
        <f t="shared" si="18"/>
        <v/>
      </c>
      <c r="CK15" s="225" t="str">
        <f t="shared" si="19"/>
        <v/>
      </c>
      <c r="CL15" s="225" t="str">
        <f t="shared" si="20"/>
        <v/>
      </c>
      <c r="CM15" s="225" t="str">
        <f t="shared" si="21"/>
        <v/>
      </c>
      <c r="CN15" s="225" t="str">
        <f t="shared" si="22"/>
        <v/>
      </c>
      <c r="CO15" s="225" t="str">
        <f t="shared" si="23"/>
        <v/>
      </c>
      <c r="CP15" s="250"/>
      <c r="CQ15" s="250" t="str">
        <f t="shared" si="24"/>
        <v/>
      </c>
      <c r="CR15" s="330">
        <v>13</v>
      </c>
      <c r="CS15" t="str">
        <f>IF(AND(Elektro!$E$8=7,Elektro!$C$12=TRUE,Elektro!$D$11=2),"c) Ion yang bersaing di ANODA?, siapa pemenangnya?",IF(AND(Elektro!$E$8=7,Elektro!$C$12=TRUE,Elektro!$D$11=3),"c) Di ANODA terjadi reaksi apa? dan zat apa yang terbentuk?",IF(AND(Elektro!$E$8=8,Elektro!$C$12=TRUE,Elektro!$E$17=0,Elektro!D11=2),"3. Klik Tombol DIKETAHUI, PERTANYAAN, HASIL",IF(AND(Elektro!$E$8=8,Elektro!$C$12=TRUE,Elektro!$E$17=0,Elektro!D11=3),"3. Klik Tombol DIKETAHUI, PERTANYAAN, HASIL",""))))</f>
        <v/>
      </c>
      <c r="CU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" s="373" t="str">
        <f t="shared" si="25"/>
        <v/>
      </c>
      <c r="CW15" s="2"/>
      <c r="CX15" s="104"/>
    </row>
    <row r="16" spans="1:102" ht="18.95" customHeight="1" x14ac:dyDescent="0.35">
      <c r="A16" s="262"/>
      <c r="B16" s="128">
        <v>14</v>
      </c>
      <c r="C16" s="184" t="s">
        <v>13</v>
      </c>
      <c r="E16" s="382" t="s">
        <v>595</v>
      </c>
      <c r="F16" s="69"/>
      <c r="H16" s="69" t="s">
        <v>448</v>
      </c>
      <c r="I16" s="69" t="s">
        <v>449</v>
      </c>
      <c r="J16" s="69" t="s">
        <v>440</v>
      </c>
      <c r="K16" s="160" t="s">
        <v>450</v>
      </c>
      <c r="L16" s="2"/>
      <c r="M16" s="69" t="s">
        <v>710</v>
      </c>
      <c r="N16" s="2"/>
      <c r="O16" s="230" t="str">
        <f>IF($A$2=B16,Elektro!$Q$11,"")</f>
        <v/>
      </c>
      <c r="P16" s="230" t="str">
        <f>IF($A$2=B16,Elektro!$Q$12,"")</f>
        <v/>
      </c>
      <c r="Q16" s="236" t="str">
        <f>IF($A$2=B16,Elektro!$Q$13,"")</f>
        <v/>
      </c>
      <c r="R16" s="231" t="str">
        <f>IF($A$2=B16,Elektro!$Q$14,"")</f>
        <v/>
      </c>
      <c r="S16" s="231" t="str">
        <f>IF($A$2=B16,Elektro!$Q$15,"")</f>
        <v/>
      </c>
      <c r="T16" s="230" t="str">
        <f>IF($A$2=B16,Elektro!$Q$16,"")</f>
        <v/>
      </c>
      <c r="U16" s="353" t="str">
        <f t="shared" si="0"/>
        <v/>
      </c>
      <c r="V16" s="353" t="str">
        <f t="shared" si="1"/>
        <v/>
      </c>
      <c r="W16" s="4" t="s">
        <v>138</v>
      </c>
      <c r="X16" s="4" t="s">
        <v>20</v>
      </c>
      <c r="Y16" s="4">
        <v>4</v>
      </c>
      <c r="Z16" s="4">
        <v>32</v>
      </c>
      <c r="AA16" s="232" t="str">
        <f t="shared" si="2"/>
        <v/>
      </c>
      <c r="AB16" s="233" t="str">
        <f t="shared" si="3"/>
        <v/>
      </c>
      <c r="AC16" s="233" t="str">
        <f t="shared" si="4"/>
        <v>mol/s</v>
      </c>
      <c r="AD16" s="231" t="str">
        <f t="shared" si="5"/>
        <v/>
      </c>
      <c r="AE16" s="231" t="s">
        <v>283</v>
      </c>
      <c r="AF16" s="232" t="str">
        <f t="shared" si="6"/>
        <v/>
      </c>
      <c r="AG16" s="236" t="s">
        <v>284</v>
      </c>
      <c r="AH16" s="4"/>
      <c r="AI16" s="4" t="s">
        <v>109</v>
      </c>
      <c r="AJ16" s="4" t="s">
        <v>282</v>
      </c>
      <c r="AK16" s="4">
        <v>2</v>
      </c>
      <c r="AL16" s="4">
        <v>24.31</v>
      </c>
      <c r="AM16" s="232" t="str">
        <f t="shared" si="7"/>
        <v/>
      </c>
      <c r="AN16" s="233" t="str">
        <f t="shared" si="8"/>
        <v/>
      </c>
      <c r="AO16" s="4" t="str">
        <f t="shared" si="9"/>
        <v>g/s</v>
      </c>
      <c r="AP16" s="4"/>
      <c r="AQ16" s="4"/>
      <c r="AR16" s="4"/>
      <c r="AS16" s="4"/>
      <c r="AT16" s="128">
        <v>0</v>
      </c>
      <c r="AV16" s="248" t="str">
        <f t="shared" si="10"/>
        <v/>
      </c>
      <c r="AW16" s="248"/>
      <c r="AX16" s="4" t="str">
        <f t="shared" si="11"/>
        <v>M</v>
      </c>
      <c r="AY16" s="248" t="str">
        <f t="shared" si="12"/>
        <v/>
      </c>
      <c r="AZ16" s="232"/>
      <c r="BA16" s="4">
        <v>14</v>
      </c>
      <c r="BB16" s="2"/>
      <c r="BC16" s="2"/>
      <c r="BD16" s="2"/>
      <c r="BE16" s="2"/>
      <c r="BF16" s="2"/>
      <c r="BG16" s="2"/>
      <c r="BH16" s="185" t="s">
        <v>157</v>
      </c>
      <c r="BI16" s="185" t="s">
        <v>149</v>
      </c>
      <c r="BJ16" s="185" t="s">
        <v>153</v>
      </c>
      <c r="BK16" s="185" t="s">
        <v>28</v>
      </c>
      <c r="BL16" s="100"/>
      <c r="BM16" s="97">
        <f t="shared" si="13"/>
        <v>0</v>
      </c>
      <c r="BN16" s="225" t="s">
        <v>298</v>
      </c>
      <c r="BO16" s="225" t="s">
        <v>278</v>
      </c>
      <c r="BP16" s="225" t="s">
        <v>258</v>
      </c>
      <c r="BQ16" s="225" t="s">
        <v>259</v>
      </c>
      <c r="BR16" s="225" t="s">
        <v>404</v>
      </c>
      <c r="BS16" s="225" t="s">
        <v>322</v>
      </c>
      <c r="BT16" s="225"/>
      <c r="BU16" s="225"/>
      <c r="BV16" s="2"/>
      <c r="BW16" s="259" t="s">
        <v>343</v>
      </c>
      <c r="BX16" s="259" t="s">
        <v>344</v>
      </c>
      <c r="BY16" s="259" t="s">
        <v>266</v>
      </c>
      <c r="BZ16" s="259" t="s">
        <v>267</v>
      </c>
      <c r="CA16" s="107"/>
      <c r="CB16" s="249"/>
      <c r="CC16" s="107"/>
      <c r="CD16" s="249"/>
      <c r="CE16" s="107"/>
      <c r="CF16" s="225" t="str">
        <f t="shared" si="14"/>
        <v/>
      </c>
      <c r="CG16" s="225" t="str">
        <f t="shared" si="15"/>
        <v/>
      </c>
      <c r="CH16" s="225" t="str">
        <f t="shared" si="16"/>
        <v/>
      </c>
      <c r="CI16" s="225" t="str">
        <f t="shared" si="17"/>
        <v/>
      </c>
      <c r="CJ16" s="225" t="str">
        <f t="shared" si="18"/>
        <v/>
      </c>
      <c r="CK16" s="225" t="str">
        <f t="shared" si="19"/>
        <v/>
      </c>
      <c r="CL16" s="225" t="str">
        <f t="shared" si="20"/>
        <v/>
      </c>
      <c r="CM16" s="225" t="str">
        <f t="shared" si="21"/>
        <v/>
      </c>
      <c r="CN16" s="225" t="str">
        <f t="shared" si="22"/>
        <v/>
      </c>
      <c r="CO16" s="225" t="str">
        <f t="shared" si="23"/>
        <v/>
      </c>
      <c r="CP16" s="250"/>
      <c r="CQ16" s="250" t="str">
        <f t="shared" si="24"/>
        <v/>
      </c>
      <c r="CR16" s="330">
        <v>14</v>
      </c>
      <c r="CS16" t="str">
        <f>IF(AND(Elektro!$E$8=7,Elektro!$C$12=TRUE,Elektro!$D$11=2,A2&lt;&gt;0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d) Bagaimana  persamaan REAKSI BERSIH dan REAKSI TOTAL?",IF(AND(Elektro!$E$8=7,Elektro!$C$12=TRUE,OR(A2=37,A2=42,A2=44,A2=45,A2=46,A2=47,A2=7,A2=60,A2=63,A2=64,A2=65)),"d) Mengapa konsentrasi ion klorida harus besar?",IF(AND(Elektro!$E$8=7,Elektro!$C$12=TRUE,Elektro!D11=2,OR(A2=2,A2=39,A2=40,A2=5,A2=48,A2=49,A2=50,A2=51,A2=52,A2=53,A2=8,A2=66,A2=67,A2=68,A2=69,A2=70,A2=71)),"d) Mengapa ion nitrat, sulfat, dan posfat tidak dapat dioksidasi?",IF(AND(Elektro!E8=7,Elektro!C12=TRUE,Elektro!D11=3),"d) Tuliskan reaksi ion dan reaksi total",IF(AND(Elektro!$E$8=8,Elektro!$C$12=TRUE,Elektro!$E$17=0,Elektro!D11=2),"4. Klik Tombol JAWABAN secara berurutan (a, b, c, d, e, f, g, h)",IF(AND(Elektro!$E$8=8,$C$12=TRUE,Elektro!$E$17=0,Elektro!D11=3),"4. Klik Tombol  JAWABAN secara berurutan (a, b, c, d, e, f)",""))))))</f>
        <v/>
      </c>
      <c r="CU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" s="373" t="str">
        <f t="shared" si="25"/>
        <v/>
      </c>
      <c r="CW16" s="2"/>
      <c r="CX16" s="104"/>
    </row>
    <row r="17" spans="1:102" ht="18.95" customHeight="1" x14ac:dyDescent="0.35">
      <c r="A17" s="262"/>
      <c r="B17" s="128">
        <v>15</v>
      </c>
      <c r="C17" s="184" t="s">
        <v>680</v>
      </c>
      <c r="E17" s="382" t="s">
        <v>596</v>
      </c>
      <c r="F17" s="69"/>
      <c r="H17" s="69" t="s">
        <v>451</v>
      </c>
      <c r="I17" s="69" t="s">
        <v>449</v>
      </c>
      <c r="J17" s="69" t="s">
        <v>452</v>
      </c>
      <c r="K17" s="160" t="s">
        <v>453</v>
      </c>
      <c r="L17" s="2"/>
      <c r="M17" s="69" t="s">
        <v>711</v>
      </c>
      <c r="N17" s="2"/>
      <c r="O17" s="230" t="str">
        <f>IF($A$2=B17,Elektro!$Q$11,"")</f>
        <v/>
      </c>
      <c r="P17" s="230" t="str">
        <f>IF($A$2=B17,Elektro!$Q$12,"")</f>
        <v/>
      </c>
      <c r="Q17" s="236" t="str">
        <f>IF($A$2=B17,Elektro!$Q$13,"")</f>
        <v/>
      </c>
      <c r="R17" s="231" t="str">
        <f>IF($A$2=B17,Elektro!$Q$14,"")</f>
        <v/>
      </c>
      <c r="S17" s="231" t="str">
        <f>IF($A$2=B17,Elektro!$Q$15,"")</f>
        <v/>
      </c>
      <c r="T17" s="230" t="str">
        <f>IF($A$2=B17,Elektro!$Q$16,"")</f>
        <v/>
      </c>
      <c r="U17" s="353" t="str">
        <f t="shared" si="0"/>
        <v/>
      </c>
      <c r="V17" s="353" t="str">
        <f t="shared" si="1"/>
        <v/>
      </c>
      <c r="W17" s="4" t="s">
        <v>138</v>
      </c>
      <c r="X17" s="4" t="s">
        <v>20</v>
      </c>
      <c r="Y17" s="4">
        <v>4</v>
      </c>
      <c r="Z17" s="4">
        <v>32</v>
      </c>
      <c r="AA17" s="232" t="str">
        <f t="shared" si="2"/>
        <v/>
      </c>
      <c r="AB17" s="233" t="str">
        <f t="shared" si="3"/>
        <v/>
      </c>
      <c r="AC17" s="233" t="str">
        <f t="shared" si="4"/>
        <v>mol/s</v>
      </c>
      <c r="AD17" s="231" t="str">
        <f t="shared" si="5"/>
        <v/>
      </c>
      <c r="AE17" s="231" t="s">
        <v>283</v>
      </c>
      <c r="AF17" s="232" t="str">
        <f t="shared" si="6"/>
        <v/>
      </c>
      <c r="AG17" s="236" t="s">
        <v>284</v>
      </c>
      <c r="AH17" s="4"/>
      <c r="AI17" s="4" t="s">
        <v>112</v>
      </c>
      <c r="AJ17" s="4" t="s">
        <v>282</v>
      </c>
      <c r="AK17" s="4">
        <v>1</v>
      </c>
      <c r="AL17" s="4">
        <v>107.9</v>
      </c>
      <c r="AM17" s="232" t="str">
        <f t="shared" si="7"/>
        <v/>
      </c>
      <c r="AN17" s="233" t="str">
        <f t="shared" si="8"/>
        <v/>
      </c>
      <c r="AO17" s="4" t="str">
        <f t="shared" si="9"/>
        <v>g/s</v>
      </c>
      <c r="AP17" s="4"/>
      <c r="AQ17" s="4"/>
      <c r="AR17" s="4"/>
      <c r="AS17" s="4"/>
      <c r="AT17" s="128">
        <v>0</v>
      </c>
      <c r="AV17" s="248" t="str">
        <f t="shared" si="10"/>
        <v/>
      </c>
      <c r="AW17" s="248"/>
      <c r="AX17" s="4" t="str">
        <f t="shared" si="11"/>
        <v>M</v>
      </c>
      <c r="AY17" s="248" t="str">
        <f t="shared" si="12"/>
        <v/>
      </c>
      <c r="AZ17" s="232"/>
      <c r="BA17" s="4">
        <v>15</v>
      </c>
      <c r="BB17" s="2"/>
      <c r="BC17" s="2"/>
      <c r="BD17" s="2"/>
      <c r="BE17" s="2"/>
      <c r="BF17" s="2"/>
      <c r="BG17" s="2"/>
      <c r="BH17" s="185" t="s">
        <v>157</v>
      </c>
      <c r="BI17" s="185" t="s">
        <v>149</v>
      </c>
      <c r="BJ17" s="185" t="s">
        <v>160</v>
      </c>
      <c r="BK17" s="185" t="s">
        <v>44</v>
      </c>
      <c r="BL17" s="100"/>
      <c r="BM17" s="97">
        <f t="shared" si="13"/>
        <v>0</v>
      </c>
      <c r="BN17" s="225" t="s">
        <v>301</v>
      </c>
      <c r="BO17" s="225" t="s">
        <v>278</v>
      </c>
      <c r="BP17" s="225" t="s">
        <v>258</v>
      </c>
      <c r="BQ17" s="225" t="s">
        <v>259</v>
      </c>
      <c r="BR17" s="225" t="s">
        <v>406</v>
      </c>
      <c r="BS17" s="225" t="s">
        <v>322</v>
      </c>
      <c r="BT17" s="225"/>
      <c r="BU17" s="225"/>
      <c r="BV17" s="2"/>
      <c r="BW17" s="259" t="s">
        <v>354</v>
      </c>
      <c r="BX17" s="259" t="s">
        <v>358</v>
      </c>
      <c r="BY17" s="259" t="s">
        <v>266</v>
      </c>
      <c r="BZ17" s="259" t="s">
        <v>267</v>
      </c>
      <c r="CA17" s="107"/>
      <c r="CB17" s="249"/>
      <c r="CC17" s="107"/>
      <c r="CD17" s="249"/>
      <c r="CE17" s="107"/>
      <c r="CF17" s="225" t="str">
        <f t="shared" si="14"/>
        <v/>
      </c>
      <c r="CG17" s="225" t="str">
        <f t="shared" si="15"/>
        <v/>
      </c>
      <c r="CH17" s="225" t="str">
        <f t="shared" si="16"/>
        <v/>
      </c>
      <c r="CI17" s="225" t="str">
        <f t="shared" si="17"/>
        <v/>
      </c>
      <c r="CJ17" s="225" t="str">
        <f t="shared" si="18"/>
        <v/>
      </c>
      <c r="CK17" s="225" t="str">
        <f t="shared" si="19"/>
        <v/>
      </c>
      <c r="CL17" s="225" t="str">
        <f t="shared" si="20"/>
        <v/>
      </c>
      <c r="CM17" s="225" t="str">
        <f t="shared" si="21"/>
        <v/>
      </c>
      <c r="CN17" s="225" t="str">
        <f t="shared" si="22"/>
        <v/>
      </c>
      <c r="CO17" s="225" t="str">
        <f t="shared" si="23"/>
        <v/>
      </c>
      <c r="CP17" s="250"/>
      <c r="CQ17" s="250" t="str">
        <f t="shared" si="24"/>
        <v/>
      </c>
      <c r="CR17" s="330">
        <v>15</v>
      </c>
      <c r="CS17" t="str">
        <f>IF(AND(Elektro!$E$8=7,Elektro!$C$12=TRUE,A2&lt;&gt;4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",IF(AND(Elektro!$E$8=7,Elektro!$C$12=TRUE,OR(A2=2,A2=37,A2=39,A2=40,A2=5,A2=48,A2=49,A2=50,A2=51,A2=52,A2=53,A2=8,A2=66,A2=67,A2=68,A2=69,A2=70,A2=71,A2=1,A2=42,A2=44,A2=45,A2=46,A2=47,A2=7,A2=60,A2=63,A2=64,A2=65)),"e) Bagaimana  persamaan REAKSI BERSIH dan REAKSI TOTAL?",IF(AND(Elektro!$E$8=8,Elektro!$C$12=TRUE,Elektro!$E$17=0,Elektro!D11=2),"5. Klik Tombol O untuk melihat rumus",IF(AND(Elektro!$E$8=8,Elektro!$C$12=TRUE,Elektro!$E$17=0,Elektro!D11=3),"5.  Klik Tombol O untuk melihat rumus",IF(AND(Elektro!$E$8=7,Elektro!$C$12=TRUE,A2=4),"e) Bagaimana cara menguji larutan basa dan menguji adanya I2 ?","")))))</f>
        <v/>
      </c>
      <c r="CU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" s="373" t="str">
        <f t="shared" si="25"/>
        <v/>
      </c>
      <c r="CW17" s="2"/>
      <c r="CX17" s="104"/>
    </row>
    <row r="18" spans="1:102" ht="18.95" customHeight="1" x14ac:dyDescent="0.35">
      <c r="A18" s="262"/>
      <c r="B18" s="128">
        <v>16</v>
      </c>
      <c r="C18" s="184" t="s">
        <v>11</v>
      </c>
      <c r="E18" s="382" t="s">
        <v>597</v>
      </c>
      <c r="F18" s="69"/>
      <c r="H18" s="69" t="s">
        <v>454</v>
      </c>
      <c r="I18" s="69" t="s">
        <v>449</v>
      </c>
      <c r="J18" s="69" t="s">
        <v>455</v>
      </c>
      <c r="K18" s="160" t="s">
        <v>456</v>
      </c>
      <c r="L18" s="2"/>
      <c r="M18" s="69" t="s">
        <v>712</v>
      </c>
      <c r="N18" s="2"/>
      <c r="O18" s="230" t="str">
        <f>IF($A$2=B18,Elektro!$Q$11,"")</f>
        <v/>
      </c>
      <c r="P18" s="230" t="str">
        <f>IF($A$2=B18,Elektro!$Q$12,"")</f>
        <v/>
      </c>
      <c r="Q18" s="236" t="str">
        <f>IF($A$2=B18,Elektro!$Q$13,"")</f>
        <v/>
      </c>
      <c r="R18" s="231" t="str">
        <f>IF($A$2=B18,Elektro!$Q$14,"")</f>
        <v/>
      </c>
      <c r="S18" s="231" t="str">
        <f>IF($A$2=B18,Elektro!$Q$15,"")</f>
        <v/>
      </c>
      <c r="T18" s="230" t="str">
        <f>IF($A$2=B18,Elektro!$Q$16,"")</f>
        <v/>
      </c>
      <c r="U18" s="353" t="str">
        <f t="shared" si="0"/>
        <v/>
      </c>
      <c r="V18" s="353" t="str">
        <f t="shared" si="1"/>
        <v/>
      </c>
      <c r="W18" s="4" t="s">
        <v>138</v>
      </c>
      <c r="X18" s="4" t="s">
        <v>20</v>
      </c>
      <c r="Y18" s="4">
        <v>4</v>
      </c>
      <c r="Z18" s="4">
        <v>32</v>
      </c>
      <c r="AA18" s="232" t="str">
        <f t="shared" si="2"/>
        <v/>
      </c>
      <c r="AB18" s="233" t="str">
        <f t="shared" si="3"/>
        <v/>
      </c>
      <c r="AC18" s="233" t="str">
        <f t="shared" si="4"/>
        <v>mol/s</v>
      </c>
      <c r="AD18" s="231" t="str">
        <f t="shared" si="5"/>
        <v/>
      </c>
      <c r="AE18" s="231" t="s">
        <v>283</v>
      </c>
      <c r="AF18" s="232" t="str">
        <f t="shared" si="6"/>
        <v/>
      </c>
      <c r="AG18" s="236" t="s">
        <v>284</v>
      </c>
      <c r="AH18" s="4"/>
      <c r="AI18" s="4" t="s">
        <v>113</v>
      </c>
      <c r="AJ18" s="4" t="s">
        <v>282</v>
      </c>
      <c r="AK18" s="4">
        <v>2</v>
      </c>
      <c r="AL18" s="4">
        <v>112.4</v>
      </c>
      <c r="AM18" s="232" t="str">
        <f t="shared" si="7"/>
        <v/>
      </c>
      <c r="AN18" s="233" t="str">
        <f t="shared" si="8"/>
        <v/>
      </c>
      <c r="AO18" s="4" t="str">
        <f t="shared" si="9"/>
        <v>g/s</v>
      </c>
      <c r="AP18" s="4"/>
      <c r="AQ18" s="4"/>
      <c r="AR18" s="4"/>
      <c r="AS18" s="4"/>
      <c r="AT18" s="128">
        <v>0</v>
      </c>
      <c r="AV18" s="248" t="str">
        <f t="shared" si="10"/>
        <v/>
      </c>
      <c r="AW18" s="248"/>
      <c r="AX18" s="4" t="str">
        <f t="shared" si="11"/>
        <v>M</v>
      </c>
      <c r="AY18" s="248" t="str">
        <f t="shared" si="12"/>
        <v/>
      </c>
      <c r="AZ18" s="232"/>
      <c r="BA18" s="4">
        <v>16</v>
      </c>
      <c r="BB18" s="2"/>
      <c r="BC18" s="2"/>
      <c r="BD18" s="2"/>
      <c r="BE18" s="2"/>
      <c r="BF18" s="2"/>
      <c r="BG18" s="2"/>
      <c r="BH18" s="185" t="s">
        <v>157</v>
      </c>
      <c r="BI18" s="185" t="s">
        <v>149</v>
      </c>
      <c r="BJ18" s="185" t="s">
        <v>159</v>
      </c>
      <c r="BK18" s="185" t="s">
        <v>31</v>
      </c>
      <c r="BL18" s="100"/>
      <c r="BM18" s="97">
        <f t="shared" si="13"/>
        <v>0</v>
      </c>
      <c r="BN18" s="225" t="s">
        <v>302</v>
      </c>
      <c r="BO18" s="225" t="s">
        <v>278</v>
      </c>
      <c r="BP18" s="225" t="s">
        <v>258</v>
      </c>
      <c r="BQ18" s="225" t="s">
        <v>259</v>
      </c>
      <c r="BR18" s="225" t="s">
        <v>397</v>
      </c>
      <c r="BS18" s="225" t="s">
        <v>322</v>
      </c>
      <c r="BT18" s="225"/>
      <c r="BU18" s="225"/>
      <c r="BV18" s="2"/>
      <c r="BW18" s="259" t="s">
        <v>350</v>
      </c>
      <c r="BX18" s="259" t="s">
        <v>351</v>
      </c>
      <c r="BY18" s="259" t="s">
        <v>266</v>
      </c>
      <c r="BZ18" s="259" t="s">
        <v>267</v>
      </c>
      <c r="CA18" s="107"/>
      <c r="CB18" s="249"/>
      <c r="CC18" s="107"/>
      <c r="CD18" s="249"/>
      <c r="CE18" s="107"/>
      <c r="CF18" s="225" t="str">
        <f t="shared" si="14"/>
        <v/>
      </c>
      <c r="CG18" s="225" t="str">
        <f t="shared" si="15"/>
        <v/>
      </c>
      <c r="CH18" s="225" t="str">
        <f t="shared" si="16"/>
        <v/>
      </c>
      <c r="CI18" s="225" t="str">
        <f t="shared" si="17"/>
        <v/>
      </c>
      <c r="CJ18" s="225" t="str">
        <f t="shared" si="18"/>
        <v/>
      </c>
      <c r="CK18" s="225" t="str">
        <f t="shared" si="19"/>
        <v/>
      </c>
      <c r="CL18" s="225" t="str">
        <f t="shared" si="20"/>
        <v/>
      </c>
      <c r="CM18" s="225" t="str">
        <f t="shared" si="21"/>
        <v/>
      </c>
      <c r="CN18" s="225" t="str">
        <f t="shared" si="22"/>
        <v/>
      </c>
      <c r="CO18" s="225" t="str">
        <f t="shared" si="23"/>
        <v/>
      </c>
      <c r="CP18" s="250"/>
      <c r="CQ18" s="250" t="str">
        <f t="shared" si="24"/>
        <v/>
      </c>
      <c r="CR18" s="5">
        <v>16</v>
      </c>
      <c r="CU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8" s="373" t="str">
        <f t="shared" si="25"/>
        <v/>
      </c>
      <c r="CW18" s="2"/>
      <c r="CX18" s="104"/>
    </row>
    <row r="19" spans="1:102" ht="18.95" customHeight="1" x14ac:dyDescent="0.35">
      <c r="A19" s="262"/>
      <c r="B19" s="128">
        <v>17</v>
      </c>
      <c r="C19" s="184" t="s">
        <v>682</v>
      </c>
      <c r="E19" s="382" t="s">
        <v>598</v>
      </c>
      <c r="F19" s="69"/>
      <c r="H19" s="69" t="s">
        <v>457</v>
      </c>
      <c r="I19" s="69" t="s">
        <v>449</v>
      </c>
      <c r="J19" s="69" t="s">
        <v>458</v>
      </c>
      <c r="K19" s="160" t="s">
        <v>459</v>
      </c>
      <c r="L19" s="2"/>
      <c r="M19" s="69" t="s">
        <v>713</v>
      </c>
      <c r="N19" s="2"/>
      <c r="O19" s="230" t="str">
        <f>IF($A$2=B19,Elektro!$Q$11,"")</f>
        <v/>
      </c>
      <c r="P19" s="230" t="str">
        <f>IF($A$2=B19,Elektro!$Q$12,"")</f>
        <v/>
      </c>
      <c r="Q19" s="236" t="str">
        <f>IF($A$2=B19,Elektro!$Q$13,"")</f>
        <v/>
      </c>
      <c r="R19" s="231" t="str">
        <f>IF($A$2=B19,Elektro!$Q$14,"")</f>
        <v/>
      </c>
      <c r="S19" s="231" t="str">
        <f>IF($A$2=B19,Elektro!$Q$15,"")</f>
        <v/>
      </c>
      <c r="T19" s="230" t="str">
        <f>IF($A$2=B19,Elektro!$Q$16,"")</f>
        <v/>
      </c>
      <c r="U19" s="353" t="str">
        <f t="shared" si="0"/>
        <v/>
      </c>
      <c r="V19" s="353" t="str">
        <f t="shared" si="1"/>
        <v/>
      </c>
      <c r="W19" s="4" t="s">
        <v>138</v>
      </c>
      <c r="X19" s="4" t="s">
        <v>20</v>
      </c>
      <c r="Y19" s="4">
        <v>4</v>
      </c>
      <c r="Z19" s="4">
        <v>32</v>
      </c>
      <c r="AA19" s="232" t="str">
        <f t="shared" si="2"/>
        <v/>
      </c>
      <c r="AB19" s="233" t="str">
        <f t="shared" si="3"/>
        <v/>
      </c>
      <c r="AC19" s="233" t="str">
        <f t="shared" si="4"/>
        <v>mol/s</v>
      </c>
      <c r="AD19" s="231" t="str">
        <f t="shared" si="5"/>
        <v/>
      </c>
      <c r="AE19" s="231" t="s">
        <v>283</v>
      </c>
      <c r="AF19" s="232" t="str">
        <f t="shared" si="6"/>
        <v/>
      </c>
      <c r="AG19" s="236" t="s">
        <v>284</v>
      </c>
      <c r="AH19" s="4"/>
      <c r="AI19" s="4" t="s">
        <v>114</v>
      </c>
      <c r="AJ19" s="4" t="s">
        <v>282</v>
      </c>
      <c r="AK19" s="4">
        <v>3</v>
      </c>
      <c r="AL19" s="4">
        <v>26.98</v>
      </c>
      <c r="AM19" s="232" t="str">
        <f t="shared" si="7"/>
        <v/>
      </c>
      <c r="AN19" s="233" t="str">
        <f t="shared" si="8"/>
        <v/>
      </c>
      <c r="AO19" s="4" t="str">
        <f t="shared" si="9"/>
        <v>g/s</v>
      </c>
      <c r="AP19" s="4"/>
      <c r="AQ19" s="4"/>
      <c r="AR19" s="4"/>
      <c r="AS19" s="4"/>
      <c r="AT19" s="128">
        <v>0</v>
      </c>
      <c r="AV19" s="248" t="str">
        <f t="shared" si="10"/>
        <v/>
      </c>
      <c r="AW19" s="248"/>
      <c r="AX19" s="4" t="str">
        <f t="shared" si="11"/>
        <v>M</v>
      </c>
      <c r="AY19" s="248" t="str">
        <f t="shared" si="12"/>
        <v/>
      </c>
      <c r="AZ19" s="232"/>
      <c r="BA19" s="4">
        <v>17</v>
      </c>
      <c r="BB19" s="2"/>
      <c r="BC19" s="2"/>
      <c r="BD19" s="2"/>
      <c r="BE19" s="2"/>
      <c r="BF19" s="2"/>
      <c r="BG19" s="2"/>
      <c r="BH19" s="185" t="s">
        <v>157</v>
      </c>
      <c r="BI19" s="185" t="s">
        <v>149</v>
      </c>
      <c r="BJ19" s="185" t="s">
        <v>161</v>
      </c>
      <c r="BK19" s="185" t="s">
        <v>32</v>
      </c>
      <c r="BL19" s="100"/>
      <c r="BM19" s="97">
        <f t="shared" si="13"/>
        <v>0</v>
      </c>
      <c r="BN19" s="225" t="s">
        <v>303</v>
      </c>
      <c r="BO19" s="225" t="s">
        <v>278</v>
      </c>
      <c r="BP19" s="225" t="s">
        <v>258</v>
      </c>
      <c r="BQ19" s="225" t="s">
        <v>259</v>
      </c>
      <c r="BR19" s="225" t="s">
        <v>407</v>
      </c>
      <c r="BS19" s="225" t="s">
        <v>322</v>
      </c>
      <c r="BT19" s="225"/>
      <c r="BU19" s="225"/>
      <c r="BV19" s="2"/>
      <c r="BW19" s="259" t="s">
        <v>356</v>
      </c>
      <c r="BX19" s="259" t="s">
        <v>357</v>
      </c>
      <c r="BY19" s="259" t="s">
        <v>266</v>
      </c>
      <c r="BZ19" s="259" t="s">
        <v>267</v>
      </c>
      <c r="CA19" s="107"/>
      <c r="CB19" s="249"/>
      <c r="CC19" s="107"/>
      <c r="CD19" s="249"/>
      <c r="CE19" s="107"/>
      <c r="CF19" s="225" t="str">
        <f t="shared" si="14"/>
        <v/>
      </c>
      <c r="CG19" s="225" t="str">
        <f t="shared" si="15"/>
        <v/>
      </c>
      <c r="CH19" s="225" t="str">
        <f t="shared" si="16"/>
        <v/>
      </c>
      <c r="CI19" s="225" t="str">
        <f t="shared" si="17"/>
        <v/>
      </c>
      <c r="CJ19" s="225" t="str">
        <f t="shared" si="18"/>
        <v/>
      </c>
      <c r="CK19" s="225" t="str">
        <f t="shared" si="19"/>
        <v/>
      </c>
      <c r="CL19" s="225" t="str">
        <f t="shared" si="20"/>
        <v/>
      </c>
      <c r="CM19" s="225" t="str">
        <f t="shared" si="21"/>
        <v/>
      </c>
      <c r="CN19" s="225" t="str">
        <f t="shared" si="22"/>
        <v/>
      </c>
      <c r="CO19" s="225" t="str">
        <f t="shared" si="23"/>
        <v/>
      </c>
      <c r="CP19" s="250"/>
      <c r="CQ19" s="250" t="str">
        <f t="shared" si="24"/>
        <v/>
      </c>
      <c r="CR19" s="5">
        <v>17</v>
      </c>
      <c r="CU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9" s="373" t="str">
        <f t="shared" si="25"/>
        <v/>
      </c>
      <c r="CW19" s="2"/>
      <c r="CX19" s="104"/>
    </row>
    <row r="20" spans="1:102" ht="18.95" customHeight="1" x14ac:dyDescent="0.35">
      <c r="A20" s="262"/>
      <c r="B20" s="128">
        <v>18</v>
      </c>
      <c r="C20" s="184" t="s">
        <v>10</v>
      </c>
      <c r="E20" s="382" t="s">
        <v>599</v>
      </c>
      <c r="F20" s="69"/>
      <c r="H20" s="69" t="s">
        <v>460</v>
      </c>
      <c r="I20" s="69" t="s">
        <v>449</v>
      </c>
      <c r="J20" s="69" t="s">
        <v>461</v>
      </c>
      <c r="K20" s="160" t="s">
        <v>462</v>
      </c>
      <c r="L20" s="2"/>
      <c r="M20" s="69" t="s">
        <v>714</v>
      </c>
      <c r="N20" s="2"/>
      <c r="O20" s="230" t="str">
        <f>IF($A$2=B20,Elektro!$Q$11,"")</f>
        <v/>
      </c>
      <c r="P20" s="230" t="str">
        <f>IF($A$2=B20,Elektro!$Q$12,"")</f>
        <v/>
      </c>
      <c r="Q20" s="236" t="str">
        <f>IF($A$2=B20,Elektro!$Q$13,"")</f>
        <v/>
      </c>
      <c r="R20" s="231" t="str">
        <f>IF($A$2=B20,Elektro!$Q$14,"")</f>
        <v/>
      </c>
      <c r="S20" s="231" t="str">
        <f>IF($A$2=B20,Elektro!$Q$15,"")</f>
        <v/>
      </c>
      <c r="T20" s="230" t="str">
        <f>IF($A$2=B20,Elektro!$Q$16,"")</f>
        <v/>
      </c>
      <c r="U20" s="353" t="str">
        <f t="shared" si="0"/>
        <v/>
      </c>
      <c r="V20" s="353" t="str">
        <f t="shared" si="1"/>
        <v/>
      </c>
      <c r="W20" s="4" t="s">
        <v>138</v>
      </c>
      <c r="X20" s="4" t="s">
        <v>20</v>
      </c>
      <c r="Y20" s="4">
        <v>4</v>
      </c>
      <c r="Z20" s="4">
        <v>32</v>
      </c>
      <c r="AA20" s="232" t="str">
        <f t="shared" si="2"/>
        <v/>
      </c>
      <c r="AB20" s="233" t="str">
        <f t="shared" si="3"/>
        <v/>
      </c>
      <c r="AC20" s="233" t="str">
        <f t="shared" si="4"/>
        <v>mol/s</v>
      </c>
      <c r="AD20" s="231" t="str">
        <f t="shared" si="5"/>
        <v/>
      </c>
      <c r="AE20" s="231" t="s">
        <v>283</v>
      </c>
      <c r="AF20" s="232" t="str">
        <f t="shared" si="6"/>
        <v/>
      </c>
      <c r="AG20" s="236" t="s">
        <v>284</v>
      </c>
      <c r="AH20" s="4"/>
      <c r="AI20" s="4" t="s">
        <v>111</v>
      </c>
      <c r="AJ20" s="4" t="s">
        <v>282</v>
      </c>
      <c r="AK20" s="4">
        <v>2</v>
      </c>
      <c r="AL20" s="4">
        <v>65.39</v>
      </c>
      <c r="AM20" s="232" t="str">
        <f t="shared" si="7"/>
        <v/>
      </c>
      <c r="AN20" s="233" t="str">
        <f t="shared" si="8"/>
        <v/>
      </c>
      <c r="AO20" s="4" t="str">
        <f t="shared" si="9"/>
        <v>g/s</v>
      </c>
      <c r="AP20" s="4"/>
      <c r="AQ20" s="4"/>
      <c r="AR20" s="4"/>
      <c r="AS20" s="4"/>
      <c r="AT20" s="128">
        <v>0</v>
      </c>
      <c r="AV20" s="248" t="str">
        <f t="shared" si="10"/>
        <v/>
      </c>
      <c r="AW20" s="248"/>
      <c r="AX20" s="4" t="str">
        <f t="shared" si="11"/>
        <v>M</v>
      </c>
      <c r="AY20" s="248" t="str">
        <f t="shared" si="12"/>
        <v/>
      </c>
      <c r="AZ20" s="232"/>
      <c r="BA20" s="4">
        <v>18</v>
      </c>
      <c r="BB20" s="2"/>
      <c r="BC20" s="2"/>
      <c r="BD20" s="2"/>
      <c r="BE20" s="2"/>
      <c r="BF20" s="2"/>
      <c r="BG20" s="2"/>
      <c r="BH20" s="185" t="s">
        <v>157</v>
      </c>
      <c r="BI20" s="185" t="s">
        <v>149</v>
      </c>
      <c r="BJ20" s="185" t="s">
        <v>158</v>
      </c>
      <c r="BK20" s="185" t="s">
        <v>30</v>
      </c>
      <c r="BL20" s="100"/>
      <c r="BM20" s="97">
        <f t="shared" si="13"/>
        <v>0</v>
      </c>
      <c r="BN20" s="225" t="s">
        <v>300</v>
      </c>
      <c r="BO20" s="225" t="s">
        <v>278</v>
      </c>
      <c r="BP20" s="225" t="s">
        <v>258</v>
      </c>
      <c r="BQ20" s="225" t="s">
        <v>259</v>
      </c>
      <c r="BR20" s="225" t="s">
        <v>385</v>
      </c>
      <c r="BS20" s="225" t="s">
        <v>322</v>
      </c>
      <c r="BT20" s="225"/>
      <c r="BU20" s="225"/>
      <c r="BV20" s="2"/>
      <c r="BW20" s="259" t="s">
        <v>345</v>
      </c>
      <c r="BX20" s="259" t="s">
        <v>346</v>
      </c>
      <c r="BY20" s="259" t="s">
        <v>266</v>
      </c>
      <c r="BZ20" s="259" t="s">
        <v>267</v>
      </c>
      <c r="CA20" s="107"/>
      <c r="CB20" s="249"/>
      <c r="CC20" s="107"/>
      <c r="CD20" s="249"/>
      <c r="CE20" s="107"/>
      <c r="CF20" s="225" t="str">
        <f t="shared" si="14"/>
        <v/>
      </c>
      <c r="CG20" s="225" t="str">
        <f t="shared" si="15"/>
        <v/>
      </c>
      <c r="CH20" s="225" t="str">
        <f t="shared" si="16"/>
        <v/>
      </c>
      <c r="CI20" s="225" t="str">
        <f t="shared" si="17"/>
        <v/>
      </c>
      <c r="CJ20" s="225" t="str">
        <f t="shared" si="18"/>
        <v/>
      </c>
      <c r="CK20" s="225" t="str">
        <f t="shared" si="19"/>
        <v/>
      </c>
      <c r="CL20" s="225" t="str">
        <f t="shared" si="20"/>
        <v/>
      </c>
      <c r="CM20" s="225" t="str">
        <f t="shared" si="21"/>
        <v/>
      </c>
      <c r="CN20" s="225" t="str">
        <f t="shared" si="22"/>
        <v/>
      </c>
      <c r="CO20" s="225" t="str">
        <f t="shared" si="23"/>
        <v/>
      </c>
      <c r="CP20" s="250"/>
      <c r="CQ20" s="250" t="str">
        <f t="shared" si="24"/>
        <v/>
      </c>
      <c r="CR20" s="5">
        <v>18</v>
      </c>
      <c r="CU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0" s="373" t="str">
        <f t="shared" si="25"/>
        <v/>
      </c>
      <c r="CW20" s="2"/>
      <c r="CX20" s="104"/>
    </row>
    <row r="21" spans="1:102" ht="18.95" customHeight="1" x14ac:dyDescent="0.35">
      <c r="A21" s="262" t="s">
        <v>55</v>
      </c>
      <c r="B21" s="4">
        <v>19</v>
      </c>
      <c r="C21" s="181" t="s">
        <v>102</v>
      </c>
      <c r="E21" s="382" t="s">
        <v>600</v>
      </c>
      <c r="F21" s="69"/>
      <c r="H21" s="69" t="s">
        <v>367</v>
      </c>
      <c r="I21" s="69" t="s">
        <v>463</v>
      </c>
      <c r="J21" s="69" t="s">
        <v>419</v>
      </c>
      <c r="K21" s="160" t="s">
        <v>464</v>
      </c>
      <c r="L21" s="2"/>
      <c r="M21" s="69" t="s">
        <v>715</v>
      </c>
      <c r="N21" s="2"/>
      <c r="O21" s="230" t="str">
        <f>IF($A$2=B21,Elektro!$Q$11,"")</f>
        <v/>
      </c>
      <c r="P21" s="230" t="str">
        <f>IF($A$2=B21,Elektro!$Q$12,"")</f>
        <v/>
      </c>
      <c r="Q21" s="236" t="str">
        <f>IF($A$2=B21,Elektro!$Q$13,"")</f>
        <v/>
      </c>
      <c r="R21" s="231" t="str">
        <f>IF($A$2=B21,Elektro!$Q$14,"")</f>
        <v/>
      </c>
      <c r="S21" s="231" t="str">
        <f>IF($A$2=B21,Elektro!$Q$15,"")</f>
        <v/>
      </c>
      <c r="T21" s="230" t="str">
        <f>IF($A$2=B21,Elektro!$Q$16,"")</f>
        <v/>
      </c>
      <c r="U21" s="353" t="str">
        <f t="shared" si="0"/>
        <v/>
      </c>
      <c r="V21" s="353" t="str">
        <f t="shared" si="1"/>
        <v/>
      </c>
      <c r="W21" s="4" t="s">
        <v>139</v>
      </c>
      <c r="X21" s="4" t="s">
        <v>248</v>
      </c>
      <c r="Y21" s="4">
        <v>2</v>
      </c>
      <c r="Z21" s="4">
        <v>63.55</v>
      </c>
      <c r="AA21" s="232" t="str">
        <f t="shared" si="2"/>
        <v/>
      </c>
      <c r="AB21" s="233" t="str">
        <f t="shared" si="3"/>
        <v/>
      </c>
      <c r="AC21" s="233" t="str">
        <f t="shared" si="4"/>
        <v>mol/s</v>
      </c>
      <c r="AD21" s="231" t="str">
        <f t="shared" si="5"/>
        <v/>
      </c>
      <c r="AE21" s="231" t="s">
        <v>283</v>
      </c>
      <c r="AF21" s="232" t="str">
        <f t="shared" si="6"/>
        <v/>
      </c>
      <c r="AG21" s="236" t="s">
        <v>284</v>
      </c>
      <c r="AH21" s="4"/>
      <c r="AI21" s="4" t="s">
        <v>142</v>
      </c>
      <c r="AJ21" s="4" t="s">
        <v>20</v>
      </c>
      <c r="AK21" s="4">
        <v>2</v>
      </c>
      <c r="AL21" s="4">
        <v>2</v>
      </c>
      <c r="AM21" s="232" t="str">
        <f t="shared" si="7"/>
        <v/>
      </c>
      <c r="AN21" s="233" t="str">
        <f t="shared" si="8"/>
        <v/>
      </c>
      <c r="AO21" s="4" t="str">
        <f t="shared" si="9"/>
        <v>mol/s</v>
      </c>
      <c r="AP21" s="4"/>
      <c r="AQ21" s="4"/>
      <c r="AR21" s="4"/>
      <c r="AS21" s="4" t="s">
        <v>120</v>
      </c>
      <c r="AT21" s="4">
        <v>1</v>
      </c>
      <c r="AU21" s="5" t="s">
        <v>55</v>
      </c>
      <c r="AV21" s="248" t="str">
        <f t="shared" si="10"/>
        <v/>
      </c>
      <c r="AW21" s="248"/>
      <c r="AX21" s="4" t="str">
        <f t="shared" si="11"/>
        <v>M</v>
      </c>
      <c r="AY21" s="248" t="str">
        <f t="shared" si="12"/>
        <v/>
      </c>
      <c r="AZ21" s="232"/>
      <c r="BA21" s="4">
        <v>19</v>
      </c>
      <c r="BB21" s="2" t="s">
        <v>47</v>
      </c>
      <c r="BC21" s="2" t="s">
        <v>79</v>
      </c>
      <c r="BD21" s="2" t="s">
        <v>54</v>
      </c>
      <c r="BE21" s="2" t="s">
        <v>48</v>
      </c>
      <c r="BF21" s="2" t="s">
        <v>49</v>
      </c>
      <c r="BG21" s="2"/>
      <c r="BH21" s="185" t="s">
        <v>3</v>
      </c>
      <c r="BI21" s="185" t="s">
        <v>151</v>
      </c>
      <c r="BJ21" s="185" t="s">
        <v>146</v>
      </c>
      <c r="BK21" s="185" t="s">
        <v>147</v>
      </c>
      <c r="BL21" s="100"/>
      <c r="BM21" s="97">
        <f t="shared" si="13"/>
        <v>1</v>
      </c>
      <c r="BN21" s="225" t="s">
        <v>294</v>
      </c>
      <c r="BO21" s="225" t="s">
        <v>310</v>
      </c>
      <c r="BP21" s="225" t="s">
        <v>258</v>
      </c>
      <c r="BQ21" s="225" t="s">
        <v>259</v>
      </c>
      <c r="BR21" s="225" t="s">
        <v>408</v>
      </c>
      <c r="BS21" s="225" t="s">
        <v>325</v>
      </c>
      <c r="BT21" s="225" t="s">
        <v>273</v>
      </c>
      <c r="BU21" s="225" t="s">
        <v>260</v>
      </c>
      <c r="BV21" s="2"/>
      <c r="BW21" s="259" t="s">
        <v>264</v>
      </c>
      <c r="BX21" s="259" t="s">
        <v>265</v>
      </c>
      <c r="BY21" s="259" t="s">
        <v>270</v>
      </c>
      <c r="BZ21" s="259" t="s">
        <v>336</v>
      </c>
      <c r="CA21" s="107"/>
      <c r="CB21" s="249"/>
      <c r="CC21" s="107"/>
      <c r="CD21" s="249"/>
      <c r="CE21" s="107"/>
      <c r="CF21" s="225" t="str">
        <f t="shared" si="14"/>
        <v/>
      </c>
      <c r="CG21" s="225" t="str">
        <f t="shared" si="15"/>
        <v/>
      </c>
      <c r="CH21" s="225" t="str">
        <f t="shared" si="16"/>
        <v/>
      </c>
      <c r="CI21" s="225" t="str">
        <f t="shared" si="17"/>
        <v/>
      </c>
      <c r="CJ21" s="225" t="str">
        <f t="shared" si="18"/>
        <v/>
      </c>
      <c r="CK21" s="225" t="str">
        <f t="shared" si="19"/>
        <v/>
      </c>
      <c r="CL21" s="225" t="str">
        <f t="shared" si="20"/>
        <v/>
      </c>
      <c r="CM21" s="225" t="str">
        <f t="shared" si="21"/>
        <v/>
      </c>
      <c r="CN21" s="225" t="str">
        <f t="shared" si="22"/>
        <v/>
      </c>
      <c r="CO21" s="225" t="str">
        <f t="shared" si="23"/>
        <v/>
      </c>
      <c r="CP21" s="250"/>
      <c r="CQ21" s="250" t="str">
        <f t="shared" si="24"/>
        <v/>
      </c>
      <c r="CR21" s="5">
        <v>19</v>
      </c>
      <c r="CU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1" s="373" t="str">
        <f t="shared" si="25"/>
        <v/>
      </c>
      <c r="CW21" s="2"/>
      <c r="CX21" s="104"/>
    </row>
    <row r="22" spans="1:102" ht="18.95" customHeight="1" x14ac:dyDescent="0.35">
      <c r="A22" s="262" t="s">
        <v>55</v>
      </c>
      <c r="B22" s="4">
        <v>20</v>
      </c>
      <c r="C22" s="184" t="s">
        <v>687</v>
      </c>
      <c r="E22" s="382" t="s">
        <v>665</v>
      </c>
      <c r="F22" s="69"/>
      <c r="H22" s="69" t="s">
        <v>421</v>
      </c>
      <c r="I22" s="69" t="s">
        <v>463</v>
      </c>
      <c r="J22" s="69" t="s">
        <v>419</v>
      </c>
      <c r="K22" s="160" t="s">
        <v>464</v>
      </c>
      <c r="L22" s="2"/>
      <c r="M22" s="69" t="s">
        <v>716</v>
      </c>
      <c r="N22" s="2"/>
      <c r="O22" s="230" t="str">
        <f>IF($A$2=B22,Elektro!$Q$11,"")</f>
        <v/>
      </c>
      <c r="P22" s="230" t="str">
        <f>IF($A$2=B22,Elektro!$Q$12,"")</f>
        <v/>
      </c>
      <c r="Q22" s="236" t="str">
        <f>IF($A$2=B22,Elektro!$Q$13,"")</f>
        <v/>
      </c>
      <c r="R22" s="231" t="str">
        <f>IF($A$2=B22,Elektro!$Q$14,"")</f>
        <v/>
      </c>
      <c r="S22" s="231" t="str">
        <f>IF($A$2=B22,Elektro!$Q$15,"")</f>
        <v/>
      </c>
      <c r="T22" s="230" t="str">
        <f>IF($A$2=B22,Elektro!$Q$16,"")</f>
        <v/>
      </c>
      <c r="U22" s="353" t="str">
        <f t="shared" si="0"/>
        <v/>
      </c>
      <c r="V22" s="353" t="str">
        <f t="shared" si="1"/>
        <v/>
      </c>
      <c r="W22" s="4" t="s">
        <v>139</v>
      </c>
      <c r="X22" s="4" t="s">
        <v>248</v>
      </c>
      <c r="Y22" s="4">
        <v>2</v>
      </c>
      <c r="Z22" s="4">
        <v>63.55</v>
      </c>
      <c r="AA22" s="232" t="str">
        <f t="shared" si="2"/>
        <v/>
      </c>
      <c r="AB22" s="233" t="str">
        <f t="shared" si="3"/>
        <v/>
      </c>
      <c r="AC22" s="233" t="str">
        <f t="shared" si="4"/>
        <v>mol/s</v>
      </c>
      <c r="AD22" s="231" t="str">
        <f t="shared" si="5"/>
        <v/>
      </c>
      <c r="AE22" s="231" t="s">
        <v>283</v>
      </c>
      <c r="AF22" s="232" t="str">
        <f t="shared" si="6"/>
        <v/>
      </c>
      <c r="AG22" s="236" t="s">
        <v>284</v>
      </c>
      <c r="AH22" s="4"/>
      <c r="AI22" s="4" t="s">
        <v>142</v>
      </c>
      <c r="AJ22" s="4" t="s">
        <v>20</v>
      </c>
      <c r="AK22" s="4">
        <v>2</v>
      </c>
      <c r="AL22" s="4">
        <v>2</v>
      </c>
      <c r="AM22" s="232" t="str">
        <f t="shared" si="7"/>
        <v/>
      </c>
      <c r="AN22" s="233" t="str">
        <f t="shared" si="8"/>
        <v/>
      </c>
      <c r="AO22" s="4" t="str">
        <f t="shared" si="9"/>
        <v>mol/s</v>
      </c>
      <c r="AP22" s="4"/>
      <c r="AQ22" s="4"/>
      <c r="AR22" s="4"/>
      <c r="AS22" s="4" t="s">
        <v>120</v>
      </c>
      <c r="AT22" s="4">
        <v>1</v>
      </c>
      <c r="AU22" s="5" t="s">
        <v>55</v>
      </c>
      <c r="AV22" s="248" t="str">
        <f t="shared" si="10"/>
        <v/>
      </c>
      <c r="AW22" s="248"/>
      <c r="AX22" s="4" t="str">
        <f t="shared" si="11"/>
        <v>M</v>
      </c>
      <c r="AY22" s="248" t="str">
        <f t="shared" si="12"/>
        <v/>
      </c>
      <c r="AZ22" s="232"/>
      <c r="BA22" s="4">
        <v>20</v>
      </c>
      <c r="BB22" s="2" t="s">
        <v>47</v>
      </c>
      <c r="BC22" s="2" t="s">
        <v>234</v>
      </c>
      <c r="BD22" s="2" t="s">
        <v>54</v>
      </c>
      <c r="BE22" s="2" t="s">
        <v>48</v>
      </c>
      <c r="BF22" s="2" t="s">
        <v>49</v>
      </c>
      <c r="BG22" s="2"/>
      <c r="BH22" s="185" t="s">
        <v>3</v>
      </c>
      <c r="BI22" s="185" t="s">
        <v>151</v>
      </c>
      <c r="BJ22" s="185" t="s">
        <v>146</v>
      </c>
      <c r="BK22" s="185" t="s">
        <v>147</v>
      </c>
      <c r="BL22" s="100"/>
      <c r="BM22" s="97">
        <f t="shared" si="13"/>
        <v>1</v>
      </c>
      <c r="BN22" s="225" t="s">
        <v>294</v>
      </c>
      <c r="BO22" s="225" t="s">
        <v>310</v>
      </c>
      <c r="BP22" s="225" t="s">
        <v>258</v>
      </c>
      <c r="BQ22" s="225" t="s">
        <v>259</v>
      </c>
      <c r="BR22" s="225" t="s">
        <v>408</v>
      </c>
      <c r="BS22" s="225" t="s">
        <v>325</v>
      </c>
      <c r="BT22" s="225" t="s">
        <v>273</v>
      </c>
      <c r="BU22" s="225" t="s">
        <v>260</v>
      </c>
      <c r="BV22" s="2"/>
      <c r="BW22" s="259" t="s">
        <v>264</v>
      </c>
      <c r="BX22" s="259" t="s">
        <v>265</v>
      </c>
      <c r="BY22" s="259" t="s">
        <v>270</v>
      </c>
      <c r="BZ22" s="259" t="s">
        <v>336</v>
      </c>
      <c r="CA22" s="107"/>
      <c r="CB22" s="249"/>
      <c r="CC22" s="107"/>
      <c r="CD22" s="249"/>
      <c r="CE22" s="107"/>
      <c r="CF22" s="225" t="str">
        <f t="shared" si="14"/>
        <v/>
      </c>
      <c r="CG22" s="225" t="str">
        <f t="shared" si="15"/>
        <v/>
      </c>
      <c r="CH22" s="225" t="str">
        <f t="shared" si="16"/>
        <v/>
      </c>
      <c r="CI22" s="225" t="str">
        <f t="shared" si="17"/>
        <v/>
      </c>
      <c r="CJ22" s="225" t="str">
        <f t="shared" si="18"/>
        <v/>
      </c>
      <c r="CK22" s="225" t="str">
        <f t="shared" si="19"/>
        <v/>
      </c>
      <c r="CL22" s="225" t="str">
        <f t="shared" si="20"/>
        <v/>
      </c>
      <c r="CM22" s="225" t="str">
        <f t="shared" si="21"/>
        <v/>
      </c>
      <c r="CN22" s="225" t="str">
        <f t="shared" si="22"/>
        <v/>
      </c>
      <c r="CO22" s="225" t="str">
        <f t="shared" si="23"/>
        <v/>
      </c>
      <c r="CP22" s="250"/>
      <c r="CQ22" s="250" t="str">
        <f t="shared" si="24"/>
        <v/>
      </c>
      <c r="CR22" s="5">
        <v>20</v>
      </c>
      <c r="CU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2" s="373" t="str">
        <f t="shared" si="25"/>
        <v/>
      </c>
      <c r="CW22" s="2"/>
      <c r="CX22" s="104"/>
    </row>
    <row r="23" spans="1:102" ht="18.95" customHeight="1" x14ac:dyDescent="0.35">
      <c r="A23" s="262"/>
      <c r="B23" s="4">
        <v>21</v>
      </c>
      <c r="C23" s="181" t="s">
        <v>677</v>
      </c>
      <c r="E23" s="382" t="s">
        <v>587</v>
      </c>
      <c r="F23" s="69" t="s">
        <v>75</v>
      </c>
      <c r="H23" s="69" t="s">
        <v>422</v>
      </c>
      <c r="I23" s="69" t="s">
        <v>463</v>
      </c>
      <c r="J23" s="69" t="s">
        <v>423</v>
      </c>
      <c r="K23" s="160" t="s">
        <v>465</v>
      </c>
      <c r="L23" s="2"/>
      <c r="M23" s="160" t="s">
        <v>717</v>
      </c>
      <c r="N23" s="2"/>
      <c r="O23" s="230" t="str">
        <f>IF($A$2=B23,Elektro!$Q$11,"")</f>
        <v/>
      </c>
      <c r="P23" s="230" t="str">
        <f>IF($A$2=B23,Elektro!$Q$12,"")</f>
        <v/>
      </c>
      <c r="Q23" s="236" t="str">
        <f>IF($A$2=B23,Elektro!$Q$13,"")</f>
        <v/>
      </c>
      <c r="R23" s="231" t="str">
        <f>IF($A$2=B23,Elektro!$Q$14,"")</f>
        <v/>
      </c>
      <c r="S23" s="231" t="str">
        <f>IF($A$2=B23,Elektro!$Q$15,"")</f>
        <v/>
      </c>
      <c r="T23" s="230" t="str">
        <f>IF($A$2=B23,Elektro!$Q$16,"")</f>
        <v/>
      </c>
      <c r="U23" s="353" t="str">
        <f t="shared" si="0"/>
        <v/>
      </c>
      <c r="V23" s="353" t="str">
        <f t="shared" si="1"/>
        <v/>
      </c>
      <c r="W23" s="4" t="s">
        <v>139</v>
      </c>
      <c r="X23" s="4" t="s">
        <v>248</v>
      </c>
      <c r="Y23" s="4">
        <v>2</v>
      </c>
      <c r="Z23" s="4">
        <v>63.55</v>
      </c>
      <c r="AA23" s="232" t="str">
        <f t="shared" si="2"/>
        <v/>
      </c>
      <c r="AB23" s="233" t="str">
        <f t="shared" si="3"/>
        <v/>
      </c>
      <c r="AC23" s="233" t="str">
        <f t="shared" si="4"/>
        <v>mol/s</v>
      </c>
      <c r="AD23" s="231" t="str">
        <f t="shared" si="5"/>
        <v/>
      </c>
      <c r="AE23" s="231" t="s">
        <v>283</v>
      </c>
      <c r="AF23" s="232" t="str">
        <f t="shared" si="6"/>
        <v/>
      </c>
      <c r="AG23" s="236" t="s">
        <v>284</v>
      </c>
      <c r="AH23" s="4"/>
      <c r="AI23" s="4" t="s">
        <v>138</v>
      </c>
      <c r="AJ23" s="4" t="s">
        <v>20</v>
      </c>
      <c r="AK23" s="4">
        <v>4</v>
      </c>
      <c r="AL23" s="4">
        <v>32</v>
      </c>
      <c r="AM23" s="232" t="str">
        <f t="shared" si="7"/>
        <v/>
      </c>
      <c r="AN23" s="233" t="str">
        <f t="shared" si="8"/>
        <v/>
      </c>
      <c r="AO23" s="4" t="str">
        <f t="shared" si="9"/>
        <v>mol/s</v>
      </c>
      <c r="AP23" s="4"/>
      <c r="AQ23" s="4"/>
      <c r="AR23" s="4"/>
      <c r="AS23" s="4" t="s">
        <v>121</v>
      </c>
      <c r="AT23" s="4">
        <v>2</v>
      </c>
      <c r="AV23" s="248" t="str">
        <f t="shared" si="10"/>
        <v/>
      </c>
      <c r="AW23" s="248"/>
      <c r="AX23" s="4" t="str">
        <f t="shared" si="11"/>
        <v>M</v>
      </c>
      <c r="AY23" s="248" t="str">
        <f t="shared" si="12"/>
        <v/>
      </c>
      <c r="AZ23" s="232"/>
      <c r="BA23" s="4">
        <v>21</v>
      </c>
      <c r="BB23" s="2" t="s">
        <v>47</v>
      </c>
      <c r="BC23" s="2"/>
      <c r="BD23" s="2" t="s">
        <v>54</v>
      </c>
      <c r="BE23" s="2" t="s">
        <v>48</v>
      </c>
      <c r="BF23" s="2"/>
      <c r="BG23" s="2"/>
      <c r="BH23" s="185" t="s">
        <v>3</v>
      </c>
      <c r="BI23" s="185" t="s">
        <v>151</v>
      </c>
      <c r="BJ23" s="185" t="s">
        <v>148</v>
      </c>
      <c r="BK23" s="185" t="s">
        <v>149</v>
      </c>
      <c r="BL23" s="100"/>
      <c r="BM23" s="97">
        <f t="shared" si="13"/>
        <v>2</v>
      </c>
      <c r="BN23" s="225" t="s">
        <v>295</v>
      </c>
      <c r="BO23" s="225" t="s">
        <v>310</v>
      </c>
      <c r="BP23" s="225" t="s">
        <v>258</v>
      </c>
      <c r="BQ23" s="225" t="s">
        <v>259</v>
      </c>
      <c r="BR23" s="225" t="s">
        <v>409</v>
      </c>
      <c r="BS23" s="225" t="s">
        <v>325</v>
      </c>
      <c r="BT23" s="225" t="s">
        <v>275</v>
      </c>
      <c r="BU23" s="225" t="s">
        <v>260</v>
      </c>
      <c r="BV23" s="2"/>
      <c r="BW23" s="259" t="s">
        <v>331</v>
      </c>
      <c r="BX23" s="259" t="s">
        <v>267</v>
      </c>
      <c r="BY23" s="259" t="s">
        <v>270</v>
      </c>
      <c r="BZ23" s="259" t="s">
        <v>336</v>
      </c>
      <c r="CA23" s="107"/>
      <c r="CB23" s="249"/>
      <c r="CC23" s="107"/>
      <c r="CD23" s="249"/>
      <c r="CE23" s="107"/>
      <c r="CF23" s="225" t="str">
        <f t="shared" si="14"/>
        <v/>
      </c>
      <c r="CG23" s="225" t="str">
        <f t="shared" si="15"/>
        <v/>
      </c>
      <c r="CH23" s="225" t="str">
        <f t="shared" si="16"/>
        <v/>
      </c>
      <c r="CI23" s="225" t="str">
        <f t="shared" si="17"/>
        <v/>
      </c>
      <c r="CJ23" s="225" t="str">
        <f t="shared" si="18"/>
        <v/>
      </c>
      <c r="CK23" s="225" t="str">
        <f t="shared" si="19"/>
        <v/>
      </c>
      <c r="CL23" s="225" t="str">
        <f t="shared" si="20"/>
        <v/>
      </c>
      <c r="CM23" s="225" t="str">
        <f t="shared" si="21"/>
        <v/>
      </c>
      <c r="CN23" s="225" t="str">
        <f t="shared" si="22"/>
        <v/>
      </c>
      <c r="CO23" s="225" t="str">
        <f t="shared" si="23"/>
        <v/>
      </c>
      <c r="CP23" s="250"/>
      <c r="CQ23" s="250" t="str">
        <f t="shared" si="24"/>
        <v/>
      </c>
      <c r="CR23" s="5">
        <v>21</v>
      </c>
      <c r="CU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3" s="373" t="str">
        <f t="shared" si="25"/>
        <v/>
      </c>
      <c r="CW23" s="2"/>
      <c r="CX23" s="104"/>
    </row>
    <row r="24" spans="1:102" ht="18.95" customHeight="1" x14ac:dyDescent="0.35">
      <c r="A24" s="262"/>
      <c r="B24" s="4">
        <v>22</v>
      </c>
      <c r="C24" s="181" t="s">
        <v>72</v>
      </c>
      <c r="E24" s="382" t="s">
        <v>588</v>
      </c>
      <c r="F24" s="69" t="s">
        <v>75</v>
      </c>
      <c r="H24" s="69" t="s">
        <v>424</v>
      </c>
      <c r="I24" s="69" t="s">
        <v>463</v>
      </c>
      <c r="J24" s="69" t="s">
        <v>423</v>
      </c>
      <c r="K24" s="160" t="s">
        <v>466</v>
      </c>
      <c r="L24" s="2"/>
      <c r="M24" s="4" t="s">
        <v>718</v>
      </c>
      <c r="N24" s="2"/>
      <c r="O24" s="230" t="str">
        <f>IF($A$2=B24,Elektro!$Q$11,"")</f>
        <v/>
      </c>
      <c r="P24" s="230" t="str">
        <f>IF($A$2=B24,Elektro!$Q$12,"")</f>
        <v/>
      </c>
      <c r="Q24" s="236" t="str">
        <f>IF($A$2=B24,Elektro!$Q$13,"")</f>
        <v/>
      </c>
      <c r="R24" s="231" t="str">
        <f>IF($A$2=B24,Elektro!$Q$14,"")</f>
        <v/>
      </c>
      <c r="S24" s="231" t="str">
        <f>IF($A$2=B24,Elektro!$Q$15,"")</f>
        <v/>
      </c>
      <c r="T24" s="230" t="str">
        <f>IF($A$2=B24,Elektro!$Q$16,"")</f>
        <v/>
      </c>
      <c r="U24" s="353" t="str">
        <f t="shared" si="0"/>
        <v/>
      </c>
      <c r="V24" s="353" t="str">
        <f t="shared" si="1"/>
        <v/>
      </c>
      <c r="W24" s="4" t="s">
        <v>139</v>
      </c>
      <c r="X24" s="4" t="s">
        <v>248</v>
      </c>
      <c r="Y24" s="4">
        <v>2</v>
      </c>
      <c r="Z24" s="4">
        <v>63.55</v>
      </c>
      <c r="AA24" s="232" t="str">
        <f t="shared" si="2"/>
        <v/>
      </c>
      <c r="AB24" s="233" t="str">
        <f t="shared" si="3"/>
        <v/>
      </c>
      <c r="AC24" s="233" t="str">
        <f t="shared" si="4"/>
        <v>mol/s</v>
      </c>
      <c r="AD24" s="231" t="str">
        <f t="shared" si="5"/>
        <v/>
      </c>
      <c r="AE24" s="231" t="s">
        <v>283</v>
      </c>
      <c r="AF24" s="232" t="str">
        <f t="shared" si="6"/>
        <v/>
      </c>
      <c r="AG24" s="236" t="s">
        <v>284</v>
      </c>
      <c r="AH24" s="4"/>
      <c r="AI24" s="4" t="s">
        <v>142</v>
      </c>
      <c r="AJ24" s="4" t="s">
        <v>20</v>
      </c>
      <c r="AK24" s="4">
        <v>2</v>
      </c>
      <c r="AL24" s="4">
        <v>2</v>
      </c>
      <c r="AM24" s="232" t="str">
        <f t="shared" si="7"/>
        <v/>
      </c>
      <c r="AN24" s="233" t="str">
        <f t="shared" si="8"/>
        <v/>
      </c>
      <c r="AO24" s="4" t="str">
        <f t="shared" si="9"/>
        <v>mol/s</v>
      </c>
      <c r="AP24" s="4"/>
      <c r="AQ24" s="4"/>
      <c r="AR24" s="4"/>
      <c r="AS24" s="4" t="s">
        <v>368</v>
      </c>
      <c r="AT24" s="4">
        <v>0</v>
      </c>
      <c r="AV24" s="248" t="str">
        <f t="shared" si="10"/>
        <v/>
      </c>
      <c r="AW24" s="248"/>
      <c r="AX24" s="4" t="str">
        <f t="shared" si="11"/>
        <v>M</v>
      </c>
      <c r="AY24" s="248" t="str">
        <f t="shared" si="12"/>
        <v/>
      </c>
      <c r="AZ24" s="232"/>
      <c r="BA24" s="4">
        <v>22</v>
      </c>
      <c r="BB24" s="2" t="s">
        <v>47</v>
      </c>
      <c r="BC24" s="2" t="s">
        <v>73</v>
      </c>
      <c r="BD24" s="2" t="s">
        <v>54</v>
      </c>
      <c r="BE24" s="2" t="s">
        <v>48</v>
      </c>
      <c r="BF24" s="2" t="s">
        <v>74</v>
      </c>
      <c r="BG24" s="2"/>
      <c r="BH24" s="185" t="s">
        <v>3</v>
      </c>
      <c r="BI24" s="185" t="s">
        <v>151</v>
      </c>
      <c r="BJ24" s="185" t="s">
        <v>148</v>
      </c>
      <c r="BK24" s="185" t="s">
        <v>147</v>
      </c>
      <c r="BL24" s="100"/>
      <c r="BM24" s="97">
        <f t="shared" si="13"/>
        <v>0</v>
      </c>
      <c r="BN24" s="225" t="s">
        <v>294</v>
      </c>
      <c r="BO24" s="225" t="s">
        <v>310</v>
      </c>
      <c r="BP24" s="225" t="s">
        <v>258</v>
      </c>
      <c r="BQ24" s="225" t="s">
        <v>259</v>
      </c>
      <c r="BR24" s="225" t="s">
        <v>408</v>
      </c>
      <c r="BS24" s="225" t="s">
        <v>325</v>
      </c>
      <c r="BT24" s="225" t="s">
        <v>274</v>
      </c>
      <c r="BU24" s="225" t="s">
        <v>260</v>
      </c>
      <c r="BV24" s="2"/>
      <c r="BW24" s="259" t="s">
        <v>264</v>
      </c>
      <c r="BX24" s="259" t="s">
        <v>265</v>
      </c>
      <c r="BY24" s="259" t="s">
        <v>270</v>
      </c>
      <c r="BZ24" s="259" t="s">
        <v>336</v>
      </c>
      <c r="CA24" s="107"/>
      <c r="CB24" s="249"/>
      <c r="CC24" s="107"/>
      <c r="CD24" s="249"/>
      <c r="CE24" s="107"/>
      <c r="CF24" s="225" t="str">
        <f t="shared" si="14"/>
        <v/>
      </c>
      <c r="CG24" s="225" t="str">
        <f t="shared" si="15"/>
        <v/>
      </c>
      <c r="CH24" s="225" t="str">
        <f t="shared" si="16"/>
        <v/>
      </c>
      <c r="CI24" s="225" t="str">
        <f t="shared" si="17"/>
        <v/>
      </c>
      <c r="CJ24" s="225" t="str">
        <f t="shared" si="18"/>
        <v/>
      </c>
      <c r="CK24" s="225" t="str">
        <f t="shared" si="19"/>
        <v/>
      </c>
      <c r="CL24" s="225" t="str">
        <f t="shared" si="20"/>
        <v/>
      </c>
      <c r="CM24" s="225" t="str">
        <f t="shared" si="21"/>
        <v/>
      </c>
      <c r="CN24" s="225" t="str">
        <f t="shared" si="22"/>
        <v/>
      </c>
      <c r="CO24" s="225" t="str">
        <f t="shared" si="23"/>
        <v/>
      </c>
      <c r="CP24" s="250"/>
      <c r="CQ24" s="250" t="str">
        <f t="shared" si="24"/>
        <v/>
      </c>
      <c r="CR24" s="5">
        <v>22</v>
      </c>
      <c r="CU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4" s="373" t="str">
        <f t="shared" si="25"/>
        <v/>
      </c>
      <c r="CW24" s="2"/>
      <c r="CX24" s="104"/>
    </row>
    <row r="25" spans="1:102" ht="18.95" customHeight="1" x14ac:dyDescent="0.35">
      <c r="A25" s="262"/>
      <c r="B25" s="4">
        <v>23</v>
      </c>
      <c r="C25" s="184" t="s">
        <v>688</v>
      </c>
      <c r="E25" s="382" t="s">
        <v>666</v>
      </c>
      <c r="F25" s="69" t="s">
        <v>75</v>
      </c>
      <c r="H25" s="69" t="s">
        <v>467</v>
      </c>
      <c r="I25" s="69" t="s">
        <v>463</v>
      </c>
      <c r="J25" s="69" t="s">
        <v>423</v>
      </c>
      <c r="K25" s="160" t="s">
        <v>466</v>
      </c>
      <c r="L25" s="2"/>
      <c r="M25" s="166" t="s">
        <v>719</v>
      </c>
      <c r="N25" s="2"/>
      <c r="O25" s="230" t="str">
        <f>IF($A$2=B25,Elektro!$Q$11,"")</f>
        <v/>
      </c>
      <c r="P25" s="230" t="str">
        <f>IF($A$2=B25,Elektro!$Q$12,"")</f>
        <v/>
      </c>
      <c r="Q25" s="236" t="str">
        <f>IF($A$2=B25,Elektro!$Q$13,"")</f>
        <v/>
      </c>
      <c r="R25" s="231" t="str">
        <f>IF($A$2=B25,Elektro!$Q$14,"")</f>
        <v/>
      </c>
      <c r="S25" s="231" t="str">
        <f>IF($A$2=B25,Elektro!$Q$15,"")</f>
        <v/>
      </c>
      <c r="T25" s="230" t="str">
        <f>IF($A$2=B25,Elektro!$Q$16,"")</f>
        <v/>
      </c>
      <c r="U25" s="353" t="str">
        <f t="shared" si="0"/>
        <v/>
      </c>
      <c r="V25" s="353" t="str">
        <f t="shared" si="1"/>
        <v/>
      </c>
      <c r="W25" s="4" t="s">
        <v>139</v>
      </c>
      <c r="X25" s="4" t="s">
        <v>248</v>
      </c>
      <c r="Y25" s="4">
        <v>2</v>
      </c>
      <c r="Z25" s="4">
        <v>63.55</v>
      </c>
      <c r="AA25" s="232" t="str">
        <f t="shared" si="2"/>
        <v/>
      </c>
      <c r="AB25" s="233" t="str">
        <f t="shared" si="3"/>
        <v/>
      </c>
      <c r="AC25" s="233" t="str">
        <f t="shared" si="4"/>
        <v>mol/s</v>
      </c>
      <c r="AD25" s="231" t="str">
        <f t="shared" si="5"/>
        <v/>
      </c>
      <c r="AE25" s="231" t="s">
        <v>283</v>
      </c>
      <c r="AF25" s="232" t="str">
        <f t="shared" si="6"/>
        <v/>
      </c>
      <c r="AG25" s="236" t="s">
        <v>284</v>
      </c>
      <c r="AH25" s="4"/>
      <c r="AI25" s="4" t="s">
        <v>142</v>
      </c>
      <c r="AJ25" s="4" t="s">
        <v>20</v>
      </c>
      <c r="AK25" s="4">
        <v>2</v>
      </c>
      <c r="AL25" s="4">
        <v>2</v>
      </c>
      <c r="AM25" s="232" t="str">
        <f t="shared" si="7"/>
        <v/>
      </c>
      <c r="AN25" s="233" t="str">
        <f t="shared" si="8"/>
        <v/>
      </c>
      <c r="AO25" s="4" t="str">
        <f t="shared" si="9"/>
        <v>mol/s</v>
      </c>
      <c r="AP25" s="4"/>
      <c r="AQ25" s="4"/>
      <c r="AR25" s="4"/>
      <c r="AS25" s="4" t="s">
        <v>121</v>
      </c>
      <c r="AT25" s="4">
        <v>2</v>
      </c>
      <c r="AV25" s="248" t="str">
        <f t="shared" si="10"/>
        <v/>
      </c>
      <c r="AW25" s="248"/>
      <c r="AX25" s="4" t="str">
        <f t="shared" si="11"/>
        <v>M</v>
      </c>
      <c r="AY25" s="248" t="str">
        <f t="shared" si="12"/>
        <v/>
      </c>
      <c r="AZ25" s="232"/>
      <c r="BA25" s="4">
        <v>23</v>
      </c>
      <c r="BB25" s="2" t="s">
        <v>47</v>
      </c>
      <c r="BC25" s="2" t="s">
        <v>234</v>
      </c>
      <c r="BD25" s="2" t="s">
        <v>54</v>
      </c>
      <c r="BE25" s="2" t="s">
        <v>48</v>
      </c>
      <c r="BF25" s="2" t="s">
        <v>50</v>
      </c>
      <c r="BG25" s="2"/>
      <c r="BH25" s="185" t="s">
        <v>3</v>
      </c>
      <c r="BI25" s="185" t="s">
        <v>151</v>
      </c>
      <c r="BJ25" s="185" t="s">
        <v>148</v>
      </c>
      <c r="BK25" s="185" t="s">
        <v>147</v>
      </c>
      <c r="BL25" s="100"/>
      <c r="BM25" s="97">
        <f t="shared" si="13"/>
        <v>2</v>
      </c>
      <c r="BN25" s="225" t="s">
        <v>294</v>
      </c>
      <c r="BO25" s="225" t="s">
        <v>310</v>
      </c>
      <c r="BP25" s="225" t="s">
        <v>258</v>
      </c>
      <c r="BQ25" s="225" t="s">
        <v>259</v>
      </c>
      <c r="BR25" s="225" t="s">
        <v>408</v>
      </c>
      <c r="BS25" s="225" t="s">
        <v>325</v>
      </c>
      <c r="BT25" s="225" t="s">
        <v>275</v>
      </c>
      <c r="BU25" s="225" t="s">
        <v>260</v>
      </c>
      <c r="BV25" s="2"/>
      <c r="BW25" s="259" t="s">
        <v>264</v>
      </c>
      <c r="BX25" s="259" t="s">
        <v>265</v>
      </c>
      <c r="BY25" s="259" t="s">
        <v>270</v>
      </c>
      <c r="BZ25" s="259" t="s">
        <v>336</v>
      </c>
      <c r="CA25" s="107"/>
      <c r="CB25" s="249"/>
      <c r="CC25" s="107"/>
      <c r="CD25" s="249"/>
      <c r="CE25" s="107"/>
      <c r="CF25" s="225" t="str">
        <f t="shared" si="14"/>
        <v/>
      </c>
      <c r="CG25" s="225" t="str">
        <f t="shared" si="15"/>
        <v/>
      </c>
      <c r="CH25" s="225" t="str">
        <f t="shared" si="16"/>
        <v/>
      </c>
      <c r="CI25" s="225" t="str">
        <f t="shared" si="17"/>
        <v/>
      </c>
      <c r="CJ25" s="225" t="str">
        <f t="shared" si="18"/>
        <v/>
      </c>
      <c r="CK25" s="225" t="str">
        <f t="shared" si="19"/>
        <v/>
      </c>
      <c r="CL25" s="225" t="str">
        <f t="shared" si="20"/>
        <v/>
      </c>
      <c r="CM25" s="225" t="str">
        <f t="shared" si="21"/>
        <v/>
      </c>
      <c r="CN25" s="225" t="str">
        <f t="shared" si="22"/>
        <v/>
      </c>
      <c r="CO25" s="225" t="str">
        <f t="shared" si="23"/>
        <v/>
      </c>
      <c r="CP25" s="250"/>
      <c r="CQ25" s="250" t="str">
        <f t="shared" si="24"/>
        <v/>
      </c>
      <c r="CR25" s="5">
        <v>23</v>
      </c>
      <c r="CU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5" s="373" t="str">
        <f t="shared" si="25"/>
        <v/>
      </c>
      <c r="CW25" s="2"/>
      <c r="CX25" s="104"/>
    </row>
    <row r="26" spans="1:102" ht="18.95" customHeight="1" x14ac:dyDescent="0.35">
      <c r="A26" s="262"/>
      <c r="B26" s="4">
        <v>24</v>
      </c>
      <c r="C26" s="181" t="s">
        <v>7</v>
      </c>
      <c r="E26" s="382" t="s">
        <v>589</v>
      </c>
      <c r="F26" s="69" t="s">
        <v>75</v>
      </c>
      <c r="H26" s="69" t="s">
        <v>428</v>
      </c>
      <c r="I26" s="69" t="s">
        <v>463</v>
      </c>
      <c r="J26" s="69" t="s">
        <v>423</v>
      </c>
      <c r="K26" s="160" t="s">
        <v>466</v>
      </c>
      <c r="L26" s="2"/>
      <c r="M26" s="4" t="s">
        <v>720</v>
      </c>
      <c r="N26" s="2"/>
      <c r="O26" s="230" t="str">
        <f>IF($A$2=B26,Elektro!$Q$11,"")</f>
        <v/>
      </c>
      <c r="P26" s="230" t="str">
        <f>IF($A$2=B26,Elektro!$Q$12,"")</f>
        <v/>
      </c>
      <c r="Q26" s="236" t="str">
        <f>IF($A$2=B26,Elektro!$Q$13,"")</f>
        <v/>
      </c>
      <c r="R26" s="231" t="str">
        <f>IF($A$2=B26,Elektro!$Q$14,"")</f>
        <v/>
      </c>
      <c r="S26" s="231" t="str">
        <f>IF($A$2=B26,Elektro!$Q$15,"")</f>
        <v/>
      </c>
      <c r="T26" s="230" t="str">
        <f>IF($A$2=B26,Elektro!$Q$16,"")</f>
        <v/>
      </c>
      <c r="U26" s="353" t="str">
        <f t="shared" si="0"/>
        <v/>
      </c>
      <c r="V26" s="353" t="str">
        <f t="shared" si="1"/>
        <v/>
      </c>
      <c r="W26" s="4" t="s">
        <v>139</v>
      </c>
      <c r="X26" s="4" t="s">
        <v>248</v>
      </c>
      <c r="Y26" s="4">
        <v>2</v>
      </c>
      <c r="Z26" s="4">
        <v>63.55</v>
      </c>
      <c r="AA26" s="232" t="str">
        <f t="shared" si="2"/>
        <v/>
      </c>
      <c r="AB26" s="233" t="str">
        <f t="shared" si="3"/>
        <v/>
      </c>
      <c r="AC26" s="233" t="str">
        <f t="shared" si="4"/>
        <v>mol/s</v>
      </c>
      <c r="AD26" s="231" t="str">
        <f t="shared" si="5"/>
        <v/>
      </c>
      <c r="AE26" s="231" t="s">
        <v>283</v>
      </c>
      <c r="AF26" s="232" t="str">
        <f t="shared" si="6"/>
        <v/>
      </c>
      <c r="AG26" s="236" t="s">
        <v>284</v>
      </c>
      <c r="AH26" s="4"/>
      <c r="AI26" s="4" t="s">
        <v>142</v>
      </c>
      <c r="AJ26" s="4" t="s">
        <v>20</v>
      </c>
      <c r="AK26" s="4">
        <v>2</v>
      </c>
      <c r="AL26" s="4">
        <v>2</v>
      </c>
      <c r="AM26" s="232" t="str">
        <f t="shared" si="7"/>
        <v/>
      </c>
      <c r="AN26" s="233" t="str">
        <f t="shared" si="8"/>
        <v/>
      </c>
      <c r="AO26" s="4" t="str">
        <f t="shared" si="9"/>
        <v>mol/s</v>
      </c>
      <c r="AP26" s="4"/>
      <c r="AQ26" s="4"/>
      <c r="AR26" s="4"/>
      <c r="AS26" s="4" t="s">
        <v>121</v>
      </c>
      <c r="AT26" s="4">
        <v>2</v>
      </c>
      <c r="AU26" s="5" t="s">
        <v>65</v>
      </c>
      <c r="AV26" s="248" t="str">
        <f t="shared" si="10"/>
        <v/>
      </c>
      <c r="AW26" s="248"/>
      <c r="AX26" s="4" t="str">
        <f t="shared" si="11"/>
        <v>M</v>
      </c>
      <c r="AY26" s="248" t="str">
        <f t="shared" si="12"/>
        <v/>
      </c>
      <c r="AZ26" s="232"/>
      <c r="BA26" s="4">
        <v>24</v>
      </c>
      <c r="BB26" s="2" t="s">
        <v>47</v>
      </c>
      <c r="BC26" s="2" t="s">
        <v>51</v>
      </c>
      <c r="BD26" s="2" t="s">
        <v>54</v>
      </c>
      <c r="BE26" s="2" t="s">
        <v>48</v>
      </c>
      <c r="BF26" s="2" t="s">
        <v>50</v>
      </c>
      <c r="BG26" s="2"/>
      <c r="BH26" s="185" t="s">
        <v>3</v>
      </c>
      <c r="BI26" s="185" t="s">
        <v>151</v>
      </c>
      <c r="BJ26" s="185" t="s">
        <v>148</v>
      </c>
      <c r="BK26" s="185" t="s">
        <v>147</v>
      </c>
      <c r="BL26" s="100"/>
      <c r="BM26" s="97">
        <f t="shared" si="13"/>
        <v>2</v>
      </c>
      <c r="BN26" s="225" t="s">
        <v>294</v>
      </c>
      <c r="BO26" s="225" t="s">
        <v>310</v>
      </c>
      <c r="BP26" s="225" t="s">
        <v>258</v>
      </c>
      <c r="BQ26" s="225" t="s">
        <v>259</v>
      </c>
      <c r="BR26" s="225" t="s">
        <v>408</v>
      </c>
      <c r="BS26" s="225" t="s">
        <v>325</v>
      </c>
      <c r="BT26" s="225" t="s">
        <v>275</v>
      </c>
      <c r="BU26" s="225" t="s">
        <v>260</v>
      </c>
      <c r="BV26" s="2"/>
      <c r="BW26" s="259" t="s">
        <v>264</v>
      </c>
      <c r="BX26" s="259" t="s">
        <v>265</v>
      </c>
      <c r="BY26" s="259" t="s">
        <v>270</v>
      </c>
      <c r="BZ26" s="259" t="s">
        <v>336</v>
      </c>
      <c r="CA26" s="107"/>
      <c r="CB26" s="249"/>
      <c r="CC26" s="107"/>
      <c r="CD26" s="249"/>
      <c r="CE26" s="107"/>
      <c r="CF26" s="225" t="str">
        <f t="shared" si="14"/>
        <v/>
      </c>
      <c r="CG26" s="225" t="str">
        <f t="shared" si="15"/>
        <v/>
      </c>
      <c r="CH26" s="225" t="str">
        <f t="shared" si="16"/>
        <v/>
      </c>
      <c r="CI26" s="225" t="str">
        <f t="shared" si="17"/>
        <v/>
      </c>
      <c r="CJ26" s="225" t="str">
        <f t="shared" si="18"/>
        <v/>
      </c>
      <c r="CK26" s="225" t="str">
        <f t="shared" si="19"/>
        <v/>
      </c>
      <c r="CL26" s="225" t="str">
        <f t="shared" si="20"/>
        <v/>
      </c>
      <c r="CM26" s="225" t="str">
        <f t="shared" si="21"/>
        <v/>
      </c>
      <c r="CN26" s="225" t="str">
        <f t="shared" si="22"/>
        <v/>
      </c>
      <c r="CO26" s="225" t="str">
        <f t="shared" si="23"/>
        <v/>
      </c>
      <c r="CP26" s="250"/>
      <c r="CQ26" s="250" t="str">
        <f t="shared" si="24"/>
        <v/>
      </c>
      <c r="CR26" s="5">
        <v>24</v>
      </c>
      <c r="CU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6" s="373" t="str">
        <f t="shared" si="25"/>
        <v/>
      </c>
      <c r="CW26" s="2"/>
      <c r="CX26" s="104"/>
    </row>
    <row r="27" spans="1:102" ht="18.95" customHeight="1" x14ac:dyDescent="0.35">
      <c r="A27" s="262"/>
      <c r="B27" s="4">
        <v>25</v>
      </c>
      <c r="C27" s="181" t="s">
        <v>684</v>
      </c>
      <c r="E27" s="382" t="s">
        <v>590</v>
      </c>
      <c r="F27" s="69"/>
      <c r="H27" s="69" t="s">
        <v>468</v>
      </c>
      <c r="I27" s="69" t="s">
        <v>463</v>
      </c>
      <c r="J27" s="69" t="s">
        <v>262</v>
      </c>
      <c r="K27" s="160" t="s">
        <v>469</v>
      </c>
      <c r="L27" s="2"/>
      <c r="M27" s="69" t="s">
        <v>721</v>
      </c>
      <c r="N27" s="2"/>
      <c r="O27" s="230" t="str">
        <f>IF($A$2=B27,Elektro!$Q$11,"")</f>
        <v/>
      </c>
      <c r="P27" s="230" t="str">
        <f>IF($A$2=B27,Elektro!$Q$12,"")</f>
        <v/>
      </c>
      <c r="Q27" s="236" t="str">
        <f>IF($A$2=B27,Elektro!$Q$13,"")</f>
        <v/>
      </c>
      <c r="R27" s="231" t="str">
        <f>IF($A$2=B27,Elektro!$Q$14,"")</f>
        <v/>
      </c>
      <c r="S27" s="231" t="str">
        <f>IF($A$2=B27,Elektro!$Q$15,"")</f>
        <v/>
      </c>
      <c r="T27" s="230" t="str">
        <f>IF($A$2=B27,Elektro!$Q$16,"")</f>
        <v/>
      </c>
      <c r="U27" s="353" t="str">
        <f t="shared" si="0"/>
        <v/>
      </c>
      <c r="V27" s="353" t="str">
        <f t="shared" si="1"/>
        <v/>
      </c>
      <c r="W27" s="4" t="s">
        <v>139</v>
      </c>
      <c r="X27" s="4" t="s">
        <v>248</v>
      </c>
      <c r="Y27" s="4">
        <v>2</v>
      </c>
      <c r="Z27" s="4">
        <v>63.55</v>
      </c>
      <c r="AA27" s="232" t="str">
        <f t="shared" si="2"/>
        <v/>
      </c>
      <c r="AB27" s="233" t="str">
        <f t="shared" si="3"/>
        <v/>
      </c>
      <c r="AC27" s="233" t="str">
        <f t="shared" si="4"/>
        <v>mol/s</v>
      </c>
      <c r="AD27" s="231" t="str">
        <f t="shared" si="5"/>
        <v/>
      </c>
      <c r="AE27" s="231" t="s">
        <v>283</v>
      </c>
      <c r="AF27" s="232" t="str">
        <f t="shared" si="6"/>
        <v/>
      </c>
      <c r="AG27" s="236" t="s">
        <v>284</v>
      </c>
      <c r="AH27" s="4"/>
      <c r="AI27" s="4" t="s">
        <v>107</v>
      </c>
      <c r="AJ27" s="4" t="s">
        <v>282</v>
      </c>
      <c r="AK27" s="4">
        <v>2</v>
      </c>
      <c r="AL27" s="4">
        <v>63.55</v>
      </c>
      <c r="AM27" s="232" t="str">
        <f t="shared" si="7"/>
        <v/>
      </c>
      <c r="AN27" s="233" t="str">
        <f t="shared" si="8"/>
        <v/>
      </c>
      <c r="AO27" s="4" t="str">
        <f t="shared" si="9"/>
        <v>g/s</v>
      </c>
      <c r="AP27" s="4"/>
      <c r="AQ27" s="4"/>
      <c r="AR27" s="4"/>
      <c r="AS27" s="4" t="s">
        <v>368</v>
      </c>
      <c r="AT27" s="4">
        <v>0</v>
      </c>
      <c r="AV27" s="248" t="str">
        <f t="shared" si="10"/>
        <v/>
      </c>
      <c r="AW27" s="248"/>
      <c r="AX27" s="4" t="str">
        <f t="shared" si="11"/>
        <v>M</v>
      </c>
      <c r="AY27" s="248" t="str">
        <f t="shared" si="12"/>
        <v/>
      </c>
      <c r="AZ27" s="232"/>
      <c r="BA27" s="4">
        <v>25</v>
      </c>
      <c r="BB27" s="2" t="s">
        <v>47</v>
      </c>
      <c r="BC27" s="2" t="s">
        <v>52</v>
      </c>
      <c r="BD27" s="2" t="s">
        <v>54</v>
      </c>
      <c r="BE27" s="2" t="s">
        <v>48</v>
      </c>
      <c r="BF27" s="2" t="s">
        <v>53</v>
      </c>
      <c r="BG27" s="2"/>
      <c r="BH27" s="185" t="s">
        <v>3</v>
      </c>
      <c r="BI27" s="185" t="s">
        <v>151</v>
      </c>
      <c r="BJ27" s="185" t="s">
        <v>151</v>
      </c>
      <c r="BK27" s="185" t="s">
        <v>3</v>
      </c>
      <c r="BL27" s="100"/>
      <c r="BM27" s="97">
        <f t="shared" si="13"/>
        <v>0</v>
      </c>
      <c r="BN27" s="225" t="s">
        <v>296</v>
      </c>
      <c r="BO27" s="225" t="s">
        <v>310</v>
      </c>
      <c r="BP27" s="225" t="s">
        <v>258</v>
      </c>
      <c r="BQ27" s="225" t="s">
        <v>259</v>
      </c>
      <c r="BR27" s="225" t="s">
        <v>384</v>
      </c>
      <c r="BS27" s="225" t="s">
        <v>325</v>
      </c>
      <c r="BT27" s="225" t="s">
        <v>375</v>
      </c>
      <c r="BU27" s="225" t="s">
        <v>260</v>
      </c>
      <c r="BV27" s="2"/>
      <c r="BW27" s="259" t="s">
        <v>270</v>
      </c>
      <c r="BX27" s="259" t="s">
        <v>349</v>
      </c>
      <c r="BY27" s="259" t="s">
        <v>270</v>
      </c>
      <c r="BZ27" s="259" t="s">
        <v>336</v>
      </c>
      <c r="CA27" s="107"/>
      <c r="CB27" s="249"/>
      <c r="CC27" s="107"/>
      <c r="CD27" s="249"/>
      <c r="CE27" s="107"/>
      <c r="CF27" s="225" t="str">
        <f t="shared" si="14"/>
        <v/>
      </c>
      <c r="CG27" s="225" t="str">
        <f t="shared" si="15"/>
        <v/>
      </c>
      <c r="CH27" s="225" t="str">
        <f t="shared" si="16"/>
        <v/>
      </c>
      <c r="CI27" s="225" t="str">
        <f t="shared" si="17"/>
        <v/>
      </c>
      <c r="CJ27" s="225" t="str">
        <f t="shared" si="18"/>
        <v/>
      </c>
      <c r="CK27" s="225" t="str">
        <f t="shared" si="19"/>
        <v/>
      </c>
      <c r="CL27" s="225" t="str">
        <f t="shared" si="20"/>
        <v/>
      </c>
      <c r="CM27" s="225" t="str">
        <f t="shared" si="21"/>
        <v/>
      </c>
      <c r="CN27" s="225" t="str">
        <f t="shared" si="22"/>
        <v/>
      </c>
      <c r="CO27" s="225" t="str">
        <f t="shared" si="23"/>
        <v/>
      </c>
      <c r="CP27" s="250"/>
      <c r="CQ27" s="250" t="str">
        <f t="shared" si="24"/>
        <v/>
      </c>
      <c r="CR27" s="5">
        <v>25</v>
      </c>
      <c r="CU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7" s="373" t="str">
        <f t="shared" si="25"/>
        <v/>
      </c>
      <c r="CW27" s="2"/>
      <c r="CX27" s="104"/>
    </row>
    <row r="28" spans="1:102" ht="18.95" customHeight="1" x14ac:dyDescent="0.35">
      <c r="A28" s="262"/>
      <c r="B28" s="4">
        <v>26</v>
      </c>
      <c r="C28" s="181" t="s">
        <v>693</v>
      </c>
      <c r="E28" s="382" t="s">
        <v>668</v>
      </c>
      <c r="F28" s="69"/>
      <c r="H28" s="69" t="s">
        <v>470</v>
      </c>
      <c r="I28" s="69" t="s">
        <v>463</v>
      </c>
      <c r="J28" s="69" t="s">
        <v>262</v>
      </c>
      <c r="K28" s="160" t="s">
        <v>469</v>
      </c>
      <c r="L28" s="2"/>
      <c r="M28" s="69" t="s">
        <v>722</v>
      </c>
      <c r="N28" s="2"/>
      <c r="O28" s="230" t="str">
        <f>IF($A$2=B28,Elektro!$Q$11,"")</f>
        <v/>
      </c>
      <c r="P28" s="230" t="str">
        <f>IF($A$2=B28,Elektro!$Q$12,"")</f>
        <v/>
      </c>
      <c r="Q28" s="236" t="str">
        <f>IF($A$2=B28,Elektro!$Q$13,"")</f>
        <v/>
      </c>
      <c r="R28" s="231" t="str">
        <f>IF($A$2=B28,Elektro!$Q$14,"")</f>
        <v/>
      </c>
      <c r="S28" s="231" t="str">
        <f>IF($A$2=B28,Elektro!$Q$15,"")</f>
        <v/>
      </c>
      <c r="T28" s="230" t="str">
        <f>IF($A$2=B28,Elektro!$Q$16,"")</f>
        <v/>
      </c>
      <c r="U28" s="353" t="str">
        <f t="shared" si="0"/>
        <v/>
      </c>
      <c r="V28" s="353" t="str">
        <f t="shared" si="1"/>
        <v/>
      </c>
      <c r="W28" s="4" t="s">
        <v>139</v>
      </c>
      <c r="X28" s="4" t="s">
        <v>248</v>
      </c>
      <c r="Y28" s="4">
        <v>2</v>
      </c>
      <c r="Z28" s="4">
        <v>63.55</v>
      </c>
      <c r="AA28" s="232" t="str">
        <f t="shared" si="2"/>
        <v/>
      </c>
      <c r="AB28" s="233" t="str">
        <f t="shared" si="3"/>
        <v/>
      </c>
      <c r="AC28" s="233" t="str">
        <f t="shared" si="4"/>
        <v>mol/s</v>
      </c>
      <c r="AD28" s="231" t="str">
        <f t="shared" si="5"/>
        <v/>
      </c>
      <c r="AE28" s="231" t="s">
        <v>283</v>
      </c>
      <c r="AF28" s="232" t="str">
        <f t="shared" si="6"/>
        <v/>
      </c>
      <c r="AG28" s="236" t="s">
        <v>284</v>
      </c>
      <c r="AH28" s="4"/>
      <c r="AI28" s="4" t="s">
        <v>107</v>
      </c>
      <c r="AJ28" s="4" t="s">
        <v>282</v>
      </c>
      <c r="AK28" s="4">
        <v>2</v>
      </c>
      <c r="AL28" s="4">
        <v>63.55</v>
      </c>
      <c r="AM28" s="232" t="str">
        <f t="shared" si="7"/>
        <v/>
      </c>
      <c r="AN28" s="233" t="str">
        <f t="shared" si="8"/>
        <v/>
      </c>
      <c r="AO28" s="4" t="str">
        <f t="shared" si="9"/>
        <v>g/s</v>
      </c>
      <c r="AP28" s="4"/>
      <c r="AQ28" s="4"/>
      <c r="AR28" s="4"/>
      <c r="AS28" s="4" t="s">
        <v>368</v>
      </c>
      <c r="AT28" s="4">
        <v>0</v>
      </c>
      <c r="AV28" s="248" t="str">
        <f t="shared" si="10"/>
        <v/>
      </c>
      <c r="AW28" s="248"/>
      <c r="AX28" s="4" t="str">
        <f t="shared" si="11"/>
        <v>M</v>
      </c>
      <c r="AY28" s="248" t="str">
        <f t="shared" si="12"/>
        <v/>
      </c>
      <c r="AZ28" s="232"/>
      <c r="BA28" s="4">
        <v>26</v>
      </c>
      <c r="BB28" s="2" t="s">
        <v>47</v>
      </c>
      <c r="BC28" s="2" t="s">
        <v>234</v>
      </c>
      <c r="BD28" s="2" t="s">
        <v>54</v>
      </c>
      <c r="BE28" s="2" t="s">
        <v>48</v>
      </c>
      <c r="BF28" s="2" t="s">
        <v>53</v>
      </c>
      <c r="BG28" s="2"/>
      <c r="BH28" s="185" t="s">
        <v>3</v>
      </c>
      <c r="BI28" s="185" t="s">
        <v>151</v>
      </c>
      <c r="BJ28" s="185" t="s">
        <v>151</v>
      </c>
      <c r="BK28" s="185" t="s">
        <v>3</v>
      </c>
      <c r="BL28" s="100"/>
      <c r="BM28" s="97">
        <f t="shared" si="13"/>
        <v>0</v>
      </c>
      <c r="BN28" s="225" t="s">
        <v>296</v>
      </c>
      <c r="BO28" s="225" t="s">
        <v>310</v>
      </c>
      <c r="BP28" s="225" t="s">
        <v>258</v>
      </c>
      <c r="BQ28" s="225" t="s">
        <v>259</v>
      </c>
      <c r="BR28" s="225" t="s">
        <v>384</v>
      </c>
      <c r="BS28" s="225" t="s">
        <v>325</v>
      </c>
      <c r="BT28" s="225" t="s">
        <v>375</v>
      </c>
      <c r="BU28" s="225" t="s">
        <v>260</v>
      </c>
      <c r="BV28" s="2"/>
      <c r="BW28" s="259" t="s">
        <v>270</v>
      </c>
      <c r="BX28" s="259" t="s">
        <v>349</v>
      </c>
      <c r="BY28" s="259" t="s">
        <v>270</v>
      </c>
      <c r="BZ28" s="259" t="s">
        <v>336</v>
      </c>
      <c r="CA28" s="107"/>
      <c r="CB28" s="249"/>
      <c r="CC28" s="107"/>
      <c r="CD28" s="249"/>
      <c r="CE28" s="107"/>
      <c r="CF28" s="225" t="str">
        <f t="shared" si="14"/>
        <v/>
      </c>
      <c r="CG28" s="225" t="str">
        <f t="shared" si="15"/>
        <v/>
      </c>
      <c r="CH28" s="225" t="str">
        <f t="shared" si="16"/>
        <v/>
      </c>
      <c r="CI28" s="225" t="str">
        <f t="shared" si="17"/>
        <v/>
      </c>
      <c r="CJ28" s="225" t="str">
        <f t="shared" si="18"/>
        <v/>
      </c>
      <c r="CK28" s="225" t="str">
        <f t="shared" si="19"/>
        <v/>
      </c>
      <c r="CL28" s="225" t="str">
        <f t="shared" si="20"/>
        <v/>
      </c>
      <c r="CM28" s="225" t="str">
        <f t="shared" si="21"/>
        <v/>
      </c>
      <c r="CN28" s="225" t="str">
        <f t="shared" si="22"/>
        <v/>
      </c>
      <c r="CO28" s="225" t="str">
        <f t="shared" si="23"/>
        <v/>
      </c>
      <c r="CP28" s="250"/>
      <c r="CQ28" s="250" t="str">
        <f t="shared" si="24"/>
        <v/>
      </c>
      <c r="CR28" s="5">
        <v>26</v>
      </c>
      <c r="CU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8" s="373" t="str">
        <f t="shared" si="25"/>
        <v/>
      </c>
      <c r="CW28" s="2"/>
      <c r="CX28" s="104"/>
    </row>
    <row r="29" spans="1:102" ht="18.95" customHeight="1" x14ac:dyDescent="0.35">
      <c r="A29" s="262"/>
      <c r="B29" s="4">
        <v>27</v>
      </c>
      <c r="C29" s="181" t="s">
        <v>685</v>
      </c>
      <c r="E29" s="382" t="s">
        <v>601</v>
      </c>
      <c r="F29" s="69" t="s">
        <v>75</v>
      </c>
      <c r="H29" s="69" t="s">
        <v>471</v>
      </c>
      <c r="I29" s="69" t="s">
        <v>463</v>
      </c>
      <c r="J29" s="69" t="s">
        <v>262</v>
      </c>
      <c r="K29" s="160" t="s">
        <v>469</v>
      </c>
      <c r="L29" s="2"/>
      <c r="M29" s="69" t="s">
        <v>723</v>
      </c>
      <c r="N29" s="2"/>
      <c r="O29" s="230" t="str">
        <f>IF($A$2=B29,Elektro!$Q$11,"")</f>
        <v/>
      </c>
      <c r="P29" s="230" t="str">
        <f>IF($A$2=B29,Elektro!$Q$12,"")</f>
        <v/>
      </c>
      <c r="Q29" s="236" t="str">
        <f>IF($A$2=B29,Elektro!$Q$13,"")</f>
        <v/>
      </c>
      <c r="R29" s="231" t="str">
        <f>IF($A$2=B29,Elektro!$Q$14,"")</f>
        <v/>
      </c>
      <c r="S29" s="231" t="str">
        <f>IF($A$2=B29,Elektro!$Q$15,"")</f>
        <v/>
      </c>
      <c r="T29" s="230" t="str">
        <f>IF($A$2=B29,Elektro!$Q$16,"")</f>
        <v/>
      </c>
      <c r="U29" s="353" t="str">
        <f t="shared" si="0"/>
        <v/>
      </c>
      <c r="V29" s="353" t="str">
        <f t="shared" si="1"/>
        <v/>
      </c>
      <c r="W29" s="4" t="s">
        <v>139</v>
      </c>
      <c r="X29" s="4" t="s">
        <v>248</v>
      </c>
      <c r="Y29" s="4">
        <v>2</v>
      </c>
      <c r="Z29" s="4">
        <v>63.55</v>
      </c>
      <c r="AA29" s="232" t="str">
        <f t="shared" si="2"/>
        <v/>
      </c>
      <c r="AB29" s="233" t="str">
        <f t="shared" si="3"/>
        <v/>
      </c>
      <c r="AC29" s="233" t="str">
        <f t="shared" si="4"/>
        <v>mol/s</v>
      </c>
      <c r="AD29" s="231" t="str">
        <f t="shared" si="5"/>
        <v/>
      </c>
      <c r="AE29" s="231" t="s">
        <v>283</v>
      </c>
      <c r="AF29" s="232" t="str">
        <f t="shared" si="6"/>
        <v/>
      </c>
      <c r="AG29" s="236" t="s">
        <v>284</v>
      </c>
      <c r="AH29" s="4"/>
      <c r="AI29" s="4" t="s">
        <v>107</v>
      </c>
      <c r="AJ29" s="4" t="s">
        <v>282</v>
      </c>
      <c r="AK29" s="4">
        <v>2</v>
      </c>
      <c r="AL29" s="4">
        <v>63.55</v>
      </c>
      <c r="AM29" s="232" t="str">
        <f t="shared" si="7"/>
        <v/>
      </c>
      <c r="AN29" s="233" t="str">
        <f t="shared" si="8"/>
        <v/>
      </c>
      <c r="AO29" s="4" t="str">
        <f t="shared" si="9"/>
        <v>g/s</v>
      </c>
      <c r="AP29" s="4"/>
      <c r="AQ29" s="4"/>
      <c r="AR29" s="4"/>
      <c r="AS29" s="4" t="s">
        <v>121</v>
      </c>
      <c r="AT29" s="4">
        <v>2</v>
      </c>
      <c r="AU29" s="5" t="s">
        <v>65</v>
      </c>
      <c r="AV29" s="248" t="str">
        <f t="shared" si="10"/>
        <v/>
      </c>
      <c r="AW29" s="248"/>
      <c r="AX29" s="4" t="str">
        <f t="shared" si="11"/>
        <v>M</v>
      </c>
      <c r="AY29" s="248" t="str">
        <f t="shared" si="12"/>
        <v/>
      </c>
      <c r="AZ29" s="232"/>
      <c r="BA29" s="4">
        <v>27</v>
      </c>
      <c r="BB29" s="2" t="s">
        <v>47</v>
      </c>
      <c r="BC29" s="2" t="s">
        <v>51</v>
      </c>
      <c r="BD29" s="2" t="s">
        <v>54</v>
      </c>
      <c r="BE29" s="2" t="s">
        <v>48</v>
      </c>
      <c r="BF29" s="2" t="s">
        <v>53</v>
      </c>
      <c r="BG29" s="2"/>
      <c r="BH29" s="185" t="s">
        <v>3</v>
      </c>
      <c r="BI29" s="185" t="s">
        <v>151</v>
      </c>
      <c r="BJ29" s="185" t="s">
        <v>151</v>
      </c>
      <c r="BK29" s="185" t="s">
        <v>3</v>
      </c>
      <c r="BL29" s="100"/>
      <c r="BM29" s="97">
        <f t="shared" si="13"/>
        <v>2</v>
      </c>
      <c r="BN29" s="225" t="s">
        <v>296</v>
      </c>
      <c r="BO29" s="225" t="s">
        <v>310</v>
      </c>
      <c r="BP29" s="225" t="s">
        <v>258</v>
      </c>
      <c r="BQ29" s="225" t="s">
        <v>259</v>
      </c>
      <c r="BR29" s="225" t="s">
        <v>384</v>
      </c>
      <c r="BS29" s="225" t="s">
        <v>325</v>
      </c>
      <c r="BT29" s="225" t="s">
        <v>375</v>
      </c>
      <c r="BU29" s="225" t="s">
        <v>260</v>
      </c>
      <c r="BV29" s="2"/>
      <c r="BW29" s="259" t="s">
        <v>270</v>
      </c>
      <c r="BX29" s="259" t="s">
        <v>349</v>
      </c>
      <c r="BY29" s="259" t="s">
        <v>270</v>
      </c>
      <c r="BZ29" s="259" t="s">
        <v>336</v>
      </c>
      <c r="CA29" s="107"/>
      <c r="CB29" s="249"/>
      <c r="CC29" s="107"/>
      <c r="CD29" s="249"/>
      <c r="CE29" s="107"/>
      <c r="CF29" s="225" t="str">
        <f t="shared" si="14"/>
        <v/>
      </c>
      <c r="CG29" s="225" t="str">
        <f t="shared" si="15"/>
        <v/>
      </c>
      <c r="CH29" s="225" t="str">
        <f t="shared" si="16"/>
        <v/>
      </c>
      <c r="CI29" s="225" t="str">
        <f t="shared" si="17"/>
        <v/>
      </c>
      <c r="CJ29" s="225" t="str">
        <f t="shared" si="18"/>
        <v/>
      </c>
      <c r="CK29" s="225" t="str">
        <f t="shared" si="19"/>
        <v/>
      </c>
      <c r="CL29" s="225" t="str">
        <f t="shared" si="20"/>
        <v/>
      </c>
      <c r="CM29" s="225" t="str">
        <f t="shared" si="21"/>
        <v/>
      </c>
      <c r="CN29" s="225" t="str">
        <f t="shared" si="22"/>
        <v/>
      </c>
      <c r="CO29" s="225" t="str">
        <f t="shared" si="23"/>
        <v/>
      </c>
      <c r="CP29" s="250"/>
      <c r="CQ29" s="250" t="str">
        <f t="shared" si="24"/>
        <v/>
      </c>
      <c r="CR29" s="5">
        <v>27</v>
      </c>
      <c r="CU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9" s="373" t="str">
        <f t="shared" si="25"/>
        <v/>
      </c>
      <c r="CW29" s="2"/>
      <c r="CX29" s="104"/>
    </row>
    <row r="30" spans="1:102" ht="18.95" customHeight="1" x14ac:dyDescent="0.35">
      <c r="A30" s="262"/>
      <c r="B30" s="4">
        <v>28</v>
      </c>
      <c r="C30" s="4" t="s">
        <v>8</v>
      </c>
      <c r="E30" s="382" t="s">
        <v>591</v>
      </c>
      <c r="F30" s="69"/>
      <c r="H30" s="69" t="s">
        <v>436</v>
      </c>
      <c r="I30" s="69" t="s">
        <v>431</v>
      </c>
      <c r="J30" s="69" t="s">
        <v>437</v>
      </c>
      <c r="K30" s="160" t="s">
        <v>472</v>
      </c>
      <c r="L30" s="2"/>
      <c r="M30" s="69" t="s">
        <v>724</v>
      </c>
      <c r="N30" s="2"/>
      <c r="O30" s="230" t="str">
        <f>IF($A$2=B30,Elektro!$Q$11,"")</f>
        <v/>
      </c>
      <c r="P30" s="230" t="str">
        <f>IF($A$2=B30,Elektro!$Q$12,"")</f>
        <v/>
      </c>
      <c r="Q30" s="236" t="str">
        <f>IF($A$2=B30,Elektro!$Q$13,"")</f>
        <v/>
      </c>
      <c r="R30" s="231" t="str">
        <f>IF($A$2=B30,Elektro!$Q$14,"")</f>
        <v/>
      </c>
      <c r="S30" s="231" t="str">
        <f>IF($A$2=B30,Elektro!$Q$15,"")</f>
        <v/>
      </c>
      <c r="T30" s="230" t="str">
        <f>IF($A$2=B30,Elektro!$Q$16,"")</f>
        <v/>
      </c>
      <c r="U30" s="353" t="str">
        <f t="shared" si="0"/>
        <v/>
      </c>
      <c r="V30" s="353" t="str">
        <f t="shared" si="1"/>
        <v/>
      </c>
      <c r="W30" s="4" t="s">
        <v>137</v>
      </c>
      <c r="X30" s="4" t="s">
        <v>20</v>
      </c>
      <c r="Y30" s="4">
        <v>2</v>
      </c>
      <c r="Z30" s="4">
        <v>71</v>
      </c>
      <c r="AA30" s="232" t="str">
        <f t="shared" si="2"/>
        <v/>
      </c>
      <c r="AB30" s="233" t="str">
        <f t="shared" si="3"/>
        <v/>
      </c>
      <c r="AC30" s="233" t="str">
        <f t="shared" si="4"/>
        <v>mol/s</v>
      </c>
      <c r="AD30" s="231" t="str">
        <f t="shared" si="5"/>
        <v/>
      </c>
      <c r="AE30" s="231" t="s">
        <v>283</v>
      </c>
      <c r="AF30" s="232" t="str">
        <f t="shared" si="6"/>
        <v/>
      </c>
      <c r="AG30" s="236" t="s">
        <v>284</v>
      </c>
      <c r="AH30" s="4"/>
      <c r="AI30" s="4" t="s">
        <v>108</v>
      </c>
      <c r="AJ30" s="4" t="s">
        <v>282</v>
      </c>
      <c r="AK30" s="4">
        <v>1</v>
      </c>
      <c r="AL30" s="4">
        <v>22.99</v>
      </c>
      <c r="AM30" s="232" t="str">
        <f t="shared" si="7"/>
        <v/>
      </c>
      <c r="AN30" s="233" t="str">
        <f t="shared" si="8"/>
        <v/>
      </c>
      <c r="AO30" s="4" t="str">
        <f t="shared" si="9"/>
        <v>g/s</v>
      </c>
      <c r="AP30" s="4"/>
      <c r="AQ30" s="4"/>
      <c r="AR30" s="4"/>
      <c r="AS30" s="4"/>
      <c r="AT30" s="4">
        <v>0</v>
      </c>
      <c r="AV30" s="248" t="str">
        <f t="shared" si="10"/>
        <v/>
      </c>
      <c r="AW30" s="248"/>
      <c r="AX30" s="4" t="str">
        <f t="shared" si="11"/>
        <v>M</v>
      </c>
      <c r="AY30" s="248" t="str">
        <f t="shared" si="12"/>
        <v/>
      </c>
      <c r="AZ30" s="232"/>
      <c r="BA30" s="4">
        <v>28</v>
      </c>
      <c r="BB30" s="2"/>
      <c r="BC30" s="2"/>
      <c r="BD30" s="2"/>
      <c r="BE30" s="2"/>
      <c r="BF30" s="2"/>
      <c r="BG30" s="2"/>
      <c r="BH30" s="185" t="s">
        <v>144</v>
      </c>
      <c r="BI30" s="185" t="s">
        <v>145</v>
      </c>
      <c r="BJ30" s="185" t="s">
        <v>152</v>
      </c>
      <c r="BK30" s="185" t="s">
        <v>27</v>
      </c>
      <c r="BL30" s="100"/>
      <c r="BM30" s="97">
        <f t="shared" si="13"/>
        <v>0</v>
      </c>
      <c r="BN30" s="225" t="s">
        <v>297</v>
      </c>
      <c r="BO30" s="225" t="s">
        <v>309</v>
      </c>
      <c r="BP30" s="225" t="s">
        <v>258</v>
      </c>
      <c r="BQ30" s="225" t="s">
        <v>259</v>
      </c>
      <c r="BR30" s="225" t="s">
        <v>410</v>
      </c>
      <c r="BS30" s="225" t="s">
        <v>324</v>
      </c>
      <c r="BT30" s="225"/>
      <c r="BU30" s="225"/>
      <c r="BV30" s="2"/>
      <c r="BW30" s="259" t="s">
        <v>332</v>
      </c>
      <c r="BX30" s="259" t="s">
        <v>333</v>
      </c>
      <c r="BY30" s="259" t="s">
        <v>281</v>
      </c>
      <c r="BZ30" s="259" t="s">
        <v>271</v>
      </c>
      <c r="CA30" s="107"/>
      <c r="CB30" s="249"/>
      <c r="CC30" s="107"/>
      <c r="CD30" s="249"/>
      <c r="CE30" s="107"/>
      <c r="CF30" s="225" t="str">
        <f t="shared" si="14"/>
        <v/>
      </c>
      <c r="CG30" s="225" t="str">
        <f t="shared" si="15"/>
        <v/>
      </c>
      <c r="CH30" s="225" t="str">
        <f t="shared" si="16"/>
        <v/>
      </c>
      <c r="CI30" s="225" t="str">
        <f t="shared" si="17"/>
        <v/>
      </c>
      <c r="CJ30" s="225" t="str">
        <f t="shared" si="18"/>
        <v/>
      </c>
      <c r="CK30" s="225" t="str">
        <f t="shared" si="19"/>
        <v/>
      </c>
      <c r="CL30" s="225" t="str">
        <f t="shared" si="20"/>
        <v/>
      </c>
      <c r="CM30" s="225" t="str">
        <f t="shared" si="21"/>
        <v/>
      </c>
      <c r="CN30" s="225" t="str">
        <f t="shared" si="22"/>
        <v/>
      </c>
      <c r="CO30" s="225" t="str">
        <f t="shared" si="23"/>
        <v/>
      </c>
      <c r="CP30" s="250"/>
      <c r="CQ30" s="250" t="str">
        <f t="shared" si="24"/>
        <v/>
      </c>
      <c r="CR30" s="5">
        <v>28</v>
      </c>
      <c r="CU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0" s="373" t="str">
        <f t="shared" si="25"/>
        <v/>
      </c>
      <c r="CW30" s="2"/>
      <c r="CX30" s="104"/>
    </row>
    <row r="31" spans="1:102" ht="18.95" customHeight="1" x14ac:dyDescent="0.35">
      <c r="A31" s="262"/>
      <c r="B31" s="4">
        <v>29</v>
      </c>
      <c r="C31" s="4" t="s">
        <v>686</v>
      </c>
      <c r="E31" s="382" t="s">
        <v>592</v>
      </c>
      <c r="F31" s="69"/>
      <c r="H31" s="69" t="s">
        <v>473</v>
      </c>
      <c r="I31" s="69" t="s">
        <v>431</v>
      </c>
      <c r="J31" s="69" t="s">
        <v>440</v>
      </c>
      <c r="K31" s="160" t="s">
        <v>474</v>
      </c>
      <c r="L31" s="2"/>
      <c r="M31" s="69" t="s">
        <v>725</v>
      </c>
      <c r="N31" s="2"/>
      <c r="O31" s="230" t="str">
        <f>IF($A$2=B31,Elektro!$Q$11,"")</f>
        <v/>
      </c>
      <c r="P31" s="230" t="str">
        <f>IF($A$2=B31,Elektro!$Q$12,"")</f>
        <v/>
      </c>
      <c r="Q31" s="236" t="str">
        <f>IF($A$2=B31,Elektro!$Q$13,"")</f>
        <v/>
      </c>
      <c r="R31" s="231" t="str">
        <f>IF($A$2=B31,Elektro!$Q$14,"")</f>
        <v/>
      </c>
      <c r="S31" s="231" t="str">
        <f>IF($A$2=B31,Elektro!$Q$15,"")</f>
        <v/>
      </c>
      <c r="T31" s="230" t="str">
        <f>IF($A$2=B31,Elektro!$Q$16,"")</f>
        <v/>
      </c>
      <c r="U31" s="353" t="str">
        <f t="shared" si="0"/>
        <v/>
      </c>
      <c r="V31" s="353" t="str">
        <f t="shared" si="1"/>
        <v/>
      </c>
      <c r="W31" s="4" t="s">
        <v>137</v>
      </c>
      <c r="X31" s="4" t="s">
        <v>20</v>
      </c>
      <c r="Y31" s="4">
        <v>2</v>
      </c>
      <c r="Z31" s="4">
        <v>71</v>
      </c>
      <c r="AA31" s="232" t="str">
        <f t="shared" si="2"/>
        <v/>
      </c>
      <c r="AB31" s="233" t="str">
        <f t="shared" si="3"/>
        <v/>
      </c>
      <c r="AC31" s="233" t="str">
        <f t="shared" si="4"/>
        <v>mol/s</v>
      </c>
      <c r="AD31" s="231" t="str">
        <f t="shared" si="5"/>
        <v/>
      </c>
      <c r="AE31" s="231" t="s">
        <v>283</v>
      </c>
      <c r="AF31" s="232" t="str">
        <f t="shared" si="6"/>
        <v/>
      </c>
      <c r="AG31" s="236" t="s">
        <v>284</v>
      </c>
      <c r="AH31" s="4"/>
      <c r="AI31" s="4" t="s">
        <v>109</v>
      </c>
      <c r="AJ31" s="4" t="s">
        <v>282</v>
      </c>
      <c r="AK31" s="4">
        <v>2</v>
      </c>
      <c r="AL31" s="4">
        <v>24.31</v>
      </c>
      <c r="AM31" s="232" t="str">
        <f t="shared" si="7"/>
        <v/>
      </c>
      <c r="AN31" s="233" t="str">
        <f t="shared" si="8"/>
        <v/>
      </c>
      <c r="AO31" s="4" t="str">
        <f t="shared" si="9"/>
        <v>g/s</v>
      </c>
      <c r="AP31" s="4"/>
      <c r="AQ31" s="4"/>
      <c r="AR31" s="4"/>
      <c r="AS31" s="4"/>
      <c r="AT31" s="4">
        <v>0</v>
      </c>
      <c r="AV31" s="248" t="str">
        <f t="shared" si="10"/>
        <v/>
      </c>
      <c r="AW31" s="248"/>
      <c r="AX31" s="4" t="str">
        <f t="shared" si="11"/>
        <v>M</v>
      </c>
      <c r="AY31" s="248" t="str">
        <f t="shared" si="12"/>
        <v/>
      </c>
      <c r="AZ31" s="232"/>
      <c r="BA31" s="4">
        <v>29</v>
      </c>
      <c r="BB31" s="2"/>
      <c r="BC31" s="2"/>
      <c r="BD31" s="2"/>
      <c r="BE31" s="2"/>
      <c r="BF31" s="2"/>
      <c r="BG31" s="2"/>
      <c r="BH31" s="185" t="s">
        <v>144</v>
      </c>
      <c r="BI31" s="185" t="s">
        <v>145</v>
      </c>
      <c r="BJ31" s="185" t="s">
        <v>153</v>
      </c>
      <c r="BK31" s="185" t="s">
        <v>28</v>
      </c>
      <c r="BL31" s="100"/>
      <c r="BM31" s="97">
        <f t="shared" si="13"/>
        <v>0</v>
      </c>
      <c r="BN31" s="225" t="s">
        <v>298</v>
      </c>
      <c r="BO31" s="225" t="s">
        <v>309</v>
      </c>
      <c r="BP31" s="225" t="s">
        <v>258</v>
      </c>
      <c r="BQ31" s="225" t="s">
        <v>259</v>
      </c>
      <c r="BR31" s="225" t="s">
        <v>411</v>
      </c>
      <c r="BS31" s="225" t="s">
        <v>324</v>
      </c>
      <c r="BT31" s="225"/>
      <c r="BU31" s="225"/>
      <c r="BV31" s="2"/>
      <c r="BW31" s="259" t="s">
        <v>343</v>
      </c>
      <c r="BX31" s="259" t="s">
        <v>344</v>
      </c>
      <c r="BY31" s="259" t="s">
        <v>281</v>
      </c>
      <c r="BZ31" s="259" t="s">
        <v>271</v>
      </c>
      <c r="CA31" s="107"/>
      <c r="CB31" s="249"/>
      <c r="CC31" s="107"/>
      <c r="CD31" s="249"/>
      <c r="CE31" s="107"/>
      <c r="CF31" s="225" t="str">
        <f t="shared" si="14"/>
        <v/>
      </c>
      <c r="CG31" s="225" t="str">
        <f t="shared" si="15"/>
        <v/>
      </c>
      <c r="CH31" s="225" t="str">
        <f t="shared" si="16"/>
        <v/>
      </c>
      <c r="CI31" s="225" t="str">
        <f t="shared" si="17"/>
        <v/>
      </c>
      <c r="CJ31" s="225" t="str">
        <f t="shared" si="18"/>
        <v/>
      </c>
      <c r="CK31" s="225" t="str">
        <f t="shared" si="19"/>
        <v/>
      </c>
      <c r="CL31" s="225" t="str">
        <f t="shared" si="20"/>
        <v/>
      </c>
      <c r="CM31" s="225" t="str">
        <f t="shared" si="21"/>
        <v/>
      </c>
      <c r="CN31" s="225" t="str">
        <f t="shared" si="22"/>
        <v/>
      </c>
      <c r="CO31" s="225" t="str">
        <f t="shared" si="23"/>
        <v/>
      </c>
      <c r="CP31" s="250"/>
      <c r="CQ31" s="250" t="str">
        <f t="shared" si="24"/>
        <v/>
      </c>
      <c r="CR31" s="5">
        <v>29</v>
      </c>
      <c r="CU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1" s="373" t="str">
        <f t="shared" si="25"/>
        <v/>
      </c>
      <c r="CW31" s="2"/>
      <c r="CX31" s="104"/>
    </row>
    <row r="32" spans="1:102" ht="18.95" customHeight="1" x14ac:dyDescent="0.35">
      <c r="A32" s="262"/>
      <c r="B32" s="4">
        <v>30</v>
      </c>
      <c r="C32" s="4" t="s">
        <v>681</v>
      </c>
      <c r="E32" s="382" t="s">
        <v>593</v>
      </c>
      <c r="F32" s="69"/>
      <c r="H32" s="69" t="s">
        <v>475</v>
      </c>
      <c r="I32" s="69" t="s">
        <v>431</v>
      </c>
      <c r="J32" s="69" t="s">
        <v>443</v>
      </c>
      <c r="K32" s="160" t="s">
        <v>476</v>
      </c>
      <c r="L32" s="2"/>
      <c r="M32" s="69" t="s">
        <v>726</v>
      </c>
      <c r="N32" s="2"/>
      <c r="O32" s="230" t="str">
        <f>IF($A$2=B32,Elektro!$Q$11,"")</f>
        <v/>
      </c>
      <c r="P32" s="230" t="str">
        <f>IF($A$2=B32,Elektro!$Q$12,"")</f>
        <v/>
      </c>
      <c r="Q32" s="236" t="str">
        <f>IF($A$2=B32,Elektro!$Q$13,"")</f>
        <v/>
      </c>
      <c r="R32" s="231" t="str">
        <f>IF($A$2=B32,Elektro!$Q$14,"")</f>
        <v/>
      </c>
      <c r="S32" s="231" t="str">
        <f>IF($A$2=B32,Elektro!$Q$15,"")</f>
        <v/>
      </c>
      <c r="T32" s="230" t="str">
        <f>IF($A$2=B32,Elektro!$Q$16,"")</f>
        <v/>
      </c>
      <c r="U32" s="353" t="str">
        <f t="shared" si="0"/>
        <v/>
      </c>
      <c r="V32" s="353" t="str">
        <f t="shared" si="1"/>
        <v/>
      </c>
      <c r="W32" s="4" t="s">
        <v>137</v>
      </c>
      <c r="X32" s="4" t="s">
        <v>20</v>
      </c>
      <c r="Y32" s="4">
        <v>2</v>
      </c>
      <c r="Z32" s="4">
        <v>71</v>
      </c>
      <c r="AA32" s="232" t="str">
        <f t="shared" si="2"/>
        <v/>
      </c>
      <c r="AB32" s="233" t="str">
        <f t="shared" si="3"/>
        <v/>
      </c>
      <c r="AC32" s="233" t="str">
        <f t="shared" si="4"/>
        <v>mol/s</v>
      </c>
      <c r="AD32" s="231" t="str">
        <f t="shared" si="5"/>
        <v/>
      </c>
      <c r="AE32" s="231" t="s">
        <v>283</v>
      </c>
      <c r="AF32" s="232" t="str">
        <f t="shared" si="6"/>
        <v/>
      </c>
      <c r="AG32" s="236" t="s">
        <v>284</v>
      </c>
      <c r="AH32" s="4"/>
      <c r="AI32" s="4" t="s">
        <v>110</v>
      </c>
      <c r="AJ32" s="4" t="s">
        <v>282</v>
      </c>
      <c r="AK32" s="4">
        <v>3</v>
      </c>
      <c r="AL32" s="4">
        <v>52</v>
      </c>
      <c r="AM32" s="232" t="str">
        <f t="shared" si="7"/>
        <v/>
      </c>
      <c r="AN32" s="233" t="str">
        <f t="shared" si="8"/>
        <v/>
      </c>
      <c r="AO32" s="4" t="str">
        <f t="shared" si="9"/>
        <v>g/s</v>
      </c>
      <c r="AP32" s="4"/>
      <c r="AQ32" s="4"/>
      <c r="AR32" s="4"/>
      <c r="AS32" s="4"/>
      <c r="AT32" s="4">
        <v>0</v>
      </c>
      <c r="AV32" s="248" t="str">
        <f t="shared" si="10"/>
        <v/>
      </c>
      <c r="AW32" s="248"/>
      <c r="AX32" s="4" t="str">
        <f t="shared" si="11"/>
        <v>M</v>
      </c>
      <c r="AY32" s="248" t="str">
        <f t="shared" si="12"/>
        <v/>
      </c>
      <c r="AZ32" s="232"/>
      <c r="BA32" s="4">
        <v>30</v>
      </c>
      <c r="BB32" s="2"/>
      <c r="BC32" s="2"/>
      <c r="BD32" s="2"/>
      <c r="BE32" s="2"/>
      <c r="BF32" s="2"/>
      <c r="BG32" s="2"/>
      <c r="BH32" s="185" t="s">
        <v>144</v>
      </c>
      <c r="BI32" s="185" t="s">
        <v>145</v>
      </c>
      <c r="BJ32" s="185" t="s">
        <v>154</v>
      </c>
      <c r="BK32" s="185" t="s">
        <v>29</v>
      </c>
      <c r="BL32" s="100"/>
      <c r="BM32" s="97">
        <f t="shared" si="13"/>
        <v>0</v>
      </c>
      <c r="BN32" s="225" t="s">
        <v>299</v>
      </c>
      <c r="BO32" s="225" t="s">
        <v>309</v>
      </c>
      <c r="BP32" s="225" t="s">
        <v>258</v>
      </c>
      <c r="BQ32" s="225" t="s">
        <v>259</v>
      </c>
      <c r="BR32" s="225" t="s">
        <v>386</v>
      </c>
      <c r="BS32" s="225" t="s">
        <v>324</v>
      </c>
      <c r="BT32" s="225"/>
      <c r="BU32" s="225"/>
      <c r="BV32" s="2"/>
      <c r="BW32" s="259" t="s">
        <v>352</v>
      </c>
      <c r="BX32" s="259" t="s">
        <v>353</v>
      </c>
      <c r="BY32" s="259" t="s">
        <v>281</v>
      </c>
      <c r="BZ32" s="259" t="s">
        <v>271</v>
      </c>
      <c r="CA32" s="107"/>
      <c r="CB32" s="249"/>
      <c r="CC32" s="107"/>
      <c r="CD32" s="249"/>
      <c r="CE32" s="107"/>
      <c r="CF32" s="225" t="str">
        <f t="shared" si="14"/>
        <v/>
      </c>
      <c r="CG32" s="225" t="str">
        <f t="shared" si="15"/>
        <v/>
      </c>
      <c r="CH32" s="225" t="str">
        <f t="shared" si="16"/>
        <v/>
      </c>
      <c r="CI32" s="225" t="str">
        <f t="shared" si="17"/>
        <v/>
      </c>
      <c r="CJ32" s="225" t="str">
        <f t="shared" si="18"/>
        <v/>
      </c>
      <c r="CK32" s="225" t="str">
        <f t="shared" si="19"/>
        <v/>
      </c>
      <c r="CL32" s="225" t="str">
        <f t="shared" si="20"/>
        <v/>
      </c>
      <c r="CM32" s="225" t="str">
        <f t="shared" si="21"/>
        <v/>
      </c>
      <c r="CN32" s="225" t="str">
        <f t="shared" si="22"/>
        <v/>
      </c>
      <c r="CO32" s="225" t="str">
        <f t="shared" si="23"/>
        <v/>
      </c>
      <c r="CP32" s="250"/>
      <c r="CQ32" s="250" t="str">
        <f t="shared" si="24"/>
        <v/>
      </c>
      <c r="CR32" s="5">
        <v>30</v>
      </c>
      <c r="CU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2" s="373" t="str">
        <f t="shared" si="25"/>
        <v/>
      </c>
      <c r="CW32" s="2"/>
      <c r="CX32" s="104"/>
    </row>
    <row r="33" spans="1:102" ht="18.95" customHeight="1" x14ac:dyDescent="0.35">
      <c r="A33" s="262"/>
      <c r="B33" s="4">
        <v>31</v>
      </c>
      <c r="C33" s="4" t="s">
        <v>679</v>
      </c>
      <c r="E33" s="382" t="s">
        <v>594</v>
      </c>
      <c r="F33" s="69"/>
      <c r="H33" s="69" t="s">
        <v>477</v>
      </c>
      <c r="I33" s="69" t="s">
        <v>431</v>
      </c>
      <c r="J33" s="69" t="s">
        <v>446</v>
      </c>
      <c r="K33" s="160" t="s">
        <v>478</v>
      </c>
      <c r="L33" s="2"/>
      <c r="M33" s="69" t="s">
        <v>727</v>
      </c>
      <c r="N33" s="2"/>
      <c r="O33" s="230" t="str">
        <f>IF($A$2=B33,Elektro!$Q$11,"")</f>
        <v/>
      </c>
      <c r="P33" s="230" t="str">
        <f>IF($A$2=B33,Elektro!$Q$12,"")</f>
        <v/>
      </c>
      <c r="Q33" s="236" t="str">
        <f>IF($A$2=B33,Elektro!$Q$13,"")</f>
        <v/>
      </c>
      <c r="R33" s="231" t="str">
        <f>IF($A$2=B33,Elektro!$Q$14,"")</f>
        <v/>
      </c>
      <c r="S33" s="231" t="str">
        <f>IF($A$2=B33,Elektro!$Q$15,"")</f>
        <v/>
      </c>
      <c r="T33" s="230" t="str">
        <f>IF($A$2=B33,Elektro!$Q$16,"")</f>
        <v/>
      </c>
      <c r="U33" s="353" t="str">
        <f t="shared" si="0"/>
        <v/>
      </c>
      <c r="V33" s="353" t="str">
        <f t="shared" si="1"/>
        <v/>
      </c>
      <c r="W33" s="4" t="s">
        <v>137</v>
      </c>
      <c r="X33" s="4" t="s">
        <v>20</v>
      </c>
      <c r="Y33" s="4">
        <v>2</v>
      </c>
      <c r="Z33" s="4">
        <v>71</v>
      </c>
      <c r="AA33" s="232" t="str">
        <f t="shared" si="2"/>
        <v/>
      </c>
      <c r="AB33" s="233" t="str">
        <f t="shared" si="3"/>
        <v/>
      </c>
      <c r="AC33" s="233" t="str">
        <f t="shared" si="4"/>
        <v>mol/s</v>
      </c>
      <c r="AD33" s="231" t="str">
        <f t="shared" si="5"/>
        <v/>
      </c>
      <c r="AE33" s="231" t="s">
        <v>283</v>
      </c>
      <c r="AF33" s="232" t="str">
        <f t="shared" si="6"/>
        <v/>
      </c>
      <c r="AG33" s="236" t="s">
        <v>284</v>
      </c>
      <c r="AH33" s="4"/>
      <c r="AI33" s="4" t="s">
        <v>111</v>
      </c>
      <c r="AJ33" s="4" t="s">
        <v>282</v>
      </c>
      <c r="AK33" s="4">
        <v>2</v>
      </c>
      <c r="AL33" s="4">
        <v>65.39</v>
      </c>
      <c r="AM33" s="232" t="str">
        <f t="shared" si="7"/>
        <v/>
      </c>
      <c r="AN33" s="233" t="str">
        <f t="shared" si="8"/>
        <v/>
      </c>
      <c r="AO33" s="4" t="str">
        <f t="shared" si="9"/>
        <v>g/s</v>
      </c>
      <c r="AP33" s="4"/>
      <c r="AQ33" s="4"/>
      <c r="AR33" s="4"/>
      <c r="AS33" s="4"/>
      <c r="AT33" s="4">
        <v>0</v>
      </c>
      <c r="AV33" s="248" t="str">
        <f t="shared" si="10"/>
        <v/>
      </c>
      <c r="AW33" s="248"/>
      <c r="AX33" s="4" t="str">
        <f t="shared" si="11"/>
        <v>M</v>
      </c>
      <c r="AY33" s="248" t="str">
        <f t="shared" si="12"/>
        <v/>
      </c>
      <c r="AZ33" s="232"/>
      <c r="BA33" s="4">
        <v>31</v>
      </c>
      <c r="BB33" s="2"/>
      <c r="BC33" s="2"/>
      <c r="BD33" s="2"/>
      <c r="BE33" s="2"/>
      <c r="BF33" s="2"/>
      <c r="BG33" s="2"/>
      <c r="BH33" s="185" t="s">
        <v>144</v>
      </c>
      <c r="BI33" s="185" t="s">
        <v>145</v>
      </c>
      <c r="BJ33" s="185" t="s">
        <v>158</v>
      </c>
      <c r="BK33" s="185" t="s">
        <v>30</v>
      </c>
      <c r="BL33" s="100"/>
      <c r="BM33" s="97">
        <f t="shared" si="13"/>
        <v>0</v>
      </c>
      <c r="BN33" s="225" t="s">
        <v>300</v>
      </c>
      <c r="BO33" s="225" t="s">
        <v>309</v>
      </c>
      <c r="BP33" s="225" t="s">
        <v>258</v>
      </c>
      <c r="BQ33" s="225" t="s">
        <v>259</v>
      </c>
      <c r="BR33" s="225" t="s">
        <v>380</v>
      </c>
      <c r="BS33" s="225" t="s">
        <v>324</v>
      </c>
      <c r="BT33" s="225"/>
      <c r="BU33" s="225"/>
      <c r="BV33" s="2"/>
      <c r="BW33" s="259" t="s">
        <v>345</v>
      </c>
      <c r="BX33" s="259" t="s">
        <v>346</v>
      </c>
      <c r="BY33" s="259" t="s">
        <v>281</v>
      </c>
      <c r="BZ33" s="259" t="s">
        <v>271</v>
      </c>
      <c r="CA33" s="107"/>
      <c r="CB33" s="249"/>
      <c r="CC33" s="107"/>
      <c r="CD33" s="249"/>
      <c r="CE33" s="107"/>
      <c r="CF33" s="225" t="str">
        <f t="shared" si="14"/>
        <v/>
      </c>
      <c r="CG33" s="225" t="str">
        <f t="shared" si="15"/>
        <v/>
      </c>
      <c r="CH33" s="225" t="str">
        <f t="shared" si="16"/>
        <v/>
      </c>
      <c r="CI33" s="225" t="str">
        <f t="shared" si="17"/>
        <v/>
      </c>
      <c r="CJ33" s="225" t="str">
        <f t="shared" si="18"/>
        <v/>
      </c>
      <c r="CK33" s="225" t="str">
        <f t="shared" si="19"/>
        <v/>
      </c>
      <c r="CL33" s="225" t="str">
        <f t="shared" si="20"/>
        <v/>
      </c>
      <c r="CM33" s="225" t="str">
        <f t="shared" si="21"/>
        <v/>
      </c>
      <c r="CN33" s="225" t="str">
        <f t="shared" si="22"/>
        <v/>
      </c>
      <c r="CO33" s="225" t="str">
        <f t="shared" si="23"/>
        <v/>
      </c>
      <c r="CP33" s="250"/>
      <c r="CQ33" s="250" t="str">
        <f t="shared" si="24"/>
        <v/>
      </c>
      <c r="CR33" s="5">
        <v>31</v>
      </c>
      <c r="CU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3" s="373" t="str">
        <f t="shared" si="25"/>
        <v/>
      </c>
      <c r="CW33" s="2"/>
      <c r="CX33" s="104"/>
    </row>
    <row r="34" spans="1:102" ht="18.95" customHeight="1" x14ac:dyDescent="0.35">
      <c r="A34" s="262"/>
      <c r="B34" s="4">
        <v>32</v>
      </c>
      <c r="C34" s="4" t="s">
        <v>13</v>
      </c>
      <c r="E34" s="382" t="s">
        <v>595</v>
      </c>
      <c r="F34" s="69"/>
      <c r="H34" s="69" t="s">
        <v>448</v>
      </c>
      <c r="I34" s="69" t="s">
        <v>449</v>
      </c>
      <c r="J34" s="69" t="s">
        <v>440</v>
      </c>
      <c r="K34" s="160" t="s">
        <v>479</v>
      </c>
      <c r="L34" s="2"/>
      <c r="M34" s="69" t="s">
        <v>728</v>
      </c>
      <c r="N34" s="2"/>
      <c r="O34" s="230" t="str">
        <f>IF($A$2=B34,Elektro!$Q$11,"")</f>
        <v/>
      </c>
      <c r="P34" s="230" t="str">
        <f>IF($A$2=B34,Elektro!$Q$12,"")</f>
        <v/>
      </c>
      <c r="Q34" s="236" t="str">
        <f>IF($A$2=B34,Elektro!$Q$13,"")</f>
        <v/>
      </c>
      <c r="R34" s="231" t="str">
        <f>IF($A$2=B34,Elektro!$Q$14,"")</f>
        <v/>
      </c>
      <c r="S34" s="231" t="str">
        <f>IF($A$2=B34,Elektro!$Q$15,"")</f>
        <v/>
      </c>
      <c r="T34" s="230" t="str">
        <f>IF($A$2=B34,Elektro!$Q$16,"")</f>
        <v/>
      </c>
      <c r="U34" s="353" t="str">
        <f t="shared" si="0"/>
        <v/>
      </c>
      <c r="V34" s="353" t="str">
        <f t="shared" si="1"/>
        <v/>
      </c>
      <c r="W34" s="4" t="s">
        <v>138</v>
      </c>
      <c r="X34" s="4" t="s">
        <v>20</v>
      </c>
      <c r="Y34" s="4">
        <v>4</v>
      </c>
      <c r="Z34" s="4">
        <v>32</v>
      </c>
      <c r="AA34" s="232" t="str">
        <f t="shared" si="2"/>
        <v/>
      </c>
      <c r="AB34" s="233" t="str">
        <f t="shared" si="3"/>
        <v/>
      </c>
      <c r="AC34" s="233" t="str">
        <f t="shared" si="4"/>
        <v>mol/s</v>
      </c>
      <c r="AD34" s="231" t="str">
        <f t="shared" si="5"/>
        <v/>
      </c>
      <c r="AE34" s="231" t="s">
        <v>283</v>
      </c>
      <c r="AF34" s="232" t="str">
        <f t="shared" si="6"/>
        <v/>
      </c>
      <c r="AG34" s="236" t="s">
        <v>284</v>
      </c>
      <c r="AH34" s="4"/>
      <c r="AI34" s="4" t="s">
        <v>109</v>
      </c>
      <c r="AJ34" s="4" t="s">
        <v>282</v>
      </c>
      <c r="AK34" s="4">
        <v>2</v>
      </c>
      <c r="AL34" s="4">
        <v>24.31</v>
      </c>
      <c r="AM34" s="232" t="str">
        <f t="shared" si="7"/>
        <v/>
      </c>
      <c r="AN34" s="233" t="str">
        <f t="shared" si="8"/>
        <v/>
      </c>
      <c r="AO34" s="4" t="str">
        <f t="shared" si="9"/>
        <v>g/s</v>
      </c>
      <c r="AP34" s="4"/>
      <c r="AQ34" s="4"/>
      <c r="AR34" s="4"/>
      <c r="AS34" s="4"/>
      <c r="AT34" s="4">
        <v>0</v>
      </c>
      <c r="AV34" s="248" t="str">
        <f t="shared" si="10"/>
        <v/>
      </c>
      <c r="AW34" s="248"/>
      <c r="AX34" s="4" t="str">
        <f t="shared" si="11"/>
        <v>M</v>
      </c>
      <c r="AY34" s="248" t="str">
        <f t="shared" si="12"/>
        <v/>
      </c>
      <c r="AZ34" s="232"/>
      <c r="BA34" s="4">
        <v>32</v>
      </c>
      <c r="BB34" s="2"/>
      <c r="BC34" s="2"/>
      <c r="BD34" s="2"/>
      <c r="BE34" s="2"/>
      <c r="BF34" s="2"/>
      <c r="BG34" s="2"/>
      <c r="BH34" s="185" t="s">
        <v>157</v>
      </c>
      <c r="BI34" s="185" t="s">
        <v>149</v>
      </c>
      <c r="BJ34" s="185" t="s">
        <v>153</v>
      </c>
      <c r="BK34" s="185" t="s">
        <v>28</v>
      </c>
      <c r="BL34" s="100"/>
      <c r="BM34" s="97">
        <f t="shared" si="13"/>
        <v>0</v>
      </c>
      <c r="BN34" s="225" t="s">
        <v>298</v>
      </c>
      <c r="BO34" s="225" t="s">
        <v>278</v>
      </c>
      <c r="BP34" s="225" t="s">
        <v>258</v>
      </c>
      <c r="BQ34" s="225" t="s">
        <v>259</v>
      </c>
      <c r="BR34" s="225" t="s">
        <v>404</v>
      </c>
      <c r="BS34" s="225" t="s">
        <v>322</v>
      </c>
      <c r="BT34" s="225"/>
      <c r="BU34" s="225"/>
      <c r="BV34" s="2"/>
      <c r="BW34" s="259" t="s">
        <v>343</v>
      </c>
      <c r="BX34" s="259" t="s">
        <v>344</v>
      </c>
      <c r="BY34" s="259" t="s">
        <v>266</v>
      </c>
      <c r="BZ34" s="259" t="s">
        <v>267</v>
      </c>
      <c r="CA34" s="107"/>
      <c r="CB34" s="249"/>
      <c r="CC34" s="107"/>
      <c r="CD34" s="249"/>
      <c r="CE34" s="107"/>
      <c r="CF34" s="225" t="str">
        <f t="shared" si="14"/>
        <v/>
      </c>
      <c r="CG34" s="225" t="str">
        <f t="shared" si="15"/>
        <v/>
      </c>
      <c r="CH34" s="225" t="str">
        <f t="shared" si="16"/>
        <v/>
      </c>
      <c r="CI34" s="225" t="str">
        <f t="shared" si="17"/>
        <v/>
      </c>
      <c r="CJ34" s="225" t="str">
        <f t="shared" si="18"/>
        <v/>
      </c>
      <c r="CK34" s="225" t="str">
        <f t="shared" si="19"/>
        <v/>
      </c>
      <c r="CL34" s="225" t="str">
        <f t="shared" si="20"/>
        <v/>
      </c>
      <c r="CM34" s="225" t="str">
        <f t="shared" si="21"/>
        <v/>
      </c>
      <c r="CN34" s="225" t="str">
        <f t="shared" si="22"/>
        <v/>
      </c>
      <c r="CO34" s="225" t="str">
        <f t="shared" si="23"/>
        <v/>
      </c>
      <c r="CP34" s="250"/>
      <c r="CQ34" s="250" t="str">
        <f t="shared" si="24"/>
        <v/>
      </c>
      <c r="CR34" s="5">
        <v>32</v>
      </c>
      <c r="CU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4" s="373" t="str">
        <f t="shared" si="25"/>
        <v/>
      </c>
      <c r="CW34" s="2"/>
      <c r="CX34" s="104"/>
    </row>
    <row r="35" spans="1:102" ht="18.95" customHeight="1" x14ac:dyDescent="0.35">
      <c r="A35" s="262"/>
      <c r="B35" s="4">
        <v>33</v>
      </c>
      <c r="C35" s="4" t="s">
        <v>680</v>
      </c>
      <c r="E35" s="382" t="s">
        <v>596</v>
      </c>
      <c r="F35" s="69"/>
      <c r="H35" s="69" t="s">
        <v>451</v>
      </c>
      <c r="I35" s="69" t="s">
        <v>449</v>
      </c>
      <c r="J35" s="69" t="s">
        <v>452</v>
      </c>
      <c r="K35" s="160" t="s">
        <v>480</v>
      </c>
      <c r="L35" s="2"/>
      <c r="M35" s="69" t="s">
        <v>711</v>
      </c>
      <c r="N35" s="2"/>
      <c r="O35" s="230" t="str">
        <f>IF($A$2=B35,Elektro!$Q$11,"")</f>
        <v/>
      </c>
      <c r="P35" s="230" t="str">
        <f>IF($A$2=B35,Elektro!$Q$12,"")</f>
        <v/>
      </c>
      <c r="Q35" s="236" t="str">
        <f>IF($A$2=B35,Elektro!$Q$13,"")</f>
        <v/>
      </c>
      <c r="R35" s="231" t="str">
        <f>IF($A$2=B35,Elektro!$Q$14,"")</f>
        <v/>
      </c>
      <c r="S35" s="231" t="str">
        <f>IF($A$2=B35,Elektro!$Q$15,"")</f>
        <v/>
      </c>
      <c r="T35" s="230" t="str">
        <f>IF($A$2=B35,Elektro!$Q$16,"")</f>
        <v/>
      </c>
      <c r="U35" s="353" t="str">
        <f t="shared" si="0"/>
        <v/>
      </c>
      <c r="V35" s="353" t="str">
        <f t="shared" si="1"/>
        <v/>
      </c>
      <c r="W35" s="4" t="s">
        <v>138</v>
      </c>
      <c r="X35" s="4" t="s">
        <v>20</v>
      </c>
      <c r="Y35" s="4">
        <v>4</v>
      </c>
      <c r="Z35" s="4">
        <v>32</v>
      </c>
      <c r="AA35" s="232" t="str">
        <f t="shared" si="2"/>
        <v/>
      </c>
      <c r="AB35" s="233" t="str">
        <f t="shared" si="3"/>
        <v/>
      </c>
      <c r="AC35" s="233" t="str">
        <f t="shared" si="4"/>
        <v>mol/s</v>
      </c>
      <c r="AD35" s="231" t="str">
        <f t="shared" si="5"/>
        <v/>
      </c>
      <c r="AE35" s="231" t="s">
        <v>283</v>
      </c>
      <c r="AF35" s="232" t="str">
        <f t="shared" si="6"/>
        <v/>
      </c>
      <c r="AG35" s="236" t="s">
        <v>284</v>
      </c>
      <c r="AH35" s="4"/>
      <c r="AI35" s="4" t="s">
        <v>112</v>
      </c>
      <c r="AJ35" s="4" t="s">
        <v>282</v>
      </c>
      <c r="AK35" s="4">
        <v>1</v>
      </c>
      <c r="AL35" s="4">
        <v>107.9</v>
      </c>
      <c r="AM35" s="232" t="str">
        <f t="shared" si="7"/>
        <v/>
      </c>
      <c r="AN35" s="233" t="str">
        <f t="shared" si="8"/>
        <v/>
      </c>
      <c r="AO35" s="4" t="str">
        <f t="shared" si="9"/>
        <v>g/s</v>
      </c>
      <c r="AP35" s="4"/>
      <c r="AQ35" s="4"/>
      <c r="AR35" s="4"/>
      <c r="AS35" s="4"/>
      <c r="AT35" s="4">
        <v>0</v>
      </c>
      <c r="AV35" s="248" t="str">
        <f t="shared" si="10"/>
        <v/>
      </c>
      <c r="AW35" s="248"/>
      <c r="AX35" s="4" t="str">
        <f t="shared" si="11"/>
        <v>M</v>
      </c>
      <c r="AY35" s="248" t="str">
        <f t="shared" si="12"/>
        <v/>
      </c>
      <c r="AZ35" s="232"/>
      <c r="BA35" s="4">
        <v>33</v>
      </c>
      <c r="BB35" s="2"/>
      <c r="BC35" s="2"/>
      <c r="BD35" s="2"/>
      <c r="BE35" s="2"/>
      <c r="BF35" s="2"/>
      <c r="BG35" s="2"/>
      <c r="BH35" s="185" t="s">
        <v>157</v>
      </c>
      <c r="BI35" s="185" t="s">
        <v>149</v>
      </c>
      <c r="BJ35" s="185" t="s">
        <v>160</v>
      </c>
      <c r="BK35" s="185" t="s">
        <v>44</v>
      </c>
      <c r="BL35" s="100"/>
      <c r="BM35" s="97">
        <f t="shared" si="13"/>
        <v>0</v>
      </c>
      <c r="BN35" s="225" t="s">
        <v>301</v>
      </c>
      <c r="BO35" s="225" t="s">
        <v>278</v>
      </c>
      <c r="BP35" s="225" t="s">
        <v>258</v>
      </c>
      <c r="BQ35" s="225" t="s">
        <v>259</v>
      </c>
      <c r="BR35" s="225" t="s">
        <v>406</v>
      </c>
      <c r="BS35" s="225" t="s">
        <v>322</v>
      </c>
      <c r="BT35" s="225"/>
      <c r="BU35" s="225"/>
      <c r="BV35" s="2"/>
      <c r="BW35" s="259" t="s">
        <v>354</v>
      </c>
      <c r="BX35" s="259" t="s">
        <v>355</v>
      </c>
      <c r="BY35" s="259" t="s">
        <v>266</v>
      </c>
      <c r="BZ35" s="259" t="s">
        <v>267</v>
      </c>
      <c r="CA35" s="107"/>
      <c r="CB35" s="249"/>
      <c r="CC35" s="107"/>
      <c r="CD35" s="249"/>
      <c r="CE35" s="107"/>
      <c r="CF35" s="225" t="str">
        <f t="shared" si="14"/>
        <v/>
      </c>
      <c r="CG35" s="225" t="str">
        <f t="shared" si="15"/>
        <v/>
      </c>
      <c r="CH35" s="225" t="str">
        <f t="shared" si="16"/>
        <v/>
      </c>
      <c r="CI35" s="225" t="str">
        <f t="shared" si="17"/>
        <v/>
      </c>
      <c r="CJ35" s="225" t="str">
        <f t="shared" si="18"/>
        <v/>
      </c>
      <c r="CK35" s="225" t="str">
        <f t="shared" si="19"/>
        <v/>
      </c>
      <c r="CL35" s="225" t="str">
        <f t="shared" si="20"/>
        <v/>
      </c>
      <c r="CM35" s="225" t="str">
        <f t="shared" si="21"/>
        <v/>
      </c>
      <c r="CN35" s="225" t="str">
        <f t="shared" si="22"/>
        <v/>
      </c>
      <c r="CO35" s="225" t="str">
        <f t="shared" si="23"/>
        <v/>
      </c>
      <c r="CP35" s="250"/>
      <c r="CQ35" s="250" t="str">
        <f t="shared" si="24"/>
        <v/>
      </c>
      <c r="CR35" s="5">
        <v>33</v>
      </c>
      <c r="CU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5" s="373" t="str">
        <f t="shared" si="25"/>
        <v/>
      </c>
      <c r="CW35" s="2"/>
      <c r="CX35" s="104"/>
    </row>
    <row r="36" spans="1:102" ht="18.95" customHeight="1" x14ac:dyDescent="0.35">
      <c r="A36" s="262"/>
      <c r="B36" s="4">
        <v>34</v>
      </c>
      <c r="C36" s="4" t="s">
        <v>11</v>
      </c>
      <c r="E36" s="382" t="s">
        <v>597</v>
      </c>
      <c r="F36" s="69"/>
      <c r="H36" s="69" t="s">
        <v>454</v>
      </c>
      <c r="I36" s="69" t="s">
        <v>449</v>
      </c>
      <c r="J36" s="69" t="s">
        <v>455</v>
      </c>
      <c r="K36" s="160" t="s">
        <v>481</v>
      </c>
      <c r="L36" s="2"/>
      <c r="M36" s="69" t="s">
        <v>729</v>
      </c>
      <c r="N36" s="2"/>
      <c r="O36" s="230" t="str">
        <f>IF($A$2=B36,Elektro!$Q$11,"")</f>
        <v/>
      </c>
      <c r="P36" s="230" t="str">
        <f>IF($A$2=B36,Elektro!$Q$12,"")</f>
        <v/>
      </c>
      <c r="Q36" s="236" t="str">
        <f>IF($A$2=B36,Elektro!$Q$13,"")</f>
        <v/>
      </c>
      <c r="R36" s="231" t="str">
        <f>IF($A$2=B36,Elektro!$Q$14,"")</f>
        <v/>
      </c>
      <c r="S36" s="231" t="str">
        <f>IF($A$2=B36,Elektro!$Q$15,"")</f>
        <v/>
      </c>
      <c r="T36" s="230" t="str">
        <f>IF($A$2=B36,Elektro!$Q$16,"")</f>
        <v/>
      </c>
      <c r="U36" s="353" t="str">
        <f t="shared" si="0"/>
        <v/>
      </c>
      <c r="V36" s="353" t="str">
        <f t="shared" si="1"/>
        <v/>
      </c>
      <c r="W36" s="4" t="s">
        <v>138</v>
      </c>
      <c r="X36" s="4" t="s">
        <v>20</v>
      </c>
      <c r="Y36" s="4">
        <v>4</v>
      </c>
      <c r="Z36" s="4">
        <v>32</v>
      </c>
      <c r="AA36" s="232" t="str">
        <f t="shared" si="2"/>
        <v/>
      </c>
      <c r="AB36" s="233" t="str">
        <f t="shared" si="3"/>
        <v/>
      </c>
      <c r="AC36" s="233" t="str">
        <f t="shared" si="4"/>
        <v>mol/s</v>
      </c>
      <c r="AD36" s="231" t="str">
        <f t="shared" si="5"/>
        <v/>
      </c>
      <c r="AE36" s="231" t="s">
        <v>283</v>
      </c>
      <c r="AF36" s="232" t="str">
        <f t="shared" si="6"/>
        <v/>
      </c>
      <c r="AG36" s="236" t="s">
        <v>284</v>
      </c>
      <c r="AH36" s="4"/>
      <c r="AI36" s="4" t="s">
        <v>113</v>
      </c>
      <c r="AJ36" s="4" t="s">
        <v>282</v>
      </c>
      <c r="AK36" s="4">
        <v>2</v>
      </c>
      <c r="AL36" s="4">
        <v>112.4</v>
      </c>
      <c r="AM36" s="232" t="str">
        <f t="shared" si="7"/>
        <v/>
      </c>
      <c r="AN36" s="233" t="str">
        <f t="shared" si="8"/>
        <v/>
      </c>
      <c r="AO36" s="4" t="str">
        <f t="shared" si="9"/>
        <v>g/s</v>
      </c>
      <c r="AP36" s="4"/>
      <c r="AQ36" s="4"/>
      <c r="AR36" s="4"/>
      <c r="AS36" s="4"/>
      <c r="AT36" s="4">
        <v>0</v>
      </c>
      <c r="AV36" s="248" t="str">
        <f t="shared" si="10"/>
        <v/>
      </c>
      <c r="AW36" s="248"/>
      <c r="AX36" s="4" t="str">
        <f t="shared" si="11"/>
        <v>M</v>
      </c>
      <c r="AY36" s="248" t="str">
        <f t="shared" si="12"/>
        <v/>
      </c>
      <c r="AZ36" s="232"/>
      <c r="BA36" s="4">
        <v>34</v>
      </c>
      <c r="BB36" s="2"/>
      <c r="BC36" s="2"/>
      <c r="BD36" s="2"/>
      <c r="BE36" s="2"/>
      <c r="BF36" s="2"/>
      <c r="BG36" s="2"/>
      <c r="BH36" s="185" t="s">
        <v>157</v>
      </c>
      <c r="BI36" s="185" t="s">
        <v>149</v>
      </c>
      <c r="BJ36" s="185" t="s">
        <v>159</v>
      </c>
      <c r="BK36" s="185" t="s">
        <v>31</v>
      </c>
      <c r="BL36" s="100"/>
      <c r="BM36" s="97">
        <f t="shared" si="13"/>
        <v>0</v>
      </c>
      <c r="BN36" s="225" t="s">
        <v>302</v>
      </c>
      <c r="BO36" s="225" t="s">
        <v>278</v>
      </c>
      <c r="BP36" s="225" t="s">
        <v>258</v>
      </c>
      <c r="BQ36" s="225" t="s">
        <v>259</v>
      </c>
      <c r="BR36" s="225" t="s">
        <v>391</v>
      </c>
      <c r="BS36" s="225" t="s">
        <v>322</v>
      </c>
      <c r="BT36" s="225"/>
      <c r="BU36" s="225"/>
      <c r="BV36" s="2"/>
      <c r="BW36" s="259" t="s">
        <v>350</v>
      </c>
      <c r="BX36" s="259" t="s">
        <v>351</v>
      </c>
      <c r="BY36" s="259" t="s">
        <v>266</v>
      </c>
      <c r="BZ36" s="259" t="s">
        <v>267</v>
      </c>
      <c r="CA36" s="107"/>
      <c r="CB36" s="249"/>
      <c r="CC36" s="107"/>
      <c r="CD36" s="249"/>
      <c r="CE36" s="107"/>
      <c r="CF36" s="225" t="str">
        <f t="shared" si="14"/>
        <v/>
      </c>
      <c r="CG36" s="225" t="str">
        <f t="shared" si="15"/>
        <v/>
      </c>
      <c r="CH36" s="225" t="str">
        <f t="shared" si="16"/>
        <v/>
      </c>
      <c r="CI36" s="225" t="str">
        <f t="shared" si="17"/>
        <v/>
      </c>
      <c r="CJ36" s="225" t="str">
        <f t="shared" si="18"/>
        <v/>
      </c>
      <c r="CK36" s="225" t="str">
        <f t="shared" si="19"/>
        <v/>
      </c>
      <c r="CL36" s="225" t="str">
        <f t="shared" si="20"/>
        <v/>
      </c>
      <c r="CM36" s="225" t="str">
        <f t="shared" si="21"/>
        <v/>
      </c>
      <c r="CN36" s="225" t="str">
        <f t="shared" si="22"/>
        <v/>
      </c>
      <c r="CO36" s="225" t="str">
        <f t="shared" si="23"/>
        <v/>
      </c>
      <c r="CP36" s="250"/>
      <c r="CQ36" s="250" t="str">
        <f t="shared" si="24"/>
        <v/>
      </c>
      <c r="CR36" s="5">
        <v>34</v>
      </c>
      <c r="CU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6" s="373" t="str">
        <f t="shared" si="25"/>
        <v/>
      </c>
      <c r="CW36" s="2"/>
      <c r="CX36" s="104"/>
    </row>
    <row r="37" spans="1:102" ht="18.95" customHeight="1" x14ac:dyDescent="0.35">
      <c r="A37" s="262"/>
      <c r="B37" s="4">
        <v>35</v>
      </c>
      <c r="C37" s="4" t="s">
        <v>682</v>
      </c>
      <c r="E37" s="382" t="s">
        <v>598</v>
      </c>
      <c r="F37" s="69"/>
      <c r="H37" s="69" t="s">
        <v>457</v>
      </c>
      <c r="I37" s="69" t="s">
        <v>449</v>
      </c>
      <c r="J37" s="69" t="s">
        <v>458</v>
      </c>
      <c r="K37" s="160" t="s">
        <v>482</v>
      </c>
      <c r="L37" s="2"/>
      <c r="M37" s="69" t="s">
        <v>730</v>
      </c>
      <c r="N37" s="2"/>
      <c r="O37" s="230" t="str">
        <f>IF($A$2=B37,Elektro!$Q$11,"")</f>
        <v/>
      </c>
      <c r="P37" s="230" t="str">
        <f>IF($A$2=B37,Elektro!$Q$12,"")</f>
        <v/>
      </c>
      <c r="Q37" s="236" t="str">
        <f>IF($A$2=B37,Elektro!$Q$13,"")</f>
        <v/>
      </c>
      <c r="R37" s="231" t="str">
        <f>IF($A$2=B37,Elektro!$Q$14,"")</f>
        <v/>
      </c>
      <c r="S37" s="231" t="str">
        <f>IF($A$2=B37,Elektro!$Q$15,"")</f>
        <v/>
      </c>
      <c r="T37" s="230" t="str">
        <f>IF($A$2=B37,Elektro!$Q$16,"")</f>
        <v/>
      </c>
      <c r="U37" s="353" t="str">
        <f t="shared" si="0"/>
        <v/>
      </c>
      <c r="V37" s="353" t="str">
        <f t="shared" si="1"/>
        <v/>
      </c>
      <c r="W37" s="4" t="s">
        <v>138</v>
      </c>
      <c r="X37" s="4" t="s">
        <v>20</v>
      </c>
      <c r="Y37" s="4">
        <v>4</v>
      </c>
      <c r="Z37" s="4">
        <v>32</v>
      </c>
      <c r="AA37" s="232" t="str">
        <f t="shared" si="2"/>
        <v/>
      </c>
      <c r="AB37" s="233" t="str">
        <f t="shared" si="3"/>
        <v/>
      </c>
      <c r="AC37" s="233" t="str">
        <f t="shared" si="4"/>
        <v>mol/s</v>
      </c>
      <c r="AD37" s="231" t="str">
        <f t="shared" si="5"/>
        <v/>
      </c>
      <c r="AE37" s="231" t="s">
        <v>283</v>
      </c>
      <c r="AF37" s="232" t="str">
        <f t="shared" si="6"/>
        <v/>
      </c>
      <c r="AG37" s="236" t="s">
        <v>284</v>
      </c>
      <c r="AH37" s="4"/>
      <c r="AI37" s="4" t="s">
        <v>114</v>
      </c>
      <c r="AJ37" s="4" t="s">
        <v>282</v>
      </c>
      <c r="AK37" s="4">
        <v>3</v>
      </c>
      <c r="AL37" s="4">
        <v>26.98</v>
      </c>
      <c r="AM37" s="232" t="str">
        <f t="shared" si="7"/>
        <v/>
      </c>
      <c r="AN37" s="233" t="str">
        <f t="shared" si="8"/>
        <v/>
      </c>
      <c r="AO37" s="4" t="str">
        <f t="shared" si="9"/>
        <v>g/s</v>
      </c>
      <c r="AP37" s="4"/>
      <c r="AQ37" s="4"/>
      <c r="AR37" s="4"/>
      <c r="AS37" s="4"/>
      <c r="AT37" s="4">
        <v>0</v>
      </c>
      <c r="AV37" s="248" t="str">
        <f t="shared" si="10"/>
        <v/>
      </c>
      <c r="AW37" s="248"/>
      <c r="AX37" s="4" t="str">
        <f t="shared" si="11"/>
        <v>M</v>
      </c>
      <c r="AY37" s="248" t="str">
        <f t="shared" si="12"/>
        <v/>
      </c>
      <c r="AZ37" s="232"/>
      <c r="BA37" s="4">
        <v>35</v>
      </c>
      <c r="BB37" s="2"/>
      <c r="BC37" s="2"/>
      <c r="BD37" s="2"/>
      <c r="BE37" s="2"/>
      <c r="BF37" s="2"/>
      <c r="BG37" s="2"/>
      <c r="BH37" s="185" t="s">
        <v>157</v>
      </c>
      <c r="BI37" s="185" t="s">
        <v>149</v>
      </c>
      <c r="BJ37" s="185" t="s">
        <v>161</v>
      </c>
      <c r="BK37" s="185" t="s">
        <v>32</v>
      </c>
      <c r="BL37" s="100"/>
      <c r="BM37" s="97">
        <f t="shared" si="13"/>
        <v>0</v>
      </c>
      <c r="BN37" s="225" t="s">
        <v>303</v>
      </c>
      <c r="BO37" s="225" t="s">
        <v>278</v>
      </c>
      <c r="BP37" s="225" t="s">
        <v>258</v>
      </c>
      <c r="BQ37" s="225" t="s">
        <v>259</v>
      </c>
      <c r="BR37" s="225" t="s">
        <v>412</v>
      </c>
      <c r="BS37" s="225" t="s">
        <v>322</v>
      </c>
      <c r="BT37" s="225"/>
      <c r="BU37" s="225"/>
      <c r="BV37" s="2"/>
      <c r="BW37" s="259" t="s">
        <v>356</v>
      </c>
      <c r="BX37" s="259" t="s">
        <v>357</v>
      </c>
      <c r="BY37" s="259" t="s">
        <v>266</v>
      </c>
      <c r="BZ37" s="259" t="s">
        <v>267</v>
      </c>
      <c r="CA37" s="107"/>
      <c r="CB37" s="249"/>
      <c r="CC37" s="107"/>
      <c r="CD37" s="249"/>
      <c r="CE37" s="107"/>
      <c r="CF37" s="225" t="str">
        <f t="shared" si="14"/>
        <v/>
      </c>
      <c r="CG37" s="225" t="str">
        <f t="shared" si="15"/>
        <v/>
      </c>
      <c r="CH37" s="225" t="str">
        <f t="shared" si="16"/>
        <v/>
      </c>
      <c r="CI37" s="225" t="str">
        <f t="shared" si="17"/>
        <v/>
      </c>
      <c r="CJ37" s="225" t="str">
        <f t="shared" si="18"/>
        <v/>
      </c>
      <c r="CK37" s="225" t="str">
        <f t="shared" si="19"/>
        <v/>
      </c>
      <c r="CL37" s="225" t="str">
        <f t="shared" si="20"/>
        <v/>
      </c>
      <c r="CM37" s="225" t="str">
        <f t="shared" si="21"/>
        <v/>
      </c>
      <c r="CN37" s="225" t="str">
        <f t="shared" si="22"/>
        <v/>
      </c>
      <c r="CO37" s="225" t="str">
        <f t="shared" si="23"/>
        <v/>
      </c>
      <c r="CP37" s="250"/>
      <c r="CQ37" s="250" t="str">
        <f t="shared" si="24"/>
        <v/>
      </c>
      <c r="CR37" s="5">
        <v>35</v>
      </c>
      <c r="CU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7" s="373" t="str">
        <f t="shared" si="25"/>
        <v/>
      </c>
      <c r="CW37" s="2"/>
      <c r="CX37" s="104"/>
    </row>
    <row r="38" spans="1:102" ht="18.95" customHeight="1" x14ac:dyDescent="0.35">
      <c r="A38" s="262"/>
      <c r="B38" s="4">
        <v>36</v>
      </c>
      <c r="C38" s="4" t="s">
        <v>10</v>
      </c>
      <c r="E38" s="382" t="s">
        <v>599</v>
      </c>
      <c r="F38" s="69"/>
      <c r="H38" s="69" t="s">
        <v>460</v>
      </c>
      <c r="I38" s="69" t="s">
        <v>449</v>
      </c>
      <c r="J38" s="69" t="s">
        <v>461</v>
      </c>
      <c r="K38" s="160" t="s">
        <v>483</v>
      </c>
      <c r="L38" s="2"/>
      <c r="M38" s="69" t="s">
        <v>731</v>
      </c>
      <c r="N38" s="2"/>
      <c r="O38" s="230" t="str">
        <f>IF($A$2=B38,Elektro!$Q$11,"")</f>
        <v/>
      </c>
      <c r="P38" s="230" t="str">
        <f>IF($A$2=B38,Elektro!$Q$12,"")</f>
        <v/>
      </c>
      <c r="Q38" s="236" t="str">
        <f>IF($A$2=B38,Elektro!$Q$13,"")</f>
        <v/>
      </c>
      <c r="R38" s="231" t="str">
        <f>IF($A$2=B38,Elektro!$Q$14,"")</f>
        <v/>
      </c>
      <c r="S38" s="231" t="str">
        <f>IF($A$2=B38,Elektro!$Q$15,"")</f>
        <v/>
      </c>
      <c r="T38" s="230" t="str">
        <f>IF($A$2=B38,Elektro!$Q$16,"")</f>
        <v/>
      </c>
      <c r="U38" s="353" t="str">
        <f t="shared" si="0"/>
        <v/>
      </c>
      <c r="V38" s="353" t="str">
        <f t="shared" si="1"/>
        <v/>
      </c>
      <c r="W38" s="4" t="s">
        <v>138</v>
      </c>
      <c r="X38" s="4" t="s">
        <v>20</v>
      </c>
      <c r="Y38" s="4">
        <v>4</v>
      </c>
      <c r="Z38" s="4">
        <v>32</v>
      </c>
      <c r="AA38" s="232" t="str">
        <f t="shared" si="2"/>
        <v/>
      </c>
      <c r="AB38" s="233" t="str">
        <f t="shared" si="3"/>
        <v/>
      </c>
      <c r="AC38" s="233" t="str">
        <f t="shared" si="4"/>
        <v>mol/s</v>
      </c>
      <c r="AD38" s="231" t="str">
        <f t="shared" si="5"/>
        <v/>
      </c>
      <c r="AE38" s="231" t="s">
        <v>283</v>
      </c>
      <c r="AF38" s="232" t="str">
        <f t="shared" si="6"/>
        <v/>
      </c>
      <c r="AG38" s="236" t="s">
        <v>284</v>
      </c>
      <c r="AH38" s="4"/>
      <c r="AI38" s="4" t="s">
        <v>111</v>
      </c>
      <c r="AJ38" s="4" t="s">
        <v>282</v>
      </c>
      <c r="AK38" s="4">
        <v>2</v>
      </c>
      <c r="AL38" s="4">
        <v>65.39</v>
      </c>
      <c r="AM38" s="232" t="str">
        <f t="shared" si="7"/>
        <v/>
      </c>
      <c r="AN38" s="233" t="str">
        <f t="shared" si="8"/>
        <v/>
      </c>
      <c r="AO38" s="4" t="str">
        <f t="shared" si="9"/>
        <v>g/s</v>
      </c>
      <c r="AP38" s="4"/>
      <c r="AQ38" s="4"/>
      <c r="AR38" s="4"/>
      <c r="AS38" s="4"/>
      <c r="AT38" s="4">
        <v>0</v>
      </c>
      <c r="AV38" s="248" t="str">
        <f t="shared" si="10"/>
        <v/>
      </c>
      <c r="AW38" s="248"/>
      <c r="AX38" s="4" t="str">
        <f t="shared" si="11"/>
        <v>M</v>
      </c>
      <c r="AY38" s="248" t="str">
        <f t="shared" si="12"/>
        <v/>
      </c>
      <c r="AZ38" s="232"/>
      <c r="BA38" s="4">
        <v>36</v>
      </c>
      <c r="BB38" s="2"/>
      <c r="BC38" s="2"/>
      <c r="BD38" s="2"/>
      <c r="BE38" s="2"/>
      <c r="BF38" s="2"/>
      <c r="BG38" s="2"/>
      <c r="BH38" s="185" t="s">
        <v>157</v>
      </c>
      <c r="BI38" s="185" t="s">
        <v>149</v>
      </c>
      <c r="BJ38" s="185" t="s">
        <v>158</v>
      </c>
      <c r="BK38" s="185" t="s">
        <v>30</v>
      </c>
      <c r="BL38" s="100"/>
      <c r="BM38" s="97">
        <f t="shared" si="13"/>
        <v>0</v>
      </c>
      <c r="BN38" s="225" t="s">
        <v>300</v>
      </c>
      <c r="BO38" s="225" t="s">
        <v>278</v>
      </c>
      <c r="BP38" s="225" t="s">
        <v>258</v>
      </c>
      <c r="BQ38" s="225" t="s">
        <v>259</v>
      </c>
      <c r="BR38" s="225" t="s">
        <v>380</v>
      </c>
      <c r="BS38" s="225" t="s">
        <v>322</v>
      </c>
      <c r="BT38" s="225"/>
      <c r="BU38" s="225"/>
      <c r="BV38" s="2"/>
      <c r="BW38" s="259" t="s">
        <v>345</v>
      </c>
      <c r="BX38" s="259" t="s">
        <v>346</v>
      </c>
      <c r="BY38" s="259" t="s">
        <v>266</v>
      </c>
      <c r="BZ38" s="259" t="s">
        <v>267</v>
      </c>
      <c r="CA38" s="107"/>
      <c r="CB38" s="249"/>
      <c r="CC38" s="107"/>
      <c r="CD38" s="249"/>
      <c r="CE38" s="107"/>
      <c r="CF38" s="225" t="str">
        <f t="shared" si="14"/>
        <v/>
      </c>
      <c r="CG38" s="225" t="str">
        <f t="shared" si="15"/>
        <v/>
      </c>
      <c r="CH38" s="225" t="str">
        <f t="shared" si="16"/>
        <v/>
      </c>
      <c r="CI38" s="225" t="str">
        <f t="shared" si="17"/>
        <v/>
      </c>
      <c r="CJ38" s="225" t="str">
        <f t="shared" si="18"/>
        <v/>
      </c>
      <c r="CK38" s="225" t="str">
        <f t="shared" si="19"/>
        <v/>
      </c>
      <c r="CL38" s="225" t="str">
        <f t="shared" si="20"/>
        <v/>
      </c>
      <c r="CM38" s="225" t="str">
        <f t="shared" si="21"/>
        <v/>
      </c>
      <c r="CN38" s="225" t="str">
        <f t="shared" si="22"/>
        <v/>
      </c>
      <c r="CO38" s="225" t="str">
        <f t="shared" si="23"/>
        <v/>
      </c>
      <c r="CP38" s="250"/>
      <c r="CQ38" s="250" t="str">
        <f t="shared" si="24"/>
        <v/>
      </c>
      <c r="CR38" s="5">
        <v>36</v>
      </c>
      <c r="CU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8" s="373" t="str">
        <f t="shared" si="25"/>
        <v/>
      </c>
      <c r="CW38" s="2"/>
      <c r="CX38" s="104"/>
    </row>
    <row r="39" spans="1:102" ht="18.95" customHeight="1" x14ac:dyDescent="0.35">
      <c r="A39" s="5" t="s">
        <v>55</v>
      </c>
      <c r="B39" s="128">
        <v>37</v>
      </c>
      <c r="C39" s="184" t="s">
        <v>5</v>
      </c>
      <c r="E39" s="382" t="s">
        <v>602</v>
      </c>
      <c r="F39" s="149" t="s">
        <v>228</v>
      </c>
      <c r="H39" s="69" t="s">
        <v>484</v>
      </c>
      <c r="I39" s="69" t="s">
        <v>431</v>
      </c>
      <c r="J39" s="69" t="s">
        <v>419</v>
      </c>
      <c r="K39" s="160" t="s">
        <v>485</v>
      </c>
      <c r="L39" s="2"/>
      <c r="M39" s="69" t="s">
        <v>732</v>
      </c>
      <c r="N39" s="84"/>
      <c r="O39" s="230" t="str">
        <f>IF($A$2=B39,Elektro!$Q$11,"")</f>
        <v/>
      </c>
      <c r="P39" s="230" t="str">
        <f>IF($A$2=B39,Elektro!$Q$12,"")</f>
        <v/>
      </c>
      <c r="Q39" s="236" t="str">
        <f>IF($A$2=B39,Elektro!$Q$13,"")</f>
        <v/>
      </c>
      <c r="R39" s="231" t="str">
        <f>IF($A$2=B39,Elektro!$Q$14,"")</f>
        <v/>
      </c>
      <c r="S39" s="231" t="str">
        <f>IF($A$2=B39,Elektro!$Q$15,"")</f>
        <v/>
      </c>
      <c r="T39" s="230" t="str">
        <f>IF($A$2=B39,Elektro!$Q$16,"")</f>
        <v/>
      </c>
      <c r="U39" s="353" t="str">
        <f t="shared" si="0"/>
        <v/>
      </c>
      <c r="V39" s="353" t="str">
        <f t="shared" si="1"/>
        <v/>
      </c>
      <c r="W39" s="4" t="s">
        <v>279</v>
      </c>
      <c r="X39" s="4" t="s">
        <v>20</v>
      </c>
      <c r="Y39" s="4">
        <v>2</v>
      </c>
      <c r="Z39" s="4">
        <v>71</v>
      </c>
      <c r="AA39" s="232" t="str">
        <f t="shared" si="2"/>
        <v/>
      </c>
      <c r="AB39" s="233" t="str">
        <f t="shared" si="3"/>
        <v/>
      </c>
      <c r="AC39" s="233" t="str">
        <f t="shared" si="4"/>
        <v>mol/s</v>
      </c>
      <c r="AD39" s="231" t="str">
        <f t="shared" si="5"/>
        <v/>
      </c>
      <c r="AE39" s="231" t="s">
        <v>283</v>
      </c>
      <c r="AF39" s="232" t="str">
        <f t="shared" si="6"/>
        <v/>
      </c>
      <c r="AG39" s="236" t="s">
        <v>284</v>
      </c>
      <c r="AH39" s="4"/>
      <c r="AI39" s="4" t="s">
        <v>280</v>
      </c>
      <c r="AJ39" s="4" t="s">
        <v>20</v>
      </c>
      <c r="AK39" s="4">
        <v>2</v>
      </c>
      <c r="AL39" s="4">
        <v>2</v>
      </c>
      <c r="AM39" s="232" t="str">
        <f t="shared" si="7"/>
        <v/>
      </c>
      <c r="AN39" s="233" t="str">
        <f t="shared" si="8"/>
        <v/>
      </c>
      <c r="AO39" s="4" t="str">
        <f t="shared" si="9"/>
        <v>mol/s</v>
      </c>
      <c r="AP39" s="4"/>
      <c r="AQ39" s="4"/>
      <c r="AR39" s="4"/>
      <c r="AS39" s="4" t="s">
        <v>120</v>
      </c>
      <c r="AT39" s="4">
        <v>1</v>
      </c>
      <c r="AU39" s="5" t="s">
        <v>55</v>
      </c>
      <c r="AV39" s="248" t="str">
        <f t="shared" si="10"/>
        <v/>
      </c>
      <c r="AW39" s="248"/>
      <c r="AX39" s="4" t="str">
        <f t="shared" si="11"/>
        <v>M</v>
      </c>
      <c r="AY39" s="248" t="str">
        <f t="shared" si="12"/>
        <v/>
      </c>
      <c r="AZ39" s="232"/>
      <c r="BA39" s="4">
        <v>1</v>
      </c>
      <c r="BB39" s="2" t="s">
        <v>47</v>
      </c>
      <c r="BC39" s="2" t="s">
        <v>52</v>
      </c>
      <c r="BD39" s="2"/>
      <c r="BE39" s="2" t="s">
        <v>48</v>
      </c>
      <c r="BF39" s="2" t="s">
        <v>49</v>
      </c>
      <c r="BG39" s="2"/>
      <c r="BH39" s="185" t="s">
        <v>144</v>
      </c>
      <c r="BI39" s="185" t="s">
        <v>145</v>
      </c>
      <c r="BJ39" s="185" t="s">
        <v>146</v>
      </c>
      <c r="BK39" s="185" t="s">
        <v>147</v>
      </c>
      <c r="BL39" s="100"/>
      <c r="BM39" s="97">
        <f>AT39</f>
        <v>1</v>
      </c>
      <c r="BN39" s="225" t="s">
        <v>294</v>
      </c>
      <c r="BO39" s="225" t="s">
        <v>276</v>
      </c>
      <c r="BP39" s="225" t="s">
        <v>258</v>
      </c>
      <c r="BQ39" s="225" t="s">
        <v>259</v>
      </c>
      <c r="BR39" s="225" t="s">
        <v>318</v>
      </c>
      <c r="BS39" s="225" t="s">
        <v>324</v>
      </c>
      <c r="BT39" s="225" t="s">
        <v>273</v>
      </c>
      <c r="BU39" s="225" t="s">
        <v>260</v>
      </c>
      <c r="BV39" s="2"/>
      <c r="BW39" s="259" t="s">
        <v>264</v>
      </c>
      <c r="BX39" s="259" t="s">
        <v>265</v>
      </c>
      <c r="BY39" s="259" t="s">
        <v>281</v>
      </c>
      <c r="BZ39" s="259" t="s">
        <v>271</v>
      </c>
      <c r="CA39" s="107"/>
      <c r="CB39" s="249"/>
      <c r="CC39" s="107"/>
      <c r="CD39" s="249"/>
      <c r="CE39" s="107"/>
      <c r="CF39" s="225" t="str">
        <f t="shared" si="14"/>
        <v/>
      </c>
      <c r="CG39" s="225" t="str">
        <f t="shared" si="15"/>
        <v/>
      </c>
      <c r="CH39" s="225" t="str">
        <f t="shared" si="16"/>
        <v/>
      </c>
      <c r="CI39" s="225" t="str">
        <f t="shared" si="17"/>
        <v/>
      </c>
      <c r="CJ39" s="225" t="str">
        <f t="shared" si="18"/>
        <v/>
      </c>
      <c r="CK39" s="225" t="str">
        <f t="shared" si="19"/>
        <v/>
      </c>
      <c r="CL39" s="225" t="str">
        <f t="shared" si="20"/>
        <v/>
      </c>
      <c r="CM39" s="225" t="str">
        <f t="shared" si="21"/>
        <v/>
      </c>
      <c r="CN39" s="225" t="str">
        <f t="shared" si="22"/>
        <v/>
      </c>
      <c r="CO39" s="225" t="str">
        <f t="shared" si="23"/>
        <v/>
      </c>
      <c r="CP39" s="250"/>
      <c r="CQ39" s="250" t="str">
        <f t="shared" si="24"/>
        <v/>
      </c>
      <c r="CR39" s="5">
        <v>37</v>
      </c>
      <c r="CU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9" s="373" t="str">
        <f t="shared" si="25"/>
        <v/>
      </c>
      <c r="CW39" s="2"/>
      <c r="CX39" s="104"/>
    </row>
    <row r="40" spans="1:102" ht="18.95" customHeight="1" x14ac:dyDescent="0.35">
      <c r="A40" s="5" t="s">
        <v>55</v>
      </c>
      <c r="B40" s="128">
        <v>38</v>
      </c>
      <c r="C40" s="184" t="s">
        <v>99</v>
      </c>
      <c r="E40" s="382" t="s">
        <v>603</v>
      </c>
      <c r="F40" s="69"/>
      <c r="H40" s="69" t="s">
        <v>486</v>
      </c>
      <c r="I40" s="69" t="s">
        <v>487</v>
      </c>
      <c r="J40" s="69" t="s">
        <v>419</v>
      </c>
      <c r="K40" s="160" t="s">
        <v>488</v>
      </c>
      <c r="L40" s="2"/>
      <c r="M40" s="69" t="s">
        <v>733</v>
      </c>
      <c r="N40" s="2"/>
      <c r="O40" s="230" t="str">
        <f>IF($A$2=B40,Elektro!$Q$11,"")</f>
        <v/>
      </c>
      <c r="P40" s="230" t="str">
        <f>IF($A$2=B40,Elektro!$Q$12,"")</f>
        <v/>
      </c>
      <c r="Q40" s="236" t="str">
        <f>IF($A$2=B40,Elektro!$Q$13,"")</f>
        <v/>
      </c>
      <c r="R40" s="231" t="str">
        <f>IF($A$2=B40,Elektro!$Q$14,"")</f>
        <v/>
      </c>
      <c r="S40" s="231" t="str">
        <f>IF($A$2=B40,Elektro!$Q$15,"")</f>
        <v/>
      </c>
      <c r="T40" s="230" t="str">
        <f>IF($A$2=B40,Elektro!$Q$16,"")</f>
        <v/>
      </c>
      <c r="U40" s="353" t="str">
        <f t="shared" si="0"/>
        <v/>
      </c>
      <c r="V40" s="353" t="str">
        <f t="shared" si="1"/>
        <v/>
      </c>
      <c r="W40" s="4" t="s">
        <v>140</v>
      </c>
      <c r="X40" s="4" t="s">
        <v>20</v>
      </c>
      <c r="Y40" s="4">
        <v>2</v>
      </c>
      <c r="Z40" s="4">
        <v>159.80000000000001</v>
      </c>
      <c r="AA40" s="232" t="str">
        <f t="shared" si="2"/>
        <v/>
      </c>
      <c r="AB40" s="233" t="str">
        <f t="shared" si="3"/>
        <v/>
      </c>
      <c r="AC40" s="233" t="str">
        <f t="shared" si="4"/>
        <v>mol/s</v>
      </c>
      <c r="AD40" s="231" t="str">
        <f t="shared" si="5"/>
        <v/>
      </c>
      <c r="AE40" s="231" t="s">
        <v>283</v>
      </c>
      <c r="AF40" s="232" t="str">
        <f t="shared" si="6"/>
        <v/>
      </c>
      <c r="AG40" s="236" t="s">
        <v>284</v>
      </c>
      <c r="AH40" s="4"/>
      <c r="AI40" s="4" t="s">
        <v>142</v>
      </c>
      <c r="AJ40" s="4" t="s">
        <v>20</v>
      </c>
      <c r="AK40" s="4">
        <v>2</v>
      </c>
      <c r="AL40" s="4">
        <v>2</v>
      </c>
      <c r="AM40" s="232" t="str">
        <f t="shared" si="7"/>
        <v/>
      </c>
      <c r="AN40" s="233" t="str">
        <f t="shared" si="8"/>
        <v/>
      </c>
      <c r="AO40" s="4" t="str">
        <f t="shared" si="9"/>
        <v>mol/s</v>
      </c>
      <c r="AP40" s="4"/>
      <c r="AQ40" s="4"/>
      <c r="AR40" s="4"/>
      <c r="AS40" s="4" t="s">
        <v>120</v>
      </c>
      <c r="AT40" s="4">
        <v>1</v>
      </c>
      <c r="AU40" s="5" t="s">
        <v>55</v>
      </c>
      <c r="AV40" s="248" t="str">
        <f t="shared" si="10"/>
        <v/>
      </c>
      <c r="AW40" s="248"/>
      <c r="AX40" s="4" t="str">
        <f t="shared" si="11"/>
        <v>M</v>
      </c>
      <c r="AY40" s="248" t="str">
        <f t="shared" si="12"/>
        <v/>
      </c>
      <c r="AZ40" s="232"/>
      <c r="BA40" s="4">
        <v>37</v>
      </c>
      <c r="BB40" s="2" t="s">
        <v>47</v>
      </c>
      <c r="BC40" s="2" t="s">
        <v>78</v>
      </c>
      <c r="BD40" s="2"/>
      <c r="BE40" s="2" t="s">
        <v>48</v>
      </c>
      <c r="BF40" s="2" t="s">
        <v>49</v>
      </c>
      <c r="BG40" s="2"/>
      <c r="BH40" s="185" t="s">
        <v>162</v>
      </c>
      <c r="BI40" s="185" t="s">
        <v>163</v>
      </c>
      <c r="BJ40" s="185" t="s">
        <v>146</v>
      </c>
      <c r="BK40" s="185" t="s">
        <v>147</v>
      </c>
      <c r="BL40" s="100"/>
      <c r="BM40" s="97">
        <f>AT40</f>
        <v>1</v>
      </c>
      <c r="BN40" s="225" t="s">
        <v>294</v>
      </c>
      <c r="BO40" s="225" t="s">
        <v>277</v>
      </c>
      <c r="BP40" s="225" t="s">
        <v>258</v>
      </c>
      <c r="BQ40" s="225" t="s">
        <v>259</v>
      </c>
      <c r="BR40" s="225" t="s">
        <v>318</v>
      </c>
      <c r="BS40" s="225" t="s">
        <v>326</v>
      </c>
      <c r="BT40" s="225" t="s">
        <v>273</v>
      </c>
      <c r="BU40" s="225" t="s">
        <v>260</v>
      </c>
      <c r="BV40" s="2"/>
      <c r="BW40" s="259" t="s">
        <v>264</v>
      </c>
      <c r="BX40" s="259" t="s">
        <v>265</v>
      </c>
      <c r="BY40" s="259" t="s">
        <v>334</v>
      </c>
      <c r="BZ40" s="259" t="s">
        <v>335</v>
      </c>
      <c r="CA40" s="107"/>
      <c r="CB40" s="249"/>
      <c r="CC40" s="107"/>
      <c r="CD40" s="249"/>
      <c r="CE40" s="107"/>
      <c r="CF40" s="225" t="str">
        <f t="shared" si="14"/>
        <v/>
      </c>
      <c r="CG40" s="225" t="str">
        <f t="shared" si="15"/>
        <v/>
      </c>
      <c r="CH40" s="225" t="str">
        <f t="shared" si="16"/>
        <v/>
      </c>
      <c r="CI40" s="225" t="str">
        <f t="shared" si="17"/>
        <v/>
      </c>
      <c r="CJ40" s="225" t="str">
        <f t="shared" si="18"/>
        <v/>
      </c>
      <c r="CK40" s="225" t="str">
        <f t="shared" si="19"/>
        <v/>
      </c>
      <c r="CL40" s="225" t="str">
        <f t="shared" si="20"/>
        <v/>
      </c>
      <c r="CM40" s="225" t="str">
        <f t="shared" si="21"/>
        <v/>
      </c>
      <c r="CN40" s="225" t="str">
        <f t="shared" si="22"/>
        <v/>
      </c>
      <c r="CO40" s="225" t="str">
        <f t="shared" si="23"/>
        <v/>
      </c>
      <c r="CP40" s="250"/>
      <c r="CQ40" s="250" t="str">
        <f t="shared" si="24"/>
        <v/>
      </c>
      <c r="CR40" s="5">
        <v>38</v>
      </c>
      <c r="CU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0" s="373" t="str">
        <f t="shared" si="25"/>
        <v/>
      </c>
      <c r="CW40" s="2"/>
      <c r="CX40" s="104"/>
    </row>
    <row r="41" spans="1:102" ht="18.95" customHeight="1" x14ac:dyDescent="0.35">
      <c r="A41" s="5" t="s">
        <v>55</v>
      </c>
      <c r="B41" s="128">
        <v>39</v>
      </c>
      <c r="C41" s="184" t="s">
        <v>694</v>
      </c>
      <c r="E41" s="382" t="s">
        <v>604</v>
      </c>
      <c r="F41" s="69" t="s">
        <v>230</v>
      </c>
      <c r="H41" s="69" t="s">
        <v>489</v>
      </c>
      <c r="I41" s="69" t="s">
        <v>418</v>
      </c>
      <c r="J41" s="69" t="s">
        <v>419</v>
      </c>
      <c r="K41" s="160" t="s">
        <v>420</v>
      </c>
      <c r="L41" s="2"/>
      <c r="M41" s="69" t="s">
        <v>734</v>
      </c>
      <c r="N41" s="2"/>
      <c r="O41" s="230" t="str">
        <f>IF($A$2=B41,Elektro!$Q$11,"")</f>
        <v/>
      </c>
      <c r="P41" s="230" t="str">
        <f>IF($A$2=B41,Elektro!$Q$12,"")</f>
        <v/>
      </c>
      <c r="Q41" s="236" t="str">
        <f>IF($A$2=B41,Elektro!$Q$13,"")</f>
        <v/>
      </c>
      <c r="R41" s="231" t="str">
        <f>IF($A$2=B41,Elektro!$Q$14,"")</f>
        <v/>
      </c>
      <c r="S41" s="231" t="str">
        <f>IF($A$2=B41,Elektro!$Q$15,"")</f>
        <v/>
      </c>
      <c r="T41" s="230" t="str">
        <f>IF($A$2=B41,Elektro!$Q$16,"")</f>
        <v/>
      </c>
      <c r="U41" s="353" t="str">
        <f t="shared" si="0"/>
        <v/>
      </c>
      <c r="V41" s="353" t="str">
        <f t="shared" si="1"/>
        <v/>
      </c>
      <c r="W41" s="4" t="s">
        <v>138</v>
      </c>
      <c r="X41" s="4" t="s">
        <v>20</v>
      </c>
      <c r="Y41" s="4">
        <v>4</v>
      </c>
      <c r="Z41" s="4">
        <v>32</v>
      </c>
      <c r="AA41" s="232" t="str">
        <f t="shared" si="2"/>
        <v/>
      </c>
      <c r="AB41" s="233" t="str">
        <f t="shared" si="3"/>
        <v/>
      </c>
      <c r="AC41" s="233" t="str">
        <f t="shared" si="4"/>
        <v>mol/s</v>
      </c>
      <c r="AD41" s="231" t="str">
        <f t="shared" si="5"/>
        <v/>
      </c>
      <c r="AE41" s="231" t="s">
        <v>283</v>
      </c>
      <c r="AF41" s="232" t="str">
        <f t="shared" si="6"/>
        <v/>
      </c>
      <c r="AG41" s="236" t="s">
        <v>284</v>
      </c>
      <c r="AH41" s="4"/>
      <c r="AI41" s="4" t="s">
        <v>142</v>
      </c>
      <c r="AJ41" s="4" t="s">
        <v>20</v>
      </c>
      <c r="AK41" s="4">
        <v>2</v>
      </c>
      <c r="AL41" s="4">
        <v>2</v>
      </c>
      <c r="AM41" s="232" t="str">
        <f t="shared" si="7"/>
        <v/>
      </c>
      <c r="AN41" s="233" t="str">
        <f t="shared" si="8"/>
        <v/>
      </c>
      <c r="AO41" s="4" t="str">
        <f t="shared" si="9"/>
        <v>mol/s</v>
      </c>
      <c r="AP41" s="4"/>
      <c r="AQ41" s="4"/>
      <c r="AR41" s="4"/>
      <c r="AS41" s="4" t="s">
        <v>120</v>
      </c>
      <c r="AT41" s="4">
        <v>1</v>
      </c>
      <c r="AU41" s="5" t="s">
        <v>55</v>
      </c>
      <c r="AV41" s="248" t="str">
        <f t="shared" si="10"/>
        <v/>
      </c>
      <c r="AW41" s="248"/>
      <c r="AX41" s="4" t="str">
        <f t="shared" si="11"/>
        <v>M</v>
      </c>
      <c r="AY41" s="248" t="str">
        <f t="shared" si="12"/>
        <v/>
      </c>
      <c r="AZ41" s="232"/>
      <c r="BA41" s="4">
        <v>39</v>
      </c>
      <c r="BB41" s="2" t="s">
        <v>47</v>
      </c>
      <c r="BC41" s="2" t="s">
        <v>235</v>
      </c>
      <c r="BD41" s="2"/>
      <c r="BE41" s="2" t="s">
        <v>48</v>
      </c>
      <c r="BF41" s="2" t="s">
        <v>49</v>
      </c>
      <c r="BG41" s="2"/>
      <c r="BH41" s="185" t="s">
        <v>148</v>
      </c>
      <c r="BI41" s="185" t="s">
        <v>149</v>
      </c>
      <c r="BJ41" s="185" t="s">
        <v>146</v>
      </c>
      <c r="BK41" s="185" t="s">
        <v>147</v>
      </c>
      <c r="BL41" s="100"/>
      <c r="BM41" s="97">
        <f t="shared" si="13"/>
        <v>1</v>
      </c>
      <c r="BN41" s="225" t="s">
        <v>294</v>
      </c>
      <c r="BO41" s="225" t="s">
        <v>278</v>
      </c>
      <c r="BP41" s="225" t="s">
        <v>258</v>
      </c>
      <c r="BQ41" s="225" t="s">
        <v>259</v>
      </c>
      <c r="BR41" s="225" t="s">
        <v>318</v>
      </c>
      <c r="BS41" s="225" t="s">
        <v>322</v>
      </c>
      <c r="BT41" s="225" t="s">
        <v>273</v>
      </c>
      <c r="BU41" s="225" t="s">
        <v>260</v>
      </c>
      <c r="BV41" s="2"/>
      <c r="BW41" s="259" t="s">
        <v>264</v>
      </c>
      <c r="BX41" s="259" t="s">
        <v>265</v>
      </c>
      <c r="BY41" s="259" t="s">
        <v>266</v>
      </c>
      <c r="BZ41" s="259" t="s">
        <v>267</v>
      </c>
      <c r="CA41" s="107"/>
      <c r="CB41" s="249"/>
      <c r="CC41" s="107"/>
      <c r="CD41" s="249"/>
      <c r="CE41" s="107"/>
      <c r="CF41" s="225" t="str">
        <f t="shared" si="14"/>
        <v/>
      </c>
      <c r="CG41" s="225" t="str">
        <f t="shared" si="15"/>
        <v/>
      </c>
      <c r="CH41" s="225" t="str">
        <f t="shared" si="16"/>
        <v/>
      </c>
      <c r="CI41" s="225" t="str">
        <f t="shared" si="17"/>
        <v/>
      </c>
      <c r="CJ41" s="225" t="str">
        <f t="shared" si="18"/>
        <v/>
      </c>
      <c r="CK41" s="225" t="str">
        <f t="shared" si="19"/>
        <v/>
      </c>
      <c r="CL41" s="225" t="str">
        <f t="shared" si="20"/>
        <v/>
      </c>
      <c r="CM41" s="225" t="str">
        <f t="shared" si="21"/>
        <v/>
      </c>
      <c r="CN41" s="225" t="str">
        <f t="shared" si="22"/>
        <v/>
      </c>
      <c r="CO41" s="225" t="str">
        <f t="shared" si="23"/>
        <v/>
      </c>
      <c r="CP41" s="250"/>
      <c r="CQ41" s="250" t="str">
        <f t="shared" si="24"/>
        <v/>
      </c>
      <c r="CR41" s="5">
        <v>39</v>
      </c>
      <c r="CU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1" s="373" t="str">
        <f t="shared" si="25"/>
        <v/>
      </c>
      <c r="CW41" s="2"/>
      <c r="CX41" s="104"/>
    </row>
    <row r="42" spans="1:102" ht="18.95" customHeight="1" x14ac:dyDescent="0.35">
      <c r="A42" s="5" t="s">
        <v>55</v>
      </c>
      <c r="B42" s="128">
        <v>40</v>
      </c>
      <c r="C42" s="184" t="s">
        <v>887</v>
      </c>
      <c r="E42" s="382" t="s">
        <v>669</v>
      </c>
      <c r="F42" s="69" t="s">
        <v>230</v>
      </c>
      <c r="H42" s="69" t="s">
        <v>490</v>
      </c>
      <c r="I42" s="69" t="s">
        <v>418</v>
      </c>
      <c r="J42" s="69" t="s">
        <v>419</v>
      </c>
      <c r="K42" s="160" t="s">
        <v>420</v>
      </c>
      <c r="L42" s="2"/>
      <c r="M42" s="69" t="s">
        <v>735</v>
      </c>
      <c r="N42" s="2"/>
      <c r="O42" s="230" t="str">
        <f>IF($A$2=B42,Elektro!$Q$11,"")</f>
        <v/>
      </c>
      <c r="P42" s="230" t="str">
        <f>IF($A$2=B42,Elektro!$Q$12,"")</f>
        <v/>
      </c>
      <c r="Q42" s="236" t="str">
        <f>IF($A$2=B42,Elektro!$Q$13,"")</f>
        <v/>
      </c>
      <c r="R42" s="231" t="str">
        <f>IF($A$2=B42,Elektro!$Q$14,"")</f>
        <v/>
      </c>
      <c r="S42" s="231" t="str">
        <f>IF($A$2=B42,Elektro!$Q$15,"")</f>
        <v/>
      </c>
      <c r="T42" s="230" t="str">
        <f>IF($A$2=B42,Elektro!$Q$16,"")</f>
        <v/>
      </c>
      <c r="U42" s="353" t="str">
        <f t="shared" si="0"/>
        <v/>
      </c>
      <c r="V42" s="353" t="str">
        <f t="shared" si="1"/>
        <v/>
      </c>
      <c r="W42" s="4" t="s">
        <v>138</v>
      </c>
      <c r="X42" s="4" t="s">
        <v>20</v>
      </c>
      <c r="Y42" s="4">
        <v>4</v>
      </c>
      <c r="Z42" s="4">
        <v>32</v>
      </c>
      <c r="AA42" s="232" t="str">
        <f t="shared" si="2"/>
        <v/>
      </c>
      <c r="AB42" s="233" t="str">
        <f t="shared" si="3"/>
        <v/>
      </c>
      <c r="AC42" s="233" t="str">
        <f t="shared" si="4"/>
        <v>mol/s</v>
      </c>
      <c r="AD42" s="231" t="str">
        <f t="shared" si="5"/>
        <v/>
      </c>
      <c r="AE42" s="231" t="s">
        <v>283</v>
      </c>
      <c r="AF42" s="232" t="str">
        <f t="shared" si="6"/>
        <v/>
      </c>
      <c r="AG42" s="236" t="s">
        <v>284</v>
      </c>
      <c r="AH42" s="4"/>
      <c r="AI42" s="4" t="s">
        <v>142</v>
      </c>
      <c r="AJ42" s="4" t="s">
        <v>20</v>
      </c>
      <c r="AK42" s="4">
        <v>2</v>
      </c>
      <c r="AL42" s="4">
        <v>2</v>
      </c>
      <c r="AM42" s="232" t="str">
        <f t="shared" si="7"/>
        <v/>
      </c>
      <c r="AN42" s="233" t="str">
        <f t="shared" si="8"/>
        <v/>
      </c>
      <c r="AO42" s="4" t="str">
        <f t="shared" si="9"/>
        <v>mol/s</v>
      </c>
      <c r="AP42" s="4"/>
      <c r="AQ42" s="4"/>
      <c r="AR42" s="4"/>
      <c r="AS42" s="4" t="s">
        <v>120</v>
      </c>
      <c r="AT42" s="4">
        <v>1</v>
      </c>
      <c r="AU42" s="5" t="s">
        <v>55</v>
      </c>
      <c r="AV42" s="248" t="str">
        <f t="shared" si="10"/>
        <v/>
      </c>
      <c r="AW42" s="248"/>
      <c r="AX42" s="4" t="str">
        <f t="shared" si="11"/>
        <v>M</v>
      </c>
      <c r="AY42" s="248" t="str">
        <f t="shared" si="12"/>
        <v/>
      </c>
      <c r="AZ42" s="232"/>
      <c r="BA42" s="4">
        <v>40</v>
      </c>
      <c r="BB42" s="2" t="s">
        <v>47</v>
      </c>
      <c r="BC42" s="2" t="s">
        <v>236</v>
      </c>
      <c r="BD42" s="2"/>
      <c r="BE42" s="2" t="s">
        <v>48</v>
      </c>
      <c r="BF42" s="2" t="s">
        <v>49</v>
      </c>
      <c r="BG42" s="2"/>
      <c r="BH42" s="185" t="s">
        <v>148</v>
      </c>
      <c r="BI42" s="185" t="s">
        <v>149</v>
      </c>
      <c r="BJ42" s="185" t="s">
        <v>146</v>
      </c>
      <c r="BK42" s="185" t="s">
        <v>147</v>
      </c>
      <c r="BL42" s="100"/>
      <c r="BM42" s="97">
        <f t="shared" si="13"/>
        <v>1</v>
      </c>
      <c r="BN42" s="225" t="s">
        <v>294</v>
      </c>
      <c r="BO42" s="225" t="s">
        <v>278</v>
      </c>
      <c r="BP42" s="225" t="s">
        <v>258</v>
      </c>
      <c r="BQ42" s="225" t="s">
        <v>259</v>
      </c>
      <c r="BR42" s="225" t="s">
        <v>318</v>
      </c>
      <c r="BS42" s="225" t="s">
        <v>322</v>
      </c>
      <c r="BT42" s="225" t="s">
        <v>273</v>
      </c>
      <c r="BU42" s="225" t="s">
        <v>260</v>
      </c>
      <c r="BV42" s="2"/>
      <c r="BW42" s="259" t="s">
        <v>264</v>
      </c>
      <c r="BX42" s="259" t="s">
        <v>265</v>
      </c>
      <c r="BY42" s="259" t="s">
        <v>266</v>
      </c>
      <c r="BZ42" s="259" t="s">
        <v>267</v>
      </c>
      <c r="CA42" s="107"/>
      <c r="CB42" s="249"/>
      <c r="CC42" s="107"/>
      <c r="CD42" s="249"/>
      <c r="CE42" s="107"/>
      <c r="CF42" s="225" t="str">
        <f t="shared" si="14"/>
        <v/>
      </c>
      <c r="CG42" s="225" t="str">
        <f t="shared" si="15"/>
        <v/>
      </c>
      <c r="CH42" s="225" t="str">
        <f t="shared" si="16"/>
        <v/>
      </c>
      <c r="CI42" s="225" t="str">
        <f t="shared" si="17"/>
        <v/>
      </c>
      <c r="CJ42" s="225" t="str">
        <f t="shared" si="18"/>
        <v/>
      </c>
      <c r="CK42" s="225" t="str">
        <f t="shared" si="19"/>
        <v/>
      </c>
      <c r="CL42" s="225" t="str">
        <f t="shared" si="20"/>
        <v/>
      </c>
      <c r="CM42" s="225" t="str">
        <f t="shared" si="21"/>
        <v/>
      </c>
      <c r="CN42" s="225" t="str">
        <f t="shared" si="22"/>
        <v/>
      </c>
      <c r="CO42" s="225" t="str">
        <f t="shared" si="23"/>
        <v/>
      </c>
      <c r="CP42" s="250"/>
      <c r="CQ42" s="250" t="str">
        <f t="shared" si="24"/>
        <v/>
      </c>
      <c r="CR42" s="5">
        <v>40</v>
      </c>
      <c r="CU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2" s="373" t="str">
        <f t="shared" si="25"/>
        <v/>
      </c>
      <c r="CW42" s="2"/>
      <c r="CX42" s="104"/>
    </row>
    <row r="43" spans="1:102" ht="18.95" customHeight="1" x14ac:dyDescent="0.35">
      <c r="A43" s="5" t="s">
        <v>55</v>
      </c>
      <c r="B43" s="128">
        <v>41</v>
      </c>
      <c r="C43" s="184" t="s">
        <v>100</v>
      </c>
      <c r="E43" s="382" t="s">
        <v>606</v>
      </c>
      <c r="F43" s="69"/>
      <c r="H43" s="69" t="s">
        <v>491</v>
      </c>
      <c r="I43" s="69" t="s">
        <v>425</v>
      </c>
      <c r="J43" s="69" t="s">
        <v>419</v>
      </c>
      <c r="K43" s="160" t="s">
        <v>492</v>
      </c>
      <c r="L43" s="2"/>
      <c r="M43" s="69" t="s">
        <v>736</v>
      </c>
      <c r="N43" s="2"/>
      <c r="O43" s="230" t="str">
        <f>IF($A$2=B43,Elektro!$Q$11,"")</f>
        <v/>
      </c>
      <c r="P43" s="230" t="str">
        <f>IF($A$2=B43,Elektro!$Q$12,"")</f>
        <v/>
      </c>
      <c r="Q43" s="236" t="str">
        <f>IF($A$2=B43,Elektro!$Q$13,"")</f>
        <v/>
      </c>
      <c r="R43" s="231" t="str">
        <f>IF($A$2=B43,Elektro!$Q$14,"")</f>
        <v/>
      </c>
      <c r="S43" s="231" t="str">
        <f>IF($A$2=B43,Elektro!$Q$15,"")</f>
        <v/>
      </c>
      <c r="T43" s="230" t="str">
        <f>IF($A$2=B43,Elektro!$Q$16,"")</f>
        <v/>
      </c>
      <c r="U43" s="353" t="str">
        <f t="shared" si="0"/>
        <v/>
      </c>
      <c r="V43" s="353" t="str">
        <f t="shared" si="1"/>
        <v/>
      </c>
      <c r="W43" s="4" t="s">
        <v>242</v>
      </c>
      <c r="X43" s="4" t="s">
        <v>282</v>
      </c>
      <c r="Y43" s="4">
        <v>2</v>
      </c>
      <c r="Z43" s="4">
        <v>253.8</v>
      </c>
      <c r="AA43" s="232" t="str">
        <f t="shared" si="2"/>
        <v/>
      </c>
      <c r="AB43" s="233" t="str">
        <f t="shared" si="3"/>
        <v/>
      </c>
      <c r="AC43" s="233" t="str">
        <f t="shared" si="4"/>
        <v>g/s</v>
      </c>
      <c r="AD43" s="231" t="str">
        <f t="shared" si="5"/>
        <v/>
      </c>
      <c r="AE43" s="231" t="s">
        <v>283</v>
      </c>
      <c r="AF43" s="232" t="str">
        <f t="shared" si="6"/>
        <v/>
      </c>
      <c r="AG43" s="236" t="s">
        <v>284</v>
      </c>
      <c r="AH43" s="4"/>
      <c r="AI43" s="4" t="s">
        <v>142</v>
      </c>
      <c r="AJ43" s="4" t="s">
        <v>20</v>
      </c>
      <c r="AK43" s="4">
        <v>2</v>
      </c>
      <c r="AL43" s="4">
        <v>2</v>
      </c>
      <c r="AM43" s="232" t="str">
        <f t="shared" si="7"/>
        <v/>
      </c>
      <c r="AN43" s="233" t="str">
        <f t="shared" si="8"/>
        <v/>
      </c>
      <c r="AO43" s="4" t="str">
        <f t="shared" si="9"/>
        <v>mol/s</v>
      </c>
      <c r="AP43" s="4"/>
      <c r="AQ43" s="4"/>
      <c r="AR43" s="4"/>
      <c r="AS43" s="4" t="s">
        <v>120</v>
      </c>
      <c r="AT43" s="4">
        <v>1</v>
      </c>
      <c r="AU43" s="5" t="s">
        <v>55</v>
      </c>
      <c r="AV43" s="248" t="str">
        <f t="shared" si="10"/>
        <v/>
      </c>
      <c r="AW43" s="248"/>
      <c r="AX43" s="4" t="str">
        <f t="shared" si="11"/>
        <v>M</v>
      </c>
      <c r="AY43" s="248" t="str">
        <f t="shared" si="12"/>
        <v/>
      </c>
      <c r="AZ43" s="232"/>
      <c r="BA43" s="4">
        <v>38</v>
      </c>
      <c r="BB43" s="2" t="s">
        <v>47</v>
      </c>
      <c r="BC43" s="2" t="s">
        <v>73</v>
      </c>
      <c r="BD43" s="2"/>
      <c r="BE43" s="2" t="s">
        <v>48</v>
      </c>
      <c r="BF43" s="2" t="s">
        <v>49</v>
      </c>
      <c r="BG43" s="2"/>
      <c r="BH43" s="185" t="s">
        <v>150</v>
      </c>
      <c r="BI43" s="185" t="s">
        <v>156</v>
      </c>
      <c r="BJ43" s="185" t="s">
        <v>146</v>
      </c>
      <c r="BK43" s="185" t="s">
        <v>147</v>
      </c>
      <c r="BL43" s="100"/>
      <c r="BM43" s="97">
        <f t="shared" si="13"/>
        <v>1</v>
      </c>
      <c r="BN43" s="225" t="s">
        <v>294</v>
      </c>
      <c r="BO43" s="225" t="s">
        <v>308</v>
      </c>
      <c r="BP43" s="225" t="s">
        <v>258</v>
      </c>
      <c r="BQ43" s="225" t="s">
        <v>259</v>
      </c>
      <c r="BR43" s="225" t="s">
        <v>318</v>
      </c>
      <c r="BS43" s="225" t="s">
        <v>327</v>
      </c>
      <c r="BT43" s="225" t="s">
        <v>273</v>
      </c>
      <c r="BU43" s="225" t="s">
        <v>260</v>
      </c>
      <c r="BV43" s="2"/>
      <c r="BW43" s="259" t="s">
        <v>264</v>
      </c>
      <c r="BX43" s="259" t="s">
        <v>265</v>
      </c>
      <c r="BY43" s="259" t="s">
        <v>268</v>
      </c>
      <c r="BZ43" s="259" t="s">
        <v>269</v>
      </c>
      <c r="CA43" s="107"/>
      <c r="CB43" s="249"/>
      <c r="CC43" s="107"/>
      <c r="CD43" s="249"/>
      <c r="CE43" s="107"/>
      <c r="CF43" s="225" t="str">
        <f t="shared" si="14"/>
        <v/>
      </c>
      <c r="CG43" s="225" t="str">
        <f t="shared" si="15"/>
        <v/>
      </c>
      <c r="CH43" s="225" t="str">
        <f t="shared" si="16"/>
        <v/>
      </c>
      <c r="CI43" s="225" t="str">
        <f t="shared" si="17"/>
        <v/>
      </c>
      <c r="CJ43" s="225" t="str">
        <f t="shared" si="18"/>
        <v/>
      </c>
      <c r="CK43" s="225" t="str">
        <f t="shared" si="19"/>
        <v/>
      </c>
      <c r="CL43" s="225" t="str">
        <f t="shared" si="20"/>
        <v/>
      </c>
      <c r="CM43" s="225" t="str">
        <f t="shared" si="21"/>
        <v/>
      </c>
      <c r="CN43" s="225" t="str">
        <f t="shared" si="22"/>
        <v/>
      </c>
      <c r="CO43" s="225" t="str">
        <f t="shared" si="23"/>
        <v/>
      </c>
      <c r="CP43" s="250"/>
      <c r="CQ43" s="250" t="str">
        <f t="shared" si="24"/>
        <v/>
      </c>
      <c r="CR43" s="5">
        <v>41</v>
      </c>
      <c r="CU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3" s="373" t="str">
        <f t="shared" si="25"/>
        <v/>
      </c>
      <c r="CW43" s="2"/>
      <c r="CX43" s="104"/>
    </row>
    <row r="44" spans="1:102" ht="18.95" customHeight="1" x14ac:dyDescent="0.35">
      <c r="B44" s="128">
        <v>42</v>
      </c>
      <c r="C44" s="184" t="s">
        <v>103</v>
      </c>
      <c r="E44" s="382" t="s">
        <v>607</v>
      </c>
      <c r="F44" s="69" t="s">
        <v>75</v>
      </c>
      <c r="H44" s="69" t="s">
        <v>493</v>
      </c>
      <c r="I44" s="69" t="s">
        <v>431</v>
      </c>
      <c r="J44" s="69" t="s">
        <v>423</v>
      </c>
      <c r="K44" s="160" t="s">
        <v>494</v>
      </c>
      <c r="L44" s="2"/>
      <c r="M44" s="69" t="s">
        <v>737</v>
      </c>
      <c r="N44" s="2"/>
      <c r="O44" s="230" t="str">
        <f>IF($A$2=B44,Elektro!$Q$11,"")</f>
        <v/>
      </c>
      <c r="P44" s="230" t="str">
        <f>IF($A$2=B44,Elektro!$Q$12,"")</f>
        <v/>
      </c>
      <c r="Q44" s="236" t="str">
        <f>IF($A$2=B44,Elektro!$Q$13,"")</f>
        <v/>
      </c>
      <c r="R44" s="231" t="str">
        <f>IF($A$2=B44,Elektro!$Q$14,"")</f>
        <v/>
      </c>
      <c r="S44" s="231" t="str">
        <f>IF($A$2=B44,Elektro!$Q$15,"")</f>
        <v/>
      </c>
      <c r="T44" s="230" t="str">
        <f>IF($A$2=B44,Elektro!$Q$16,"")</f>
        <v/>
      </c>
      <c r="U44" s="353" t="str">
        <f t="shared" si="0"/>
        <v/>
      </c>
      <c r="V44" s="353" t="str">
        <f t="shared" si="1"/>
        <v/>
      </c>
      <c r="W44" s="4" t="s">
        <v>137</v>
      </c>
      <c r="X44" s="4" t="s">
        <v>20</v>
      </c>
      <c r="Y44" s="4">
        <v>2</v>
      </c>
      <c r="Z44" s="4">
        <v>71</v>
      </c>
      <c r="AA44" s="232" t="str">
        <f t="shared" si="2"/>
        <v/>
      </c>
      <c r="AB44" s="233" t="str">
        <f t="shared" si="3"/>
        <v/>
      </c>
      <c r="AC44" s="233" t="str">
        <f t="shared" si="4"/>
        <v>mol/s</v>
      </c>
      <c r="AD44" s="231" t="str">
        <f t="shared" si="5"/>
        <v/>
      </c>
      <c r="AE44" s="231" t="s">
        <v>283</v>
      </c>
      <c r="AF44" s="232" t="str">
        <f t="shared" si="6"/>
        <v/>
      </c>
      <c r="AG44" s="236" t="s">
        <v>284</v>
      </c>
      <c r="AH44" s="4"/>
      <c r="AI44" s="4" t="s">
        <v>142</v>
      </c>
      <c r="AJ44" s="4" t="s">
        <v>20</v>
      </c>
      <c r="AK44" s="4">
        <v>2</v>
      </c>
      <c r="AL44" s="4">
        <v>2</v>
      </c>
      <c r="AM44" s="232" t="str">
        <f t="shared" si="7"/>
        <v/>
      </c>
      <c r="AN44" s="233" t="str">
        <f t="shared" si="8"/>
        <v/>
      </c>
      <c r="AO44" s="4" t="str">
        <f t="shared" si="9"/>
        <v>mol/s</v>
      </c>
      <c r="AP44" s="4"/>
      <c r="AQ44" s="4"/>
      <c r="AR44" s="4"/>
      <c r="AS44" s="4" t="s">
        <v>121</v>
      </c>
      <c r="AT44" s="4">
        <v>2</v>
      </c>
      <c r="AV44" s="248" t="str">
        <f t="shared" si="10"/>
        <v/>
      </c>
      <c r="AW44" s="248"/>
      <c r="AX44" s="4" t="str">
        <f t="shared" si="11"/>
        <v>M</v>
      </c>
      <c r="AY44" s="248" t="str">
        <f t="shared" si="12"/>
        <v/>
      </c>
      <c r="AZ44" s="232"/>
      <c r="BA44" s="4">
        <v>42</v>
      </c>
      <c r="BB44" s="2" t="s">
        <v>47</v>
      </c>
      <c r="BC44" s="2" t="s">
        <v>52</v>
      </c>
      <c r="BD44" s="2"/>
      <c r="BE44" s="2" t="s">
        <v>48</v>
      </c>
      <c r="BF44" s="2" t="s">
        <v>74</v>
      </c>
      <c r="BG44" s="2"/>
      <c r="BH44" s="185" t="s">
        <v>144</v>
      </c>
      <c r="BI44" s="185" t="s">
        <v>145</v>
      </c>
      <c r="BJ44" s="185" t="s">
        <v>148</v>
      </c>
      <c r="BK44" s="185" t="s">
        <v>147</v>
      </c>
      <c r="BL44" s="100"/>
      <c r="BM44" s="97">
        <f t="shared" si="13"/>
        <v>2</v>
      </c>
      <c r="BN44" s="225" t="s">
        <v>294</v>
      </c>
      <c r="BO44" s="225" t="s">
        <v>309</v>
      </c>
      <c r="BP44" s="225" t="s">
        <v>258</v>
      </c>
      <c r="BQ44" s="225" t="s">
        <v>259</v>
      </c>
      <c r="BR44" s="225" t="s">
        <v>318</v>
      </c>
      <c r="BS44" s="225" t="s">
        <v>324</v>
      </c>
      <c r="BT44" s="225" t="s">
        <v>275</v>
      </c>
      <c r="BU44" s="225" t="s">
        <v>260</v>
      </c>
      <c r="BV44" s="2"/>
      <c r="BW44" s="259" t="s">
        <v>264</v>
      </c>
      <c r="BX44" s="259" t="s">
        <v>265</v>
      </c>
      <c r="BY44" s="259" t="s">
        <v>281</v>
      </c>
      <c r="BZ44" s="259" t="s">
        <v>271</v>
      </c>
      <c r="CA44" s="107"/>
      <c r="CB44" s="249"/>
      <c r="CC44" s="107"/>
      <c r="CD44" s="249"/>
      <c r="CE44" s="107"/>
      <c r="CF44" s="225" t="str">
        <f t="shared" si="14"/>
        <v/>
      </c>
      <c r="CG44" s="225" t="str">
        <f t="shared" si="15"/>
        <v/>
      </c>
      <c r="CH44" s="225" t="str">
        <f t="shared" si="16"/>
        <v/>
      </c>
      <c r="CI44" s="225" t="str">
        <f t="shared" si="17"/>
        <v/>
      </c>
      <c r="CJ44" s="225" t="str">
        <f t="shared" si="18"/>
        <v/>
      </c>
      <c r="CK44" s="225" t="str">
        <f t="shared" si="19"/>
        <v/>
      </c>
      <c r="CL44" s="225" t="str">
        <f t="shared" si="20"/>
        <v/>
      </c>
      <c r="CM44" s="225" t="str">
        <f t="shared" si="21"/>
        <v/>
      </c>
      <c r="CN44" s="225" t="str">
        <f t="shared" si="22"/>
        <v/>
      </c>
      <c r="CO44" s="225" t="str">
        <f t="shared" si="23"/>
        <v/>
      </c>
      <c r="CP44" s="250"/>
      <c r="CQ44" s="250" t="str">
        <f t="shared" si="24"/>
        <v/>
      </c>
      <c r="CR44" s="5">
        <v>42</v>
      </c>
      <c r="CU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4" s="373" t="str">
        <f t="shared" si="25"/>
        <v/>
      </c>
      <c r="CW44" s="2"/>
      <c r="CX44" s="104"/>
    </row>
    <row r="45" spans="1:102" ht="18.95" customHeight="1" x14ac:dyDescent="0.35">
      <c r="B45" s="128">
        <v>43</v>
      </c>
      <c r="C45" s="184" t="s">
        <v>131</v>
      </c>
      <c r="E45" s="382" t="s">
        <v>608</v>
      </c>
      <c r="F45" s="69" t="s">
        <v>75</v>
      </c>
      <c r="H45" s="69" t="s">
        <v>495</v>
      </c>
      <c r="I45" s="69" t="s">
        <v>487</v>
      </c>
      <c r="J45" s="69" t="s">
        <v>423</v>
      </c>
      <c r="K45" s="160" t="s">
        <v>496</v>
      </c>
      <c r="L45" s="2"/>
      <c r="M45" s="69" t="s">
        <v>738</v>
      </c>
      <c r="N45" s="2"/>
      <c r="O45" s="230" t="str">
        <f>IF($A$2=B45,Elektro!$Q$11,"")</f>
        <v/>
      </c>
      <c r="P45" s="230" t="str">
        <f>IF($A$2=B45,Elektro!$Q$12,"")</f>
        <v/>
      </c>
      <c r="Q45" s="236" t="str">
        <f>IF($A$2=B45,Elektro!$Q$13,"")</f>
        <v/>
      </c>
      <c r="R45" s="231" t="str">
        <f>IF($A$2=B45,Elektro!$Q$14,"")</f>
        <v/>
      </c>
      <c r="S45" s="231" t="str">
        <f>IF($A$2=B45,Elektro!$Q$15,"")</f>
        <v/>
      </c>
      <c r="T45" s="230" t="str">
        <f>IF($A$2=B45,Elektro!$Q$16,"")</f>
        <v/>
      </c>
      <c r="U45" s="353" t="str">
        <f t="shared" si="0"/>
        <v/>
      </c>
      <c r="V45" s="353" t="str">
        <f t="shared" si="1"/>
        <v/>
      </c>
      <c r="W45" s="4" t="s">
        <v>140</v>
      </c>
      <c r="X45" s="4" t="s">
        <v>20</v>
      </c>
      <c r="Y45" s="4">
        <v>2</v>
      </c>
      <c r="Z45" s="4">
        <v>159.80000000000001</v>
      </c>
      <c r="AA45" s="232" t="str">
        <f t="shared" si="2"/>
        <v/>
      </c>
      <c r="AB45" s="233" t="str">
        <f t="shared" si="3"/>
        <v/>
      </c>
      <c r="AC45" s="233" t="str">
        <f t="shared" si="4"/>
        <v>mol/s</v>
      </c>
      <c r="AD45" s="231" t="str">
        <f t="shared" si="5"/>
        <v/>
      </c>
      <c r="AE45" s="231" t="s">
        <v>283</v>
      </c>
      <c r="AF45" s="232" t="str">
        <f t="shared" si="6"/>
        <v/>
      </c>
      <c r="AG45" s="236" t="s">
        <v>284</v>
      </c>
      <c r="AH45" s="4"/>
      <c r="AI45" s="4" t="s">
        <v>142</v>
      </c>
      <c r="AJ45" s="4" t="s">
        <v>20</v>
      </c>
      <c r="AK45" s="4">
        <v>2</v>
      </c>
      <c r="AL45" s="4">
        <v>2</v>
      </c>
      <c r="AM45" s="232" t="str">
        <f t="shared" si="7"/>
        <v/>
      </c>
      <c r="AN45" s="233" t="str">
        <f t="shared" si="8"/>
        <v/>
      </c>
      <c r="AO45" s="4" t="str">
        <f t="shared" si="9"/>
        <v>mol/s</v>
      </c>
      <c r="AP45" s="4"/>
      <c r="AQ45" s="4"/>
      <c r="AR45" s="4"/>
      <c r="AS45" s="4" t="s">
        <v>121</v>
      </c>
      <c r="AT45" s="4">
        <v>2</v>
      </c>
      <c r="AV45" s="248" t="str">
        <f t="shared" si="10"/>
        <v/>
      </c>
      <c r="AW45" s="248"/>
      <c r="AX45" s="4" t="str">
        <f t="shared" si="11"/>
        <v>M</v>
      </c>
      <c r="AY45" s="248" t="str">
        <f t="shared" si="12"/>
        <v/>
      </c>
      <c r="AZ45" s="232"/>
      <c r="BA45" s="4">
        <v>43</v>
      </c>
      <c r="BB45" s="2" t="s">
        <v>47</v>
      </c>
      <c r="BC45" s="2" t="s">
        <v>78</v>
      </c>
      <c r="BD45" s="2"/>
      <c r="BE45" s="2" t="s">
        <v>48</v>
      </c>
      <c r="BF45" s="2" t="s">
        <v>50</v>
      </c>
      <c r="BG45" s="2"/>
      <c r="BH45" s="185" t="s">
        <v>162</v>
      </c>
      <c r="BI45" s="185" t="s">
        <v>163</v>
      </c>
      <c r="BJ45" s="185" t="s">
        <v>148</v>
      </c>
      <c r="BK45" s="185" t="s">
        <v>147</v>
      </c>
      <c r="BL45" s="100"/>
      <c r="BM45" s="97">
        <f t="shared" si="13"/>
        <v>2</v>
      </c>
      <c r="BN45" s="225" t="s">
        <v>294</v>
      </c>
      <c r="BO45" s="225" t="s">
        <v>311</v>
      </c>
      <c r="BP45" s="225" t="s">
        <v>258</v>
      </c>
      <c r="BQ45" s="225" t="s">
        <v>259</v>
      </c>
      <c r="BR45" s="225" t="s">
        <v>318</v>
      </c>
      <c r="BS45" s="225" t="s">
        <v>326</v>
      </c>
      <c r="BT45" s="225" t="s">
        <v>275</v>
      </c>
      <c r="BU45" s="225" t="s">
        <v>260</v>
      </c>
      <c r="BV45" s="2"/>
      <c r="BW45" s="259" t="s">
        <v>264</v>
      </c>
      <c r="BX45" s="259" t="s">
        <v>265</v>
      </c>
      <c r="BY45" s="259" t="s">
        <v>334</v>
      </c>
      <c r="BZ45" s="259" t="s">
        <v>335</v>
      </c>
      <c r="CA45" s="107"/>
      <c r="CB45" s="249"/>
      <c r="CC45" s="107"/>
      <c r="CD45" s="249"/>
      <c r="CE45" s="107"/>
      <c r="CF45" s="225" t="str">
        <f t="shared" si="14"/>
        <v/>
      </c>
      <c r="CG45" s="225" t="str">
        <f t="shared" si="15"/>
        <v/>
      </c>
      <c r="CH45" s="225" t="str">
        <f t="shared" si="16"/>
        <v/>
      </c>
      <c r="CI45" s="225" t="str">
        <f t="shared" si="17"/>
        <v/>
      </c>
      <c r="CJ45" s="225" t="str">
        <f t="shared" si="18"/>
        <v/>
      </c>
      <c r="CK45" s="225" t="str">
        <f t="shared" si="19"/>
        <v/>
      </c>
      <c r="CL45" s="225" t="str">
        <f t="shared" si="20"/>
        <v/>
      </c>
      <c r="CM45" s="225" t="str">
        <f t="shared" si="21"/>
        <v/>
      </c>
      <c r="CN45" s="225" t="str">
        <f t="shared" si="22"/>
        <v/>
      </c>
      <c r="CO45" s="225" t="str">
        <f t="shared" si="23"/>
        <v/>
      </c>
      <c r="CP45" s="250"/>
      <c r="CQ45" s="250" t="str">
        <f t="shared" si="24"/>
        <v/>
      </c>
      <c r="CR45" s="5">
        <v>43</v>
      </c>
      <c r="CU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5" s="373" t="str">
        <f t="shared" si="25"/>
        <v/>
      </c>
      <c r="CW45" s="2"/>
      <c r="CX45" s="104"/>
    </row>
    <row r="46" spans="1:102" ht="18.95" customHeight="1" x14ac:dyDescent="0.35">
      <c r="B46" s="128">
        <v>44</v>
      </c>
      <c r="C46" s="184" t="s">
        <v>8</v>
      </c>
      <c r="E46" s="382" t="s">
        <v>609</v>
      </c>
      <c r="F46" s="69" t="s">
        <v>75</v>
      </c>
      <c r="H46" s="69" t="s">
        <v>497</v>
      </c>
      <c r="I46" s="69" t="s">
        <v>431</v>
      </c>
      <c r="J46" s="69" t="s">
        <v>423</v>
      </c>
      <c r="K46" s="160" t="s">
        <v>494</v>
      </c>
      <c r="L46" s="2"/>
      <c r="M46" s="69" t="s">
        <v>739</v>
      </c>
      <c r="N46" s="2"/>
      <c r="O46" s="230" t="str">
        <f>IF($A$2=B46,Elektro!$Q$11,"")</f>
        <v/>
      </c>
      <c r="P46" s="230" t="str">
        <f>IF($A$2=B46,Elektro!$Q$12,"")</f>
        <v/>
      </c>
      <c r="Q46" s="236" t="str">
        <f>IF($A$2=B46,Elektro!$Q$13,"")</f>
        <v/>
      </c>
      <c r="R46" s="231" t="str">
        <f>IF($A$2=B46,Elektro!$Q$14,"")</f>
        <v/>
      </c>
      <c r="S46" s="231" t="str">
        <f>IF($A$2=B46,Elektro!$Q$15,"")</f>
        <v/>
      </c>
      <c r="T46" s="230" t="str">
        <f>IF($A$2=B46,Elektro!$Q$16,"")</f>
        <v/>
      </c>
      <c r="U46" s="353" t="str">
        <f t="shared" si="0"/>
        <v/>
      </c>
      <c r="V46" s="353" t="str">
        <f t="shared" si="1"/>
        <v/>
      </c>
      <c r="W46" s="4" t="s">
        <v>137</v>
      </c>
      <c r="X46" s="4" t="s">
        <v>20</v>
      </c>
      <c r="Y46" s="4">
        <v>2</v>
      </c>
      <c r="Z46" s="4">
        <v>71</v>
      </c>
      <c r="AA46" s="232" t="str">
        <f t="shared" si="2"/>
        <v/>
      </c>
      <c r="AB46" s="233" t="str">
        <f t="shared" si="3"/>
        <v/>
      </c>
      <c r="AC46" s="233" t="str">
        <f t="shared" si="4"/>
        <v>mol/s</v>
      </c>
      <c r="AD46" s="231" t="str">
        <f t="shared" si="5"/>
        <v/>
      </c>
      <c r="AE46" s="231" t="s">
        <v>283</v>
      </c>
      <c r="AF46" s="232" t="str">
        <f t="shared" si="6"/>
        <v/>
      </c>
      <c r="AG46" s="236" t="s">
        <v>284</v>
      </c>
      <c r="AH46" s="4"/>
      <c r="AI46" s="4" t="s">
        <v>142</v>
      </c>
      <c r="AJ46" s="4" t="s">
        <v>20</v>
      </c>
      <c r="AK46" s="4">
        <v>2</v>
      </c>
      <c r="AL46" s="4">
        <v>2</v>
      </c>
      <c r="AM46" s="232" t="str">
        <f t="shared" si="7"/>
        <v/>
      </c>
      <c r="AN46" s="233" t="str">
        <f t="shared" si="8"/>
        <v/>
      </c>
      <c r="AO46" s="4" t="str">
        <f t="shared" si="9"/>
        <v>mol/s</v>
      </c>
      <c r="AP46" s="4"/>
      <c r="AQ46" s="4"/>
      <c r="AR46" s="4"/>
      <c r="AS46" s="4" t="s">
        <v>121</v>
      </c>
      <c r="AT46" s="4">
        <v>2</v>
      </c>
      <c r="AV46" s="248" t="str">
        <f t="shared" si="10"/>
        <v/>
      </c>
      <c r="AW46" s="248"/>
      <c r="AX46" s="4" t="str">
        <f t="shared" si="11"/>
        <v>M</v>
      </c>
      <c r="AY46" s="248" t="str">
        <f t="shared" si="12"/>
        <v/>
      </c>
      <c r="AZ46" s="232"/>
      <c r="BA46" s="4">
        <v>44</v>
      </c>
      <c r="BB46" s="2" t="s">
        <v>47</v>
      </c>
      <c r="BC46" s="2" t="s">
        <v>52</v>
      </c>
      <c r="BD46" s="2"/>
      <c r="BE46" s="2" t="s">
        <v>48</v>
      </c>
      <c r="BF46" s="2" t="s">
        <v>50</v>
      </c>
      <c r="BG46" s="2"/>
      <c r="BH46" s="185" t="s">
        <v>144</v>
      </c>
      <c r="BI46" s="185" t="s">
        <v>145</v>
      </c>
      <c r="BJ46" s="185" t="s">
        <v>148</v>
      </c>
      <c r="BK46" s="185" t="s">
        <v>147</v>
      </c>
      <c r="BL46" s="100"/>
      <c r="BM46" s="97">
        <f t="shared" si="13"/>
        <v>2</v>
      </c>
      <c r="BN46" s="225" t="s">
        <v>294</v>
      </c>
      <c r="BO46" s="225" t="s">
        <v>309</v>
      </c>
      <c r="BP46" s="225" t="s">
        <v>258</v>
      </c>
      <c r="BQ46" s="225" t="s">
        <v>259</v>
      </c>
      <c r="BR46" s="225" t="s">
        <v>318</v>
      </c>
      <c r="BS46" s="225" t="s">
        <v>324</v>
      </c>
      <c r="BT46" s="225" t="s">
        <v>275</v>
      </c>
      <c r="BU46" s="225" t="s">
        <v>260</v>
      </c>
      <c r="BV46" s="2"/>
      <c r="BW46" s="259" t="s">
        <v>264</v>
      </c>
      <c r="BX46" s="259" t="s">
        <v>265</v>
      </c>
      <c r="BY46" s="259" t="s">
        <v>281</v>
      </c>
      <c r="BZ46" s="259" t="s">
        <v>271</v>
      </c>
      <c r="CA46" s="107"/>
      <c r="CB46" s="249"/>
      <c r="CC46" s="107"/>
      <c r="CD46" s="249"/>
      <c r="CE46" s="107"/>
      <c r="CF46" s="225" t="str">
        <f t="shared" si="14"/>
        <v/>
      </c>
      <c r="CG46" s="225" t="str">
        <f t="shared" si="15"/>
        <v/>
      </c>
      <c r="CH46" s="225" t="str">
        <f t="shared" si="16"/>
        <v/>
      </c>
      <c r="CI46" s="225" t="str">
        <f t="shared" si="17"/>
        <v/>
      </c>
      <c r="CJ46" s="225" t="str">
        <f t="shared" si="18"/>
        <v/>
      </c>
      <c r="CK46" s="225" t="str">
        <f t="shared" si="19"/>
        <v/>
      </c>
      <c r="CL46" s="225" t="str">
        <f t="shared" si="20"/>
        <v/>
      </c>
      <c r="CM46" s="225" t="str">
        <f t="shared" si="21"/>
        <v/>
      </c>
      <c r="CN46" s="225" t="str">
        <f t="shared" si="22"/>
        <v/>
      </c>
      <c r="CO46" s="225" t="str">
        <f t="shared" si="23"/>
        <v/>
      </c>
      <c r="CP46" s="250"/>
      <c r="CQ46" s="250" t="str">
        <f t="shared" si="24"/>
        <v/>
      </c>
      <c r="CR46" s="5">
        <v>44</v>
      </c>
      <c r="CU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6" s="373" t="str">
        <f t="shared" si="25"/>
        <v/>
      </c>
      <c r="CW46" s="2"/>
      <c r="CX46" s="104"/>
    </row>
    <row r="47" spans="1:102" ht="18.95" customHeight="1" x14ac:dyDescent="0.35">
      <c r="B47" s="128">
        <v>45</v>
      </c>
      <c r="C47" s="184" t="s">
        <v>866</v>
      </c>
      <c r="E47" s="382" t="s">
        <v>610</v>
      </c>
      <c r="F47" s="69" t="s">
        <v>75</v>
      </c>
      <c r="H47" s="69" t="s">
        <v>498</v>
      </c>
      <c r="I47" s="69" t="s">
        <v>431</v>
      </c>
      <c r="J47" s="69" t="s">
        <v>423</v>
      </c>
      <c r="K47" s="160" t="s">
        <v>494</v>
      </c>
      <c r="L47" s="2"/>
      <c r="M47" s="69" t="s">
        <v>740</v>
      </c>
      <c r="N47" s="2"/>
      <c r="O47" s="230" t="str">
        <f>IF($A$2=B47,Elektro!$Q$11,"")</f>
        <v/>
      </c>
      <c r="P47" s="230" t="str">
        <f>IF($A$2=B47,Elektro!$Q$12,"")</f>
        <v/>
      </c>
      <c r="Q47" s="236" t="str">
        <f>IF($A$2=B47,Elektro!$Q$13,"")</f>
        <v/>
      </c>
      <c r="R47" s="231" t="str">
        <f>IF($A$2=B47,Elektro!$Q$14,"")</f>
        <v/>
      </c>
      <c r="S47" s="231" t="str">
        <f>IF($A$2=B47,Elektro!$Q$15,"")</f>
        <v/>
      </c>
      <c r="T47" s="230" t="str">
        <f>IF($A$2=B47,Elektro!$Q$16,"")</f>
        <v/>
      </c>
      <c r="U47" s="353" t="str">
        <f t="shared" si="0"/>
        <v/>
      </c>
      <c r="V47" s="353" t="str">
        <f t="shared" si="1"/>
        <v/>
      </c>
      <c r="W47" s="4" t="s">
        <v>137</v>
      </c>
      <c r="X47" s="4" t="s">
        <v>20</v>
      </c>
      <c r="Y47" s="4">
        <v>2</v>
      </c>
      <c r="Z47" s="4">
        <v>71</v>
      </c>
      <c r="AA47" s="232" t="str">
        <f t="shared" si="2"/>
        <v/>
      </c>
      <c r="AB47" s="233" t="str">
        <f t="shared" si="3"/>
        <v/>
      </c>
      <c r="AC47" s="233" t="str">
        <f t="shared" si="4"/>
        <v>mol/s</v>
      </c>
      <c r="AD47" s="231" t="str">
        <f t="shared" si="5"/>
        <v/>
      </c>
      <c r="AE47" s="231" t="s">
        <v>283</v>
      </c>
      <c r="AF47" s="232" t="str">
        <f t="shared" si="6"/>
        <v/>
      </c>
      <c r="AG47" s="236" t="s">
        <v>284</v>
      </c>
      <c r="AH47" s="4"/>
      <c r="AI47" s="4" t="s">
        <v>142</v>
      </c>
      <c r="AJ47" s="4" t="s">
        <v>20</v>
      </c>
      <c r="AK47" s="4">
        <v>2</v>
      </c>
      <c r="AL47" s="4">
        <v>2</v>
      </c>
      <c r="AM47" s="232" t="str">
        <f t="shared" si="7"/>
        <v/>
      </c>
      <c r="AN47" s="233" t="str">
        <f t="shared" si="8"/>
        <v/>
      </c>
      <c r="AO47" s="4" t="str">
        <f t="shared" si="9"/>
        <v>mol/s</v>
      </c>
      <c r="AP47" s="4"/>
      <c r="AQ47" s="4"/>
      <c r="AR47" s="4"/>
      <c r="AS47" s="4" t="s">
        <v>121</v>
      </c>
      <c r="AT47" s="4">
        <v>2</v>
      </c>
      <c r="AV47" s="248" t="str">
        <f t="shared" si="10"/>
        <v/>
      </c>
      <c r="AW47" s="248"/>
      <c r="AX47" s="4" t="str">
        <f t="shared" si="11"/>
        <v>M</v>
      </c>
      <c r="AY47" s="248" t="str">
        <f t="shared" si="12"/>
        <v/>
      </c>
      <c r="AZ47" s="232"/>
      <c r="BA47" s="4">
        <v>45</v>
      </c>
      <c r="BB47" s="2" t="s">
        <v>47</v>
      </c>
      <c r="BC47" s="2" t="s">
        <v>52</v>
      </c>
      <c r="BD47" s="2"/>
      <c r="BE47" s="2" t="s">
        <v>48</v>
      </c>
      <c r="BF47" s="2" t="s">
        <v>80</v>
      </c>
      <c r="BG47" s="2"/>
      <c r="BH47" s="185" t="s">
        <v>144</v>
      </c>
      <c r="BI47" s="185" t="s">
        <v>145</v>
      </c>
      <c r="BJ47" s="185" t="s">
        <v>148</v>
      </c>
      <c r="BK47" s="185" t="s">
        <v>164</v>
      </c>
      <c r="BL47" s="100"/>
      <c r="BM47" s="97">
        <f t="shared" si="13"/>
        <v>2</v>
      </c>
      <c r="BN47" s="225" t="s">
        <v>294</v>
      </c>
      <c r="BO47" s="225" t="s">
        <v>309</v>
      </c>
      <c r="BP47" s="225" t="s">
        <v>258</v>
      </c>
      <c r="BQ47" s="225" t="s">
        <v>259</v>
      </c>
      <c r="BR47" s="225" t="s">
        <v>318</v>
      </c>
      <c r="BS47" s="225" t="s">
        <v>324</v>
      </c>
      <c r="BT47" s="225" t="s">
        <v>275</v>
      </c>
      <c r="BU47" s="225" t="s">
        <v>260</v>
      </c>
      <c r="BV47" s="2"/>
      <c r="BW47" s="259" t="s">
        <v>264</v>
      </c>
      <c r="BX47" s="259" t="s">
        <v>265</v>
      </c>
      <c r="BY47" s="259" t="s">
        <v>281</v>
      </c>
      <c r="BZ47" s="259" t="s">
        <v>271</v>
      </c>
      <c r="CA47" s="107"/>
      <c r="CB47" s="249"/>
      <c r="CC47" s="107"/>
      <c r="CD47" s="249"/>
      <c r="CE47" s="107"/>
      <c r="CF47" s="225" t="str">
        <f t="shared" si="14"/>
        <v/>
      </c>
      <c r="CG47" s="225" t="str">
        <f t="shared" si="15"/>
        <v/>
      </c>
      <c r="CH47" s="225" t="str">
        <f t="shared" si="16"/>
        <v/>
      </c>
      <c r="CI47" s="225" t="str">
        <f t="shared" si="17"/>
        <v/>
      </c>
      <c r="CJ47" s="225" t="str">
        <f t="shared" si="18"/>
        <v/>
      </c>
      <c r="CK47" s="225" t="str">
        <f t="shared" si="19"/>
        <v/>
      </c>
      <c r="CL47" s="225" t="str">
        <f t="shared" si="20"/>
        <v/>
      </c>
      <c r="CM47" s="225" t="str">
        <f t="shared" si="21"/>
        <v/>
      </c>
      <c r="CN47" s="225" t="str">
        <f t="shared" si="22"/>
        <v/>
      </c>
      <c r="CO47" s="225" t="str">
        <f t="shared" si="23"/>
        <v/>
      </c>
      <c r="CP47" s="250"/>
      <c r="CQ47" s="250" t="str">
        <f t="shared" si="24"/>
        <v/>
      </c>
      <c r="CR47" s="5">
        <v>45</v>
      </c>
      <c r="CU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7" s="373" t="str">
        <f t="shared" si="25"/>
        <v/>
      </c>
      <c r="CW47" s="2"/>
      <c r="CX47" s="104"/>
    </row>
    <row r="48" spans="1:102" ht="18.95" customHeight="1" x14ac:dyDescent="0.35">
      <c r="B48" s="128">
        <v>46</v>
      </c>
      <c r="C48" s="184" t="s">
        <v>695</v>
      </c>
      <c r="E48" s="382" t="s">
        <v>611</v>
      </c>
      <c r="F48" s="69" t="s">
        <v>75</v>
      </c>
      <c r="H48" s="69" t="s">
        <v>499</v>
      </c>
      <c r="I48" s="69" t="s">
        <v>431</v>
      </c>
      <c r="J48" s="69" t="s">
        <v>423</v>
      </c>
      <c r="K48" s="160" t="s">
        <v>494</v>
      </c>
      <c r="L48" s="2"/>
      <c r="M48" s="69" t="s">
        <v>741</v>
      </c>
      <c r="N48" s="2"/>
      <c r="O48" s="230" t="str">
        <f>IF($A$2=B48,Elektro!$Q$11,"")</f>
        <v/>
      </c>
      <c r="P48" s="230" t="str">
        <f>IF($A$2=B48,Elektro!$Q$12,"")</f>
        <v/>
      </c>
      <c r="Q48" s="236" t="str">
        <f>IF($A$2=B48,Elektro!$Q$13,"")</f>
        <v/>
      </c>
      <c r="R48" s="231" t="str">
        <f>IF($A$2=B48,Elektro!$Q$14,"")</f>
        <v/>
      </c>
      <c r="S48" s="231" t="str">
        <f>IF($A$2=B48,Elektro!$Q$15,"")</f>
        <v/>
      </c>
      <c r="T48" s="230" t="str">
        <f>IF($A$2=B48,Elektro!$Q$16,"")</f>
        <v/>
      </c>
      <c r="U48" s="353" t="str">
        <f t="shared" si="0"/>
        <v/>
      </c>
      <c r="V48" s="353" t="str">
        <f t="shared" si="1"/>
        <v/>
      </c>
      <c r="W48" s="4" t="s">
        <v>137</v>
      </c>
      <c r="X48" s="4" t="s">
        <v>20</v>
      </c>
      <c r="Y48" s="4">
        <v>2</v>
      </c>
      <c r="Z48" s="4">
        <v>71</v>
      </c>
      <c r="AA48" s="232" t="str">
        <f t="shared" si="2"/>
        <v/>
      </c>
      <c r="AB48" s="233" t="str">
        <f t="shared" si="3"/>
        <v/>
      </c>
      <c r="AC48" s="233" t="str">
        <f t="shared" si="4"/>
        <v>mol/s</v>
      </c>
      <c r="AD48" s="231" t="str">
        <f t="shared" si="5"/>
        <v/>
      </c>
      <c r="AE48" s="231" t="s">
        <v>283</v>
      </c>
      <c r="AF48" s="232" t="str">
        <f t="shared" si="6"/>
        <v/>
      </c>
      <c r="AG48" s="236" t="s">
        <v>284</v>
      </c>
      <c r="AH48" s="4"/>
      <c r="AI48" s="4" t="s">
        <v>142</v>
      </c>
      <c r="AJ48" s="4" t="s">
        <v>20</v>
      </c>
      <c r="AK48" s="4">
        <v>2</v>
      </c>
      <c r="AL48" s="4">
        <v>2</v>
      </c>
      <c r="AM48" s="232" t="str">
        <f t="shared" si="7"/>
        <v/>
      </c>
      <c r="AN48" s="233" t="str">
        <f t="shared" si="8"/>
        <v/>
      </c>
      <c r="AO48" s="4" t="str">
        <f t="shared" si="9"/>
        <v>mol/s</v>
      </c>
      <c r="AP48" s="4"/>
      <c r="AQ48" s="4"/>
      <c r="AR48" s="4"/>
      <c r="AS48" s="4" t="s">
        <v>121</v>
      </c>
      <c r="AT48" s="4">
        <v>2</v>
      </c>
      <c r="AV48" s="248" t="str">
        <f t="shared" si="10"/>
        <v/>
      </c>
      <c r="AW48" s="248"/>
      <c r="AX48" s="4" t="str">
        <f t="shared" si="11"/>
        <v>M</v>
      </c>
      <c r="AY48" s="248" t="str">
        <f t="shared" si="12"/>
        <v/>
      </c>
      <c r="AZ48" s="232"/>
      <c r="BA48" s="4">
        <v>46</v>
      </c>
      <c r="BB48" s="2" t="s">
        <v>47</v>
      </c>
      <c r="BC48" s="2" t="s">
        <v>52</v>
      </c>
      <c r="BD48" s="2"/>
      <c r="BE48" s="2" t="s">
        <v>48</v>
      </c>
      <c r="BF48" s="2" t="s">
        <v>81</v>
      </c>
      <c r="BG48" s="2"/>
      <c r="BH48" s="185" t="s">
        <v>144</v>
      </c>
      <c r="BI48" s="185" t="s">
        <v>145</v>
      </c>
      <c r="BJ48" s="185" t="s">
        <v>148</v>
      </c>
      <c r="BK48" s="185" t="s">
        <v>164</v>
      </c>
      <c r="BL48" s="100"/>
      <c r="BM48" s="97">
        <f t="shared" si="13"/>
        <v>2</v>
      </c>
      <c r="BN48" s="225" t="s">
        <v>294</v>
      </c>
      <c r="BO48" s="225" t="s">
        <v>309</v>
      </c>
      <c r="BP48" s="225" t="s">
        <v>258</v>
      </c>
      <c r="BQ48" s="225" t="s">
        <v>259</v>
      </c>
      <c r="BR48" s="225" t="s">
        <v>318</v>
      </c>
      <c r="BS48" s="225" t="s">
        <v>324</v>
      </c>
      <c r="BT48" s="225" t="s">
        <v>275</v>
      </c>
      <c r="BU48" s="225" t="s">
        <v>260</v>
      </c>
      <c r="BV48" s="2"/>
      <c r="BW48" s="259" t="s">
        <v>264</v>
      </c>
      <c r="BX48" s="259" t="s">
        <v>265</v>
      </c>
      <c r="BY48" s="259" t="s">
        <v>281</v>
      </c>
      <c r="BZ48" s="259" t="s">
        <v>271</v>
      </c>
      <c r="CA48" s="107"/>
      <c r="CB48" s="249"/>
      <c r="CC48" s="107"/>
      <c r="CD48" s="249"/>
      <c r="CE48" s="107"/>
      <c r="CF48" s="225" t="str">
        <f t="shared" si="14"/>
        <v/>
      </c>
      <c r="CG48" s="225" t="str">
        <f t="shared" si="15"/>
        <v/>
      </c>
      <c r="CH48" s="225" t="str">
        <f t="shared" si="16"/>
        <v/>
      </c>
      <c r="CI48" s="225" t="str">
        <f t="shared" si="17"/>
        <v/>
      </c>
      <c r="CJ48" s="225" t="str">
        <f t="shared" si="18"/>
        <v/>
      </c>
      <c r="CK48" s="225" t="str">
        <f t="shared" si="19"/>
        <v/>
      </c>
      <c r="CL48" s="225" t="str">
        <f t="shared" si="20"/>
        <v/>
      </c>
      <c r="CM48" s="225" t="str">
        <f t="shared" si="21"/>
        <v/>
      </c>
      <c r="CN48" s="225" t="str">
        <f t="shared" si="22"/>
        <v/>
      </c>
      <c r="CO48" s="225" t="str">
        <f t="shared" si="23"/>
        <v/>
      </c>
      <c r="CP48" s="250"/>
      <c r="CQ48" s="250" t="str">
        <f t="shared" si="24"/>
        <v/>
      </c>
      <c r="CR48" s="5">
        <v>46</v>
      </c>
      <c r="CU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8" s="373" t="str">
        <f t="shared" si="25"/>
        <v/>
      </c>
      <c r="CW48" s="2"/>
      <c r="CX48" s="104"/>
    </row>
    <row r="49" spans="2:102" ht="18.95" customHeight="1" x14ac:dyDescent="0.35">
      <c r="B49" s="128">
        <v>47</v>
      </c>
      <c r="C49" s="184" t="s">
        <v>867</v>
      </c>
      <c r="E49" s="382" t="s">
        <v>612</v>
      </c>
      <c r="F49" s="69" t="s">
        <v>75</v>
      </c>
      <c r="H49" s="69" t="s">
        <v>500</v>
      </c>
      <c r="I49" s="69" t="s">
        <v>431</v>
      </c>
      <c r="J49" s="69" t="s">
        <v>423</v>
      </c>
      <c r="K49" s="160" t="s">
        <v>494</v>
      </c>
      <c r="L49" s="2"/>
      <c r="M49" s="69" t="s">
        <v>742</v>
      </c>
      <c r="N49" s="2"/>
      <c r="O49" s="230" t="str">
        <f>IF($A$2=B49,Elektro!$Q$11,"")</f>
        <v/>
      </c>
      <c r="P49" s="230" t="str">
        <f>IF($A$2=B49,Elektro!$Q$12,"")</f>
        <v/>
      </c>
      <c r="Q49" s="236" t="str">
        <f>IF($A$2=B49,Elektro!$Q$13,"")</f>
        <v/>
      </c>
      <c r="R49" s="231" t="str">
        <f>IF($A$2=B49,Elektro!$Q$14,"")</f>
        <v/>
      </c>
      <c r="S49" s="231" t="str">
        <f>IF($A$2=B49,Elektro!$Q$15,"")</f>
        <v/>
      </c>
      <c r="T49" s="230" t="str">
        <f>IF($A$2=B49,Elektro!$Q$16,"")</f>
        <v/>
      </c>
      <c r="U49" s="353" t="str">
        <f t="shared" si="0"/>
        <v/>
      </c>
      <c r="V49" s="353" t="str">
        <f t="shared" si="1"/>
        <v/>
      </c>
      <c r="W49" s="4" t="s">
        <v>137</v>
      </c>
      <c r="X49" s="4" t="s">
        <v>20</v>
      </c>
      <c r="Y49" s="4">
        <v>2</v>
      </c>
      <c r="Z49" s="4">
        <v>71</v>
      </c>
      <c r="AA49" s="232" t="str">
        <f t="shared" si="2"/>
        <v/>
      </c>
      <c r="AB49" s="233" t="str">
        <f t="shared" si="3"/>
        <v/>
      </c>
      <c r="AC49" s="233" t="str">
        <f t="shared" si="4"/>
        <v>mol/s</v>
      </c>
      <c r="AD49" s="231" t="str">
        <f t="shared" si="5"/>
        <v/>
      </c>
      <c r="AE49" s="231" t="s">
        <v>283</v>
      </c>
      <c r="AF49" s="232" t="str">
        <f t="shared" si="6"/>
        <v/>
      </c>
      <c r="AG49" s="236" t="s">
        <v>284</v>
      </c>
      <c r="AH49" s="4"/>
      <c r="AI49" s="4" t="s">
        <v>142</v>
      </c>
      <c r="AJ49" s="4" t="s">
        <v>20</v>
      </c>
      <c r="AK49" s="4">
        <v>2</v>
      </c>
      <c r="AL49" s="4">
        <v>2</v>
      </c>
      <c r="AM49" s="232" t="str">
        <f t="shared" si="7"/>
        <v/>
      </c>
      <c r="AN49" s="233" t="str">
        <f t="shared" si="8"/>
        <v/>
      </c>
      <c r="AO49" s="4" t="str">
        <f t="shared" si="9"/>
        <v>mol/s</v>
      </c>
      <c r="AP49" s="4"/>
      <c r="AQ49" s="4"/>
      <c r="AR49" s="4"/>
      <c r="AS49" s="4" t="s">
        <v>121</v>
      </c>
      <c r="AT49" s="4">
        <v>2</v>
      </c>
      <c r="AV49" s="248" t="str">
        <f t="shared" si="10"/>
        <v/>
      </c>
      <c r="AW49" s="248"/>
      <c r="AX49" s="4" t="str">
        <f t="shared" si="11"/>
        <v>M</v>
      </c>
      <c r="AY49" s="248" t="str">
        <f t="shared" si="12"/>
        <v/>
      </c>
      <c r="AZ49" s="232"/>
      <c r="BA49" s="4">
        <v>47</v>
      </c>
      <c r="BB49" s="2" t="s">
        <v>47</v>
      </c>
      <c r="BC49" s="2" t="s">
        <v>52</v>
      </c>
      <c r="BD49" s="2"/>
      <c r="BE49" s="2" t="s">
        <v>48</v>
      </c>
      <c r="BF49" s="2" t="s">
        <v>82</v>
      </c>
      <c r="BG49" s="2"/>
      <c r="BH49" s="185" t="s">
        <v>144</v>
      </c>
      <c r="BI49" s="185" t="s">
        <v>145</v>
      </c>
      <c r="BJ49" s="185" t="s">
        <v>148</v>
      </c>
      <c r="BK49" s="185" t="s">
        <v>164</v>
      </c>
      <c r="BL49" s="100"/>
      <c r="BM49" s="97">
        <f t="shared" si="13"/>
        <v>2</v>
      </c>
      <c r="BN49" s="225" t="s">
        <v>294</v>
      </c>
      <c r="BO49" s="225" t="s">
        <v>309</v>
      </c>
      <c r="BP49" s="225" t="s">
        <v>258</v>
      </c>
      <c r="BQ49" s="225" t="s">
        <v>259</v>
      </c>
      <c r="BR49" s="225" t="s">
        <v>318</v>
      </c>
      <c r="BS49" s="225" t="s">
        <v>324</v>
      </c>
      <c r="BT49" s="225" t="s">
        <v>275</v>
      </c>
      <c r="BU49" s="225" t="s">
        <v>260</v>
      </c>
      <c r="BV49" s="2"/>
      <c r="BW49" s="259" t="s">
        <v>264</v>
      </c>
      <c r="BX49" s="259" t="s">
        <v>265</v>
      </c>
      <c r="BY49" s="259" t="s">
        <v>281</v>
      </c>
      <c r="BZ49" s="259" t="s">
        <v>271</v>
      </c>
      <c r="CA49" s="107"/>
      <c r="CB49" s="249"/>
      <c r="CC49" s="107"/>
      <c r="CD49" s="249"/>
      <c r="CE49" s="107"/>
      <c r="CF49" s="225" t="str">
        <f t="shared" si="14"/>
        <v/>
      </c>
      <c r="CG49" s="225" t="str">
        <f t="shared" si="15"/>
        <v/>
      </c>
      <c r="CH49" s="225" t="str">
        <f t="shared" si="16"/>
        <v/>
      </c>
      <c r="CI49" s="225" t="str">
        <f t="shared" si="17"/>
        <v/>
      </c>
      <c r="CJ49" s="225" t="str">
        <f t="shared" si="18"/>
        <v/>
      </c>
      <c r="CK49" s="225" t="str">
        <f t="shared" si="19"/>
        <v/>
      </c>
      <c r="CL49" s="225" t="str">
        <f t="shared" si="20"/>
        <v/>
      </c>
      <c r="CM49" s="225" t="str">
        <f t="shared" si="21"/>
        <v/>
      </c>
      <c r="CN49" s="225" t="str">
        <f t="shared" si="22"/>
        <v/>
      </c>
      <c r="CO49" s="225" t="str">
        <f t="shared" si="23"/>
        <v/>
      </c>
      <c r="CP49" s="250"/>
      <c r="CQ49" s="250" t="str">
        <f t="shared" si="24"/>
        <v/>
      </c>
      <c r="CR49" s="5">
        <v>47</v>
      </c>
      <c r="CU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9" s="373" t="str">
        <f t="shared" si="25"/>
        <v/>
      </c>
      <c r="CW49" s="2"/>
      <c r="CX49" s="104"/>
    </row>
    <row r="50" spans="2:102" ht="18.95" customHeight="1" x14ac:dyDescent="0.35">
      <c r="B50" s="128">
        <v>48</v>
      </c>
      <c r="C50" s="184" t="s">
        <v>696</v>
      </c>
      <c r="E50" s="382" t="s">
        <v>613</v>
      </c>
      <c r="F50" s="69" t="s">
        <v>228</v>
      </c>
      <c r="H50" s="69" t="s">
        <v>501</v>
      </c>
      <c r="I50" s="69" t="s">
        <v>418</v>
      </c>
      <c r="J50" s="69" t="s">
        <v>423</v>
      </c>
      <c r="K50" s="160" t="s">
        <v>420</v>
      </c>
      <c r="L50" s="2"/>
      <c r="M50" s="69" t="s">
        <v>743</v>
      </c>
      <c r="N50" s="2"/>
      <c r="O50" s="230" t="str">
        <f>IF($A$2=B50,Elektro!$Q$11,"")</f>
        <v/>
      </c>
      <c r="P50" s="230" t="str">
        <f>IF($A$2=B50,Elektro!$Q$12,"")</f>
        <v/>
      </c>
      <c r="Q50" s="236" t="str">
        <f>IF($A$2=B50,Elektro!$Q$13,"")</f>
        <v/>
      </c>
      <c r="R50" s="231" t="str">
        <f>IF($A$2=B50,Elektro!$Q$14,"")</f>
        <v/>
      </c>
      <c r="S50" s="231" t="str">
        <f>IF($A$2=B50,Elektro!$Q$15,"")</f>
        <v/>
      </c>
      <c r="T50" s="230" t="str">
        <f>IF($A$2=B50,Elektro!$Q$16,"")</f>
        <v/>
      </c>
      <c r="U50" s="353" t="str">
        <f t="shared" si="0"/>
        <v/>
      </c>
      <c r="V50" s="353" t="str">
        <f t="shared" si="1"/>
        <v/>
      </c>
      <c r="W50" s="4" t="s">
        <v>138</v>
      </c>
      <c r="X50" s="4" t="s">
        <v>20</v>
      </c>
      <c r="Y50" s="4">
        <v>4</v>
      </c>
      <c r="Z50" s="4">
        <v>32</v>
      </c>
      <c r="AA50" s="232" t="str">
        <f t="shared" si="2"/>
        <v/>
      </c>
      <c r="AB50" s="233" t="str">
        <f t="shared" si="3"/>
        <v/>
      </c>
      <c r="AC50" s="233" t="str">
        <f t="shared" si="4"/>
        <v>mol/s</v>
      </c>
      <c r="AD50" s="231" t="str">
        <f t="shared" si="5"/>
        <v/>
      </c>
      <c r="AE50" s="231" t="s">
        <v>283</v>
      </c>
      <c r="AF50" s="232" t="str">
        <f t="shared" si="6"/>
        <v/>
      </c>
      <c r="AG50" s="236" t="s">
        <v>284</v>
      </c>
      <c r="AH50" s="4"/>
      <c r="AI50" s="4" t="s">
        <v>142</v>
      </c>
      <c r="AJ50" s="4" t="s">
        <v>20</v>
      </c>
      <c r="AK50" s="4">
        <v>2</v>
      </c>
      <c r="AL50" s="4">
        <v>2</v>
      </c>
      <c r="AM50" s="232" t="str">
        <f t="shared" si="7"/>
        <v/>
      </c>
      <c r="AN50" s="233" t="str">
        <f t="shared" si="8"/>
        <v/>
      </c>
      <c r="AO50" s="4" t="str">
        <f t="shared" si="9"/>
        <v>mol/s</v>
      </c>
      <c r="AP50" s="4"/>
      <c r="AQ50" s="4"/>
      <c r="AR50" s="4"/>
      <c r="AS50" s="4" t="s">
        <v>368</v>
      </c>
      <c r="AT50" s="4">
        <v>0</v>
      </c>
      <c r="AV50" s="248" t="str">
        <f t="shared" si="10"/>
        <v/>
      </c>
      <c r="AW50" s="248"/>
      <c r="AX50" s="4" t="str">
        <f t="shared" si="11"/>
        <v>M</v>
      </c>
      <c r="AY50" s="248" t="str">
        <f t="shared" si="12"/>
        <v/>
      </c>
      <c r="AZ50" s="232"/>
      <c r="BA50" s="4">
        <v>48</v>
      </c>
      <c r="BB50" s="2" t="s">
        <v>47</v>
      </c>
      <c r="BC50" s="2" t="s">
        <v>235</v>
      </c>
      <c r="BD50" s="2"/>
      <c r="BE50" s="2" t="s">
        <v>48</v>
      </c>
      <c r="BF50" s="2" t="s">
        <v>83</v>
      </c>
      <c r="BG50" s="2"/>
      <c r="BH50" s="185" t="s">
        <v>148</v>
      </c>
      <c r="BI50" s="185" t="s">
        <v>149</v>
      </c>
      <c r="BJ50" s="185" t="s">
        <v>148</v>
      </c>
      <c r="BK50" s="185" t="s">
        <v>164</v>
      </c>
      <c r="BL50" s="100"/>
      <c r="BM50" s="97">
        <f t="shared" si="13"/>
        <v>0</v>
      </c>
      <c r="BN50" s="225" t="s">
        <v>294</v>
      </c>
      <c r="BO50" s="225" t="s">
        <v>278</v>
      </c>
      <c r="BP50" s="225" t="s">
        <v>258</v>
      </c>
      <c r="BQ50" s="225" t="s">
        <v>259</v>
      </c>
      <c r="BR50" s="225" t="s">
        <v>318</v>
      </c>
      <c r="BS50" s="225" t="s">
        <v>322</v>
      </c>
      <c r="BT50" s="225" t="s">
        <v>274</v>
      </c>
      <c r="BU50" s="225" t="s">
        <v>260</v>
      </c>
      <c r="BV50" s="2"/>
      <c r="BW50" s="259" t="s">
        <v>264</v>
      </c>
      <c r="BX50" s="259" t="s">
        <v>265</v>
      </c>
      <c r="BY50" s="259" t="s">
        <v>266</v>
      </c>
      <c r="BZ50" s="259" t="s">
        <v>267</v>
      </c>
      <c r="CA50" s="107"/>
      <c r="CB50" s="249"/>
      <c r="CC50" s="107"/>
      <c r="CD50" s="249"/>
      <c r="CE50" s="107"/>
      <c r="CF50" s="225" t="str">
        <f t="shared" si="14"/>
        <v/>
      </c>
      <c r="CG50" s="225" t="str">
        <f t="shared" si="15"/>
        <v/>
      </c>
      <c r="CH50" s="225" t="str">
        <f t="shared" si="16"/>
        <v/>
      </c>
      <c r="CI50" s="225" t="str">
        <f t="shared" si="17"/>
        <v/>
      </c>
      <c r="CJ50" s="225" t="str">
        <f t="shared" si="18"/>
        <v/>
      </c>
      <c r="CK50" s="225" t="str">
        <f t="shared" si="19"/>
        <v/>
      </c>
      <c r="CL50" s="225" t="str">
        <f t="shared" si="20"/>
        <v/>
      </c>
      <c r="CM50" s="225" t="str">
        <f t="shared" si="21"/>
        <v/>
      </c>
      <c r="CN50" s="225" t="str">
        <f t="shared" si="22"/>
        <v/>
      </c>
      <c r="CO50" s="225" t="str">
        <f t="shared" si="23"/>
        <v/>
      </c>
      <c r="CP50" s="250"/>
      <c r="CQ50" s="250" t="str">
        <f t="shared" si="24"/>
        <v/>
      </c>
      <c r="CR50" s="5">
        <v>48</v>
      </c>
      <c r="CU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0" s="373" t="str">
        <f t="shared" si="25"/>
        <v/>
      </c>
      <c r="CW50" s="2"/>
      <c r="CX50" s="104"/>
    </row>
    <row r="51" spans="2:102" ht="18.95" customHeight="1" x14ac:dyDescent="0.35">
      <c r="B51" s="128">
        <v>49</v>
      </c>
      <c r="C51" s="184" t="s">
        <v>689</v>
      </c>
      <c r="E51" s="382" t="s">
        <v>670</v>
      </c>
      <c r="F51" s="69" t="s">
        <v>75</v>
      </c>
      <c r="H51" s="69" t="s">
        <v>502</v>
      </c>
      <c r="I51" s="69" t="s">
        <v>418</v>
      </c>
      <c r="J51" s="69" t="s">
        <v>423</v>
      </c>
      <c r="K51" s="160" t="s">
        <v>420</v>
      </c>
      <c r="L51" s="2"/>
      <c r="M51" s="69" t="s">
        <v>744</v>
      </c>
      <c r="N51" s="2"/>
      <c r="O51" s="230" t="str">
        <f>IF($A$2=B51,Elektro!$Q$11,"")</f>
        <v/>
      </c>
      <c r="P51" s="230" t="str">
        <f>IF($A$2=B51,Elektro!$Q$12,"")</f>
        <v/>
      </c>
      <c r="Q51" s="236" t="str">
        <f>IF($A$2=B51,Elektro!$Q$13,"")</f>
        <v/>
      </c>
      <c r="R51" s="231" t="str">
        <f>IF($A$2=B51,Elektro!$Q$14,"")</f>
        <v/>
      </c>
      <c r="S51" s="231" t="str">
        <f>IF($A$2=B51,Elektro!$Q$15,"")</f>
        <v/>
      </c>
      <c r="T51" s="230" t="str">
        <f>IF($A$2=B51,Elektro!$Q$16,"")</f>
        <v/>
      </c>
      <c r="U51" s="353" t="str">
        <f t="shared" si="0"/>
        <v/>
      </c>
      <c r="V51" s="353" t="str">
        <f t="shared" si="1"/>
        <v/>
      </c>
      <c r="W51" s="4" t="s">
        <v>138</v>
      </c>
      <c r="X51" s="4" t="s">
        <v>20</v>
      </c>
      <c r="Y51" s="4">
        <v>4</v>
      </c>
      <c r="Z51" s="4">
        <v>32</v>
      </c>
      <c r="AA51" s="232" t="str">
        <f t="shared" si="2"/>
        <v/>
      </c>
      <c r="AB51" s="233" t="str">
        <f t="shared" si="3"/>
        <v/>
      </c>
      <c r="AC51" s="233" t="str">
        <f t="shared" si="4"/>
        <v>mol/s</v>
      </c>
      <c r="AD51" s="231" t="str">
        <f t="shared" si="5"/>
        <v/>
      </c>
      <c r="AE51" s="231" t="s">
        <v>283</v>
      </c>
      <c r="AF51" s="232" t="str">
        <f t="shared" si="6"/>
        <v/>
      </c>
      <c r="AG51" s="236" t="s">
        <v>284</v>
      </c>
      <c r="AH51" s="4"/>
      <c r="AI51" s="4" t="s">
        <v>142</v>
      </c>
      <c r="AJ51" s="4" t="s">
        <v>20</v>
      </c>
      <c r="AK51" s="4">
        <v>2</v>
      </c>
      <c r="AL51" s="4">
        <v>2</v>
      </c>
      <c r="AM51" s="232" t="str">
        <f t="shared" si="7"/>
        <v/>
      </c>
      <c r="AN51" s="233" t="str">
        <f t="shared" si="8"/>
        <v/>
      </c>
      <c r="AO51" s="4" t="str">
        <f t="shared" si="9"/>
        <v>mol/s</v>
      </c>
      <c r="AP51" s="4"/>
      <c r="AQ51" s="4"/>
      <c r="AR51" s="4"/>
      <c r="AS51" s="4" t="s">
        <v>368</v>
      </c>
      <c r="AT51" s="4">
        <v>0</v>
      </c>
      <c r="AV51" s="248" t="str">
        <f t="shared" si="10"/>
        <v/>
      </c>
      <c r="AW51" s="248"/>
      <c r="AX51" s="4" t="str">
        <f t="shared" si="11"/>
        <v>M</v>
      </c>
      <c r="AY51" s="248" t="str">
        <f t="shared" si="12"/>
        <v/>
      </c>
      <c r="AZ51" s="232"/>
      <c r="BA51" s="4">
        <v>49</v>
      </c>
      <c r="BB51" s="2" t="s">
        <v>47</v>
      </c>
      <c r="BC51" s="2" t="s">
        <v>236</v>
      </c>
      <c r="BD51" s="2"/>
      <c r="BE51" s="2" t="s">
        <v>48</v>
      </c>
      <c r="BF51" s="2" t="s">
        <v>50</v>
      </c>
      <c r="BG51" s="2"/>
      <c r="BH51" s="185" t="s">
        <v>148</v>
      </c>
      <c r="BI51" s="185" t="s">
        <v>149</v>
      </c>
      <c r="BJ51" s="185" t="s">
        <v>148</v>
      </c>
      <c r="BK51" s="185" t="s">
        <v>164</v>
      </c>
      <c r="BL51" s="100"/>
      <c r="BM51" s="97">
        <f t="shared" si="13"/>
        <v>0</v>
      </c>
      <c r="BN51" s="225" t="s">
        <v>294</v>
      </c>
      <c r="BO51" s="225" t="s">
        <v>278</v>
      </c>
      <c r="BP51" s="225" t="s">
        <v>258</v>
      </c>
      <c r="BQ51" s="225" t="s">
        <v>259</v>
      </c>
      <c r="BR51" s="225" t="s">
        <v>318</v>
      </c>
      <c r="BS51" s="225" t="s">
        <v>322</v>
      </c>
      <c r="BT51" s="225" t="s">
        <v>274</v>
      </c>
      <c r="BU51" s="225" t="s">
        <v>260</v>
      </c>
      <c r="BV51" s="2"/>
      <c r="BW51" s="259" t="s">
        <v>264</v>
      </c>
      <c r="BX51" s="259" t="s">
        <v>265</v>
      </c>
      <c r="BY51" s="259" t="s">
        <v>266</v>
      </c>
      <c r="BZ51" s="259" t="s">
        <v>267</v>
      </c>
      <c r="CA51" s="107"/>
      <c r="CB51" s="249"/>
      <c r="CC51" s="107"/>
      <c r="CD51" s="249"/>
      <c r="CE51" s="107"/>
      <c r="CF51" s="225" t="str">
        <f t="shared" si="14"/>
        <v/>
      </c>
      <c r="CG51" s="225" t="str">
        <f t="shared" si="15"/>
        <v/>
      </c>
      <c r="CH51" s="225" t="str">
        <f t="shared" si="16"/>
        <v/>
      </c>
      <c r="CI51" s="225" t="str">
        <f t="shared" si="17"/>
        <v/>
      </c>
      <c r="CJ51" s="225" t="str">
        <f t="shared" si="18"/>
        <v/>
      </c>
      <c r="CK51" s="225" t="str">
        <f t="shared" si="19"/>
        <v/>
      </c>
      <c r="CL51" s="225" t="str">
        <f t="shared" si="20"/>
        <v/>
      </c>
      <c r="CM51" s="225" t="str">
        <f t="shared" si="21"/>
        <v/>
      </c>
      <c r="CN51" s="225" t="str">
        <f t="shared" si="22"/>
        <v/>
      </c>
      <c r="CO51" s="225" t="str">
        <f t="shared" si="23"/>
        <v/>
      </c>
      <c r="CP51" s="250"/>
      <c r="CQ51" s="250" t="str">
        <f t="shared" si="24"/>
        <v/>
      </c>
      <c r="CR51" s="5">
        <v>49</v>
      </c>
      <c r="CU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1" s="373" t="str">
        <f t="shared" si="25"/>
        <v/>
      </c>
      <c r="CW51" s="2"/>
      <c r="CX51" s="104"/>
    </row>
    <row r="52" spans="2:102" ht="18.95" customHeight="1" x14ac:dyDescent="0.35">
      <c r="B52" s="128">
        <v>50</v>
      </c>
      <c r="C52" s="184" t="s">
        <v>868</v>
      </c>
      <c r="E52" s="382" t="s">
        <v>615</v>
      </c>
      <c r="F52" s="69" t="s">
        <v>75</v>
      </c>
      <c r="H52" s="69" t="s">
        <v>503</v>
      </c>
      <c r="I52" s="69" t="s">
        <v>418</v>
      </c>
      <c r="J52" s="69" t="s">
        <v>423</v>
      </c>
      <c r="K52" s="160" t="s">
        <v>420</v>
      </c>
      <c r="L52" s="2"/>
      <c r="M52" s="69" t="s">
        <v>745</v>
      </c>
      <c r="N52" s="2"/>
      <c r="O52" s="230" t="str">
        <f>IF($A$2=B52,Elektro!$Q$11,"")</f>
        <v/>
      </c>
      <c r="P52" s="230" t="str">
        <f>IF($A$2=B52,Elektro!$Q$12,"")</f>
        <v/>
      </c>
      <c r="Q52" s="236" t="str">
        <f>IF($A$2=B52,Elektro!$Q$13,"")</f>
        <v/>
      </c>
      <c r="R52" s="231" t="str">
        <f>IF($A$2=B52,Elektro!$Q$14,"")</f>
        <v/>
      </c>
      <c r="S52" s="231" t="str">
        <f>IF($A$2=B52,Elektro!$Q$15,"")</f>
        <v/>
      </c>
      <c r="T52" s="230" t="str">
        <f>IF($A$2=B52,Elektro!$Q$16,"")</f>
        <v/>
      </c>
      <c r="U52" s="353" t="str">
        <f t="shared" si="0"/>
        <v/>
      </c>
      <c r="V52" s="353" t="str">
        <f t="shared" si="1"/>
        <v/>
      </c>
      <c r="W52" s="4" t="s">
        <v>138</v>
      </c>
      <c r="X52" s="4" t="s">
        <v>20</v>
      </c>
      <c r="Y52" s="4">
        <v>4</v>
      </c>
      <c r="Z52" s="4">
        <v>32</v>
      </c>
      <c r="AA52" s="232" t="str">
        <f t="shared" si="2"/>
        <v/>
      </c>
      <c r="AB52" s="233" t="str">
        <f t="shared" si="3"/>
        <v/>
      </c>
      <c r="AC52" s="233" t="str">
        <f t="shared" si="4"/>
        <v>mol/s</v>
      </c>
      <c r="AD52" s="231" t="str">
        <f t="shared" si="5"/>
        <v/>
      </c>
      <c r="AE52" s="231" t="s">
        <v>283</v>
      </c>
      <c r="AF52" s="232" t="str">
        <f t="shared" si="6"/>
        <v/>
      </c>
      <c r="AG52" s="236" t="s">
        <v>284</v>
      </c>
      <c r="AH52" s="4"/>
      <c r="AI52" s="4" t="s">
        <v>142</v>
      </c>
      <c r="AJ52" s="4" t="s">
        <v>20</v>
      </c>
      <c r="AK52" s="4">
        <v>2</v>
      </c>
      <c r="AL52" s="4">
        <v>2</v>
      </c>
      <c r="AM52" s="232" t="str">
        <f t="shared" si="7"/>
        <v/>
      </c>
      <c r="AN52" s="233" t="str">
        <f t="shared" si="8"/>
        <v/>
      </c>
      <c r="AO52" s="4" t="str">
        <f t="shared" si="9"/>
        <v>mol/s</v>
      </c>
      <c r="AP52" s="4"/>
      <c r="AQ52" s="4"/>
      <c r="AR52" s="4"/>
      <c r="AS52" s="4" t="s">
        <v>368</v>
      </c>
      <c r="AT52" s="4">
        <v>0</v>
      </c>
      <c r="AV52" s="248" t="str">
        <f t="shared" si="10"/>
        <v/>
      </c>
      <c r="AW52" s="248"/>
      <c r="AX52" s="4" t="str">
        <f t="shared" si="11"/>
        <v>M</v>
      </c>
      <c r="AY52" s="248" t="str">
        <f t="shared" si="12"/>
        <v/>
      </c>
      <c r="AZ52" s="232"/>
      <c r="BA52" s="4">
        <v>50</v>
      </c>
      <c r="BB52" s="2" t="s">
        <v>47</v>
      </c>
      <c r="BC52" s="2" t="s">
        <v>235</v>
      </c>
      <c r="BD52" s="2"/>
      <c r="BE52" s="2" t="s">
        <v>48</v>
      </c>
      <c r="BF52" s="2" t="s">
        <v>80</v>
      </c>
      <c r="BG52" s="2"/>
      <c r="BH52" s="185" t="s">
        <v>148</v>
      </c>
      <c r="BI52" s="185" t="s">
        <v>165</v>
      </c>
      <c r="BJ52" s="185" t="s">
        <v>148</v>
      </c>
      <c r="BK52" s="185" t="s">
        <v>164</v>
      </c>
      <c r="BL52" s="100"/>
      <c r="BM52" s="97">
        <f t="shared" si="13"/>
        <v>0</v>
      </c>
      <c r="BN52" s="225" t="s">
        <v>294</v>
      </c>
      <c r="BO52" s="225" t="s">
        <v>278</v>
      </c>
      <c r="BP52" s="225" t="s">
        <v>258</v>
      </c>
      <c r="BQ52" s="225" t="s">
        <v>259</v>
      </c>
      <c r="BR52" s="225" t="s">
        <v>318</v>
      </c>
      <c r="BS52" s="225" t="s">
        <v>322</v>
      </c>
      <c r="BT52" s="225" t="s">
        <v>274</v>
      </c>
      <c r="BU52" s="225" t="s">
        <v>260</v>
      </c>
      <c r="BV52" s="2"/>
      <c r="BW52" s="259" t="s">
        <v>264</v>
      </c>
      <c r="BX52" s="259" t="s">
        <v>265</v>
      </c>
      <c r="BY52" s="259" t="s">
        <v>266</v>
      </c>
      <c r="BZ52" s="259" t="s">
        <v>267</v>
      </c>
      <c r="CA52" s="107"/>
      <c r="CB52" s="249"/>
      <c r="CC52" s="107"/>
      <c r="CD52" s="249"/>
      <c r="CE52" s="107"/>
      <c r="CF52" s="225" t="str">
        <f t="shared" si="14"/>
        <v/>
      </c>
      <c r="CG52" s="225" t="str">
        <f t="shared" si="15"/>
        <v/>
      </c>
      <c r="CH52" s="225" t="str">
        <f t="shared" si="16"/>
        <v/>
      </c>
      <c r="CI52" s="225" t="str">
        <f t="shared" si="17"/>
        <v/>
      </c>
      <c r="CJ52" s="225" t="str">
        <f t="shared" si="18"/>
        <v/>
      </c>
      <c r="CK52" s="225" t="str">
        <f t="shared" si="19"/>
        <v/>
      </c>
      <c r="CL52" s="225" t="str">
        <f t="shared" si="20"/>
        <v/>
      </c>
      <c r="CM52" s="225" t="str">
        <f t="shared" si="21"/>
        <v/>
      </c>
      <c r="CN52" s="225" t="str">
        <f t="shared" si="22"/>
        <v/>
      </c>
      <c r="CO52" s="225" t="str">
        <f t="shared" si="23"/>
        <v/>
      </c>
      <c r="CP52" s="250"/>
      <c r="CQ52" s="250" t="str">
        <f t="shared" si="24"/>
        <v/>
      </c>
      <c r="CR52" s="5">
        <v>50</v>
      </c>
      <c r="CU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2" s="373" t="str">
        <f t="shared" si="25"/>
        <v/>
      </c>
      <c r="CW52" s="2"/>
      <c r="CX52" s="104"/>
    </row>
    <row r="53" spans="2:102" ht="18.95" customHeight="1" x14ac:dyDescent="0.35">
      <c r="B53" s="128">
        <v>51</v>
      </c>
      <c r="C53" s="184" t="s">
        <v>690</v>
      </c>
      <c r="E53" s="382" t="s">
        <v>671</v>
      </c>
      <c r="F53" s="69" t="s">
        <v>75</v>
      </c>
      <c r="H53" s="69" t="s">
        <v>504</v>
      </c>
      <c r="I53" s="69" t="s">
        <v>418</v>
      </c>
      <c r="J53" s="69" t="s">
        <v>423</v>
      </c>
      <c r="K53" s="160" t="s">
        <v>420</v>
      </c>
      <c r="L53" s="2"/>
      <c r="M53" s="69" t="s">
        <v>746</v>
      </c>
      <c r="N53" s="2"/>
      <c r="O53" s="230" t="str">
        <f>IF($A$2=B53,Elektro!$Q$11,"")</f>
        <v/>
      </c>
      <c r="P53" s="230" t="str">
        <f>IF($A$2=B53,Elektro!$Q$12,"")</f>
        <v/>
      </c>
      <c r="Q53" s="236" t="str">
        <f>IF($A$2=B53,Elektro!$Q$13,"")</f>
        <v/>
      </c>
      <c r="R53" s="231" t="str">
        <f>IF($A$2=B53,Elektro!$Q$14,"")</f>
        <v/>
      </c>
      <c r="S53" s="231" t="str">
        <f>IF($A$2=B53,Elektro!$Q$15,"")</f>
        <v/>
      </c>
      <c r="T53" s="230" t="str">
        <f>IF($A$2=B53,Elektro!$Q$16,"")</f>
        <v/>
      </c>
      <c r="U53" s="353" t="str">
        <f t="shared" si="0"/>
        <v/>
      </c>
      <c r="V53" s="353" t="str">
        <f t="shared" si="1"/>
        <v/>
      </c>
      <c r="W53" s="4" t="s">
        <v>138</v>
      </c>
      <c r="X53" s="4" t="s">
        <v>20</v>
      </c>
      <c r="Y53" s="4">
        <v>4</v>
      </c>
      <c r="Z53" s="4">
        <v>32</v>
      </c>
      <c r="AA53" s="232" t="str">
        <f t="shared" si="2"/>
        <v/>
      </c>
      <c r="AB53" s="233" t="str">
        <f t="shared" si="3"/>
        <v/>
      </c>
      <c r="AC53" s="233" t="str">
        <f t="shared" si="4"/>
        <v>mol/s</v>
      </c>
      <c r="AD53" s="231" t="str">
        <f t="shared" si="5"/>
        <v/>
      </c>
      <c r="AE53" s="231" t="s">
        <v>283</v>
      </c>
      <c r="AF53" s="232" t="str">
        <f t="shared" si="6"/>
        <v/>
      </c>
      <c r="AG53" s="236" t="s">
        <v>284</v>
      </c>
      <c r="AH53" s="4"/>
      <c r="AI53" s="4" t="s">
        <v>142</v>
      </c>
      <c r="AJ53" s="4" t="s">
        <v>20</v>
      </c>
      <c r="AK53" s="4">
        <v>2</v>
      </c>
      <c r="AL53" s="4">
        <v>2</v>
      </c>
      <c r="AM53" s="232" t="str">
        <f t="shared" si="7"/>
        <v/>
      </c>
      <c r="AN53" s="233" t="str">
        <f t="shared" si="8"/>
        <v/>
      </c>
      <c r="AO53" s="4" t="str">
        <f t="shared" si="9"/>
        <v>mol/s</v>
      </c>
      <c r="AP53" s="4"/>
      <c r="AQ53" s="4"/>
      <c r="AR53" s="4"/>
      <c r="AS53" s="4" t="s">
        <v>368</v>
      </c>
      <c r="AT53" s="4">
        <v>0</v>
      </c>
      <c r="AV53" s="248" t="str">
        <f t="shared" si="10"/>
        <v/>
      </c>
      <c r="AW53" s="248"/>
      <c r="AX53" s="4" t="str">
        <f t="shared" si="11"/>
        <v>M</v>
      </c>
      <c r="AY53" s="248" t="str">
        <f t="shared" si="12"/>
        <v/>
      </c>
      <c r="AZ53" s="232"/>
      <c r="BA53" s="4">
        <v>51</v>
      </c>
      <c r="BB53" s="2" t="s">
        <v>47</v>
      </c>
      <c r="BC53" s="2" t="s">
        <v>234</v>
      </c>
      <c r="BD53" s="2"/>
      <c r="BE53" s="2" t="s">
        <v>48</v>
      </c>
      <c r="BF53" s="2" t="s">
        <v>80</v>
      </c>
      <c r="BG53" s="2"/>
      <c r="BH53" s="185" t="s">
        <v>148</v>
      </c>
      <c r="BI53" s="185" t="s">
        <v>165</v>
      </c>
      <c r="BJ53" s="185" t="s">
        <v>148</v>
      </c>
      <c r="BK53" s="185" t="s">
        <v>164</v>
      </c>
      <c r="BL53" s="100"/>
      <c r="BM53" s="97">
        <f t="shared" si="13"/>
        <v>0</v>
      </c>
      <c r="BN53" s="225" t="s">
        <v>294</v>
      </c>
      <c r="BO53" s="225" t="s">
        <v>278</v>
      </c>
      <c r="BP53" s="225" t="s">
        <v>258</v>
      </c>
      <c r="BQ53" s="225" t="s">
        <v>259</v>
      </c>
      <c r="BR53" s="225" t="s">
        <v>318</v>
      </c>
      <c r="BS53" s="225" t="s">
        <v>322</v>
      </c>
      <c r="BT53" s="225" t="s">
        <v>274</v>
      </c>
      <c r="BU53" s="225" t="s">
        <v>260</v>
      </c>
      <c r="BV53" s="2"/>
      <c r="BW53" s="259" t="s">
        <v>264</v>
      </c>
      <c r="BX53" s="259" t="s">
        <v>265</v>
      </c>
      <c r="BY53" s="259" t="s">
        <v>266</v>
      </c>
      <c r="BZ53" s="259" t="s">
        <v>267</v>
      </c>
      <c r="CA53" s="107"/>
      <c r="CB53" s="249"/>
      <c r="CC53" s="107"/>
      <c r="CD53" s="249"/>
      <c r="CE53" s="107"/>
      <c r="CF53" s="225" t="str">
        <f t="shared" si="14"/>
        <v/>
      </c>
      <c r="CG53" s="225" t="str">
        <f t="shared" si="15"/>
        <v/>
      </c>
      <c r="CH53" s="225" t="str">
        <f t="shared" si="16"/>
        <v/>
      </c>
      <c r="CI53" s="225" t="str">
        <f t="shared" si="17"/>
        <v/>
      </c>
      <c r="CJ53" s="225" t="str">
        <f t="shared" si="18"/>
        <v/>
      </c>
      <c r="CK53" s="225" t="str">
        <f t="shared" si="19"/>
        <v/>
      </c>
      <c r="CL53" s="225" t="str">
        <f t="shared" si="20"/>
        <v/>
      </c>
      <c r="CM53" s="225" t="str">
        <f t="shared" si="21"/>
        <v/>
      </c>
      <c r="CN53" s="225" t="str">
        <f t="shared" si="22"/>
        <v/>
      </c>
      <c r="CO53" s="225" t="str">
        <f t="shared" si="23"/>
        <v/>
      </c>
      <c r="CP53" s="250"/>
      <c r="CQ53" s="250" t="str">
        <f t="shared" si="24"/>
        <v/>
      </c>
      <c r="CR53" s="5">
        <v>51</v>
      </c>
      <c r="CU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3" s="373" t="str">
        <f t="shared" si="25"/>
        <v/>
      </c>
      <c r="CW53" s="2"/>
      <c r="CX53" s="104"/>
    </row>
    <row r="54" spans="2:102" ht="18.95" customHeight="1" x14ac:dyDescent="0.35">
      <c r="B54" s="128">
        <v>52</v>
      </c>
      <c r="C54" s="184" t="s">
        <v>691</v>
      </c>
      <c r="E54" s="382" t="s">
        <v>672</v>
      </c>
      <c r="F54" s="69" t="s">
        <v>75</v>
      </c>
      <c r="H54" s="69" t="s">
        <v>505</v>
      </c>
      <c r="I54" s="69" t="s">
        <v>418</v>
      </c>
      <c r="J54" s="69" t="s">
        <v>423</v>
      </c>
      <c r="K54" s="160" t="s">
        <v>420</v>
      </c>
      <c r="L54" s="2"/>
      <c r="M54" s="69" t="s">
        <v>747</v>
      </c>
      <c r="N54" s="2"/>
      <c r="O54" s="230" t="str">
        <f>IF($A$2=B54,Elektro!$Q$11,"")</f>
        <v/>
      </c>
      <c r="P54" s="230" t="str">
        <f>IF($A$2=B54,Elektro!$Q$12,"")</f>
        <v/>
      </c>
      <c r="Q54" s="236" t="str">
        <f>IF($A$2=B54,Elektro!$Q$13,"")</f>
        <v/>
      </c>
      <c r="R54" s="231" t="str">
        <f>IF($A$2=B54,Elektro!$Q$14,"")</f>
        <v/>
      </c>
      <c r="S54" s="231" t="str">
        <f>IF($A$2=B54,Elektro!$Q$15,"")</f>
        <v/>
      </c>
      <c r="T54" s="230" t="str">
        <f>IF($A$2=B54,Elektro!$Q$16,"")</f>
        <v/>
      </c>
      <c r="U54" s="353" t="str">
        <f t="shared" si="0"/>
        <v/>
      </c>
      <c r="V54" s="353" t="str">
        <f t="shared" si="1"/>
        <v/>
      </c>
      <c r="W54" s="4" t="s">
        <v>138</v>
      </c>
      <c r="X54" s="4" t="s">
        <v>20</v>
      </c>
      <c r="Y54" s="4">
        <v>4</v>
      </c>
      <c r="Z54" s="4">
        <v>32</v>
      </c>
      <c r="AA54" s="232" t="str">
        <f t="shared" si="2"/>
        <v/>
      </c>
      <c r="AB54" s="233" t="str">
        <f t="shared" si="3"/>
        <v/>
      </c>
      <c r="AC54" s="233" t="str">
        <f t="shared" si="4"/>
        <v>mol/s</v>
      </c>
      <c r="AD54" s="231" t="str">
        <f t="shared" si="5"/>
        <v/>
      </c>
      <c r="AE54" s="231" t="s">
        <v>283</v>
      </c>
      <c r="AF54" s="232" t="str">
        <f t="shared" si="6"/>
        <v/>
      </c>
      <c r="AG54" s="236" t="s">
        <v>284</v>
      </c>
      <c r="AH54" s="4"/>
      <c r="AI54" s="4" t="s">
        <v>142</v>
      </c>
      <c r="AJ54" s="4" t="s">
        <v>20</v>
      </c>
      <c r="AK54" s="4">
        <v>2</v>
      </c>
      <c r="AL54" s="4">
        <v>2</v>
      </c>
      <c r="AM54" s="232" t="str">
        <f t="shared" si="7"/>
        <v/>
      </c>
      <c r="AN54" s="233" t="str">
        <f t="shared" si="8"/>
        <v/>
      </c>
      <c r="AO54" s="4" t="str">
        <f t="shared" si="9"/>
        <v>mol/s</v>
      </c>
      <c r="AP54" s="4"/>
      <c r="AQ54" s="4"/>
      <c r="AR54" s="4"/>
      <c r="AS54" s="4" t="s">
        <v>368</v>
      </c>
      <c r="AT54" s="4">
        <v>0</v>
      </c>
      <c r="AV54" s="248" t="str">
        <f t="shared" si="10"/>
        <v/>
      </c>
      <c r="AW54" s="248"/>
      <c r="AX54" s="4" t="str">
        <f t="shared" si="11"/>
        <v>M</v>
      </c>
      <c r="AY54" s="248" t="str">
        <f t="shared" si="12"/>
        <v/>
      </c>
      <c r="AZ54" s="232"/>
      <c r="BA54" s="4">
        <v>52</v>
      </c>
      <c r="BB54" s="2" t="s">
        <v>47</v>
      </c>
      <c r="BC54" s="2" t="s">
        <v>236</v>
      </c>
      <c r="BD54" s="2"/>
      <c r="BE54" s="2" t="s">
        <v>48</v>
      </c>
      <c r="BF54" s="2" t="s">
        <v>81</v>
      </c>
      <c r="BG54" s="2"/>
      <c r="BH54" s="185" t="s">
        <v>148</v>
      </c>
      <c r="BI54" s="185" t="s">
        <v>165</v>
      </c>
      <c r="BJ54" s="185" t="s">
        <v>148</v>
      </c>
      <c r="BK54" s="185" t="s">
        <v>164</v>
      </c>
      <c r="BL54" s="100"/>
      <c r="BM54" s="97">
        <f t="shared" si="13"/>
        <v>0</v>
      </c>
      <c r="BN54" s="225" t="s">
        <v>294</v>
      </c>
      <c r="BO54" s="225" t="s">
        <v>278</v>
      </c>
      <c r="BP54" s="225" t="s">
        <v>258</v>
      </c>
      <c r="BQ54" s="225" t="s">
        <v>259</v>
      </c>
      <c r="BR54" s="225" t="s">
        <v>318</v>
      </c>
      <c r="BS54" s="225" t="s">
        <v>322</v>
      </c>
      <c r="BT54" s="225" t="s">
        <v>274</v>
      </c>
      <c r="BU54" s="225" t="s">
        <v>260</v>
      </c>
      <c r="BV54" s="2"/>
      <c r="BW54" s="259" t="s">
        <v>264</v>
      </c>
      <c r="BX54" s="259" t="s">
        <v>265</v>
      </c>
      <c r="BY54" s="259" t="s">
        <v>266</v>
      </c>
      <c r="BZ54" s="259" t="s">
        <v>267</v>
      </c>
      <c r="CA54" s="107"/>
      <c r="CB54" s="249"/>
      <c r="CC54" s="107"/>
      <c r="CD54" s="249"/>
      <c r="CE54" s="107"/>
      <c r="CF54" s="225" t="str">
        <f t="shared" si="14"/>
        <v/>
      </c>
      <c r="CG54" s="225" t="str">
        <f t="shared" si="15"/>
        <v/>
      </c>
      <c r="CH54" s="225" t="str">
        <f t="shared" si="16"/>
        <v/>
      </c>
      <c r="CI54" s="225" t="str">
        <f t="shared" si="17"/>
        <v/>
      </c>
      <c r="CJ54" s="225" t="str">
        <f t="shared" si="18"/>
        <v/>
      </c>
      <c r="CK54" s="225" t="str">
        <f t="shared" si="19"/>
        <v/>
      </c>
      <c r="CL54" s="225" t="str">
        <f t="shared" si="20"/>
        <v/>
      </c>
      <c r="CM54" s="225" t="str">
        <f t="shared" si="21"/>
        <v/>
      </c>
      <c r="CN54" s="225" t="str">
        <f t="shared" si="22"/>
        <v/>
      </c>
      <c r="CO54" s="225" t="str">
        <f t="shared" si="23"/>
        <v/>
      </c>
      <c r="CP54" s="250"/>
      <c r="CQ54" s="250" t="str">
        <f t="shared" si="24"/>
        <v/>
      </c>
      <c r="CR54" s="5">
        <v>52</v>
      </c>
      <c r="CU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4" s="373" t="str">
        <f t="shared" si="25"/>
        <v/>
      </c>
      <c r="CW54" s="2"/>
      <c r="CX54" s="104"/>
    </row>
    <row r="55" spans="2:102" ht="18.95" customHeight="1" x14ac:dyDescent="0.35">
      <c r="B55" s="128">
        <v>53</v>
      </c>
      <c r="C55" s="184" t="s">
        <v>692</v>
      </c>
      <c r="E55" s="382" t="s">
        <v>673</v>
      </c>
      <c r="F55" s="69" t="s">
        <v>75</v>
      </c>
      <c r="H55" s="69" t="s">
        <v>506</v>
      </c>
      <c r="I55" s="69" t="s">
        <v>418</v>
      </c>
      <c r="J55" s="69" t="s">
        <v>423</v>
      </c>
      <c r="K55" s="160" t="s">
        <v>420</v>
      </c>
      <c r="L55" s="2"/>
      <c r="M55" s="69" t="s">
        <v>748</v>
      </c>
      <c r="N55" s="2"/>
      <c r="O55" s="230" t="str">
        <f>IF($A$2=B55,Elektro!$Q$11,"")</f>
        <v/>
      </c>
      <c r="P55" s="230" t="str">
        <f>IF($A$2=B55,Elektro!$Q$12,"")</f>
        <v/>
      </c>
      <c r="Q55" s="236" t="str">
        <f>IF($A$2=B55,Elektro!$Q$13,"")</f>
        <v/>
      </c>
      <c r="R55" s="231" t="str">
        <f>IF($A$2=B55,Elektro!$Q$14,"")</f>
        <v/>
      </c>
      <c r="S55" s="231" t="str">
        <f>IF($A$2=B55,Elektro!$Q$15,"")</f>
        <v/>
      </c>
      <c r="T55" s="230" t="str">
        <f>IF($A$2=B55,Elektro!$Q$16,"")</f>
        <v/>
      </c>
      <c r="U55" s="353" t="str">
        <f t="shared" si="0"/>
        <v/>
      </c>
      <c r="V55" s="353" t="str">
        <f t="shared" si="1"/>
        <v/>
      </c>
      <c r="W55" s="4" t="s">
        <v>138</v>
      </c>
      <c r="X55" s="4" t="s">
        <v>20</v>
      </c>
      <c r="Y55" s="4">
        <v>4</v>
      </c>
      <c r="Z55" s="4">
        <v>32</v>
      </c>
      <c r="AA55" s="232" t="str">
        <f t="shared" si="2"/>
        <v/>
      </c>
      <c r="AB55" s="233" t="str">
        <f t="shared" si="3"/>
        <v/>
      </c>
      <c r="AC55" s="233" t="str">
        <f t="shared" si="4"/>
        <v>mol/s</v>
      </c>
      <c r="AD55" s="231" t="str">
        <f t="shared" si="5"/>
        <v/>
      </c>
      <c r="AE55" s="231" t="s">
        <v>283</v>
      </c>
      <c r="AF55" s="232" t="str">
        <f t="shared" si="6"/>
        <v/>
      </c>
      <c r="AG55" s="236" t="s">
        <v>284</v>
      </c>
      <c r="AH55" s="4"/>
      <c r="AI55" s="4" t="s">
        <v>142</v>
      </c>
      <c r="AJ55" s="4" t="s">
        <v>20</v>
      </c>
      <c r="AK55" s="4">
        <v>2</v>
      </c>
      <c r="AL55" s="4">
        <v>2</v>
      </c>
      <c r="AM55" s="232" t="str">
        <f t="shared" si="7"/>
        <v/>
      </c>
      <c r="AN55" s="233" t="str">
        <f t="shared" si="8"/>
        <v/>
      </c>
      <c r="AO55" s="4" t="str">
        <f t="shared" si="9"/>
        <v>mol/s</v>
      </c>
      <c r="AP55" s="4"/>
      <c r="AQ55" s="4"/>
      <c r="AR55" s="4"/>
      <c r="AS55" s="4" t="s">
        <v>368</v>
      </c>
      <c r="AT55" s="4">
        <v>0</v>
      </c>
      <c r="AV55" s="248" t="str">
        <f t="shared" si="10"/>
        <v/>
      </c>
      <c r="AW55" s="248"/>
      <c r="AX55" s="4" t="str">
        <f t="shared" si="11"/>
        <v>M</v>
      </c>
      <c r="AY55" s="248" t="str">
        <f t="shared" si="12"/>
        <v/>
      </c>
      <c r="AZ55" s="232"/>
      <c r="BA55" s="4">
        <v>53</v>
      </c>
      <c r="BB55" s="2" t="s">
        <v>47</v>
      </c>
      <c r="BC55" s="2" t="s">
        <v>234</v>
      </c>
      <c r="BD55" s="2"/>
      <c r="BE55" s="2" t="s">
        <v>48</v>
      </c>
      <c r="BF55" s="2" t="s">
        <v>82</v>
      </c>
      <c r="BG55" s="2"/>
      <c r="BH55" s="185" t="s">
        <v>148</v>
      </c>
      <c r="BI55" s="185" t="s">
        <v>165</v>
      </c>
      <c r="BJ55" s="185" t="s">
        <v>148</v>
      </c>
      <c r="BK55" s="185" t="s">
        <v>164</v>
      </c>
      <c r="BL55" s="100"/>
      <c r="BM55" s="97">
        <f t="shared" si="13"/>
        <v>0</v>
      </c>
      <c r="BN55" s="225" t="s">
        <v>294</v>
      </c>
      <c r="BO55" s="225" t="s">
        <v>278</v>
      </c>
      <c r="BP55" s="225" t="s">
        <v>258</v>
      </c>
      <c r="BQ55" s="225" t="s">
        <v>259</v>
      </c>
      <c r="BR55" s="225" t="s">
        <v>318</v>
      </c>
      <c r="BS55" s="225" t="s">
        <v>322</v>
      </c>
      <c r="BT55" s="225" t="s">
        <v>274</v>
      </c>
      <c r="BU55" s="225" t="s">
        <v>260</v>
      </c>
      <c r="BV55" s="2"/>
      <c r="BW55" s="259" t="s">
        <v>264</v>
      </c>
      <c r="BX55" s="259" t="s">
        <v>265</v>
      </c>
      <c r="BY55" s="259" t="s">
        <v>266</v>
      </c>
      <c r="BZ55" s="259" t="s">
        <v>267</v>
      </c>
      <c r="CA55" s="107"/>
      <c r="CB55" s="249"/>
      <c r="CC55" s="107"/>
      <c r="CD55" s="249"/>
      <c r="CE55" s="107"/>
      <c r="CF55" s="225" t="str">
        <f t="shared" si="14"/>
        <v/>
      </c>
      <c r="CG55" s="225" t="str">
        <f t="shared" si="15"/>
        <v/>
      </c>
      <c r="CH55" s="225" t="str">
        <f t="shared" si="16"/>
        <v/>
      </c>
      <c r="CI55" s="225" t="str">
        <f t="shared" si="17"/>
        <v/>
      </c>
      <c r="CJ55" s="225" t="str">
        <f t="shared" si="18"/>
        <v/>
      </c>
      <c r="CK55" s="225" t="str">
        <f t="shared" si="19"/>
        <v/>
      </c>
      <c r="CL55" s="225" t="str">
        <f t="shared" si="20"/>
        <v/>
      </c>
      <c r="CM55" s="225" t="str">
        <f t="shared" si="21"/>
        <v/>
      </c>
      <c r="CN55" s="225" t="str">
        <f t="shared" si="22"/>
        <v/>
      </c>
      <c r="CO55" s="225" t="str">
        <f t="shared" si="23"/>
        <v/>
      </c>
      <c r="CP55" s="250"/>
      <c r="CQ55" s="250" t="str">
        <f t="shared" si="24"/>
        <v/>
      </c>
      <c r="CR55" s="5">
        <v>53</v>
      </c>
      <c r="CU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5" s="373" t="str">
        <f t="shared" si="25"/>
        <v/>
      </c>
      <c r="CW55" s="2"/>
      <c r="CX55" s="104"/>
    </row>
    <row r="56" spans="2:102" ht="18.95" customHeight="1" x14ac:dyDescent="0.35">
      <c r="B56" s="128">
        <v>54</v>
      </c>
      <c r="C56" s="184" t="s">
        <v>105</v>
      </c>
      <c r="E56" s="382" t="s">
        <v>619</v>
      </c>
      <c r="F56" s="69" t="s">
        <v>75</v>
      </c>
      <c r="H56" s="69" t="s">
        <v>507</v>
      </c>
      <c r="I56" s="69" t="s">
        <v>429</v>
      </c>
      <c r="J56" s="69" t="s">
        <v>423</v>
      </c>
      <c r="K56" s="160" t="s">
        <v>420</v>
      </c>
      <c r="L56" s="2"/>
      <c r="M56" s="69" t="s">
        <v>749</v>
      </c>
      <c r="N56" s="2"/>
      <c r="O56" s="230" t="str">
        <f>IF($A$2=B56,Elektro!$Q$11,"")</f>
        <v/>
      </c>
      <c r="P56" s="230" t="str">
        <f>IF($A$2=B56,Elektro!$Q$12,"")</f>
        <v/>
      </c>
      <c r="Q56" s="236" t="str">
        <f>IF($A$2=B56,Elektro!$Q$13,"")</f>
        <v/>
      </c>
      <c r="R56" s="231" t="str">
        <f>IF($A$2=B56,Elektro!$Q$14,"")</f>
        <v/>
      </c>
      <c r="S56" s="231" t="str">
        <f>IF($A$2=B56,Elektro!$Q$15,"")</f>
        <v/>
      </c>
      <c r="T56" s="230" t="str">
        <f>IF($A$2=B56,Elektro!$Q$16,"")</f>
        <v/>
      </c>
      <c r="U56" s="353" t="str">
        <f t="shared" si="0"/>
        <v/>
      </c>
      <c r="V56" s="353" t="str">
        <f t="shared" si="1"/>
        <v/>
      </c>
      <c r="W56" s="4" t="s">
        <v>138</v>
      </c>
      <c r="X56" s="4" t="s">
        <v>20</v>
      </c>
      <c r="Y56" s="4">
        <v>4</v>
      </c>
      <c r="Z56" s="4">
        <v>32</v>
      </c>
      <c r="AA56" s="232" t="str">
        <f t="shared" si="2"/>
        <v/>
      </c>
      <c r="AB56" s="233" t="str">
        <f t="shared" si="3"/>
        <v/>
      </c>
      <c r="AC56" s="233" t="str">
        <f t="shared" si="4"/>
        <v>mol/s</v>
      </c>
      <c r="AD56" s="231" t="str">
        <f t="shared" si="5"/>
        <v/>
      </c>
      <c r="AE56" s="231" t="s">
        <v>283</v>
      </c>
      <c r="AF56" s="232" t="str">
        <f t="shared" si="6"/>
        <v/>
      </c>
      <c r="AG56" s="236" t="s">
        <v>284</v>
      </c>
      <c r="AH56" s="4"/>
      <c r="AI56" s="4" t="s">
        <v>142</v>
      </c>
      <c r="AJ56" s="4" t="s">
        <v>20</v>
      </c>
      <c r="AK56" s="4">
        <v>2</v>
      </c>
      <c r="AL56" s="4">
        <v>2</v>
      </c>
      <c r="AM56" s="232" t="str">
        <f t="shared" si="7"/>
        <v/>
      </c>
      <c r="AN56" s="233" t="str">
        <f t="shared" si="8"/>
        <v/>
      </c>
      <c r="AO56" s="4" t="str">
        <f t="shared" si="9"/>
        <v>mol/s</v>
      </c>
      <c r="AP56" s="4"/>
      <c r="AQ56" s="4"/>
      <c r="AR56" s="4"/>
      <c r="AS56" s="4" t="s">
        <v>121</v>
      </c>
      <c r="AT56" s="4">
        <v>2</v>
      </c>
      <c r="AU56" s="5" t="s">
        <v>65</v>
      </c>
      <c r="AV56" s="248" t="str">
        <f t="shared" si="10"/>
        <v/>
      </c>
      <c r="AW56" s="248"/>
      <c r="AX56" s="4" t="str">
        <f t="shared" si="11"/>
        <v>M</v>
      </c>
      <c r="AY56" s="248" t="str">
        <f t="shared" si="12"/>
        <v/>
      </c>
      <c r="AZ56" s="232"/>
      <c r="BA56" s="4">
        <v>54</v>
      </c>
      <c r="BB56" s="2" t="s">
        <v>47</v>
      </c>
      <c r="BC56" s="2" t="s">
        <v>51</v>
      </c>
      <c r="BD56" s="2"/>
      <c r="BE56" s="2" t="s">
        <v>48</v>
      </c>
      <c r="BF56" s="2" t="s">
        <v>83</v>
      </c>
      <c r="BG56" s="2"/>
      <c r="BH56" s="185" t="s">
        <v>148</v>
      </c>
      <c r="BI56" s="185" t="s">
        <v>165</v>
      </c>
      <c r="BJ56" s="185" t="s">
        <v>155</v>
      </c>
      <c r="BK56" s="185" t="s">
        <v>164</v>
      </c>
      <c r="BL56" s="100"/>
      <c r="BM56" s="97">
        <f t="shared" si="13"/>
        <v>2</v>
      </c>
      <c r="BN56" s="225" t="s">
        <v>294</v>
      </c>
      <c r="BO56" s="225" t="s">
        <v>278</v>
      </c>
      <c r="BP56" s="225" t="s">
        <v>258</v>
      </c>
      <c r="BQ56" s="225" t="s">
        <v>259</v>
      </c>
      <c r="BR56" s="225" t="s">
        <v>318</v>
      </c>
      <c r="BS56" s="225" t="s">
        <v>322</v>
      </c>
      <c r="BT56" s="225" t="s">
        <v>275</v>
      </c>
      <c r="BU56" s="225" t="s">
        <v>260</v>
      </c>
      <c r="BV56" s="2"/>
      <c r="BW56" s="259" t="s">
        <v>264</v>
      </c>
      <c r="BX56" s="259" t="s">
        <v>265</v>
      </c>
      <c r="BY56" s="259" t="s">
        <v>266</v>
      </c>
      <c r="BZ56" s="259" t="s">
        <v>267</v>
      </c>
      <c r="CA56" s="107"/>
      <c r="CB56" s="249"/>
      <c r="CC56" s="107"/>
      <c r="CD56" s="249"/>
      <c r="CE56" s="107"/>
      <c r="CF56" s="225" t="str">
        <f t="shared" si="14"/>
        <v/>
      </c>
      <c r="CG56" s="225" t="str">
        <f t="shared" si="15"/>
        <v/>
      </c>
      <c r="CH56" s="225" t="str">
        <f t="shared" si="16"/>
        <v/>
      </c>
      <c r="CI56" s="225" t="str">
        <f t="shared" si="17"/>
        <v/>
      </c>
      <c r="CJ56" s="225" t="str">
        <f t="shared" si="18"/>
        <v/>
      </c>
      <c r="CK56" s="225" t="str">
        <f t="shared" si="19"/>
        <v/>
      </c>
      <c r="CL56" s="225" t="str">
        <f t="shared" si="20"/>
        <v/>
      </c>
      <c r="CM56" s="225" t="str">
        <f t="shared" si="21"/>
        <v/>
      </c>
      <c r="CN56" s="225" t="str">
        <f t="shared" si="22"/>
        <v/>
      </c>
      <c r="CO56" s="225" t="str">
        <f t="shared" si="23"/>
        <v/>
      </c>
      <c r="CP56" s="250"/>
      <c r="CQ56" s="250" t="str">
        <f t="shared" si="24"/>
        <v/>
      </c>
      <c r="CR56" s="5">
        <v>54</v>
      </c>
      <c r="CU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6" s="373" t="str">
        <f t="shared" si="25"/>
        <v/>
      </c>
      <c r="CW56" s="2"/>
      <c r="CX56" s="104"/>
    </row>
    <row r="57" spans="2:102" ht="18.95" customHeight="1" x14ac:dyDescent="0.35">
      <c r="B57" s="128">
        <v>55</v>
      </c>
      <c r="C57" s="184" t="s">
        <v>869</v>
      </c>
      <c r="E57" s="382" t="s">
        <v>620</v>
      </c>
      <c r="F57" s="69" t="s">
        <v>75</v>
      </c>
      <c r="H57" s="69" t="s">
        <v>508</v>
      </c>
      <c r="I57" s="69" t="s">
        <v>429</v>
      </c>
      <c r="J57" s="69" t="s">
        <v>423</v>
      </c>
      <c r="K57" s="160" t="s">
        <v>420</v>
      </c>
      <c r="L57" s="2"/>
      <c r="M57" s="69" t="s">
        <v>750</v>
      </c>
      <c r="N57" s="2"/>
      <c r="O57" s="230" t="str">
        <f>IF($A$2=B57,Elektro!$Q$11,"")</f>
        <v/>
      </c>
      <c r="P57" s="230" t="str">
        <f>IF($A$2=B57,Elektro!$Q$12,"")</f>
        <v/>
      </c>
      <c r="Q57" s="236" t="str">
        <f>IF($A$2=B57,Elektro!$Q$13,"")</f>
        <v/>
      </c>
      <c r="R57" s="231" t="str">
        <f>IF($A$2=B57,Elektro!$Q$14,"")</f>
        <v/>
      </c>
      <c r="S57" s="231" t="str">
        <f>IF($A$2=B57,Elektro!$Q$15,"")</f>
        <v/>
      </c>
      <c r="T57" s="230" t="str">
        <f>IF($A$2=B57,Elektro!$Q$16,"")</f>
        <v/>
      </c>
      <c r="U57" s="353" t="str">
        <f t="shared" si="0"/>
        <v/>
      </c>
      <c r="V57" s="353" t="str">
        <f t="shared" si="1"/>
        <v/>
      </c>
      <c r="W57" s="4" t="s">
        <v>138</v>
      </c>
      <c r="X57" s="4" t="s">
        <v>20</v>
      </c>
      <c r="Y57" s="4">
        <v>4</v>
      </c>
      <c r="Z57" s="4">
        <v>32</v>
      </c>
      <c r="AA57" s="232" t="str">
        <f t="shared" si="2"/>
        <v/>
      </c>
      <c r="AB57" s="233" t="str">
        <f t="shared" si="3"/>
        <v/>
      </c>
      <c r="AC57" s="233" t="str">
        <f t="shared" si="4"/>
        <v>mol/s</v>
      </c>
      <c r="AD57" s="231" t="str">
        <f t="shared" si="5"/>
        <v/>
      </c>
      <c r="AE57" s="231" t="s">
        <v>283</v>
      </c>
      <c r="AF57" s="232" t="str">
        <f t="shared" si="6"/>
        <v/>
      </c>
      <c r="AG57" s="236" t="s">
        <v>284</v>
      </c>
      <c r="AH57" s="4"/>
      <c r="AI57" s="4" t="s">
        <v>142</v>
      </c>
      <c r="AJ57" s="4" t="s">
        <v>20</v>
      </c>
      <c r="AK57" s="4">
        <v>2</v>
      </c>
      <c r="AL57" s="4">
        <v>2</v>
      </c>
      <c r="AM57" s="232" t="str">
        <f t="shared" si="7"/>
        <v/>
      </c>
      <c r="AN57" s="233" t="str">
        <f t="shared" si="8"/>
        <v/>
      </c>
      <c r="AO57" s="4" t="str">
        <f t="shared" si="9"/>
        <v>mol/s</v>
      </c>
      <c r="AP57" s="4"/>
      <c r="AQ57" s="4"/>
      <c r="AR57" s="4"/>
      <c r="AS57" s="4" t="s">
        <v>121</v>
      </c>
      <c r="AT57" s="4">
        <v>2</v>
      </c>
      <c r="AU57" s="5" t="s">
        <v>65</v>
      </c>
      <c r="AV57" s="248" t="str">
        <f t="shared" si="10"/>
        <v/>
      </c>
      <c r="AW57" s="248"/>
      <c r="AX57" s="4" t="str">
        <f t="shared" si="11"/>
        <v>M</v>
      </c>
      <c r="AY57" s="248" t="str">
        <f t="shared" si="12"/>
        <v/>
      </c>
      <c r="AZ57" s="232"/>
      <c r="BA57" s="4">
        <v>55</v>
      </c>
      <c r="BB57" s="2" t="s">
        <v>47</v>
      </c>
      <c r="BC57" s="2" t="s">
        <v>51</v>
      </c>
      <c r="BD57" s="2"/>
      <c r="BE57" s="2" t="s">
        <v>48</v>
      </c>
      <c r="BF57" s="2" t="s">
        <v>80</v>
      </c>
      <c r="BG57" s="2"/>
      <c r="BH57" s="185" t="s">
        <v>148</v>
      </c>
      <c r="BI57" s="185" t="s">
        <v>165</v>
      </c>
      <c r="BJ57" s="185" t="s">
        <v>155</v>
      </c>
      <c r="BK57" s="185" t="s">
        <v>164</v>
      </c>
      <c r="BL57" s="100"/>
      <c r="BM57" s="97">
        <f t="shared" si="13"/>
        <v>2</v>
      </c>
      <c r="BN57" s="225" t="s">
        <v>294</v>
      </c>
      <c r="BO57" s="225" t="s">
        <v>278</v>
      </c>
      <c r="BP57" s="225" t="s">
        <v>258</v>
      </c>
      <c r="BQ57" s="225" t="s">
        <v>259</v>
      </c>
      <c r="BR57" s="225" t="s">
        <v>318</v>
      </c>
      <c r="BS57" s="225" t="s">
        <v>322</v>
      </c>
      <c r="BT57" s="225" t="s">
        <v>275</v>
      </c>
      <c r="BU57" s="225" t="s">
        <v>260</v>
      </c>
      <c r="BV57" s="2"/>
      <c r="BW57" s="259" t="s">
        <v>264</v>
      </c>
      <c r="BX57" s="259" t="s">
        <v>265</v>
      </c>
      <c r="BY57" s="259" t="s">
        <v>266</v>
      </c>
      <c r="BZ57" s="259" t="s">
        <v>267</v>
      </c>
      <c r="CA57" s="107"/>
      <c r="CB57" s="249"/>
      <c r="CC57" s="107"/>
      <c r="CD57" s="249"/>
      <c r="CE57" s="107"/>
      <c r="CF57" s="225" t="str">
        <f t="shared" si="14"/>
        <v/>
      </c>
      <c r="CG57" s="225" t="str">
        <f t="shared" si="15"/>
        <v/>
      </c>
      <c r="CH57" s="225" t="str">
        <f t="shared" si="16"/>
        <v/>
      </c>
      <c r="CI57" s="225" t="str">
        <f t="shared" si="17"/>
        <v/>
      </c>
      <c r="CJ57" s="225" t="str">
        <f t="shared" si="18"/>
        <v/>
      </c>
      <c r="CK57" s="225" t="str">
        <f t="shared" si="19"/>
        <v/>
      </c>
      <c r="CL57" s="225" t="str">
        <f t="shared" si="20"/>
        <v/>
      </c>
      <c r="CM57" s="225" t="str">
        <f t="shared" si="21"/>
        <v/>
      </c>
      <c r="CN57" s="225" t="str">
        <f t="shared" si="22"/>
        <v/>
      </c>
      <c r="CO57" s="225" t="str">
        <f t="shared" si="23"/>
        <v/>
      </c>
      <c r="CP57" s="250"/>
      <c r="CQ57" s="250" t="str">
        <f t="shared" si="24"/>
        <v/>
      </c>
      <c r="CR57" s="5">
        <v>55</v>
      </c>
      <c r="CU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7" s="373" t="str">
        <f t="shared" si="25"/>
        <v/>
      </c>
      <c r="CW57" s="2"/>
      <c r="CX57" s="104"/>
    </row>
    <row r="58" spans="2:102" ht="18.95" customHeight="1" x14ac:dyDescent="0.35">
      <c r="B58" s="128">
        <v>56</v>
      </c>
      <c r="C58" s="184" t="s">
        <v>870</v>
      </c>
      <c r="E58" s="382" t="s">
        <v>621</v>
      </c>
      <c r="F58" s="69" t="s">
        <v>75</v>
      </c>
      <c r="H58" s="69" t="s">
        <v>509</v>
      </c>
      <c r="I58" s="69" t="s">
        <v>429</v>
      </c>
      <c r="J58" s="69" t="s">
        <v>423</v>
      </c>
      <c r="K58" s="160" t="s">
        <v>420</v>
      </c>
      <c r="L58" s="2"/>
      <c r="M58" s="69" t="s">
        <v>751</v>
      </c>
      <c r="N58" s="2"/>
      <c r="O58" s="230" t="str">
        <f>IF($A$2=B58,Elektro!$Q$11,"")</f>
        <v/>
      </c>
      <c r="P58" s="230" t="str">
        <f>IF($A$2=B58,Elektro!$Q$12,"")</f>
        <v/>
      </c>
      <c r="Q58" s="236" t="str">
        <f>IF($A$2=B58,Elektro!$Q$13,"")</f>
        <v/>
      </c>
      <c r="R58" s="231" t="str">
        <f>IF($A$2=B58,Elektro!$Q$14,"")</f>
        <v/>
      </c>
      <c r="S58" s="231" t="str">
        <f>IF($A$2=B58,Elektro!$Q$15,"")</f>
        <v/>
      </c>
      <c r="T58" s="230" t="str">
        <f>IF($A$2=B58,Elektro!$Q$16,"")</f>
        <v/>
      </c>
      <c r="U58" s="353" t="str">
        <f t="shared" si="0"/>
        <v/>
      </c>
      <c r="V58" s="353" t="str">
        <f t="shared" si="1"/>
        <v/>
      </c>
      <c r="W58" s="4" t="s">
        <v>138</v>
      </c>
      <c r="X58" s="4" t="s">
        <v>20</v>
      </c>
      <c r="Y58" s="4">
        <v>4</v>
      </c>
      <c r="Z58" s="4">
        <v>32</v>
      </c>
      <c r="AA58" s="232" t="str">
        <f t="shared" si="2"/>
        <v/>
      </c>
      <c r="AB58" s="233" t="str">
        <f t="shared" si="3"/>
        <v/>
      </c>
      <c r="AC58" s="233" t="str">
        <f t="shared" si="4"/>
        <v>mol/s</v>
      </c>
      <c r="AD58" s="231" t="str">
        <f t="shared" si="5"/>
        <v/>
      </c>
      <c r="AE58" s="231" t="s">
        <v>283</v>
      </c>
      <c r="AF58" s="232" t="str">
        <f t="shared" si="6"/>
        <v/>
      </c>
      <c r="AG58" s="236" t="s">
        <v>284</v>
      </c>
      <c r="AH58" s="4"/>
      <c r="AI58" s="4" t="s">
        <v>142</v>
      </c>
      <c r="AJ58" s="4" t="s">
        <v>20</v>
      </c>
      <c r="AK58" s="4">
        <v>2</v>
      </c>
      <c r="AL58" s="4">
        <v>2</v>
      </c>
      <c r="AM58" s="232" t="str">
        <f t="shared" si="7"/>
        <v/>
      </c>
      <c r="AN58" s="233" t="str">
        <f t="shared" si="8"/>
        <v/>
      </c>
      <c r="AO58" s="4" t="str">
        <f t="shared" si="9"/>
        <v>mol/s</v>
      </c>
      <c r="AP58" s="4"/>
      <c r="AQ58" s="4"/>
      <c r="AR58" s="4"/>
      <c r="AS58" s="4" t="s">
        <v>121</v>
      </c>
      <c r="AT58" s="4">
        <v>2</v>
      </c>
      <c r="AU58" s="5" t="s">
        <v>65</v>
      </c>
      <c r="AV58" s="248" t="str">
        <f t="shared" si="10"/>
        <v/>
      </c>
      <c r="AW58" s="248"/>
      <c r="AX58" s="4" t="str">
        <f t="shared" si="11"/>
        <v>M</v>
      </c>
      <c r="AY58" s="248" t="str">
        <f t="shared" si="12"/>
        <v/>
      </c>
      <c r="AZ58" s="232"/>
      <c r="BA58" s="4">
        <v>56</v>
      </c>
      <c r="BB58" s="2" t="s">
        <v>47</v>
      </c>
      <c r="BC58" s="2" t="s">
        <v>51</v>
      </c>
      <c r="BD58" s="2"/>
      <c r="BE58" s="2" t="s">
        <v>48</v>
      </c>
      <c r="BF58" s="2" t="s">
        <v>85</v>
      </c>
      <c r="BG58" s="2"/>
      <c r="BH58" s="185" t="s">
        <v>148</v>
      </c>
      <c r="BI58" s="185" t="s">
        <v>165</v>
      </c>
      <c r="BJ58" s="185" t="s">
        <v>155</v>
      </c>
      <c r="BK58" s="185" t="s">
        <v>164</v>
      </c>
      <c r="BL58" s="100"/>
      <c r="BM58" s="97">
        <f t="shared" si="13"/>
        <v>2</v>
      </c>
      <c r="BN58" s="225" t="s">
        <v>294</v>
      </c>
      <c r="BO58" s="225" t="s">
        <v>278</v>
      </c>
      <c r="BP58" s="225" t="s">
        <v>258</v>
      </c>
      <c r="BQ58" s="225" t="s">
        <v>259</v>
      </c>
      <c r="BR58" s="225" t="s">
        <v>318</v>
      </c>
      <c r="BS58" s="225" t="s">
        <v>322</v>
      </c>
      <c r="BT58" s="225" t="s">
        <v>275</v>
      </c>
      <c r="BU58" s="225" t="s">
        <v>260</v>
      </c>
      <c r="BV58" s="2"/>
      <c r="BW58" s="259" t="s">
        <v>264</v>
      </c>
      <c r="BX58" s="259" t="s">
        <v>265</v>
      </c>
      <c r="BY58" s="259" t="s">
        <v>266</v>
      </c>
      <c r="BZ58" s="259" t="s">
        <v>267</v>
      </c>
      <c r="CA58" s="107"/>
      <c r="CB58" s="249"/>
      <c r="CC58" s="107"/>
      <c r="CD58" s="249"/>
      <c r="CE58" s="107"/>
      <c r="CF58" s="225" t="str">
        <f t="shared" si="14"/>
        <v/>
      </c>
      <c r="CG58" s="225" t="str">
        <f t="shared" si="15"/>
        <v/>
      </c>
      <c r="CH58" s="225" t="str">
        <f t="shared" si="16"/>
        <v/>
      </c>
      <c r="CI58" s="225" t="str">
        <f t="shared" si="17"/>
        <v/>
      </c>
      <c r="CJ58" s="225" t="str">
        <f t="shared" si="18"/>
        <v/>
      </c>
      <c r="CK58" s="225" t="str">
        <f t="shared" si="19"/>
        <v/>
      </c>
      <c r="CL58" s="225" t="str">
        <f t="shared" si="20"/>
        <v/>
      </c>
      <c r="CM58" s="225" t="str">
        <f t="shared" si="21"/>
        <v/>
      </c>
      <c r="CN58" s="225" t="str">
        <f t="shared" si="22"/>
        <v/>
      </c>
      <c r="CO58" s="225" t="str">
        <f t="shared" si="23"/>
        <v/>
      </c>
      <c r="CP58" s="250"/>
      <c r="CQ58" s="250" t="str">
        <f t="shared" si="24"/>
        <v/>
      </c>
      <c r="CR58" s="5">
        <v>56</v>
      </c>
      <c r="CU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8" s="373" t="str">
        <f t="shared" si="25"/>
        <v/>
      </c>
      <c r="CW58" s="2"/>
      <c r="CX58" s="104"/>
    </row>
    <row r="59" spans="2:102" ht="18.95" customHeight="1" x14ac:dyDescent="0.35">
      <c r="B59" s="128">
        <v>57</v>
      </c>
      <c r="C59" s="184" t="s">
        <v>871</v>
      </c>
      <c r="E59" s="382" t="s">
        <v>622</v>
      </c>
      <c r="F59" s="69" t="s">
        <v>75</v>
      </c>
      <c r="H59" s="69" t="s">
        <v>510</v>
      </c>
      <c r="I59" s="69" t="s">
        <v>429</v>
      </c>
      <c r="J59" s="69" t="s">
        <v>423</v>
      </c>
      <c r="K59" s="160" t="s">
        <v>420</v>
      </c>
      <c r="L59" s="2"/>
      <c r="M59" s="69" t="s">
        <v>752</v>
      </c>
      <c r="N59" s="2"/>
      <c r="O59" s="230" t="str">
        <f>IF($A$2=B59,Elektro!$Q$11,"")</f>
        <v/>
      </c>
      <c r="P59" s="230" t="str">
        <f>IF($A$2=B59,Elektro!$Q$12,"")</f>
        <v/>
      </c>
      <c r="Q59" s="236" t="str">
        <f>IF($A$2=B59,Elektro!$Q$13,"")</f>
        <v/>
      </c>
      <c r="R59" s="231" t="str">
        <f>IF($A$2=B59,Elektro!$Q$14,"")</f>
        <v/>
      </c>
      <c r="S59" s="231" t="str">
        <f>IF($A$2=B59,Elektro!$Q$15,"")</f>
        <v/>
      </c>
      <c r="T59" s="230" t="str">
        <f>IF($A$2=B59,Elektro!$Q$16,"")</f>
        <v/>
      </c>
      <c r="U59" s="353" t="str">
        <f t="shared" si="0"/>
        <v/>
      </c>
      <c r="V59" s="353" t="str">
        <f t="shared" si="1"/>
        <v/>
      </c>
      <c r="W59" s="4" t="s">
        <v>138</v>
      </c>
      <c r="X59" s="4" t="s">
        <v>20</v>
      </c>
      <c r="Y59" s="4">
        <v>4</v>
      </c>
      <c r="Z59" s="4">
        <v>32</v>
      </c>
      <c r="AA59" s="232" t="str">
        <f t="shared" si="2"/>
        <v/>
      </c>
      <c r="AB59" s="233" t="str">
        <f t="shared" si="3"/>
        <v/>
      </c>
      <c r="AC59" s="233" t="str">
        <f t="shared" si="4"/>
        <v>mol/s</v>
      </c>
      <c r="AD59" s="231" t="str">
        <f t="shared" si="5"/>
        <v/>
      </c>
      <c r="AE59" s="231" t="s">
        <v>283</v>
      </c>
      <c r="AF59" s="232" t="str">
        <f t="shared" si="6"/>
        <v/>
      </c>
      <c r="AG59" s="236" t="s">
        <v>284</v>
      </c>
      <c r="AH59" s="4"/>
      <c r="AI59" s="4" t="s">
        <v>142</v>
      </c>
      <c r="AJ59" s="4" t="s">
        <v>20</v>
      </c>
      <c r="AK59" s="4">
        <v>2</v>
      </c>
      <c r="AL59" s="4">
        <v>2</v>
      </c>
      <c r="AM59" s="232" t="str">
        <f t="shared" si="7"/>
        <v/>
      </c>
      <c r="AN59" s="233" t="str">
        <f t="shared" si="8"/>
        <v/>
      </c>
      <c r="AO59" s="4" t="str">
        <f t="shared" si="9"/>
        <v>mol/s</v>
      </c>
      <c r="AP59" s="4"/>
      <c r="AQ59" s="4"/>
      <c r="AR59" s="4"/>
      <c r="AS59" s="4" t="s">
        <v>121</v>
      </c>
      <c r="AT59" s="4">
        <v>2</v>
      </c>
      <c r="AU59" s="5" t="s">
        <v>65</v>
      </c>
      <c r="AV59" s="248" t="str">
        <f t="shared" si="10"/>
        <v/>
      </c>
      <c r="AW59" s="248"/>
      <c r="AX59" s="4" t="str">
        <f t="shared" si="11"/>
        <v>M</v>
      </c>
      <c r="AY59" s="248" t="str">
        <f t="shared" si="12"/>
        <v/>
      </c>
      <c r="AZ59" s="232"/>
      <c r="BA59" s="4">
        <v>57</v>
      </c>
      <c r="BB59" s="2" t="s">
        <v>47</v>
      </c>
      <c r="BC59" s="2" t="s">
        <v>51</v>
      </c>
      <c r="BD59" s="2"/>
      <c r="BE59" s="2" t="s">
        <v>48</v>
      </c>
      <c r="BF59" s="2" t="s">
        <v>84</v>
      </c>
      <c r="BG59" s="2"/>
      <c r="BH59" s="185" t="s">
        <v>148</v>
      </c>
      <c r="BI59" s="185" t="s">
        <v>165</v>
      </c>
      <c r="BJ59" s="185" t="s">
        <v>155</v>
      </c>
      <c r="BK59" s="185" t="s">
        <v>164</v>
      </c>
      <c r="BL59" s="100"/>
      <c r="BM59" s="97">
        <f t="shared" si="13"/>
        <v>2</v>
      </c>
      <c r="BN59" s="225" t="s">
        <v>294</v>
      </c>
      <c r="BO59" s="225" t="s">
        <v>278</v>
      </c>
      <c r="BP59" s="225" t="s">
        <v>258</v>
      </c>
      <c r="BQ59" s="225" t="s">
        <v>259</v>
      </c>
      <c r="BR59" s="225" t="s">
        <v>318</v>
      </c>
      <c r="BS59" s="225" t="s">
        <v>322</v>
      </c>
      <c r="BT59" s="225" t="s">
        <v>275</v>
      </c>
      <c r="BU59" s="225" t="s">
        <v>260</v>
      </c>
      <c r="BV59" s="2"/>
      <c r="BW59" s="259" t="s">
        <v>264</v>
      </c>
      <c r="BX59" s="259" t="s">
        <v>265</v>
      </c>
      <c r="BY59" s="259" t="s">
        <v>266</v>
      </c>
      <c r="BZ59" s="259" t="s">
        <v>267</v>
      </c>
      <c r="CA59" s="107"/>
      <c r="CB59" s="249"/>
      <c r="CC59" s="107"/>
      <c r="CD59" s="249"/>
      <c r="CE59" s="107"/>
      <c r="CF59" s="225" t="str">
        <f t="shared" si="14"/>
        <v/>
      </c>
      <c r="CG59" s="225" t="str">
        <f t="shared" si="15"/>
        <v/>
      </c>
      <c r="CH59" s="225" t="str">
        <f t="shared" si="16"/>
        <v/>
      </c>
      <c r="CI59" s="225" t="str">
        <f t="shared" si="17"/>
        <v/>
      </c>
      <c r="CJ59" s="225" t="str">
        <f t="shared" si="18"/>
        <v/>
      </c>
      <c r="CK59" s="225" t="str">
        <f t="shared" si="19"/>
        <v/>
      </c>
      <c r="CL59" s="225" t="str">
        <f t="shared" si="20"/>
        <v/>
      </c>
      <c r="CM59" s="225" t="str">
        <f t="shared" si="21"/>
        <v/>
      </c>
      <c r="CN59" s="225" t="str">
        <f t="shared" si="22"/>
        <v/>
      </c>
      <c r="CO59" s="225" t="str">
        <f t="shared" si="23"/>
        <v/>
      </c>
      <c r="CP59" s="250"/>
      <c r="CQ59" s="250" t="str">
        <f t="shared" si="24"/>
        <v/>
      </c>
      <c r="CR59" s="5">
        <v>57</v>
      </c>
      <c r="CU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9" s="373" t="str">
        <f t="shared" si="25"/>
        <v/>
      </c>
      <c r="CW59" s="2"/>
      <c r="CX59" s="104"/>
    </row>
    <row r="60" spans="2:102" ht="18.95" customHeight="1" x14ac:dyDescent="0.35">
      <c r="B60" s="128">
        <v>58</v>
      </c>
      <c r="C60" s="184" t="s">
        <v>882</v>
      </c>
      <c r="E60" s="382" t="s">
        <v>623</v>
      </c>
      <c r="F60" s="69" t="s">
        <v>75</v>
      </c>
      <c r="H60" s="69" t="s">
        <v>511</v>
      </c>
      <c r="I60" s="69" t="s">
        <v>429</v>
      </c>
      <c r="J60" s="69" t="s">
        <v>423</v>
      </c>
      <c r="K60" s="160" t="s">
        <v>420</v>
      </c>
      <c r="L60" s="2"/>
      <c r="M60" s="69" t="s">
        <v>753</v>
      </c>
      <c r="N60" s="2"/>
      <c r="O60" s="230" t="str">
        <f>IF($A$2=B60,Elektro!$Q$11,"")</f>
        <v/>
      </c>
      <c r="P60" s="230" t="str">
        <f>IF($A$2=B60,Elektro!$Q$12,"")</f>
        <v/>
      </c>
      <c r="Q60" s="236" t="str">
        <f>IF($A$2=B60,Elektro!$Q$13,"")</f>
        <v/>
      </c>
      <c r="R60" s="231" t="str">
        <f>IF($A$2=B60,Elektro!$Q$14,"")</f>
        <v/>
      </c>
      <c r="S60" s="231" t="str">
        <f>IF($A$2=B60,Elektro!$Q$15,"")</f>
        <v/>
      </c>
      <c r="T60" s="230" t="str">
        <f>IF($A$2=B60,Elektro!$Q$16,"")</f>
        <v/>
      </c>
      <c r="U60" s="353" t="str">
        <f t="shared" si="0"/>
        <v/>
      </c>
      <c r="V60" s="353" t="str">
        <f t="shared" si="1"/>
        <v/>
      </c>
      <c r="W60" s="4" t="s">
        <v>138</v>
      </c>
      <c r="X60" s="4" t="s">
        <v>20</v>
      </c>
      <c r="Y60" s="4">
        <v>4</v>
      </c>
      <c r="Z60" s="4">
        <v>32</v>
      </c>
      <c r="AA60" s="232" t="str">
        <f t="shared" si="2"/>
        <v/>
      </c>
      <c r="AB60" s="233" t="str">
        <f t="shared" si="3"/>
        <v/>
      </c>
      <c r="AC60" s="233" t="str">
        <f t="shared" si="4"/>
        <v>mol/s</v>
      </c>
      <c r="AD60" s="231" t="str">
        <f t="shared" si="5"/>
        <v/>
      </c>
      <c r="AE60" s="231" t="s">
        <v>283</v>
      </c>
      <c r="AF60" s="232" t="str">
        <f t="shared" si="6"/>
        <v/>
      </c>
      <c r="AG60" s="236" t="s">
        <v>284</v>
      </c>
      <c r="AH60" s="4"/>
      <c r="AI60" s="4" t="s">
        <v>142</v>
      </c>
      <c r="AJ60" s="4" t="s">
        <v>20</v>
      </c>
      <c r="AK60" s="4">
        <v>2</v>
      </c>
      <c r="AL60" s="4">
        <v>2</v>
      </c>
      <c r="AM60" s="232" t="str">
        <f t="shared" si="7"/>
        <v/>
      </c>
      <c r="AN60" s="233" t="str">
        <f t="shared" si="8"/>
        <v/>
      </c>
      <c r="AO60" s="4" t="str">
        <f t="shared" si="9"/>
        <v>mol/s</v>
      </c>
      <c r="AP60" s="4"/>
      <c r="AQ60" s="4"/>
      <c r="AR60" s="4"/>
      <c r="AS60" s="4" t="s">
        <v>121</v>
      </c>
      <c r="AT60" s="4">
        <v>2</v>
      </c>
      <c r="AU60" s="5" t="s">
        <v>65</v>
      </c>
      <c r="AV60" s="248" t="str">
        <f t="shared" si="10"/>
        <v/>
      </c>
      <c r="AW60" s="248"/>
      <c r="AX60" s="4" t="str">
        <f t="shared" si="11"/>
        <v>M</v>
      </c>
      <c r="AY60" s="248" t="str">
        <f t="shared" si="12"/>
        <v/>
      </c>
      <c r="AZ60" s="232"/>
      <c r="BA60" s="4">
        <v>58</v>
      </c>
      <c r="BB60" s="2" t="s">
        <v>47</v>
      </c>
      <c r="BC60" s="2" t="s">
        <v>51</v>
      </c>
      <c r="BD60" s="2"/>
      <c r="BE60" s="2" t="s">
        <v>48</v>
      </c>
      <c r="BF60" s="2" t="s">
        <v>81</v>
      </c>
      <c r="BG60" s="2"/>
      <c r="BH60" s="185" t="s">
        <v>148</v>
      </c>
      <c r="BI60" s="185" t="s">
        <v>165</v>
      </c>
      <c r="BJ60" s="185" t="s">
        <v>155</v>
      </c>
      <c r="BK60" s="185" t="s">
        <v>164</v>
      </c>
      <c r="BL60" s="100"/>
      <c r="BM60" s="97">
        <f t="shared" si="13"/>
        <v>2</v>
      </c>
      <c r="BN60" s="225" t="s">
        <v>294</v>
      </c>
      <c r="BO60" s="225" t="s">
        <v>278</v>
      </c>
      <c r="BP60" s="225" t="s">
        <v>258</v>
      </c>
      <c r="BQ60" s="225" t="s">
        <v>259</v>
      </c>
      <c r="BR60" s="225" t="s">
        <v>318</v>
      </c>
      <c r="BS60" s="225" t="s">
        <v>322</v>
      </c>
      <c r="BT60" s="225" t="s">
        <v>275</v>
      </c>
      <c r="BU60" s="225" t="s">
        <v>260</v>
      </c>
      <c r="BV60" s="2"/>
      <c r="BW60" s="259" t="s">
        <v>264</v>
      </c>
      <c r="BX60" s="259" t="s">
        <v>265</v>
      </c>
      <c r="BY60" s="259" t="s">
        <v>266</v>
      </c>
      <c r="BZ60" s="259" t="s">
        <v>267</v>
      </c>
      <c r="CA60" s="107"/>
      <c r="CB60" s="249"/>
      <c r="CC60" s="107"/>
      <c r="CD60" s="249"/>
      <c r="CE60" s="107"/>
      <c r="CF60" s="225" t="str">
        <f t="shared" si="14"/>
        <v/>
      </c>
      <c r="CG60" s="225" t="str">
        <f t="shared" si="15"/>
        <v/>
      </c>
      <c r="CH60" s="225" t="str">
        <f t="shared" si="16"/>
        <v/>
      </c>
      <c r="CI60" s="225" t="str">
        <f t="shared" si="17"/>
        <v/>
      </c>
      <c r="CJ60" s="225" t="str">
        <f t="shared" si="18"/>
        <v/>
      </c>
      <c r="CK60" s="225" t="str">
        <f t="shared" si="19"/>
        <v/>
      </c>
      <c r="CL60" s="225" t="str">
        <f t="shared" si="20"/>
        <v/>
      </c>
      <c r="CM60" s="225" t="str">
        <f t="shared" si="21"/>
        <v/>
      </c>
      <c r="CN60" s="225" t="str">
        <f t="shared" si="22"/>
        <v/>
      </c>
      <c r="CO60" s="225" t="str">
        <f t="shared" si="23"/>
        <v/>
      </c>
      <c r="CP60" s="250"/>
      <c r="CQ60" s="250" t="str">
        <f t="shared" si="24"/>
        <v/>
      </c>
      <c r="CR60" s="5">
        <v>58</v>
      </c>
      <c r="CU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0" s="373" t="str">
        <f t="shared" si="25"/>
        <v/>
      </c>
      <c r="CW60" s="2"/>
      <c r="CX60" s="104"/>
    </row>
    <row r="61" spans="2:102" ht="18.95" customHeight="1" x14ac:dyDescent="0.35">
      <c r="B61" s="128">
        <v>59</v>
      </c>
      <c r="C61" s="184" t="s">
        <v>872</v>
      </c>
      <c r="E61" s="382" t="s">
        <v>624</v>
      </c>
      <c r="F61" s="69" t="s">
        <v>75</v>
      </c>
      <c r="H61" s="69" t="s">
        <v>512</v>
      </c>
      <c r="I61" s="69" t="s">
        <v>429</v>
      </c>
      <c r="J61" s="69" t="s">
        <v>423</v>
      </c>
      <c r="K61" s="160" t="s">
        <v>420</v>
      </c>
      <c r="L61" s="2"/>
      <c r="M61" s="69" t="s">
        <v>754</v>
      </c>
      <c r="N61" s="2"/>
      <c r="O61" s="230" t="str">
        <f>IF($A$2=B61,Elektro!$Q$11,"")</f>
        <v/>
      </c>
      <c r="P61" s="230" t="str">
        <f>IF($A$2=B61,Elektro!$Q$12,"")</f>
        <v/>
      </c>
      <c r="Q61" s="236" t="str">
        <f>IF($A$2=B61,Elektro!$Q$13,"")</f>
        <v/>
      </c>
      <c r="R61" s="231" t="str">
        <f>IF($A$2=B61,Elektro!$Q$14,"")</f>
        <v/>
      </c>
      <c r="S61" s="231" t="str">
        <f>IF($A$2=B61,Elektro!$Q$15,"")</f>
        <v/>
      </c>
      <c r="T61" s="230" t="str">
        <f>IF($A$2=B61,Elektro!$Q$16,"")</f>
        <v/>
      </c>
      <c r="U61" s="353" t="str">
        <f t="shared" si="0"/>
        <v/>
      </c>
      <c r="V61" s="353" t="str">
        <f t="shared" si="1"/>
        <v/>
      </c>
      <c r="W61" s="4" t="s">
        <v>138</v>
      </c>
      <c r="X61" s="4" t="s">
        <v>20</v>
      </c>
      <c r="Y61" s="4">
        <v>4</v>
      </c>
      <c r="Z61" s="4">
        <v>32</v>
      </c>
      <c r="AA61" s="232" t="str">
        <f t="shared" si="2"/>
        <v/>
      </c>
      <c r="AB61" s="233" t="str">
        <f t="shared" si="3"/>
        <v/>
      </c>
      <c r="AC61" s="233" t="str">
        <f t="shared" si="4"/>
        <v>mol/s</v>
      </c>
      <c r="AD61" s="231" t="str">
        <f t="shared" si="5"/>
        <v/>
      </c>
      <c r="AE61" s="231" t="s">
        <v>283</v>
      </c>
      <c r="AF61" s="232" t="str">
        <f t="shared" si="6"/>
        <v/>
      </c>
      <c r="AG61" s="236" t="s">
        <v>284</v>
      </c>
      <c r="AH61" s="4"/>
      <c r="AI61" s="4" t="s">
        <v>142</v>
      </c>
      <c r="AJ61" s="4" t="s">
        <v>20</v>
      </c>
      <c r="AK61" s="4">
        <v>2</v>
      </c>
      <c r="AL61" s="4">
        <v>2</v>
      </c>
      <c r="AM61" s="232" t="str">
        <f t="shared" si="7"/>
        <v/>
      </c>
      <c r="AN61" s="233" t="str">
        <f t="shared" si="8"/>
        <v/>
      </c>
      <c r="AO61" s="4" t="str">
        <f t="shared" si="9"/>
        <v>mol/s</v>
      </c>
      <c r="AP61" s="4"/>
      <c r="AQ61" s="4"/>
      <c r="AR61" s="4"/>
      <c r="AS61" s="4" t="s">
        <v>121</v>
      </c>
      <c r="AT61" s="4">
        <v>2</v>
      </c>
      <c r="AU61" s="5" t="s">
        <v>65</v>
      </c>
      <c r="AV61" s="248" t="str">
        <f t="shared" si="10"/>
        <v/>
      </c>
      <c r="AW61" s="248"/>
      <c r="AX61" s="4" t="str">
        <f t="shared" si="11"/>
        <v>M</v>
      </c>
      <c r="AY61" s="248" t="str">
        <f t="shared" si="12"/>
        <v/>
      </c>
      <c r="AZ61" s="232"/>
      <c r="BA61" s="4">
        <v>59</v>
      </c>
      <c r="BB61" s="2" t="s">
        <v>47</v>
      </c>
      <c r="BC61" s="2" t="s">
        <v>51</v>
      </c>
      <c r="BD61" s="2"/>
      <c r="BE61" s="2" t="s">
        <v>48</v>
      </c>
      <c r="BF61" s="2" t="s">
        <v>82</v>
      </c>
      <c r="BG61" s="2"/>
      <c r="BH61" s="185" t="s">
        <v>148</v>
      </c>
      <c r="BI61" s="185" t="s">
        <v>165</v>
      </c>
      <c r="BJ61" s="185" t="s">
        <v>155</v>
      </c>
      <c r="BK61" s="185" t="s">
        <v>164</v>
      </c>
      <c r="BL61" s="100"/>
      <c r="BM61" s="97">
        <f t="shared" si="13"/>
        <v>2</v>
      </c>
      <c r="BN61" s="225" t="s">
        <v>294</v>
      </c>
      <c r="BO61" s="225" t="s">
        <v>278</v>
      </c>
      <c r="BP61" s="225" t="s">
        <v>258</v>
      </c>
      <c r="BQ61" s="225" t="s">
        <v>259</v>
      </c>
      <c r="BR61" s="225" t="s">
        <v>318</v>
      </c>
      <c r="BS61" s="225" t="s">
        <v>322</v>
      </c>
      <c r="BT61" s="225" t="s">
        <v>275</v>
      </c>
      <c r="BU61" s="225" t="s">
        <v>260</v>
      </c>
      <c r="BV61" s="2"/>
      <c r="BW61" s="259" t="s">
        <v>264</v>
      </c>
      <c r="BX61" s="259" t="s">
        <v>265</v>
      </c>
      <c r="BY61" s="259" t="s">
        <v>266</v>
      </c>
      <c r="BZ61" s="259" t="s">
        <v>267</v>
      </c>
      <c r="CA61" s="107"/>
      <c r="CB61" s="249"/>
      <c r="CC61" s="107"/>
      <c r="CD61" s="249"/>
      <c r="CE61" s="107"/>
      <c r="CF61" s="225" t="str">
        <f t="shared" si="14"/>
        <v/>
      </c>
      <c r="CG61" s="225" t="str">
        <f t="shared" si="15"/>
        <v/>
      </c>
      <c r="CH61" s="225" t="str">
        <f t="shared" si="16"/>
        <v/>
      </c>
      <c r="CI61" s="225" t="str">
        <f t="shared" si="17"/>
        <v/>
      </c>
      <c r="CJ61" s="225" t="str">
        <f t="shared" si="18"/>
        <v/>
      </c>
      <c r="CK61" s="225" t="str">
        <f t="shared" si="19"/>
        <v/>
      </c>
      <c r="CL61" s="225" t="str">
        <f t="shared" si="20"/>
        <v/>
      </c>
      <c r="CM61" s="225" t="str">
        <f t="shared" si="21"/>
        <v/>
      </c>
      <c r="CN61" s="225" t="str">
        <f t="shared" si="22"/>
        <v/>
      </c>
      <c r="CO61" s="225" t="str">
        <f t="shared" si="23"/>
        <v/>
      </c>
      <c r="CP61" s="250"/>
      <c r="CQ61" s="250" t="str">
        <f t="shared" si="24"/>
        <v/>
      </c>
      <c r="CR61" s="5">
        <v>59</v>
      </c>
      <c r="CU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1" s="373" t="str">
        <f t="shared" si="25"/>
        <v/>
      </c>
      <c r="CW61" s="2"/>
      <c r="CX61" s="104"/>
    </row>
    <row r="62" spans="2:102" ht="18.95" customHeight="1" x14ac:dyDescent="0.35">
      <c r="B62" s="128">
        <v>60</v>
      </c>
      <c r="C62" s="184" t="s">
        <v>106</v>
      </c>
      <c r="E62" s="382" t="s">
        <v>625</v>
      </c>
      <c r="F62" s="69"/>
      <c r="H62" s="69" t="s">
        <v>513</v>
      </c>
      <c r="I62" s="69" t="s">
        <v>431</v>
      </c>
      <c r="J62" s="69" t="s">
        <v>514</v>
      </c>
      <c r="K62" s="160" t="s">
        <v>515</v>
      </c>
      <c r="L62" s="2"/>
      <c r="M62" s="69" t="s">
        <v>755</v>
      </c>
      <c r="N62" s="2"/>
      <c r="O62" s="230" t="str">
        <f>IF($A$2=B62,Elektro!$Q$11,"")</f>
        <v/>
      </c>
      <c r="P62" s="230" t="str">
        <f>IF($A$2=B62,Elektro!$Q$12,"")</f>
        <v/>
      </c>
      <c r="Q62" s="236" t="str">
        <f>IF($A$2=B62,Elektro!$Q$13,"")</f>
        <v/>
      </c>
      <c r="R62" s="231" t="str">
        <f>IF($A$2=B62,Elektro!$Q$14,"")</f>
        <v/>
      </c>
      <c r="S62" s="231" t="str">
        <f>IF($A$2=B62,Elektro!$Q$15,"")</f>
        <v/>
      </c>
      <c r="T62" s="230" t="str">
        <f>IF($A$2=B62,Elektro!$Q$16,"")</f>
        <v/>
      </c>
      <c r="U62" s="353" t="str">
        <f t="shared" si="0"/>
        <v/>
      </c>
      <c r="V62" s="353" t="str">
        <f t="shared" si="1"/>
        <v/>
      </c>
      <c r="W62" s="4" t="s">
        <v>137</v>
      </c>
      <c r="X62" s="4" t="s">
        <v>20</v>
      </c>
      <c r="Y62" s="4">
        <v>2</v>
      </c>
      <c r="Z62" s="4">
        <v>71</v>
      </c>
      <c r="AA62" s="232" t="str">
        <f t="shared" si="2"/>
        <v/>
      </c>
      <c r="AB62" s="233" t="str">
        <f t="shared" si="3"/>
        <v/>
      </c>
      <c r="AC62" s="233" t="str">
        <f t="shared" si="4"/>
        <v>mol/s</v>
      </c>
      <c r="AD62" s="231" t="str">
        <f t="shared" si="5"/>
        <v/>
      </c>
      <c r="AE62" s="231" t="s">
        <v>283</v>
      </c>
      <c r="AF62" s="232" t="str">
        <f t="shared" si="6"/>
        <v/>
      </c>
      <c r="AG62" s="236" t="s">
        <v>284</v>
      </c>
      <c r="AH62" s="4"/>
      <c r="AI62" s="4" t="s">
        <v>112</v>
      </c>
      <c r="AJ62" s="4" t="s">
        <v>282</v>
      </c>
      <c r="AK62" s="4">
        <v>1</v>
      </c>
      <c r="AL62" s="4">
        <v>107.9</v>
      </c>
      <c r="AM62" s="232" t="str">
        <f t="shared" si="7"/>
        <v/>
      </c>
      <c r="AN62" s="233" t="str">
        <f t="shared" si="8"/>
        <v/>
      </c>
      <c r="AO62" s="4" t="str">
        <f t="shared" si="9"/>
        <v>g/s</v>
      </c>
      <c r="AP62" s="4"/>
      <c r="AQ62" s="4"/>
      <c r="AR62" s="4"/>
      <c r="AS62" s="4" t="s">
        <v>368</v>
      </c>
      <c r="AT62" s="4">
        <v>0</v>
      </c>
      <c r="AV62" s="248" t="str">
        <f t="shared" si="10"/>
        <v/>
      </c>
      <c r="AW62" s="248"/>
      <c r="AX62" s="4" t="str">
        <f t="shared" si="11"/>
        <v>M</v>
      </c>
      <c r="AY62" s="248" t="str">
        <f t="shared" si="12"/>
        <v/>
      </c>
      <c r="AZ62" s="232"/>
      <c r="BA62" s="4">
        <v>60</v>
      </c>
      <c r="BB62" s="2" t="s">
        <v>47</v>
      </c>
      <c r="BC62" s="2" t="s">
        <v>52</v>
      </c>
      <c r="BD62" s="2"/>
      <c r="BE62" s="2" t="s">
        <v>48</v>
      </c>
      <c r="BF62" s="2" t="s">
        <v>86</v>
      </c>
      <c r="BG62" s="2"/>
      <c r="BH62" s="185" t="s">
        <v>144</v>
      </c>
      <c r="BI62" s="185" t="s">
        <v>145</v>
      </c>
      <c r="BJ62" s="185" t="s">
        <v>160</v>
      </c>
      <c r="BK62" s="185" t="s">
        <v>44</v>
      </c>
      <c r="BL62" s="100"/>
      <c r="BM62" s="97">
        <f t="shared" si="13"/>
        <v>0</v>
      </c>
      <c r="BN62" s="225" t="s">
        <v>301</v>
      </c>
      <c r="BO62" s="225" t="s">
        <v>309</v>
      </c>
      <c r="BP62" s="225" t="s">
        <v>258</v>
      </c>
      <c r="BQ62" s="225" t="s">
        <v>259</v>
      </c>
      <c r="BR62" s="225" t="s">
        <v>320</v>
      </c>
      <c r="BS62" s="225" t="s">
        <v>324</v>
      </c>
      <c r="BT62" s="225" t="s">
        <v>274</v>
      </c>
      <c r="BU62" s="225" t="s">
        <v>260</v>
      </c>
      <c r="BV62" s="2"/>
      <c r="BW62" s="259" t="s">
        <v>354</v>
      </c>
      <c r="BX62" s="259" t="s">
        <v>358</v>
      </c>
      <c r="BY62" s="259" t="s">
        <v>281</v>
      </c>
      <c r="BZ62" s="259" t="s">
        <v>271</v>
      </c>
      <c r="CA62" s="107"/>
      <c r="CB62" s="249"/>
      <c r="CC62" s="107"/>
      <c r="CD62" s="249"/>
      <c r="CE62" s="107"/>
      <c r="CF62" s="225" t="str">
        <f t="shared" si="14"/>
        <v/>
      </c>
      <c r="CG62" s="225" t="str">
        <f t="shared" si="15"/>
        <v/>
      </c>
      <c r="CH62" s="225" t="str">
        <f t="shared" si="16"/>
        <v/>
      </c>
      <c r="CI62" s="225" t="str">
        <f t="shared" si="17"/>
        <v/>
      </c>
      <c r="CJ62" s="225" t="str">
        <f t="shared" si="18"/>
        <v/>
      </c>
      <c r="CK62" s="225" t="str">
        <f t="shared" si="19"/>
        <v/>
      </c>
      <c r="CL62" s="225" t="str">
        <f t="shared" si="20"/>
        <v/>
      </c>
      <c r="CM62" s="225" t="str">
        <f t="shared" si="21"/>
        <v/>
      </c>
      <c r="CN62" s="225" t="str">
        <f t="shared" si="22"/>
        <v/>
      </c>
      <c r="CO62" s="225" t="str">
        <f t="shared" si="23"/>
        <v/>
      </c>
      <c r="CP62" s="250"/>
      <c r="CQ62" s="250" t="str">
        <f t="shared" si="24"/>
        <v/>
      </c>
      <c r="CR62" s="5">
        <v>60</v>
      </c>
      <c r="CU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2" s="373" t="str">
        <f t="shared" si="25"/>
        <v/>
      </c>
      <c r="CW62" s="2"/>
      <c r="CX62" s="104"/>
    </row>
    <row r="63" spans="2:102" ht="18.95" customHeight="1" x14ac:dyDescent="0.35">
      <c r="B63" s="128">
        <v>61</v>
      </c>
      <c r="C63" s="184" t="s">
        <v>683</v>
      </c>
      <c r="E63" s="382" t="s">
        <v>626</v>
      </c>
      <c r="F63" s="69"/>
      <c r="H63" s="69" t="s">
        <v>516</v>
      </c>
      <c r="I63" s="69" t="s">
        <v>487</v>
      </c>
      <c r="J63" s="69" t="s">
        <v>517</v>
      </c>
      <c r="K63" s="160" t="s">
        <v>518</v>
      </c>
      <c r="L63" s="2"/>
      <c r="M63" s="69" t="s">
        <v>756</v>
      </c>
      <c r="N63" s="2"/>
      <c r="O63" s="230" t="str">
        <f>IF($A$2=B63,Elektro!$Q$11,"")</f>
        <v/>
      </c>
      <c r="P63" s="230" t="str">
        <f>IF($A$2=B63,Elektro!$Q$12,"")</f>
        <v/>
      </c>
      <c r="Q63" s="236" t="str">
        <f>IF($A$2=B63,Elektro!$Q$13,"")</f>
        <v/>
      </c>
      <c r="R63" s="231" t="str">
        <f>IF($A$2=B63,Elektro!$Q$14,"")</f>
        <v/>
      </c>
      <c r="S63" s="231" t="str">
        <f>IF($A$2=B63,Elektro!$Q$15,"")</f>
        <v/>
      </c>
      <c r="T63" s="230" t="str">
        <f>IF($A$2=B63,Elektro!$Q$16,"")</f>
        <v/>
      </c>
      <c r="U63" s="353" t="str">
        <f t="shared" si="0"/>
        <v/>
      </c>
      <c r="V63" s="353" t="str">
        <f t="shared" si="1"/>
        <v/>
      </c>
      <c r="W63" s="4" t="s">
        <v>140</v>
      </c>
      <c r="X63" s="4" t="s">
        <v>20</v>
      </c>
      <c r="Y63" s="4">
        <v>2</v>
      </c>
      <c r="Z63" s="4">
        <v>159.80000000000001</v>
      </c>
      <c r="AA63" s="232" t="str">
        <f t="shared" si="2"/>
        <v/>
      </c>
      <c r="AB63" s="233" t="str">
        <f t="shared" si="3"/>
        <v/>
      </c>
      <c r="AC63" s="233" t="str">
        <f t="shared" si="4"/>
        <v>mol/s</v>
      </c>
      <c r="AD63" s="231" t="str">
        <f t="shared" si="5"/>
        <v/>
      </c>
      <c r="AE63" s="231" t="s">
        <v>283</v>
      </c>
      <c r="AF63" s="232" t="str">
        <f t="shared" si="6"/>
        <v/>
      </c>
      <c r="AG63" s="236" t="s">
        <v>284</v>
      </c>
      <c r="AH63" s="4"/>
      <c r="AI63" s="4" t="s">
        <v>115</v>
      </c>
      <c r="AJ63" s="4" t="s">
        <v>282</v>
      </c>
      <c r="AK63" s="4">
        <v>2</v>
      </c>
      <c r="AL63" s="4">
        <v>58.69</v>
      </c>
      <c r="AM63" s="232" t="str">
        <f t="shared" si="7"/>
        <v/>
      </c>
      <c r="AN63" s="233" t="str">
        <f t="shared" si="8"/>
        <v/>
      </c>
      <c r="AO63" s="4" t="str">
        <f t="shared" si="9"/>
        <v>g/s</v>
      </c>
      <c r="AP63" s="4"/>
      <c r="AQ63" s="4"/>
      <c r="AR63" s="4"/>
      <c r="AS63" s="4" t="s">
        <v>368</v>
      </c>
      <c r="AT63" s="4">
        <v>0</v>
      </c>
      <c r="AV63" s="248" t="str">
        <f t="shared" si="10"/>
        <v/>
      </c>
      <c r="AW63" s="248"/>
      <c r="AX63" s="4" t="str">
        <f t="shared" si="11"/>
        <v>M</v>
      </c>
      <c r="AY63" s="248" t="str">
        <f t="shared" si="12"/>
        <v/>
      </c>
      <c r="AZ63" s="232"/>
      <c r="BA63" s="4">
        <v>61</v>
      </c>
      <c r="BB63" s="2" t="s">
        <v>47</v>
      </c>
      <c r="BC63" s="2" t="s">
        <v>78</v>
      </c>
      <c r="BD63" s="2"/>
      <c r="BE63" s="2" t="s">
        <v>48</v>
      </c>
      <c r="BF63" s="2" t="s">
        <v>87</v>
      </c>
      <c r="BG63" s="2"/>
      <c r="BH63" s="185" t="s">
        <v>162</v>
      </c>
      <c r="BI63" s="185" t="s">
        <v>163</v>
      </c>
      <c r="BJ63" s="185" t="s">
        <v>166</v>
      </c>
      <c r="BK63" s="185" t="s">
        <v>60</v>
      </c>
      <c r="BL63" s="100"/>
      <c r="BM63" s="97">
        <f t="shared" si="13"/>
        <v>0</v>
      </c>
      <c r="BN63" s="225" t="s">
        <v>305</v>
      </c>
      <c r="BO63" s="225" t="s">
        <v>311</v>
      </c>
      <c r="BP63" s="225" t="s">
        <v>258</v>
      </c>
      <c r="BQ63" s="225" t="s">
        <v>259</v>
      </c>
      <c r="BR63" s="225" t="s">
        <v>383</v>
      </c>
      <c r="BS63" s="225" t="s">
        <v>326</v>
      </c>
      <c r="BT63" s="225" t="s">
        <v>372</v>
      </c>
      <c r="BU63" s="225" t="s">
        <v>260</v>
      </c>
      <c r="BV63" s="2"/>
      <c r="BW63" s="259" t="s">
        <v>359</v>
      </c>
      <c r="BX63" s="259" t="s">
        <v>360</v>
      </c>
      <c r="BY63" s="259" t="s">
        <v>334</v>
      </c>
      <c r="BZ63" s="259" t="s">
        <v>335</v>
      </c>
      <c r="CA63" s="107"/>
      <c r="CB63" s="249"/>
      <c r="CC63" s="107"/>
      <c r="CD63" s="249"/>
      <c r="CE63" s="107"/>
      <c r="CF63" s="225" t="str">
        <f t="shared" si="14"/>
        <v/>
      </c>
      <c r="CG63" s="225" t="str">
        <f t="shared" si="15"/>
        <v/>
      </c>
      <c r="CH63" s="225" t="str">
        <f t="shared" si="16"/>
        <v/>
      </c>
      <c r="CI63" s="225" t="str">
        <f t="shared" si="17"/>
        <v/>
      </c>
      <c r="CJ63" s="225" t="str">
        <f t="shared" si="18"/>
        <v/>
      </c>
      <c r="CK63" s="225" t="str">
        <f t="shared" si="19"/>
        <v/>
      </c>
      <c r="CL63" s="225" t="str">
        <f t="shared" si="20"/>
        <v/>
      </c>
      <c r="CM63" s="225" t="str">
        <f t="shared" si="21"/>
        <v/>
      </c>
      <c r="CN63" s="225" t="str">
        <f t="shared" si="22"/>
        <v/>
      </c>
      <c r="CO63" s="225" t="str">
        <f t="shared" si="23"/>
        <v/>
      </c>
      <c r="CP63" s="250"/>
      <c r="CQ63" s="250" t="str">
        <f t="shared" si="24"/>
        <v/>
      </c>
      <c r="CR63" s="5">
        <v>61</v>
      </c>
      <c r="CU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3" s="373" t="str">
        <f t="shared" si="25"/>
        <v/>
      </c>
      <c r="CW63" s="2"/>
      <c r="CX63" s="104"/>
    </row>
    <row r="64" spans="2:102" ht="18.95" customHeight="1" x14ac:dyDescent="0.35">
      <c r="B64" s="128">
        <v>62</v>
      </c>
      <c r="C64" s="184" t="s">
        <v>873</v>
      </c>
      <c r="E64" s="382" t="s">
        <v>627</v>
      </c>
      <c r="F64" s="69"/>
      <c r="H64" s="69" t="s">
        <v>519</v>
      </c>
      <c r="I64" s="69" t="s">
        <v>425</v>
      </c>
      <c r="J64" s="69" t="s">
        <v>262</v>
      </c>
      <c r="K64" s="160" t="s">
        <v>520</v>
      </c>
      <c r="L64" s="2"/>
      <c r="M64" s="69" t="s">
        <v>757</v>
      </c>
      <c r="N64" s="2"/>
      <c r="O64" s="230" t="str">
        <f>IF($A$2=B64,Elektro!$Q$11,"")</f>
        <v/>
      </c>
      <c r="P64" s="230" t="str">
        <f>IF($A$2=B64,Elektro!$Q$12,"")</f>
        <v/>
      </c>
      <c r="Q64" s="236" t="str">
        <f>IF($A$2=B64,Elektro!$Q$13,"")</f>
        <v/>
      </c>
      <c r="R64" s="231" t="str">
        <f>IF($A$2=B64,Elektro!$Q$14,"")</f>
        <v/>
      </c>
      <c r="S64" s="231" t="str">
        <f>IF($A$2=B64,Elektro!$Q$15,"")</f>
        <v/>
      </c>
      <c r="T64" s="230" t="str">
        <f>IF($A$2=B64,Elektro!$Q$16,"")</f>
        <v/>
      </c>
      <c r="U64" s="353" t="str">
        <f t="shared" si="0"/>
        <v/>
      </c>
      <c r="V64" s="353" t="str">
        <f t="shared" si="1"/>
        <v/>
      </c>
      <c r="W64" s="4" t="s">
        <v>242</v>
      </c>
      <c r="X64" s="4" t="s">
        <v>282</v>
      </c>
      <c r="Y64" s="4">
        <v>2</v>
      </c>
      <c r="Z64" s="4">
        <v>253.8</v>
      </c>
      <c r="AA64" s="232" t="str">
        <f t="shared" si="2"/>
        <v/>
      </c>
      <c r="AB64" s="233" t="str">
        <f t="shared" si="3"/>
        <v/>
      </c>
      <c r="AC64" s="233" t="str">
        <f t="shared" si="4"/>
        <v>g/s</v>
      </c>
      <c r="AD64" s="231" t="str">
        <f t="shared" si="5"/>
        <v/>
      </c>
      <c r="AE64" s="231" t="s">
        <v>283</v>
      </c>
      <c r="AF64" s="232" t="str">
        <f t="shared" si="6"/>
        <v/>
      </c>
      <c r="AG64" s="236" t="s">
        <v>284</v>
      </c>
      <c r="AH64" s="4"/>
      <c r="AI64" s="4" t="s">
        <v>107</v>
      </c>
      <c r="AJ64" s="4" t="s">
        <v>282</v>
      </c>
      <c r="AK64" s="4">
        <v>2</v>
      </c>
      <c r="AL64" s="4">
        <v>63.55</v>
      </c>
      <c r="AM64" s="232" t="str">
        <f t="shared" si="7"/>
        <v/>
      </c>
      <c r="AN64" s="233" t="str">
        <f t="shared" si="8"/>
        <v/>
      </c>
      <c r="AO64" s="4" t="str">
        <f t="shared" si="9"/>
        <v>g/s</v>
      </c>
      <c r="AP64" s="4"/>
      <c r="AQ64" s="4"/>
      <c r="AR64" s="4"/>
      <c r="AS64" s="4" t="s">
        <v>368</v>
      </c>
      <c r="AT64" s="4">
        <v>0</v>
      </c>
      <c r="AV64" s="248" t="str">
        <f t="shared" si="10"/>
        <v/>
      </c>
      <c r="AW64" s="248"/>
      <c r="AX64" s="4" t="str">
        <f t="shared" si="11"/>
        <v>M</v>
      </c>
      <c r="AY64" s="248" t="str">
        <f t="shared" si="12"/>
        <v/>
      </c>
      <c r="AZ64" s="232"/>
      <c r="BA64" s="4">
        <v>62</v>
      </c>
      <c r="BB64" s="2" t="s">
        <v>47</v>
      </c>
      <c r="BC64" s="2" t="s">
        <v>73</v>
      </c>
      <c r="BD64" s="2"/>
      <c r="BE64" s="2" t="s">
        <v>48</v>
      </c>
      <c r="BF64" s="2" t="s">
        <v>53</v>
      </c>
      <c r="BG64" s="2"/>
      <c r="BH64" s="185" t="s">
        <v>150</v>
      </c>
      <c r="BI64" s="185" t="s">
        <v>156</v>
      </c>
      <c r="BJ64" s="185" t="s">
        <v>151</v>
      </c>
      <c r="BK64" s="185" t="s">
        <v>3</v>
      </c>
      <c r="BL64" s="100"/>
      <c r="BM64" s="97">
        <f t="shared" si="13"/>
        <v>0</v>
      </c>
      <c r="BN64" s="225" t="s">
        <v>296</v>
      </c>
      <c r="BO64" s="225" t="s">
        <v>308</v>
      </c>
      <c r="BP64" s="225" t="s">
        <v>258</v>
      </c>
      <c r="BQ64" s="225" t="s">
        <v>259</v>
      </c>
      <c r="BR64" s="225" t="s">
        <v>384</v>
      </c>
      <c r="BS64" s="225" t="s">
        <v>327</v>
      </c>
      <c r="BT64" s="225" t="s">
        <v>375</v>
      </c>
      <c r="BU64" s="225" t="s">
        <v>260</v>
      </c>
      <c r="BV64" s="2"/>
      <c r="BW64" s="259" t="s">
        <v>270</v>
      </c>
      <c r="BX64" s="259" t="s">
        <v>349</v>
      </c>
      <c r="BY64" s="259" t="s">
        <v>268</v>
      </c>
      <c r="BZ64" s="259" t="s">
        <v>269</v>
      </c>
      <c r="CA64" s="107"/>
      <c r="CB64" s="249"/>
      <c r="CC64" s="107"/>
      <c r="CD64" s="249"/>
      <c r="CE64" s="107"/>
      <c r="CF64" s="225" t="str">
        <f t="shared" si="14"/>
        <v/>
      </c>
      <c r="CG64" s="225" t="str">
        <f t="shared" si="15"/>
        <v/>
      </c>
      <c r="CH64" s="225" t="str">
        <f t="shared" si="16"/>
        <v/>
      </c>
      <c r="CI64" s="225" t="str">
        <f t="shared" si="17"/>
        <v/>
      </c>
      <c r="CJ64" s="225" t="str">
        <f t="shared" si="18"/>
        <v/>
      </c>
      <c r="CK64" s="225" t="str">
        <f t="shared" si="19"/>
        <v/>
      </c>
      <c r="CL64" s="225" t="str">
        <f t="shared" si="20"/>
        <v/>
      </c>
      <c r="CM64" s="225" t="str">
        <f t="shared" si="21"/>
        <v/>
      </c>
      <c r="CN64" s="225" t="str">
        <f t="shared" si="22"/>
        <v/>
      </c>
      <c r="CO64" s="225" t="str">
        <f t="shared" si="23"/>
        <v/>
      </c>
      <c r="CP64" s="250"/>
      <c r="CQ64" s="250" t="str">
        <f t="shared" si="24"/>
        <v/>
      </c>
      <c r="CR64" s="5">
        <v>62</v>
      </c>
      <c r="CU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4" s="373" t="str">
        <f t="shared" si="25"/>
        <v/>
      </c>
      <c r="CW64" s="2"/>
      <c r="CX64" s="104"/>
    </row>
    <row r="65" spans="1:102" ht="18.95" customHeight="1" x14ac:dyDescent="0.35">
      <c r="B65" s="128">
        <v>63</v>
      </c>
      <c r="C65" s="184" t="s">
        <v>679</v>
      </c>
      <c r="E65" s="382" t="s">
        <v>628</v>
      </c>
      <c r="F65" s="69"/>
      <c r="H65" s="69" t="s">
        <v>521</v>
      </c>
      <c r="I65" s="69" t="s">
        <v>431</v>
      </c>
      <c r="J65" s="69" t="s">
        <v>522</v>
      </c>
      <c r="K65" s="160" t="s">
        <v>523</v>
      </c>
      <c r="L65" s="2"/>
      <c r="M65" s="69" t="s">
        <v>758</v>
      </c>
      <c r="N65" s="2"/>
      <c r="O65" s="230" t="str">
        <f>IF($A$2=B65,Elektro!$Q$11,"")</f>
        <v/>
      </c>
      <c r="P65" s="230" t="str">
        <f>IF($A$2=B65,Elektro!$Q$12,"")</f>
        <v/>
      </c>
      <c r="Q65" s="236" t="str">
        <f>IF($A$2=B65,Elektro!$Q$13,"")</f>
        <v/>
      </c>
      <c r="R65" s="231" t="str">
        <f>IF($A$2=B65,Elektro!$Q$14,"")</f>
        <v/>
      </c>
      <c r="S65" s="231" t="str">
        <f>IF($A$2=B65,Elektro!$Q$15,"")</f>
        <v/>
      </c>
      <c r="T65" s="230" t="str">
        <f>IF($A$2=B65,Elektro!$Q$16,"")</f>
        <v/>
      </c>
      <c r="U65" s="353" t="str">
        <f t="shared" si="0"/>
        <v/>
      </c>
      <c r="V65" s="353" t="str">
        <f t="shared" si="1"/>
        <v/>
      </c>
      <c r="W65" s="4" t="s">
        <v>137</v>
      </c>
      <c r="X65" s="4" t="s">
        <v>20</v>
      </c>
      <c r="Y65" s="4">
        <v>2</v>
      </c>
      <c r="Z65" s="4">
        <v>71</v>
      </c>
      <c r="AA65" s="232" t="str">
        <f t="shared" si="2"/>
        <v/>
      </c>
      <c r="AB65" s="233" t="str">
        <f t="shared" si="3"/>
        <v/>
      </c>
      <c r="AC65" s="233" t="str">
        <f t="shared" si="4"/>
        <v>mol/s</v>
      </c>
      <c r="AD65" s="231" t="str">
        <f t="shared" si="5"/>
        <v/>
      </c>
      <c r="AE65" s="231" t="s">
        <v>283</v>
      </c>
      <c r="AF65" s="232" t="str">
        <f t="shared" si="6"/>
        <v/>
      </c>
      <c r="AG65" s="236" t="s">
        <v>284</v>
      </c>
      <c r="AH65" s="4"/>
      <c r="AI65" s="4" t="s">
        <v>111</v>
      </c>
      <c r="AJ65" s="4" t="s">
        <v>282</v>
      </c>
      <c r="AK65" s="4">
        <v>2</v>
      </c>
      <c r="AL65" s="4">
        <v>65.39</v>
      </c>
      <c r="AM65" s="232" t="str">
        <f t="shared" si="7"/>
        <v/>
      </c>
      <c r="AN65" s="233" t="str">
        <f t="shared" si="8"/>
        <v/>
      </c>
      <c r="AO65" s="4" t="str">
        <f t="shared" si="9"/>
        <v>g/s</v>
      </c>
      <c r="AP65" s="4"/>
      <c r="AQ65" s="4"/>
      <c r="AR65" s="4"/>
      <c r="AS65" s="4" t="s">
        <v>368</v>
      </c>
      <c r="AT65" s="4">
        <v>0</v>
      </c>
      <c r="AV65" s="248" t="str">
        <f t="shared" si="10"/>
        <v/>
      </c>
      <c r="AW65" s="248"/>
      <c r="AX65" s="4" t="str">
        <f t="shared" si="11"/>
        <v>M</v>
      </c>
      <c r="AY65" s="248" t="str">
        <f t="shared" si="12"/>
        <v/>
      </c>
      <c r="AZ65" s="232"/>
      <c r="BA65" s="4">
        <v>63</v>
      </c>
      <c r="BB65" s="2" t="s">
        <v>47</v>
      </c>
      <c r="BC65" s="2" t="s">
        <v>52</v>
      </c>
      <c r="BD65" s="2"/>
      <c r="BE65" s="2" t="s">
        <v>48</v>
      </c>
      <c r="BF65" s="2" t="s">
        <v>88</v>
      </c>
      <c r="BG65" s="2"/>
      <c r="BH65" s="185" t="s">
        <v>144</v>
      </c>
      <c r="BI65" s="185" t="s">
        <v>145</v>
      </c>
      <c r="BJ65" s="185" t="s">
        <v>158</v>
      </c>
      <c r="BK65" s="185" t="s">
        <v>30</v>
      </c>
      <c r="BL65" s="100"/>
      <c r="BM65" s="97">
        <f t="shared" si="13"/>
        <v>0</v>
      </c>
      <c r="BN65" s="225" t="s">
        <v>300</v>
      </c>
      <c r="BO65" s="225" t="s">
        <v>309</v>
      </c>
      <c r="BP65" s="225" t="s">
        <v>258</v>
      </c>
      <c r="BQ65" s="225" t="s">
        <v>259</v>
      </c>
      <c r="BR65" s="225" t="s">
        <v>385</v>
      </c>
      <c r="BS65" s="225" t="s">
        <v>324</v>
      </c>
      <c r="BT65" s="225" t="s">
        <v>369</v>
      </c>
      <c r="BU65" s="225" t="s">
        <v>260</v>
      </c>
      <c r="BV65" s="2"/>
      <c r="BW65" s="259" t="s">
        <v>345</v>
      </c>
      <c r="BX65" s="259" t="s">
        <v>346</v>
      </c>
      <c r="BY65" s="259" t="s">
        <v>281</v>
      </c>
      <c r="BZ65" s="259" t="s">
        <v>271</v>
      </c>
      <c r="CA65" s="107"/>
      <c r="CB65" s="249"/>
      <c r="CC65" s="107"/>
      <c r="CD65" s="249"/>
      <c r="CE65" s="107"/>
      <c r="CF65" s="225" t="str">
        <f t="shared" si="14"/>
        <v/>
      </c>
      <c r="CG65" s="225" t="str">
        <f t="shared" si="15"/>
        <v/>
      </c>
      <c r="CH65" s="225" t="str">
        <f t="shared" si="16"/>
        <v/>
      </c>
      <c r="CI65" s="225" t="str">
        <f t="shared" si="17"/>
        <v/>
      </c>
      <c r="CJ65" s="225" t="str">
        <f t="shared" si="18"/>
        <v/>
      </c>
      <c r="CK65" s="225" t="str">
        <f t="shared" si="19"/>
        <v/>
      </c>
      <c r="CL65" s="225" t="str">
        <f t="shared" si="20"/>
        <v/>
      </c>
      <c r="CM65" s="225" t="str">
        <f t="shared" si="21"/>
        <v/>
      </c>
      <c r="CN65" s="225" t="str">
        <f t="shared" si="22"/>
        <v/>
      </c>
      <c r="CO65" s="225" t="str">
        <f t="shared" si="23"/>
        <v/>
      </c>
      <c r="CP65" s="250"/>
      <c r="CQ65" s="250" t="str">
        <f t="shared" si="24"/>
        <v/>
      </c>
      <c r="CR65" s="5">
        <v>63</v>
      </c>
      <c r="CU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5" s="373" t="str">
        <f t="shared" si="25"/>
        <v/>
      </c>
      <c r="CW65" s="2"/>
      <c r="CX65" s="104"/>
    </row>
    <row r="66" spans="1:102" ht="18.95" customHeight="1" x14ac:dyDescent="0.35">
      <c r="B66" s="128">
        <v>64</v>
      </c>
      <c r="C66" s="184" t="s">
        <v>681</v>
      </c>
      <c r="E66" s="382" t="s">
        <v>629</v>
      </c>
      <c r="F66" s="69"/>
      <c r="H66" s="69" t="s">
        <v>524</v>
      </c>
      <c r="I66" s="69" t="s">
        <v>431</v>
      </c>
      <c r="J66" s="69" t="s">
        <v>443</v>
      </c>
      <c r="K66" s="160" t="s">
        <v>525</v>
      </c>
      <c r="L66" s="2"/>
      <c r="M66" s="69" t="s">
        <v>759</v>
      </c>
      <c r="N66" s="2"/>
      <c r="O66" s="230" t="str">
        <f>IF($A$2=B66,Elektro!$Q$11,"")</f>
        <v/>
      </c>
      <c r="P66" s="230" t="str">
        <f>IF($A$2=B66,Elektro!$Q$12,"")</f>
        <v/>
      </c>
      <c r="Q66" s="236" t="str">
        <f>IF($A$2=B66,Elektro!$Q$13,"")</f>
        <v/>
      </c>
      <c r="R66" s="231" t="str">
        <f>IF($A$2=B66,Elektro!$Q$14,"")</f>
        <v/>
      </c>
      <c r="S66" s="231" t="str">
        <f>IF($A$2=B66,Elektro!$Q$15,"")</f>
        <v/>
      </c>
      <c r="T66" s="230" t="str">
        <f>IF($A$2=B66,Elektro!$Q$16,"")</f>
        <v/>
      </c>
      <c r="U66" s="353" t="str">
        <f t="shared" si="0"/>
        <v/>
      </c>
      <c r="V66" s="353" t="str">
        <f t="shared" si="1"/>
        <v/>
      </c>
      <c r="W66" s="4" t="s">
        <v>137</v>
      </c>
      <c r="X66" s="4" t="s">
        <v>20</v>
      </c>
      <c r="Y66" s="4">
        <v>2</v>
      </c>
      <c r="Z66" s="4">
        <v>71</v>
      </c>
      <c r="AA66" s="232" t="str">
        <f t="shared" si="2"/>
        <v/>
      </c>
      <c r="AB66" s="233" t="str">
        <f t="shared" si="3"/>
        <v/>
      </c>
      <c r="AC66" s="233" t="str">
        <f t="shared" si="4"/>
        <v>mol/s</v>
      </c>
      <c r="AD66" s="231" t="str">
        <f t="shared" si="5"/>
        <v/>
      </c>
      <c r="AE66" s="231" t="s">
        <v>283</v>
      </c>
      <c r="AF66" s="232" t="str">
        <f t="shared" si="6"/>
        <v/>
      </c>
      <c r="AG66" s="236" t="s">
        <v>284</v>
      </c>
      <c r="AH66" s="4"/>
      <c r="AI66" s="4" t="s">
        <v>110</v>
      </c>
      <c r="AJ66" s="4" t="s">
        <v>282</v>
      </c>
      <c r="AK66" s="4">
        <v>3</v>
      </c>
      <c r="AL66" s="4">
        <v>52</v>
      </c>
      <c r="AM66" s="232" t="str">
        <f t="shared" si="7"/>
        <v/>
      </c>
      <c r="AN66" s="233" t="str">
        <f t="shared" si="8"/>
        <v/>
      </c>
      <c r="AO66" s="4" t="str">
        <f t="shared" si="9"/>
        <v>g/s</v>
      </c>
      <c r="AP66" s="4"/>
      <c r="AQ66" s="4"/>
      <c r="AR66" s="4"/>
      <c r="AS66" s="4" t="s">
        <v>368</v>
      </c>
      <c r="AT66" s="4">
        <v>0</v>
      </c>
      <c r="AV66" s="248" t="str">
        <f t="shared" si="10"/>
        <v/>
      </c>
      <c r="AW66" s="248"/>
      <c r="AX66" s="4" t="str">
        <f t="shared" si="11"/>
        <v>M</v>
      </c>
      <c r="AY66" s="248" t="str">
        <f t="shared" si="12"/>
        <v/>
      </c>
      <c r="AZ66" s="232"/>
      <c r="BA66" s="4">
        <v>64</v>
      </c>
      <c r="BB66" s="2" t="s">
        <v>47</v>
      </c>
      <c r="BC66" s="2" t="s">
        <v>52</v>
      </c>
      <c r="BD66" s="2"/>
      <c r="BE66" s="2" t="s">
        <v>48</v>
      </c>
      <c r="BF66" s="2" t="s">
        <v>132</v>
      </c>
      <c r="BG66" s="2"/>
      <c r="BH66" s="185" t="s">
        <v>144</v>
      </c>
      <c r="BI66" s="185" t="s">
        <v>145</v>
      </c>
      <c r="BJ66" s="185" t="s">
        <v>154</v>
      </c>
      <c r="BK66" s="185" t="s">
        <v>29</v>
      </c>
      <c r="BL66" s="100"/>
      <c r="BM66" s="97">
        <f t="shared" si="13"/>
        <v>0</v>
      </c>
      <c r="BN66" s="225" t="s">
        <v>299</v>
      </c>
      <c r="BO66" s="225" t="s">
        <v>309</v>
      </c>
      <c r="BP66" s="225" t="s">
        <v>258</v>
      </c>
      <c r="BQ66" s="225" t="s">
        <v>259</v>
      </c>
      <c r="BR66" s="225" t="s">
        <v>386</v>
      </c>
      <c r="BS66" s="225" t="s">
        <v>324</v>
      </c>
      <c r="BT66" s="225" t="s">
        <v>376</v>
      </c>
      <c r="BU66" s="225" t="s">
        <v>260</v>
      </c>
      <c r="BV66" s="2"/>
      <c r="BW66" s="259" t="s">
        <v>352</v>
      </c>
      <c r="BX66" s="259" t="s">
        <v>353</v>
      </c>
      <c r="BY66" s="259" t="s">
        <v>281</v>
      </c>
      <c r="BZ66" s="259" t="s">
        <v>271</v>
      </c>
      <c r="CA66" s="107"/>
      <c r="CB66" s="249"/>
      <c r="CC66" s="107"/>
      <c r="CD66" s="249"/>
      <c r="CE66" s="107"/>
      <c r="CF66" s="225" t="str">
        <f t="shared" si="14"/>
        <v/>
      </c>
      <c r="CG66" s="225" t="str">
        <f t="shared" si="15"/>
        <v/>
      </c>
      <c r="CH66" s="225" t="str">
        <f t="shared" si="16"/>
        <v/>
      </c>
      <c r="CI66" s="225" t="str">
        <f t="shared" si="17"/>
        <v/>
      </c>
      <c r="CJ66" s="225" t="str">
        <f t="shared" si="18"/>
        <v/>
      </c>
      <c r="CK66" s="225" t="str">
        <f t="shared" si="19"/>
        <v/>
      </c>
      <c r="CL66" s="225" t="str">
        <f t="shared" si="20"/>
        <v/>
      </c>
      <c r="CM66" s="225" t="str">
        <f t="shared" si="21"/>
        <v/>
      </c>
      <c r="CN66" s="225" t="str">
        <f t="shared" si="22"/>
        <v/>
      </c>
      <c r="CO66" s="225" t="str">
        <f t="shared" si="23"/>
        <v/>
      </c>
      <c r="CP66" s="250"/>
      <c r="CQ66" s="250" t="str">
        <f t="shared" si="24"/>
        <v/>
      </c>
      <c r="CR66" s="5">
        <v>64</v>
      </c>
      <c r="CU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6" s="373" t="str">
        <f t="shared" si="25"/>
        <v/>
      </c>
      <c r="CW66" s="2"/>
      <c r="CX66" s="104"/>
    </row>
    <row r="67" spans="1:102" ht="18.95" customHeight="1" x14ac:dyDescent="0.35">
      <c r="B67" s="128">
        <v>65</v>
      </c>
      <c r="C67" s="184" t="s">
        <v>874</v>
      </c>
      <c r="E67" s="382" t="s">
        <v>630</v>
      </c>
      <c r="F67" s="69"/>
      <c r="H67" s="69" t="s">
        <v>526</v>
      </c>
      <c r="I67" s="69" t="s">
        <v>431</v>
      </c>
      <c r="J67" s="69" t="s">
        <v>527</v>
      </c>
      <c r="K67" s="160" t="s">
        <v>528</v>
      </c>
      <c r="L67" s="2"/>
      <c r="M67" s="69" t="s">
        <v>760</v>
      </c>
      <c r="N67" s="2"/>
      <c r="O67" s="230" t="str">
        <f>IF($A$2=B67,Elektro!$Q$11,"")</f>
        <v/>
      </c>
      <c r="P67" s="230" t="str">
        <f>IF($A$2=B67,Elektro!$Q$12,"")</f>
        <v/>
      </c>
      <c r="Q67" s="236" t="str">
        <f>IF($A$2=B67,Elektro!$Q$13,"")</f>
        <v/>
      </c>
      <c r="R67" s="231" t="str">
        <f>IF($A$2=B67,Elektro!$Q$14,"")</f>
        <v/>
      </c>
      <c r="S67" s="231" t="str">
        <f>IF($A$2=B67,Elektro!$Q$15,"")</f>
        <v/>
      </c>
      <c r="T67" s="230" t="str">
        <f>IF($A$2=B67,Elektro!$Q$16,"")</f>
        <v/>
      </c>
      <c r="U67" s="353" t="str">
        <f t="shared" si="0"/>
        <v/>
      </c>
      <c r="V67" s="353" t="str">
        <f t="shared" si="1"/>
        <v/>
      </c>
      <c r="W67" s="4" t="s">
        <v>137</v>
      </c>
      <c r="X67" s="4" t="s">
        <v>20</v>
      </c>
      <c r="Y67" s="4">
        <v>2</v>
      </c>
      <c r="Z67" s="4">
        <v>71</v>
      </c>
      <c r="AA67" s="232" t="str">
        <f t="shared" si="2"/>
        <v/>
      </c>
      <c r="AB67" s="233" t="str">
        <f t="shared" si="3"/>
        <v/>
      </c>
      <c r="AC67" s="233" t="str">
        <f t="shared" si="4"/>
        <v>mol/s</v>
      </c>
      <c r="AD67" s="231" t="str">
        <f t="shared" si="5"/>
        <v/>
      </c>
      <c r="AE67" s="231" t="s">
        <v>283</v>
      </c>
      <c r="AF67" s="232" t="str">
        <f t="shared" si="6"/>
        <v/>
      </c>
      <c r="AG67" s="236" t="s">
        <v>284</v>
      </c>
      <c r="AH67" s="4"/>
      <c r="AI67" s="4" t="s">
        <v>117</v>
      </c>
      <c r="AJ67" s="4" t="s">
        <v>282</v>
      </c>
      <c r="AK67" s="4">
        <v>2</v>
      </c>
      <c r="AL67" s="4">
        <v>118.7</v>
      </c>
      <c r="AM67" s="232" t="str">
        <f t="shared" si="7"/>
        <v/>
      </c>
      <c r="AN67" s="233" t="str">
        <f t="shared" si="8"/>
        <v/>
      </c>
      <c r="AO67" s="4" t="str">
        <f t="shared" si="9"/>
        <v>g/s</v>
      </c>
      <c r="AP67" s="4"/>
      <c r="AQ67" s="4"/>
      <c r="AR67" s="4"/>
      <c r="AS67" s="4" t="s">
        <v>368</v>
      </c>
      <c r="AT67" s="4">
        <v>0</v>
      </c>
      <c r="AV67" s="248" t="str">
        <f t="shared" si="10"/>
        <v/>
      </c>
      <c r="AW67" s="248"/>
      <c r="AX67" s="4" t="str">
        <f t="shared" si="11"/>
        <v>M</v>
      </c>
      <c r="AY67" s="248" t="str">
        <f t="shared" si="12"/>
        <v/>
      </c>
      <c r="AZ67" s="232"/>
      <c r="BA67" s="4">
        <v>65</v>
      </c>
      <c r="BB67" s="2" t="s">
        <v>47</v>
      </c>
      <c r="BC67" s="2" t="s">
        <v>52</v>
      </c>
      <c r="BD67" s="2"/>
      <c r="BE67" s="2" t="s">
        <v>48</v>
      </c>
      <c r="BF67" s="2" t="s">
        <v>90</v>
      </c>
      <c r="BG67" s="2"/>
      <c r="BH67" s="185" t="s">
        <v>144</v>
      </c>
      <c r="BI67" s="185" t="s">
        <v>145</v>
      </c>
      <c r="BJ67" s="185" t="s">
        <v>167</v>
      </c>
      <c r="BK67" s="185" t="s">
        <v>130</v>
      </c>
      <c r="BL67" s="100"/>
      <c r="BM67" s="97">
        <f t="shared" si="13"/>
        <v>0</v>
      </c>
      <c r="BN67" s="225" t="s">
        <v>312</v>
      </c>
      <c r="BO67" s="225" t="s">
        <v>309</v>
      </c>
      <c r="BP67" s="225" t="s">
        <v>258</v>
      </c>
      <c r="BQ67" s="225" t="s">
        <v>259</v>
      </c>
      <c r="BR67" s="225" t="s">
        <v>387</v>
      </c>
      <c r="BS67" s="225" t="s">
        <v>324</v>
      </c>
      <c r="BT67" s="225" t="s">
        <v>370</v>
      </c>
      <c r="BU67" s="225" t="s">
        <v>260</v>
      </c>
      <c r="BV67" s="2"/>
      <c r="BW67" s="259" t="s">
        <v>347</v>
      </c>
      <c r="BX67" s="259" t="s">
        <v>348</v>
      </c>
      <c r="BY67" s="259" t="s">
        <v>281</v>
      </c>
      <c r="BZ67" s="259" t="s">
        <v>271</v>
      </c>
      <c r="CA67" s="107"/>
      <c r="CB67" s="249"/>
      <c r="CC67" s="107"/>
      <c r="CD67" s="249"/>
      <c r="CE67" s="107"/>
      <c r="CF67" s="225" t="str">
        <f t="shared" si="14"/>
        <v/>
      </c>
      <c r="CG67" s="225" t="str">
        <f t="shared" si="15"/>
        <v/>
      </c>
      <c r="CH67" s="225" t="str">
        <f t="shared" si="16"/>
        <v/>
      </c>
      <c r="CI67" s="225" t="str">
        <f t="shared" si="17"/>
        <v/>
      </c>
      <c r="CJ67" s="225" t="str">
        <f t="shared" si="18"/>
        <v/>
      </c>
      <c r="CK67" s="225" t="str">
        <f t="shared" si="19"/>
        <v/>
      </c>
      <c r="CL67" s="225" t="str">
        <f t="shared" si="20"/>
        <v/>
      </c>
      <c r="CM67" s="225" t="str">
        <f t="shared" si="21"/>
        <v/>
      </c>
      <c r="CN67" s="225" t="str">
        <f t="shared" si="22"/>
        <v/>
      </c>
      <c r="CO67" s="225" t="str">
        <f t="shared" si="23"/>
        <v/>
      </c>
      <c r="CP67" s="250"/>
      <c r="CQ67" s="250" t="str">
        <f t="shared" si="24"/>
        <v/>
      </c>
      <c r="CR67" s="5">
        <v>65</v>
      </c>
      <c r="CU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7" s="373" t="str">
        <f t="shared" si="25"/>
        <v/>
      </c>
      <c r="CW67" s="2"/>
      <c r="CX67" s="104"/>
    </row>
    <row r="68" spans="1:102" ht="18.95" customHeight="1" x14ac:dyDescent="0.35">
      <c r="B68" s="128">
        <v>66</v>
      </c>
      <c r="C68" s="184" t="s">
        <v>883</v>
      </c>
      <c r="E68" s="382" t="s">
        <v>631</v>
      </c>
      <c r="F68" s="69" t="s">
        <v>76</v>
      </c>
      <c r="H68" s="69" t="s">
        <v>529</v>
      </c>
      <c r="I68" s="69" t="s">
        <v>418</v>
      </c>
      <c r="J68" s="69" t="s">
        <v>514</v>
      </c>
      <c r="K68" s="160" t="s">
        <v>530</v>
      </c>
      <c r="L68" s="2"/>
      <c r="M68" s="69" t="s">
        <v>761</v>
      </c>
      <c r="N68" s="2"/>
      <c r="O68" s="230" t="str">
        <f>IF($A$2=B68,Elektro!$Q$11,"")</f>
        <v/>
      </c>
      <c r="P68" s="230" t="str">
        <f>IF($A$2=B68,Elektro!$Q$12,"")</f>
        <v/>
      </c>
      <c r="Q68" s="236" t="str">
        <f>IF($A$2=B68,Elektro!$Q$13,"")</f>
        <v/>
      </c>
      <c r="R68" s="231" t="str">
        <f>IF($A$2=B68,Elektro!$Q$14,"")</f>
        <v/>
      </c>
      <c r="S68" s="231" t="str">
        <f>IF($A$2=B68,Elektro!$Q$15,"")</f>
        <v/>
      </c>
      <c r="T68" s="230" t="str">
        <f>IF($A$2=B68,Elektro!$Q$16,"")</f>
        <v/>
      </c>
      <c r="U68" s="353" t="str">
        <f t="shared" ref="U68:U131" si="26">IF($A$2=B68,40*60*60/96500,"")</f>
        <v/>
      </c>
      <c r="V68" s="353" t="str">
        <f t="shared" ref="V68:V131" si="27">IF($A$2=B68,(Q68*R68/96500),"")</f>
        <v/>
      </c>
      <c r="W68" s="4" t="s">
        <v>138</v>
      </c>
      <c r="X68" s="4" t="s">
        <v>20</v>
      </c>
      <c r="Y68" s="4">
        <v>4</v>
      </c>
      <c r="Z68" s="4">
        <v>32</v>
      </c>
      <c r="AA68" s="232" t="str">
        <f t="shared" ref="AA68:AA131" si="28">IF($A$2=B68,IF(X68="L",(Q68*R68/96500)*(0.08205*S68)/(Y68*T68),IF(X68="g",(Z68/Y68)*(Q68*R68/96500),IF(X68="M",(Q68*R68/96500*Y68*O68)))),"")</f>
        <v/>
      </c>
      <c r="AB68" s="233" t="str">
        <f t="shared" ref="AB68:AB131" si="29">IF($A$2=B68,IF(OR(X68="L",X68="M"),Q68/(Y68*96500),IF(X68="g",(Z68/Y68)*(Q68/96500))),"")</f>
        <v/>
      </c>
      <c r="AC68" s="233" t="str">
        <f t="shared" ref="AC68:AC131" si="30">IF(OR(X68="L",X68="M"),"mol/s",IF(X68="g","g/s"))</f>
        <v>mol/s</v>
      </c>
      <c r="AD68" s="231" t="str">
        <f t="shared" ref="AD68:AD131" si="31">IF($A$2=B68,O68*P68*AK68*96500/Q68,"")</f>
        <v/>
      </c>
      <c r="AE68" s="231" t="s">
        <v>283</v>
      </c>
      <c r="AF68" s="232" t="str">
        <f t="shared" ref="AF68:AF131" si="32">IF($A$2=B68,(R68/AD68)*100,"")</f>
        <v/>
      </c>
      <c r="AG68" s="236" t="s">
        <v>284</v>
      </c>
      <c r="AH68" s="4" t="s">
        <v>120</v>
      </c>
      <c r="AI68" s="4" t="s">
        <v>112</v>
      </c>
      <c r="AJ68" s="4" t="s">
        <v>282</v>
      </c>
      <c r="AK68" s="4">
        <v>1</v>
      </c>
      <c r="AL68" s="4">
        <v>107.9</v>
      </c>
      <c r="AM68" s="232" t="str">
        <f t="shared" ref="AM68:AM131" si="33">IF($A$2=B68,IF(AJ68="L",(Q68*R68/96500)*(0.082*S68)/(AK68*T68),IF(AJ68="g",(AL68/AK68)*(Q68*R68/96500),IF(AJ68="M",(Q68*R68/96500*Y68*O68)))),"")</f>
        <v/>
      </c>
      <c r="AN68" s="233" t="str">
        <f t="shared" ref="AN68:AN131" si="34">IF($A$2=B68,IF(OR(AJ68="L",X68="M"),Q68/(AK68*96500),IF(AJ68="g",(AL68/AK68)*(Q68/96500))),"")</f>
        <v/>
      </c>
      <c r="AO68" s="4" t="str">
        <f t="shared" ref="AO68:AO131" si="35">IF(OR(AJ68="L",AJ68="M"),"mol/s",IF(AJ68="g","g/s"))</f>
        <v>g/s</v>
      </c>
      <c r="AP68" s="4"/>
      <c r="AQ68" s="4"/>
      <c r="AR68" s="4"/>
      <c r="AS68" s="4" t="s">
        <v>417</v>
      </c>
      <c r="AT68" s="4">
        <v>1</v>
      </c>
      <c r="AV68" s="248" t="str">
        <f t="shared" ref="AV68:AV131" si="36">IF($A$2=B68,IF(OR($A$2=1,$A$2=2,$A$2=19,$A$2=20,$A$2=37,$A$2=38,$A$2=39,$A$2=40,$A$2=41,$A$2=78,$A$2=79,$A$2=80,$A$2=81,$A$2=119,$A$2=120,$A$2=121,$A$2=122,$A$2=123,$A$2=124,$A$2=169,$A$2=170),(O68*P68-(Q68*R68/96500))/O68,IF(OR($A$2=0,$A$2=0),(Q68*R68/96500)/O68,IF(OR($A$2=6,$A$2=24,$A$2=54,$A$2=55,$A$2=56,$A$2=57,$A$2=58,$A$2=59,$A$2=95,$A$2=96,$A$2=97,$A$2=98,$A$2=99,$A$2=100,$A$2=140,$A$2=141,$A$2=142,$A$2=143,$A$2=144,$A$2=145,$A$2=146),(O68*P68-(Q68*R68/96500))/O68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68*R68/96500)/O68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68*P68-(Q68*R68/96500)/AK68)/O68,"X")))))),"")</f>
        <v/>
      </c>
      <c r="AW68" s="248"/>
      <c r="AX68" s="4" t="str">
        <f t="shared" ref="AX68:AX131" si="37">IF(AV68=0.00000000000001,"","M")</f>
        <v>M</v>
      </c>
      <c r="AY68" s="248" t="str">
        <f t="shared" ref="AY68:AY131" si="38">IF($A$2=B68,IF(OR($A$2=1,$A$2=2,$A$2=19,$A$2=20,$A$2=37,$A$2=38,$A$2=39,$A$2=40,$A$2=41,$A$2=78,$A$2=79,$A$2=80,$A$2=81,$A$2=119,$A$2=120,$A$2=121,$A$2=122,$A$2=123,$A$2=124,$A$2=169,$A$2=170),-LOG((O68*P68-(Q68*R68/96500))/O68),IF(OR($A$2=8,$A$2=66,$A$2=67,$A$2=68,$A$2=69,$A$2=70,$A$2=71),-LOG((Q68*R68/96500)/O68)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68*P68-(Q68*R68/96500))/O68)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68*R68/96500)/O68)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68" s="232"/>
      <c r="BA68" s="4">
        <v>66</v>
      </c>
      <c r="BB68" s="2" t="s">
        <v>47</v>
      </c>
      <c r="BC68" s="2" t="s">
        <v>235</v>
      </c>
      <c r="BD68" s="2"/>
      <c r="BE68" s="2" t="s">
        <v>48</v>
      </c>
      <c r="BF68" s="2" t="s">
        <v>86</v>
      </c>
      <c r="BG68" s="2"/>
      <c r="BH68" s="185" t="s">
        <v>148</v>
      </c>
      <c r="BI68" s="185" t="s">
        <v>165</v>
      </c>
      <c r="BJ68" s="185" t="s">
        <v>160</v>
      </c>
      <c r="BK68" s="185" t="s">
        <v>44</v>
      </c>
      <c r="BL68" s="100"/>
      <c r="BM68" s="97">
        <f t="shared" ref="BM68:BM131" si="39">AT68</f>
        <v>1</v>
      </c>
      <c r="BN68" s="225" t="s">
        <v>301</v>
      </c>
      <c r="BO68" s="225" t="s">
        <v>278</v>
      </c>
      <c r="BP68" s="225" t="s">
        <v>258</v>
      </c>
      <c r="BQ68" s="225" t="s">
        <v>259</v>
      </c>
      <c r="BR68" s="225" t="s">
        <v>320</v>
      </c>
      <c r="BS68" s="225" t="s">
        <v>322</v>
      </c>
      <c r="BT68" s="225" t="s">
        <v>377</v>
      </c>
      <c r="BU68" s="225" t="s">
        <v>260</v>
      </c>
      <c r="BV68" s="2"/>
      <c r="BW68" s="259" t="s">
        <v>354</v>
      </c>
      <c r="BX68" s="259" t="s">
        <v>358</v>
      </c>
      <c r="BY68" s="259" t="s">
        <v>266</v>
      </c>
      <c r="BZ68" s="259" t="s">
        <v>267</v>
      </c>
      <c r="CA68" s="107"/>
      <c r="CB68" s="249"/>
      <c r="CC68" s="107"/>
      <c r="CD68" s="249"/>
      <c r="CE68" s="107"/>
      <c r="CF68" s="225" t="str">
        <f t="shared" ref="CF68:CF131" si="40">IF($A$2=B68,"Volume"&amp;" "&amp;"="&amp;" "&amp;O68&amp;" "&amp;"L","")</f>
        <v/>
      </c>
      <c r="CG68" s="225" t="str">
        <f t="shared" ref="CG68:CG131" si="41">IF($A$2=B68,"Molar"&amp;" "&amp;"="&amp;" "&amp;P68&amp;" "&amp;"M","")</f>
        <v/>
      </c>
      <c r="CH68" s="225" t="str">
        <f t="shared" ref="CH68:CH131" si="42">IF($A$2=B68,"Arus"&amp;" "&amp;"="&amp;" "&amp;Q68&amp;" "&amp;"A","")</f>
        <v/>
      </c>
      <c r="CI68" s="225" t="str">
        <f t="shared" ref="CI68:CI131" si="43">IF($A$2=B68,"Waktu"&amp;" "&amp;"="&amp;" "&amp;R68&amp;" "&amp;"s","")</f>
        <v/>
      </c>
      <c r="CJ68" s="225" t="str">
        <f t="shared" ref="CJ68:CJ131" si="44">IF($A$2=B68,"Suhu"&amp;" "&amp;"="&amp;" "&amp;S68&amp;" "&amp;"K","")</f>
        <v/>
      </c>
      <c r="CK68" s="225" t="str">
        <f t="shared" ref="CK68:CK131" si="45">IF($A$2=B68,"Tekanan"&amp;" "&amp;"="&amp;" "&amp;T68&amp;" "&amp;"atm","")</f>
        <v/>
      </c>
      <c r="CL68" s="225" t="str">
        <f t="shared" ref="CL68:CL131" si="46">IF($A$2=B68,"Muatan"&amp;" "&amp;"="&amp;" "&amp;Q68*R68/96500&amp;" "&amp;"F","")</f>
        <v/>
      </c>
      <c r="CM68" s="225" t="str">
        <f t="shared" ref="CM68:CM131" si="47">IF($A$2=B68,"ACCU"&amp;" "&amp;"="&amp;" "&amp;1492&amp;" "&amp;"F","")</f>
        <v/>
      </c>
      <c r="CN68" s="225" t="str">
        <f t="shared" ref="CN68:CN131" si="48">IF($A$2=B68,"Muatan"&amp;" "&amp;"="&amp;" "&amp;Q68*R68&amp;" "&amp;"C","")</f>
        <v/>
      </c>
      <c r="CO68" s="225" t="str">
        <f t="shared" ref="CO68:CO131" si="49">IF($A$2=B68,"Kons."&amp;" "&amp;"="&amp;" "&amp;O68*P68&amp;" "&amp;"mol","")</f>
        <v/>
      </c>
      <c r="CP68" s="250"/>
      <c r="CQ68" s="250" t="str">
        <f t="shared" ref="CQ68:CQ131" si="50">IF($A$2=B68,IF(AND((Q68*R68/96500)&lt;1492,(Q68*R68/96500)&gt;O68*P68),"Elektrolit habis",IF(AND((Q68*R68/96500)&gt;1492,(Q68*R68/96500)&lt;O68*P68),"Daya habis","")),"")</f>
        <v/>
      </c>
      <c r="CR68" s="5">
        <v>66</v>
      </c>
      <c r="CU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8" s="373" t="str">
        <f t="shared" ref="CV68:CV131" si="51">IF($A$2=B68,IF(AND(O68*P68&lt;(Q68*R68/96500),AF68&gt;=100),"Info: Elektrolit Sudah Habis",IF(P68&lt;0.1,"Info: Konsentrasi Terlalu Encer",IF((Q68*R68/96500)&gt;1492,"Info: Aki Kurang Strum",""))),"")</f>
        <v/>
      </c>
      <c r="CW68" s="2"/>
      <c r="CX68" s="104"/>
    </row>
    <row r="69" spans="1:102" ht="18.95" customHeight="1" x14ac:dyDescent="0.35">
      <c r="B69" s="128">
        <v>67</v>
      </c>
      <c r="C69" s="184" t="s">
        <v>888</v>
      </c>
      <c r="E69" s="382" t="s">
        <v>674</v>
      </c>
      <c r="F69" s="69" t="s">
        <v>76</v>
      </c>
      <c r="H69" s="69" t="s">
        <v>531</v>
      </c>
      <c r="I69" s="69" t="s">
        <v>418</v>
      </c>
      <c r="J69" s="69" t="s">
        <v>532</v>
      </c>
      <c r="K69" s="160" t="s">
        <v>533</v>
      </c>
      <c r="L69" s="2"/>
      <c r="M69" s="69" t="s">
        <v>762</v>
      </c>
      <c r="N69" s="2"/>
      <c r="O69" s="230" t="str">
        <f>IF($A$2=B69,Elektro!$Q$11,"")</f>
        <v/>
      </c>
      <c r="P69" s="230" t="str">
        <f>IF($A$2=B69,Elektro!$Q$12,"")</f>
        <v/>
      </c>
      <c r="Q69" s="236" t="str">
        <f>IF($A$2=B69,Elektro!$Q$13,"")</f>
        <v/>
      </c>
      <c r="R69" s="231" t="str">
        <f>IF($A$2=B69,Elektro!$Q$14,"")</f>
        <v/>
      </c>
      <c r="S69" s="231" t="str">
        <f>IF($A$2=B69,Elektro!$Q$15,"")</f>
        <v/>
      </c>
      <c r="T69" s="230" t="str">
        <f>IF($A$2=B69,Elektro!$Q$16,"")</f>
        <v/>
      </c>
      <c r="U69" s="353" t="str">
        <f t="shared" si="26"/>
        <v/>
      </c>
      <c r="V69" s="353" t="str">
        <f t="shared" si="27"/>
        <v/>
      </c>
      <c r="W69" s="4" t="s">
        <v>138</v>
      </c>
      <c r="X69" s="4" t="s">
        <v>20</v>
      </c>
      <c r="Y69" s="4">
        <v>4</v>
      </c>
      <c r="Z69" s="4">
        <v>32</v>
      </c>
      <c r="AA69" s="232" t="str">
        <f t="shared" si="28"/>
        <v/>
      </c>
      <c r="AB69" s="233" t="str">
        <f t="shared" si="29"/>
        <v/>
      </c>
      <c r="AC69" s="233" t="str">
        <f t="shared" si="30"/>
        <v>mol/s</v>
      </c>
      <c r="AD69" s="231" t="str">
        <f t="shared" si="31"/>
        <v/>
      </c>
      <c r="AE69" s="231" t="s">
        <v>283</v>
      </c>
      <c r="AF69" s="232" t="str">
        <f t="shared" si="32"/>
        <v/>
      </c>
      <c r="AG69" s="236" t="s">
        <v>284</v>
      </c>
      <c r="AH69" s="4" t="s">
        <v>120</v>
      </c>
      <c r="AI69" s="4" t="s">
        <v>118</v>
      </c>
      <c r="AJ69" s="4" t="s">
        <v>282</v>
      </c>
      <c r="AK69" s="4">
        <v>3</v>
      </c>
      <c r="AL69" s="4">
        <v>55.85</v>
      </c>
      <c r="AM69" s="232" t="str">
        <f t="shared" si="33"/>
        <v/>
      </c>
      <c r="AN69" s="233" t="str">
        <f t="shared" si="34"/>
        <v/>
      </c>
      <c r="AO69" s="4" t="str">
        <f t="shared" si="35"/>
        <v>g/s</v>
      </c>
      <c r="AP69" s="4"/>
      <c r="AQ69" s="4"/>
      <c r="AR69" s="4"/>
      <c r="AS69" s="4" t="s">
        <v>417</v>
      </c>
      <c r="AT69" s="4">
        <v>1</v>
      </c>
      <c r="AV69" s="248" t="str">
        <f t="shared" si="36"/>
        <v/>
      </c>
      <c r="AW69" s="248"/>
      <c r="AX69" s="4" t="str">
        <f t="shared" si="37"/>
        <v>M</v>
      </c>
      <c r="AY69" s="248" t="str">
        <f t="shared" si="38"/>
        <v/>
      </c>
      <c r="AZ69" s="232"/>
      <c r="BA69" s="4">
        <v>67</v>
      </c>
      <c r="BB69" s="2" t="s">
        <v>47</v>
      </c>
      <c r="BC69" s="2" t="s">
        <v>236</v>
      </c>
      <c r="BD69" s="2"/>
      <c r="BE69" s="2" t="s">
        <v>48</v>
      </c>
      <c r="BF69" s="2" t="s">
        <v>96</v>
      </c>
      <c r="BG69" s="2"/>
      <c r="BH69" s="185" t="s">
        <v>148</v>
      </c>
      <c r="BI69" s="185" t="s">
        <v>165</v>
      </c>
      <c r="BJ69" s="185" t="s">
        <v>168</v>
      </c>
      <c r="BK69" s="185" t="s">
        <v>128</v>
      </c>
      <c r="BL69" s="100"/>
      <c r="BM69" s="97">
        <f t="shared" si="39"/>
        <v>1</v>
      </c>
      <c r="BN69" s="225" t="s">
        <v>313</v>
      </c>
      <c r="BO69" s="225" t="s">
        <v>278</v>
      </c>
      <c r="BP69" s="225" t="s">
        <v>258</v>
      </c>
      <c r="BQ69" s="225" t="s">
        <v>259</v>
      </c>
      <c r="BR69" s="225" t="s">
        <v>388</v>
      </c>
      <c r="BS69" s="225" t="s">
        <v>322</v>
      </c>
      <c r="BT69" s="225" t="s">
        <v>413</v>
      </c>
      <c r="BU69" s="225" t="s">
        <v>260</v>
      </c>
      <c r="BV69" s="2"/>
      <c r="BW69" s="259" t="s">
        <v>361</v>
      </c>
      <c r="BX69" s="259" t="s">
        <v>362</v>
      </c>
      <c r="BY69" s="259" t="s">
        <v>266</v>
      </c>
      <c r="BZ69" s="259" t="s">
        <v>267</v>
      </c>
      <c r="CA69" s="107"/>
      <c r="CB69" s="249"/>
      <c r="CC69" s="107"/>
      <c r="CD69" s="249"/>
      <c r="CE69" s="107"/>
      <c r="CF69" s="225" t="str">
        <f t="shared" si="40"/>
        <v/>
      </c>
      <c r="CG69" s="225" t="str">
        <f t="shared" si="41"/>
        <v/>
      </c>
      <c r="CH69" s="225" t="str">
        <f t="shared" si="42"/>
        <v/>
      </c>
      <c r="CI69" s="225" t="str">
        <f t="shared" si="43"/>
        <v/>
      </c>
      <c r="CJ69" s="225" t="str">
        <f t="shared" si="44"/>
        <v/>
      </c>
      <c r="CK69" s="225" t="str">
        <f t="shared" si="45"/>
        <v/>
      </c>
      <c r="CL69" s="225" t="str">
        <f t="shared" si="46"/>
        <v/>
      </c>
      <c r="CM69" s="225" t="str">
        <f t="shared" si="47"/>
        <v/>
      </c>
      <c r="CN69" s="225" t="str">
        <f t="shared" si="48"/>
        <v/>
      </c>
      <c r="CO69" s="225" t="str">
        <f t="shared" si="49"/>
        <v/>
      </c>
      <c r="CP69" s="250"/>
      <c r="CQ69" s="250" t="str">
        <f t="shared" si="50"/>
        <v/>
      </c>
      <c r="CR69" s="5">
        <v>67</v>
      </c>
      <c r="CU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9" s="373" t="str">
        <f t="shared" si="51"/>
        <v/>
      </c>
      <c r="CW69" s="2"/>
      <c r="CX69" s="104"/>
    </row>
    <row r="70" spans="1:102" ht="18.95" customHeight="1" x14ac:dyDescent="0.35">
      <c r="B70" s="128">
        <v>68</v>
      </c>
      <c r="C70" s="184" t="s">
        <v>884</v>
      </c>
      <c r="E70" s="382" t="s">
        <v>633</v>
      </c>
      <c r="F70" s="69" t="s">
        <v>76</v>
      </c>
      <c r="H70" s="69" t="s">
        <v>534</v>
      </c>
      <c r="I70" s="69" t="s">
        <v>418</v>
      </c>
      <c r="J70" s="69" t="s">
        <v>535</v>
      </c>
      <c r="K70" s="160" t="s">
        <v>536</v>
      </c>
      <c r="L70" s="2"/>
      <c r="M70" s="69" t="s">
        <v>763</v>
      </c>
      <c r="N70" s="2"/>
      <c r="O70" s="230" t="str">
        <f>IF($A$2=B70,Elektro!$Q$11,"")</f>
        <v/>
      </c>
      <c r="P70" s="230" t="str">
        <f>IF($A$2=B70,Elektro!$Q$12,"")</f>
        <v/>
      </c>
      <c r="Q70" s="236" t="str">
        <f>IF($A$2=B70,Elektro!$Q$13,"")</f>
        <v/>
      </c>
      <c r="R70" s="231" t="str">
        <f>IF($A$2=B70,Elektro!$Q$14,"")</f>
        <v/>
      </c>
      <c r="S70" s="231" t="str">
        <f>IF($A$2=B70,Elektro!$Q$15,"")</f>
        <v/>
      </c>
      <c r="T70" s="230" t="str">
        <f>IF($A$2=B70,Elektro!$Q$16,"")</f>
        <v/>
      </c>
      <c r="U70" s="353" t="str">
        <f t="shared" si="26"/>
        <v/>
      </c>
      <c r="V70" s="353" t="str">
        <f t="shared" si="27"/>
        <v/>
      </c>
      <c r="W70" s="4" t="s">
        <v>138</v>
      </c>
      <c r="X70" s="4" t="s">
        <v>20</v>
      </c>
      <c r="Y70" s="4">
        <v>4</v>
      </c>
      <c r="Z70" s="4">
        <v>32</v>
      </c>
      <c r="AA70" s="232" t="str">
        <f t="shared" si="28"/>
        <v/>
      </c>
      <c r="AB70" s="233" t="str">
        <f t="shared" si="29"/>
        <v/>
      </c>
      <c r="AC70" s="233" t="str">
        <f t="shared" si="30"/>
        <v>mol/s</v>
      </c>
      <c r="AD70" s="231" t="str">
        <f t="shared" si="31"/>
        <v/>
      </c>
      <c r="AE70" s="231" t="s">
        <v>283</v>
      </c>
      <c r="AF70" s="232" t="str">
        <f t="shared" si="32"/>
        <v/>
      </c>
      <c r="AG70" s="236" t="s">
        <v>284</v>
      </c>
      <c r="AH70" s="4" t="s">
        <v>120</v>
      </c>
      <c r="AI70" s="4" t="s">
        <v>119</v>
      </c>
      <c r="AJ70" s="4" t="s">
        <v>282</v>
      </c>
      <c r="AK70" s="4">
        <v>2</v>
      </c>
      <c r="AL70" s="4">
        <v>58.93</v>
      </c>
      <c r="AM70" s="232" t="str">
        <f t="shared" si="33"/>
        <v/>
      </c>
      <c r="AN70" s="233" t="str">
        <f t="shared" si="34"/>
        <v/>
      </c>
      <c r="AO70" s="4" t="str">
        <f t="shared" si="35"/>
        <v>g/s</v>
      </c>
      <c r="AP70" s="4"/>
      <c r="AQ70" s="4"/>
      <c r="AR70" s="4"/>
      <c r="AS70" s="4" t="s">
        <v>417</v>
      </c>
      <c r="AT70" s="4">
        <v>1</v>
      </c>
      <c r="AV70" s="248" t="str">
        <f t="shared" si="36"/>
        <v/>
      </c>
      <c r="AW70" s="248"/>
      <c r="AX70" s="4" t="str">
        <f t="shared" si="37"/>
        <v>M</v>
      </c>
      <c r="AY70" s="248" t="str">
        <f t="shared" si="38"/>
        <v/>
      </c>
      <c r="AZ70" s="232"/>
      <c r="BA70" s="4">
        <v>68</v>
      </c>
      <c r="BB70" s="2" t="s">
        <v>47</v>
      </c>
      <c r="BC70" s="2" t="s">
        <v>235</v>
      </c>
      <c r="BD70" s="2"/>
      <c r="BE70" s="2" t="s">
        <v>48</v>
      </c>
      <c r="BF70" s="2" t="s">
        <v>97</v>
      </c>
      <c r="BG70" s="2"/>
      <c r="BH70" s="185" t="s">
        <v>148</v>
      </c>
      <c r="BI70" s="185" t="s">
        <v>165</v>
      </c>
      <c r="BJ70" s="185" t="s">
        <v>169</v>
      </c>
      <c r="BK70" s="185" t="s">
        <v>68</v>
      </c>
      <c r="BL70" s="100"/>
      <c r="BM70" s="97">
        <f t="shared" si="39"/>
        <v>1</v>
      </c>
      <c r="BN70" s="225" t="s">
        <v>314</v>
      </c>
      <c r="BO70" s="225" t="s">
        <v>278</v>
      </c>
      <c r="BP70" s="225" t="s">
        <v>258</v>
      </c>
      <c r="BQ70" s="225" t="s">
        <v>259</v>
      </c>
      <c r="BR70" s="225" t="s">
        <v>389</v>
      </c>
      <c r="BS70" s="225" t="s">
        <v>322</v>
      </c>
      <c r="BT70" s="225" t="s">
        <v>371</v>
      </c>
      <c r="BU70" s="225" t="s">
        <v>260</v>
      </c>
      <c r="BV70" s="2"/>
      <c r="BW70" s="259" t="s">
        <v>363</v>
      </c>
      <c r="BX70" s="259" t="s">
        <v>364</v>
      </c>
      <c r="BY70" s="259" t="s">
        <v>266</v>
      </c>
      <c r="BZ70" s="259" t="s">
        <v>267</v>
      </c>
      <c r="CA70" s="107"/>
      <c r="CB70" s="249"/>
      <c r="CC70" s="107"/>
      <c r="CD70" s="249"/>
      <c r="CE70" s="107"/>
      <c r="CF70" s="225" t="str">
        <f t="shared" si="40"/>
        <v/>
      </c>
      <c r="CG70" s="225" t="str">
        <f t="shared" si="41"/>
        <v/>
      </c>
      <c r="CH70" s="225" t="str">
        <f t="shared" si="42"/>
        <v/>
      </c>
      <c r="CI70" s="225" t="str">
        <f t="shared" si="43"/>
        <v/>
      </c>
      <c r="CJ70" s="225" t="str">
        <f t="shared" si="44"/>
        <v/>
      </c>
      <c r="CK70" s="225" t="str">
        <f t="shared" si="45"/>
        <v/>
      </c>
      <c r="CL70" s="225" t="str">
        <f t="shared" si="46"/>
        <v/>
      </c>
      <c r="CM70" s="225" t="str">
        <f t="shared" si="47"/>
        <v/>
      </c>
      <c r="CN70" s="225" t="str">
        <f t="shared" si="48"/>
        <v/>
      </c>
      <c r="CO70" s="225" t="str">
        <f t="shared" si="49"/>
        <v/>
      </c>
      <c r="CP70" s="250"/>
      <c r="CQ70" s="250" t="str">
        <f t="shared" si="50"/>
        <v/>
      </c>
      <c r="CR70" s="5">
        <v>68</v>
      </c>
      <c r="CU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0" s="373" t="str">
        <f t="shared" si="51"/>
        <v/>
      </c>
      <c r="CW70" s="2"/>
      <c r="CX70" s="104"/>
    </row>
    <row r="71" spans="1:102" ht="18.95" customHeight="1" x14ac:dyDescent="0.35">
      <c r="B71" s="128">
        <v>69</v>
      </c>
      <c r="C71" s="184" t="s">
        <v>889</v>
      </c>
      <c r="E71" s="382" t="s">
        <v>675</v>
      </c>
      <c r="F71" s="69" t="s">
        <v>76</v>
      </c>
      <c r="H71" s="69" t="s">
        <v>537</v>
      </c>
      <c r="I71" s="69" t="s">
        <v>418</v>
      </c>
      <c r="J71" s="69" t="s">
        <v>517</v>
      </c>
      <c r="K71" s="160" t="s">
        <v>538</v>
      </c>
      <c r="L71" s="2"/>
      <c r="M71" s="69" t="s">
        <v>764</v>
      </c>
      <c r="N71" s="2"/>
      <c r="O71" s="230" t="str">
        <f>IF($A$2=B71,Elektro!$Q$11,"")</f>
        <v/>
      </c>
      <c r="P71" s="230" t="str">
        <f>IF($A$2=B71,Elektro!$Q$12,"")</f>
        <v/>
      </c>
      <c r="Q71" s="236" t="str">
        <f>IF($A$2=B71,Elektro!$Q$13,"")</f>
        <v/>
      </c>
      <c r="R71" s="231" t="str">
        <f>IF($A$2=B71,Elektro!$Q$14,"")</f>
        <v/>
      </c>
      <c r="S71" s="231" t="str">
        <f>IF($A$2=B71,Elektro!$Q$15,"")</f>
        <v/>
      </c>
      <c r="T71" s="230" t="str">
        <f>IF($A$2=B71,Elektro!$Q$16,"")</f>
        <v/>
      </c>
      <c r="U71" s="353" t="str">
        <f t="shared" si="26"/>
        <v/>
      </c>
      <c r="V71" s="353" t="str">
        <f t="shared" si="27"/>
        <v/>
      </c>
      <c r="W71" s="4" t="s">
        <v>138</v>
      </c>
      <c r="X71" s="4" t="s">
        <v>20</v>
      </c>
      <c r="Y71" s="4">
        <v>4</v>
      </c>
      <c r="Z71" s="4">
        <v>32</v>
      </c>
      <c r="AA71" s="232" t="str">
        <f t="shared" si="28"/>
        <v/>
      </c>
      <c r="AB71" s="233" t="str">
        <f t="shared" si="29"/>
        <v/>
      </c>
      <c r="AC71" s="233" t="str">
        <f t="shared" si="30"/>
        <v>mol/s</v>
      </c>
      <c r="AD71" s="231" t="str">
        <f t="shared" si="31"/>
        <v/>
      </c>
      <c r="AE71" s="231" t="s">
        <v>283</v>
      </c>
      <c r="AF71" s="232" t="str">
        <f t="shared" si="32"/>
        <v/>
      </c>
      <c r="AG71" s="236" t="s">
        <v>284</v>
      </c>
      <c r="AH71" s="4" t="s">
        <v>120</v>
      </c>
      <c r="AI71" s="4" t="s">
        <v>115</v>
      </c>
      <c r="AJ71" s="4" t="s">
        <v>282</v>
      </c>
      <c r="AK71" s="4">
        <v>2</v>
      </c>
      <c r="AL71" s="4">
        <v>58.69</v>
      </c>
      <c r="AM71" s="232" t="str">
        <f t="shared" si="33"/>
        <v/>
      </c>
      <c r="AN71" s="233" t="str">
        <f t="shared" si="34"/>
        <v/>
      </c>
      <c r="AO71" s="4" t="str">
        <f t="shared" si="35"/>
        <v>g/s</v>
      </c>
      <c r="AP71" s="4"/>
      <c r="AQ71" s="4"/>
      <c r="AR71" s="4"/>
      <c r="AS71" s="4" t="s">
        <v>417</v>
      </c>
      <c r="AT71" s="4">
        <v>1</v>
      </c>
      <c r="AV71" s="248" t="str">
        <f t="shared" si="36"/>
        <v/>
      </c>
      <c r="AW71" s="248"/>
      <c r="AX71" s="4" t="str">
        <f t="shared" si="37"/>
        <v>M</v>
      </c>
      <c r="AY71" s="248" t="str">
        <f t="shared" si="38"/>
        <v/>
      </c>
      <c r="AZ71" s="232"/>
      <c r="BA71" s="4">
        <v>69</v>
      </c>
      <c r="BB71" s="2" t="s">
        <v>47</v>
      </c>
      <c r="BC71" s="2" t="s">
        <v>234</v>
      </c>
      <c r="BD71" s="2"/>
      <c r="BE71" s="2" t="s">
        <v>48</v>
      </c>
      <c r="BF71" s="2" t="s">
        <v>87</v>
      </c>
      <c r="BG71" s="2"/>
      <c r="BH71" s="185" t="s">
        <v>148</v>
      </c>
      <c r="BI71" s="185" t="s">
        <v>165</v>
      </c>
      <c r="BJ71" s="185" t="s">
        <v>166</v>
      </c>
      <c r="BK71" s="185" t="s">
        <v>60</v>
      </c>
      <c r="BL71" s="100"/>
      <c r="BM71" s="97">
        <f t="shared" si="39"/>
        <v>1</v>
      </c>
      <c r="BN71" s="225" t="s">
        <v>305</v>
      </c>
      <c r="BO71" s="225" t="s">
        <v>278</v>
      </c>
      <c r="BP71" s="225" t="s">
        <v>258</v>
      </c>
      <c r="BQ71" s="225" t="s">
        <v>259</v>
      </c>
      <c r="BR71" s="225" t="s">
        <v>383</v>
      </c>
      <c r="BS71" s="225" t="s">
        <v>322</v>
      </c>
      <c r="BT71" s="225" t="s">
        <v>372</v>
      </c>
      <c r="BU71" s="225" t="s">
        <v>260</v>
      </c>
      <c r="BV71" s="2"/>
      <c r="BW71" s="259" t="s">
        <v>359</v>
      </c>
      <c r="BX71" s="259" t="s">
        <v>360</v>
      </c>
      <c r="BY71" s="259" t="s">
        <v>266</v>
      </c>
      <c r="BZ71" s="259" t="s">
        <v>267</v>
      </c>
      <c r="CA71" s="107"/>
      <c r="CB71" s="249"/>
      <c r="CC71" s="107"/>
      <c r="CD71" s="249"/>
      <c r="CE71" s="107"/>
      <c r="CF71" s="225" t="str">
        <f t="shared" si="40"/>
        <v/>
      </c>
      <c r="CG71" s="225" t="str">
        <f t="shared" si="41"/>
        <v/>
      </c>
      <c r="CH71" s="225" t="str">
        <f t="shared" si="42"/>
        <v/>
      </c>
      <c r="CI71" s="225" t="str">
        <f t="shared" si="43"/>
        <v/>
      </c>
      <c r="CJ71" s="225" t="str">
        <f t="shared" si="44"/>
        <v/>
      </c>
      <c r="CK71" s="225" t="str">
        <f t="shared" si="45"/>
        <v/>
      </c>
      <c r="CL71" s="225" t="str">
        <f t="shared" si="46"/>
        <v/>
      </c>
      <c r="CM71" s="225" t="str">
        <f t="shared" si="47"/>
        <v/>
      </c>
      <c r="CN71" s="225" t="str">
        <f t="shared" si="48"/>
        <v/>
      </c>
      <c r="CO71" s="225" t="str">
        <f t="shared" si="49"/>
        <v/>
      </c>
      <c r="CP71" s="250"/>
      <c r="CQ71" s="250" t="str">
        <f t="shared" si="50"/>
        <v/>
      </c>
      <c r="CR71" s="5">
        <v>69</v>
      </c>
      <c r="CU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1" s="373" t="str">
        <f t="shared" si="51"/>
        <v/>
      </c>
      <c r="CW71" s="2"/>
      <c r="CX71" s="104"/>
    </row>
    <row r="72" spans="1:102" ht="18.95" customHeight="1" x14ac:dyDescent="0.35">
      <c r="B72" s="128">
        <v>70</v>
      </c>
      <c r="C72" s="184" t="s">
        <v>890</v>
      </c>
      <c r="E72" s="382" t="s">
        <v>676</v>
      </c>
      <c r="F72" s="69" t="s">
        <v>76</v>
      </c>
      <c r="H72" s="69" t="s">
        <v>539</v>
      </c>
      <c r="I72" s="69" t="s">
        <v>418</v>
      </c>
      <c r="J72" s="69" t="s">
        <v>522</v>
      </c>
      <c r="K72" s="160" t="s">
        <v>540</v>
      </c>
      <c r="L72" s="2"/>
      <c r="M72" s="69" t="s">
        <v>765</v>
      </c>
      <c r="N72" s="2"/>
      <c r="O72" s="230" t="str">
        <f>IF($A$2=B72,Elektro!$Q$11,"")</f>
        <v/>
      </c>
      <c r="P72" s="230" t="str">
        <f>IF($A$2=B72,Elektro!$Q$12,"")</f>
        <v/>
      </c>
      <c r="Q72" s="236" t="str">
        <f>IF($A$2=B72,Elektro!$Q$13,"")</f>
        <v/>
      </c>
      <c r="R72" s="231" t="str">
        <f>IF($A$2=B72,Elektro!$Q$14,"")</f>
        <v/>
      </c>
      <c r="S72" s="231" t="str">
        <f>IF($A$2=B72,Elektro!$Q$15,"")</f>
        <v/>
      </c>
      <c r="T72" s="230" t="str">
        <f>IF($A$2=B72,Elektro!$Q$16,"")</f>
        <v/>
      </c>
      <c r="U72" s="353" t="str">
        <f t="shared" si="26"/>
        <v/>
      </c>
      <c r="V72" s="353" t="str">
        <f t="shared" si="27"/>
        <v/>
      </c>
      <c r="W72" s="4" t="s">
        <v>138</v>
      </c>
      <c r="X72" s="4" t="s">
        <v>20</v>
      </c>
      <c r="Y72" s="4">
        <v>4</v>
      </c>
      <c r="Z72" s="4">
        <v>32</v>
      </c>
      <c r="AA72" s="232" t="str">
        <f t="shared" si="28"/>
        <v/>
      </c>
      <c r="AB72" s="233" t="str">
        <f t="shared" si="29"/>
        <v/>
      </c>
      <c r="AC72" s="233" t="str">
        <f t="shared" si="30"/>
        <v>mol/s</v>
      </c>
      <c r="AD72" s="231" t="str">
        <f t="shared" si="31"/>
        <v/>
      </c>
      <c r="AE72" s="231" t="s">
        <v>283</v>
      </c>
      <c r="AF72" s="232" t="str">
        <f t="shared" si="32"/>
        <v/>
      </c>
      <c r="AG72" s="236" t="s">
        <v>284</v>
      </c>
      <c r="AH72" s="4" t="s">
        <v>120</v>
      </c>
      <c r="AI72" s="4" t="s">
        <v>111</v>
      </c>
      <c r="AJ72" s="4" t="s">
        <v>282</v>
      </c>
      <c r="AK72" s="4">
        <v>2</v>
      </c>
      <c r="AL72" s="4">
        <v>65.39</v>
      </c>
      <c r="AM72" s="232" t="str">
        <f t="shared" si="33"/>
        <v/>
      </c>
      <c r="AN72" s="233" t="str">
        <f t="shared" si="34"/>
        <v/>
      </c>
      <c r="AO72" s="5" t="str">
        <f t="shared" si="35"/>
        <v>g/s</v>
      </c>
      <c r="AP72" s="4"/>
      <c r="AQ72" s="4"/>
      <c r="AR72" s="4"/>
      <c r="AS72" s="4" t="s">
        <v>417</v>
      </c>
      <c r="AT72" s="4">
        <v>1</v>
      </c>
      <c r="AV72" s="248" t="str">
        <f t="shared" si="36"/>
        <v/>
      </c>
      <c r="AW72" s="248"/>
      <c r="AX72" s="4" t="str">
        <f t="shared" si="37"/>
        <v>M</v>
      </c>
      <c r="AY72" s="248" t="str">
        <f t="shared" si="38"/>
        <v/>
      </c>
      <c r="AZ72" s="232"/>
      <c r="BA72" s="4">
        <v>70</v>
      </c>
      <c r="BB72" s="2" t="s">
        <v>47</v>
      </c>
      <c r="BC72" s="2" t="s">
        <v>234</v>
      </c>
      <c r="BD72" s="2"/>
      <c r="BE72" s="2" t="s">
        <v>48</v>
      </c>
      <c r="BF72" s="2" t="s">
        <v>88</v>
      </c>
      <c r="BG72" s="2"/>
      <c r="BH72" s="185" t="s">
        <v>148</v>
      </c>
      <c r="BI72" s="185" t="s">
        <v>165</v>
      </c>
      <c r="BJ72" s="185" t="s">
        <v>158</v>
      </c>
      <c r="BK72" s="185" t="s">
        <v>30</v>
      </c>
      <c r="BL72" s="100"/>
      <c r="BM72" s="97">
        <f t="shared" si="39"/>
        <v>1</v>
      </c>
      <c r="BN72" s="225" t="s">
        <v>300</v>
      </c>
      <c r="BO72" s="225" t="s">
        <v>278</v>
      </c>
      <c r="BP72" s="225" t="s">
        <v>258</v>
      </c>
      <c r="BQ72" s="225" t="s">
        <v>259</v>
      </c>
      <c r="BR72" s="225" t="s">
        <v>380</v>
      </c>
      <c r="BS72" s="225" t="s">
        <v>322</v>
      </c>
      <c r="BT72" s="225" t="s">
        <v>369</v>
      </c>
      <c r="BU72" s="225" t="s">
        <v>260</v>
      </c>
      <c r="BV72" s="2"/>
      <c r="BW72" s="259" t="s">
        <v>345</v>
      </c>
      <c r="BX72" s="259" t="s">
        <v>346</v>
      </c>
      <c r="BY72" s="259" t="s">
        <v>266</v>
      </c>
      <c r="BZ72" s="259" t="s">
        <v>267</v>
      </c>
      <c r="CA72" s="107"/>
      <c r="CB72" s="249"/>
      <c r="CC72" s="107"/>
      <c r="CD72" s="249"/>
      <c r="CE72" s="107"/>
      <c r="CF72" s="225" t="str">
        <f t="shared" si="40"/>
        <v/>
      </c>
      <c r="CG72" s="225" t="str">
        <f t="shared" si="41"/>
        <v/>
      </c>
      <c r="CH72" s="225" t="str">
        <f t="shared" si="42"/>
        <v/>
      </c>
      <c r="CI72" s="225" t="str">
        <f t="shared" si="43"/>
        <v/>
      </c>
      <c r="CJ72" s="225" t="str">
        <f t="shared" si="44"/>
        <v/>
      </c>
      <c r="CK72" s="225" t="str">
        <f t="shared" si="45"/>
        <v/>
      </c>
      <c r="CL72" s="225" t="str">
        <f t="shared" si="46"/>
        <v/>
      </c>
      <c r="CM72" s="225" t="str">
        <f t="shared" si="47"/>
        <v/>
      </c>
      <c r="CN72" s="225" t="str">
        <f t="shared" si="48"/>
        <v/>
      </c>
      <c r="CO72" s="225" t="str">
        <f t="shared" si="49"/>
        <v/>
      </c>
      <c r="CP72" s="250"/>
      <c r="CQ72" s="250" t="str">
        <f t="shared" si="50"/>
        <v/>
      </c>
      <c r="CR72" s="5">
        <v>70</v>
      </c>
      <c r="CU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2" s="373" t="str">
        <f t="shared" si="51"/>
        <v/>
      </c>
      <c r="CW72" s="2"/>
      <c r="CX72" s="104"/>
    </row>
    <row r="73" spans="1:102" ht="18.95" customHeight="1" x14ac:dyDescent="0.35">
      <c r="B73" s="128">
        <v>71</v>
      </c>
      <c r="C73" s="184" t="s">
        <v>885</v>
      </c>
      <c r="E73" s="382" t="s">
        <v>636</v>
      </c>
      <c r="F73" s="69" t="s">
        <v>76</v>
      </c>
      <c r="H73" s="69" t="s">
        <v>541</v>
      </c>
      <c r="I73" s="69" t="s">
        <v>418</v>
      </c>
      <c r="J73" s="69" t="s">
        <v>527</v>
      </c>
      <c r="K73" s="160" t="s">
        <v>542</v>
      </c>
      <c r="L73" s="2"/>
      <c r="M73" s="69" t="s">
        <v>766</v>
      </c>
      <c r="N73" s="2"/>
      <c r="O73" s="230" t="str">
        <f>IF($A$2=B73,Elektro!$Q$11,"")</f>
        <v/>
      </c>
      <c r="P73" s="230" t="str">
        <f>IF($A$2=B73,Elektro!$Q$12,"")</f>
        <v/>
      </c>
      <c r="Q73" s="236" t="str">
        <f>IF($A$2=B73,Elektro!$Q$13,"")</f>
        <v/>
      </c>
      <c r="R73" s="231" t="str">
        <f>IF($A$2=B73,Elektro!$Q$14,"")</f>
        <v/>
      </c>
      <c r="S73" s="231" t="str">
        <f>IF($A$2=B73,Elektro!$Q$15,"")</f>
        <v/>
      </c>
      <c r="T73" s="230" t="str">
        <f>IF($A$2=B73,Elektro!$Q$16,"")</f>
        <v/>
      </c>
      <c r="U73" s="353" t="str">
        <f t="shared" si="26"/>
        <v/>
      </c>
      <c r="V73" s="353" t="str">
        <f t="shared" si="27"/>
        <v/>
      </c>
      <c r="W73" s="4" t="s">
        <v>138</v>
      </c>
      <c r="X73" s="4" t="s">
        <v>20</v>
      </c>
      <c r="Y73" s="4">
        <v>4</v>
      </c>
      <c r="Z73" s="4">
        <v>32</v>
      </c>
      <c r="AA73" s="232" t="str">
        <f t="shared" si="28"/>
        <v/>
      </c>
      <c r="AB73" s="233" t="str">
        <f t="shared" si="29"/>
        <v/>
      </c>
      <c r="AC73" s="233" t="str">
        <f t="shared" si="30"/>
        <v>mol/s</v>
      </c>
      <c r="AD73" s="231" t="str">
        <f t="shared" si="31"/>
        <v/>
      </c>
      <c r="AE73" s="231" t="s">
        <v>283</v>
      </c>
      <c r="AF73" s="232" t="str">
        <f t="shared" si="32"/>
        <v/>
      </c>
      <c r="AG73" s="236" t="s">
        <v>284</v>
      </c>
      <c r="AH73" s="4" t="s">
        <v>120</v>
      </c>
      <c r="AI73" s="4" t="s">
        <v>117</v>
      </c>
      <c r="AJ73" s="4" t="s">
        <v>282</v>
      </c>
      <c r="AK73" s="4">
        <v>2</v>
      </c>
      <c r="AL73" s="4">
        <v>118.7</v>
      </c>
      <c r="AM73" s="232" t="str">
        <f t="shared" si="33"/>
        <v/>
      </c>
      <c r="AN73" s="233" t="str">
        <f t="shared" si="34"/>
        <v/>
      </c>
      <c r="AO73" s="4" t="str">
        <f t="shared" si="35"/>
        <v>g/s</v>
      </c>
      <c r="AP73" s="4"/>
      <c r="AQ73" s="4"/>
      <c r="AR73" s="4"/>
      <c r="AS73" s="4" t="s">
        <v>417</v>
      </c>
      <c r="AT73" s="4">
        <v>1</v>
      </c>
      <c r="AV73" s="248" t="str">
        <f t="shared" si="36"/>
        <v/>
      </c>
      <c r="AW73" s="248"/>
      <c r="AX73" s="4" t="str">
        <f t="shared" si="37"/>
        <v>M</v>
      </c>
      <c r="AY73" s="248" t="str">
        <f t="shared" si="38"/>
        <v/>
      </c>
      <c r="AZ73" s="232"/>
      <c r="BA73" s="4">
        <v>71</v>
      </c>
      <c r="BB73" s="2" t="s">
        <v>47</v>
      </c>
      <c r="BC73" s="2" t="s">
        <v>235</v>
      </c>
      <c r="BD73" s="2"/>
      <c r="BE73" s="2" t="s">
        <v>48</v>
      </c>
      <c r="BF73" s="2" t="s">
        <v>90</v>
      </c>
      <c r="BG73" s="2"/>
      <c r="BH73" s="185" t="s">
        <v>148</v>
      </c>
      <c r="BI73" s="185" t="s">
        <v>165</v>
      </c>
      <c r="BJ73" s="185" t="s">
        <v>167</v>
      </c>
      <c r="BK73" s="185" t="s">
        <v>130</v>
      </c>
      <c r="BL73" s="100"/>
      <c r="BM73" s="97">
        <f t="shared" si="39"/>
        <v>1</v>
      </c>
      <c r="BN73" s="225" t="s">
        <v>312</v>
      </c>
      <c r="BO73" s="225" t="s">
        <v>278</v>
      </c>
      <c r="BP73" s="225" t="s">
        <v>258</v>
      </c>
      <c r="BQ73" s="225" t="s">
        <v>259</v>
      </c>
      <c r="BR73" s="225" t="s">
        <v>381</v>
      </c>
      <c r="BS73" s="225" t="s">
        <v>322</v>
      </c>
      <c r="BT73" s="225" t="s">
        <v>370</v>
      </c>
      <c r="BU73" s="225" t="s">
        <v>260</v>
      </c>
      <c r="BV73" s="2"/>
      <c r="BW73" s="259" t="s">
        <v>347</v>
      </c>
      <c r="BX73" s="259" t="s">
        <v>348</v>
      </c>
      <c r="BY73" s="259" t="s">
        <v>266</v>
      </c>
      <c r="BZ73" s="259" t="s">
        <v>267</v>
      </c>
      <c r="CA73" s="107"/>
      <c r="CB73" s="249"/>
      <c r="CC73" s="107"/>
      <c r="CD73" s="249"/>
      <c r="CE73" s="107"/>
      <c r="CF73" s="225" t="str">
        <f t="shared" si="40"/>
        <v/>
      </c>
      <c r="CG73" s="225" t="str">
        <f t="shared" si="41"/>
        <v/>
      </c>
      <c r="CH73" s="225" t="str">
        <f t="shared" si="42"/>
        <v/>
      </c>
      <c r="CI73" s="225" t="str">
        <f t="shared" si="43"/>
        <v/>
      </c>
      <c r="CJ73" s="225" t="str">
        <f t="shared" si="44"/>
        <v/>
      </c>
      <c r="CK73" s="225" t="str">
        <f t="shared" si="45"/>
        <v/>
      </c>
      <c r="CL73" s="225" t="str">
        <f t="shared" si="46"/>
        <v/>
      </c>
      <c r="CM73" s="225" t="str">
        <f t="shared" si="47"/>
        <v/>
      </c>
      <c r="CN73" s="225" t="str">
        <f t="shared" si="48"/>
        <v/>
      </c>
      <c r="CO73" s="225" t="str">
        <f t="shared" si="49"/>
        <v/>
      </c>
      <c r="CP73" s="250"/>
      <c r="CQ73" s="250" t="str">
        <f t="shared" si="50"/>
        <v/>
      </c>
      <c r="CR73" s="5">
        <v>71</v>
      </c>
      <c r="CU7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3" s="373" t="str">
        <f t="shared" si="51"/>
        <v/>
      </c>
      <c r="CW73" s="2"/>
      <c r="CX73" s="104"/>
    </row>
    <row r="74" spans="1:102" ht="18.95" customHeight="1" x14ac:dyDescent="0.35">
      <c r="B74" s="128">
        <v>72</v>
      </c>
      <c r="C74" s="184" t="s">
        <v>875</v>
      </c>
      <c r="E74" s="382" t="s">
        <v>637</v>
      </c>
      <c r="F74" s="69"/>
      <c r="H74" s="69" t="s">
        <v>543</v>
      </c>
      <c r="I74" s="69" t="s">
        <v>429</v>
      </c>
      <c r="J74" s="69" t="s">
        <v>535</v>
      </c>
      <c r="K74" s="160" t="s">
        <v>544</v>
      </c>
      <c r="L74" s="2"/>
      <c r="M74" s="69" t="s">
        <v>767</v>
      </c>
      <c r="N74" s="2"/>
      <c r="O74" s="230" t="str">
        <f>IF($A$2=B74,Elektro!$Q$11,"")</f>
        <v/>
      </c>
      <c r="P74" s="230" t="str">
        <f>IF($A$2=B74,Elektro!$Q$12,"")</f>
        <v/>
      </c>
      <c r="Q74" s="236" t="str">
        <f>IF($A$2=B74,Elektro!$Q$13,"")</f>
        <v/>
      </c>
      <c r="R74" s="231" t="str">
        <f>IF($A$2=B74,Elektro!$Q$14,"")</f>
        <v/>
      </c>
      <c r="S74" s="231" t="str">
        <f>IF($A$2=B74,Elektro!$Q$15,"")</f>
        <v/>
      </c>
      <c r="T74" s="230" t="str">
        <f>IF($A$2=B74,Elektro!$Q$16,"")</f>
        <v/>
      </c>
      <c r="U74" s="353" t="str">
        <f t="shared" si="26"/>
        <v/>
      </c>
      <c r="V74" s="353" t="str">
        <f t="shared" si="27"/>
        <v/>
      </c>
      <c r="W74" s="4" t="s">
        <v>138</v>
      </c>
      <c r="X74" s="4" t="s">
        <v>20</v>
      </c>
      <c r="Y74" s="4">
        <v>4</v>
      </c>
      <c r="Z74" s="4">
        <v>32</v>
      </c>
      <c r="AA74" s="232" t="str">
        <f t="shared" si="28"/>
        <v/>
      </c>
      <c r="AB74" s="233" t="str">
        <f t="shared" si="29"/>
        <v/>
      </c>
      <c r="AC74" s="233" t="str">
        <f t="shared" si="30"/>
        <v>mol/s</v>
      </c>
      <c r="AD74" s="231" t="str">
        <f t="shared" si="31"/>
        <v/>
      </c>
      <c r="AE74" s="231" t="s">
        <v>283</v>
      </c>
      <c r="AF74" s="232" t="str">
        <f t="shared" si="32"/>
        <v/>
      </c>
      <c r="AG74" s="236" t="s">
        <v>284</v>
      </c>
      <c r="AH74" s="4"/>
      <c r="AI74" s="4" t="s">
        <v>119</v>
      </c>
      <c r="AJ74" s="4" t="s">
        <v>282</v>
      </c>
      <c r="AK74" s="4">
        <v>2</v>
      </c>
      <c r="AL74" s="4">
        <v>58.93</v>
      </c>
      <c r="AM74" s="232" t="str">
        <f t="shared" si="33"/>
        <v/>
      </c>
      <c r="AN74" s="233" t="str">
        <f t="shared" si="34"/>
        <v/>
      </c>
      <c r="AO74" s="4" t="str">
        <f t="shared" si="35"/>
        <v>g/s</v>
      </c>
      <c r="AP74" s="4"/>
      <c r="AQ74" s="4"/>
      <c r="AR74" s="4"/>
      <c r="AS74" s="4" t="s">
        <v>121</v>
      </c>
      <c r="AT74" s="4">
        <v>2</v>
      </c>
      <c r="AU74" s="5" t="s">
        <v>65</v>
      </c>
      <c r="AV74" s="248" t="str">
        <f t="shared" si="36"/>
        <v/>
      </c>
      <c r="AW74" s="248"/>
      <c r="AX74" s="4" t="str">
        <f t="shared" si="37"/>
        <v>M</v>
      </c>
      <c r="AY74" s="248" t="str">
        <f t="shared" si="38"/>
        <v/>
      </c>
      <c r="AZ74" s="232"/>
      <c r="BA74" s="4">
        <v>72</v>
      </c>
      <c r="BB74" s="2" t="s">
        <v>47</v>
      </c>
      <c r="BC74" s="2" t="s">
        <v>51</v>
      </c>
      <c r="BD74" s="2"/>
      <c r="BE74" s="2" t="s">
        <v>48</v>
      </c>
      <c r="BF74" s="2" t="s">
        <v>97</v>
      </c>
      <c r="BG74" s="2"/>
      <c r="BH74" s="185" t="s">
        <v>155</v>
      </c>
      <c r="BI74" s="185" t="s">
        <v>165</v>
      </c>
      <c r="BJ74" s="185" t="s">
        <v>169</v>
      </c>
      <c r="BK74" s="185" t="s">
        <v>68</v>
      </c>
      <c r="BL74" s="100"/>
      <c r="BM74" s="97">
        <f t="shared" si="39"/>
        <v>2</v>
      </c>
      <c r="BN74" s="225" t="s">
        <v>314</v>
      </c>
      <c r="BO74" s="225" t="s">
        <v>278</v>
      </c>
      <c r="BP74" s="225" t="s">
        <v>258</v>
      </c>
      <c r="BQ74" s="225" t="s">
        <v>259</v>
      </c>
      <c r="BR74" s="225" t="s">
        <v>382</v>
      </c>
      <c r="BS74" s="225" t="s">
        <v>322</v>
      </c>
      <c r="BT74" s="225" t="s">
        <v>371</v>
      </c>
      <c r="BU74" s="225" t="s">
        <v>260</v>
      </c>
      <c r="BV74" s="2"/>
      <c r="BW74" s="259" t="s">
        <v>363</v>
      </c>
      <c r="BX74" s="259" t="s">
        <v>364</v>
      </c>
      <c r="BY74" s="259" t="s">
        <v>266</v>
      </c>
      <c r="BZ74" s="259" t="s">
        <v>267</v>
      </c>
      <c r="CA74" s="107"/>
      <c r="CB74" s="249"/>
      <c r="CC74" s="107"/>
      <c r="CD74" s="249"/>
      <c r="CE74" s="107"/>
      <c r="CF74" s="225" t="str">
        <f t="shared" si="40"/>
        <v/>
      </c>
      <c r="CG74" s="225" t="str">
        <f t="shared" si="41"/>
        <v/>
      </c>
      <c r="CH74" s="225" t="str">
        <f t="shared" si="42"/>
        <v/>
      </c>
      <c r="CI74" s="225" t="str">
        <f t="shared" si="43"/>
        <v/>
      </c>
      <c r="CJ74" s="225" t="str">
        <f t="shared" si="44"/>
        <v/>
      </c>
      <c r="CK74" s="225" t="str">
        <f t="shared" si="45"/>
        <v/>
      </c>
      <c r="CL74" s="225" t="str">
        <f t="shared" si="46"/>
        <v/>
      </c>
      <c r="CM74" s="225" t="str">
        <f t="shared" si="47"/>
        <v/>
      </c>
      <c r="CN74" s="225" t="str">
        <f t="shared" si="48"/>
        <v/>
      </c>
      <c r="CO74" s="225" t="str">
        <f t="shared" si="49"/>
        <v/>
      </c>
      <c r="CP74" s="250"/>
      <c r="CQ74" s="250" t="str">
        <f t="shared" si="50"/>
        <v/>
      </c>
      <c r="CR74" s="5">
        <v>72</v>
      </c>
      <c r="CU7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4" s="373" t="str">
        <f t="shared" si="51"/>
        <v/>
      </c>
      <c r="CW74" s="2"/>
      <c r="CX74" s="104"/>
    </row>
    <row r="75" spans="1:102" ht="18.95" customHeight="1" x14ac:dyDescent="0.35">
      <c r="B75" s="128">
        <v>73</v>
      </c>
      <c r="C75" s="184" t="s">
        <v>876</v>
      </c>
      <c r="E75" s="382" t="s">
        <v>638</v>
      </c>
      <c r="F75" s="69"/>
      <c r="H75" s="69" t="s">
        <v>545</v>
      </c>
      <c r="I75" s="69" t="s">
        <v>429</v>
      </c>
      <c r="J75" s="69" t="s">
        <v>517</v>
      </c>
      <c r="K75" s="160" t="s">
        <v>546</v>
      </c>
      <c r="L75" s="2"/>
      <c r="M75" s="69" t="s">
        <v>768</v>
      </c>
      <c r="N75" s="2"/>
      <c r="O75" s="230" t="str">
        <f>IF($A$2=B75,Elektro!$Q$11,"")</f>
        <v/>
      </c>
      <c r="P75" s="230" t="str">
        <f>IF($A$2=B75,Elektro!$Q$12,"")</f>
        <v/>
      </c>
      <c r="Q75" s="236" t="str">
        <f>IF($A$2=B75,Elektro!$Q$13,"")</f>
        <v/>
      </c>
      <c r="R75" s="231" t="str">
        <f>IF($A$2=B75,Elektro!$Q$14,"")</f>
        <v/>
      </c>
      <c r="S75" s="231" t="str">
        <f>IF($A$2=B75,Elektro!$Q$15,"")</f>
        <v/>
      </c>
      <c r="T75" s="230" t="str">
        <f>IF($A$2=B75,Elektro!$Q$16,"")</f>
        <v/>
      </c>
      <c r="U75" s="353" t="str">
        <f t="shared" si="26"/>
        <v/>
      </c>
      <c r="V75" s="353" t="str">
        <f t="shared" si="27"/>
        <v/>
      </c>
      <c r="W75" s="4" t="s">
        <v>138</v>
      </c>
      <c r="X75" s="4" t="s">
        <v>20</v>
      </c>
      <c r="Y75" s="4">
        <v>4</v>
      </c>
      <c r="Z75" s="4">
        <v>32</v>
      </c>
      <c r="AA75" s="232" t="str">
        <f t="shared" si="28"/>
        <v/>
      </c>
      <c r="AB75" s="233" t="str">
        <f t="shared" si="29"/>
        <v/>
      </c>
      <c r="AC75" s="233" t="str">
        <f t="shared" si="30"/>
        <v>mol/s</v>
      </c>
      <c r="AD75" s="231" t="str">
        <f t="shared" si="31"/>
        <v/>
      </c>
      <c r="AE75" s="231" t="s">
        <v>283</v>
      </c>
      <c r="AF75" s="232" t="str">
        <f t="shared" si="32"/>
        <v/>
      </c>
      <c r="AG75" s="236" t="s">
        <v>284</v>
      </c>
      <c r="AH75" s="4"/>
      <c r="AI75" s="4" t="s">
        <v>115</v>
      </c>
      <c r="AJ75" s="4" t="s">
        <v>282</v>
      </c>
      <c r="AK75" s="4">
        <v>2</v>
      </c>
      <c r="AL75" s="4">
        <v>58.69</v>
      </c>
      <c r="AM75" s="232" t="str">
        <f t="shared" si="33"/>
        <v/>
      </c>
      <c r="AN75" s="233" t="str">
        <f t="shared" si="34"/>
        <v/>
      </c>
      <c r="AO75" s="4" t="str">
        <f t="shared" si="35"/>
        <v>g/s</v>
      </c>
      <c r="AP75" s="4"/>
      <c r="AQ75" s="4"/>
      <c r="AR75" s="4"/>
      <c r="AS75" s="4" t="s">
        <v>121</v>
      </c>
      <c r="AT75" s="4">
        <v>2</v>
      </c>
      <c r="AU75" s="5" t="s">
        <v>65</v>
      </c>
      <c r="AV75" s="248" t="str">
        <f t="shared" si="36"/>
        <v/>
      </c>
      <c r="AW75" s="248"/>
      <c r="AX75" s="4" t="str">
        <f t="shared" si="37"/>
        <v>M</v>
      </c>
      <c r="AY75" s="248" t="str">
        <f t="shared" si="38"/>
        <v/>
      </c>
      <c r="AZ75" s="232"/>
      <c r="BA75" s="4">
        <v>73</v>
      </c>
      <c r="BB75" s="2" t="s">
        <v>47</v>
      </c>
      <c r="BC75" s="2" t="s">
        <v>51</v>
      </c>
      <c r="BD75" s="2"/>
      <c r="BE75" s="2" t="s">
        <v>48</v>
      </c>
      <c r="BF75" s="2" t="s">
        <v>87</v>
      </c>
      <c r="BG75" s="2"/>
      <c r="BH75" s="185" t="s">
        <v>155</v>
      </c>
      <c r="BI75" s="185" t="s">
        <v>165</v>
      </c>
      <c r="BJ75" s="185" t="s">
        <v>166</v>
      </c>
      <c r="BK75" s="185" t="s">
        <v>60</v>
      </c>
      <c r="BL75" s="100"/>
      <c r="BM75" s="97">
        <f t="shared" si="39"/>
        <v>2</v>
      </c>
      <c r="BN75" s="225" t="s">
        <v>305</v>
      </c>
      <c r="BO75" s="225" t="s">
        <v>278</v>
      </c>
      <c r="BP75" s="225" t="s">
        <v>258</v>
      </c>
      <c r="BQ75" s="225" t="s">
        <v>259</v>
      </c>
      <c r="BR75" s="225" t="s">
        <v>379</v>
      </c>
      <c r="BS75" s="225" t="s">
        <v>322</v>
      </c>
      <c r="BT75" s="225" t="s">
        <v>372</v>
      </c>
      <c r="BU75" s="225" t="s">
        <v>260</v>
      </c>
      <c r="BV75" s="2"/>
      <c r="BW75" s="259" t="s">
        <v>359</v>
      </c>
      <c r="BX75" s="259" t="s">
        <v>360</v>
      </c>
      <c r="BY75" s="259" t="s">
        <v>266</v>
      </c>
      <c r="BZ75" s="259" t="s">
        <v>267</v>
      </c>
      <c r="CA75" s="107"/>
      <c r="CB75" s="249"/>
      <c r="CC75" s="107"/>
      <c r="CD75" s="249"/>
      <c r="CE75" s="107"/>
      <c r="CF75" s="225" t="str">
        <f t="shared" si="40"/>
        <v/>
      </c>
      <c r="CG75" s="225" t="str">
        <f t="shared" si="41"/>
        <v/>
      </c>
      <c r="CH75" s="225" t="str">
        <f t="shared" si="42"/>
        <v/>
      </c>
      <c r="CI75" s="225" t="str">
        <f t="shared" si="43"/>
        <v/>
      </c>
      <c r="CJ75" s="225" t="str">
        <f t="shared" si="44"/>
        <v/>
      </c>
      <c r="CK75" s="225" t="str">
        <f t="shared" si="45"/>
        <v/>
      </c>
      <c r="CL75" s="225" t="str">
        <f t="shared" si="46"/>
        <v/>
      </c>
      <c r="CM75" s="225" t="str">
        <f t="shared" si="47"/>
        <v/>
      </c>
      <c r="CN75" s="225" t="str">
        <f t="shared" si="48"/>
        <v/>
      </c>
      <c r="CO75" s="225" t="str">
        <f t="shared" si="49"/>
        <v/>
      </c>
      <c r="CP75" s="250"/>
      <c r="CQ75" s="250" t="str">
        <f t="shared" si="50"/>
        <v/>
      </c>
      <c r="CR75" s="5">
        <v>73</v>
      </c>
      <c r="CU7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5" s="373" t="str">
        <f t="shared" si="51"/>
        <v/>
      </c>
      <c r="CW75" s="2"/>
      <c r="CX75" s="104"/>
    </row>
    <row r="76" spans="1:102" ht="18.95" customHeight="1" x14ac:dyDescent="0.35">
      <c r="B76" s="128">
        <v>74</v>
      </c>
      <c r="C76" s="184" t="s">
        <v>877</v>
      </c>
      <c r="E76" s="382" t="s">
        <v>639</v>
      </c>
      <c r="F76" s="69"/>
      <c r="H76" s="69" t="s">
        <v>547</v>
      </c>
      <c r="I76" s="69" t="s">
        <v>429</v>
      </c>
      <c r="J76" s="69" t="s">
        <v>522</v>
      </c>
      <c r="K76" s="160" t="s">
        <v>548</v>
      </c>
      <c r="L76" s="2"/>
      <c r="M76" s="69" t="s">
        <v>769</v>
      </c>
      <c r="N76" s="2"/>
      <c r="O76" s="230" t="str">
        <f>IF($A$2=B76,Elektro!$Q$11,"")</f>
        <v/>
      </c>
      <c r="P76" s="230" t="str">
        <f>IF($A$2=B76,Elektro!$Q$12,"")</f>
        <v/>
      </c>
      <c r="Q76" s="236" t="str">
        <f>IF($A$2=B76,Elektro!$Q$13,"")</f>
        <v/>
      </c>
      <c r="R76" s="231" t="str">
        <f>IF($A$2=B76,Elektro!$Q$14,"")</f>
        <v/>
      </c>
      <c r="S76" s="231" t="str">
        <f>IF($A$2=B76,Elektro!$Q$15,"")</f>
        <v/>
      </c>
      <c r="T76" s="230" t="str">
        <f>IF($A$2=B76,Elektro!$Q$16,"")</f>
        <v/>
      </c>
      <c r="U76" s="353" t="str">
        <f t="shared" si="26"/>
        <v/>
      </c>
      <c r="V76" s="353" t="str">
        <f t="shared" si="27"/>
        <v/>
      </c>
      <c r="W76" s="4" t="s">
        <v>138</v>
      </c>
      <c r="X76" s="4" t="s">
        <v>20</v>
      </c>
      <c r="Y76" s="4">
        <v>4</v>
      </c>
      <c r="Z76" s="4">
        <v>32</v>
      </c>
      <c r="AA76" s="232" t="str">
        <f t="shared" si="28"/>
        <v/>
      </c>
      <c r="AB76" s="233" t="str">
        <f t="shared" si="29"/>
        <v/>
      </c>
      <c r="AC76" s="233" t="str">
        <f t="shared" si="30"/>
        <v>mol/s</v>
      </c>
      <c r="AD76" s="231" t="str">
        <f t="shared" si="31"/>
        <v/>
      </c>
      <c r="AE76" s="231" t="s">
        <v>283</v>
      </c>
      <c r="AF76" s="232" t="str">
        <f t="shared" si="32"/>
        <v/>
      </c>
      <c r="AG76" s="236" t="s">
        <v>284</v>
      </c>
      <c r="AH76" s="4"/>
      <c r="AI76" s="4" t="s">
        <v>111</v>
      </c>
      <c r="AJ76" s="4" t="s">
        <v>282</v>
      </c>
      <c r="AK76" s="4">
        <v>2</v>
      </c>
      <c r="AL76" s="4">
        <v>65.39</v>
      </c>
      <c r="AM76" s="232" t="str">
        <f t="shared" si="33"/>
        <v/>
      </c>
      <c r="AN76" s="233" t="str">
        <f t="shared" si="34"/>
        <v/>
      </c>
      <c r="AO76" s="4" t="str">
        <f t="shared" si="35"/>
        <v>g/s</v>
      </c>
      <c r="AP76" s="4"/>
      <c r="AQ76" s="4"/>
      <c r="AR76" s="4"/>
      <c r="AS76" s="4" t="s">
        <v>121</v>
      </c>
      <c r="AT76" s="4">
        <v>2</v>
      </c>
      <c r="AU76" s="5" t="s">
        <v>65</v>
      </c>
      <c r="AV76" s="248" t="str">
        <f t="shared" si="36"/>
        <v/>
      </c>
      <c r="AW76" s="248"/>
      <c r="AX76" s="4" t="str">
        <f t="shared" si="37"/>
        <v>M</v>
      </c>
      <c r="AY76" s="248" t="str">
        <f t="shared" si="38"/>
        <v/>
      </c>
      <c r="AZ76" s="232"/>
      <c r="BA76" s="4">
        <v>74</v>
      </c>
      <c r="BB76" s="2" t="s">
        <v>47</v>
      </c>
      <c r="BC76" s="2" t="s">
        <v>51</v>
      </c>
      <c r="BD76" s="2"/>
      <c r="BE76" s="2" t="s">
        <v>48</v>
      </c>
      <c r="BF76" s="2" t="s">
        <v>88</v>
      </c>
      <c r="BG76" s="2"/>
      <c r="BH76" s="185" t="s">
        <v>155</v>
      </c>
      <c r="BI76" s="185" t="s">
        <v>165</v>
      </c>
      <c r="BJ76" s="185" t="s">
        <v>158</v>
      </c>
      <c r="BK76" s="185" t="s">
        <v>30</v>
      </c>
      <c r="BL76" s="100"/>
      <c r="BM76" s="97">
        <f t="shared" si="39"/>
        <v>2</v>
      </c>
      <c r="BN76" s="225" t="s">
        <v>300</v>
      </c>
      <c r="BO76" s="225" t="s">
        <v>278</v>
      </c>
      <c r="BP76" s="225" t="s">
        <v>258</v>
      </c>
      <c r="BQ76" s="225" t="s">
        <v>259</v>
      </c>
      <c r="BR76" s="225" t="s">
        <v>380</v>
      </c>
      <c r="BS76" s="225" t="s">
        <v>322</v>
      </c>
      <c r="BT76" s="225" t="s">
        <v>369</v>
      </c>
      <c r="BU76" s="225" t="s">
        <v>260</v>
      </c>
      <c r="BV76" s="2"/>
      <c r="BW76" s="259" t="s">
        <v>345</v>
      </c>
      <c r="BX76" s="259" t="s">
        <v>346</v>
      </c>
      <c r="BY76" s="259" t="s">
        <v>266</v>
      </c>
      <c r="BZ76" s="259" t="s">
        <v>267</v>
      </c>
      <c r="CA76" s="107"/>
      <c r="CB76" s="249"/>
      <c r="CC76" s="107"/>
      <c r="CD76" s="249"/>
      <c r="CE76" s="107"/>
      <c r="CF76" s="225" t="str">
        <f t="shared" si="40"/>
        <v/>
      </c>
      <c r="CG76" s="225" t="str">
        <f t="shared" si="41"/>
        <v/>
      </c>
      <c r="CH76" s="225" t="str">
        <f t="shared" si="42"/>
        <v/>
      </c>
      <c r="CI76" s="225" t="str">
        <f t="shared" si="43"/>
        <v/>
      </c>
      <c r="CJ76" s="225" t="str">
        <f t="shared" si="44"/>
        <v/>
      </c>
      <c r="CK76" s="225" t="str">
        <f t="shared" si="45"/>
        <v/>
      </c>
      <c r="CL76" s="225" t="str">
        <f t="shared" si="46"/>
        <v/>
      </c>
      <c r="CM76" s="225" t="str">
        <f t="shared" si="47"/>
        <v/>
      </c>
      <c r="CN76" s="225" t="str">
        <f t="shared" si="48"/>
        <v/>
      </c>
      <c r="CO76" s="225" t="str">
        <f t="shared" si="49"/>
        <v/>
      </c>
      <c r="CP76" s="250"/>
      <c r="CQ76" s="250" t="str">
        <f t="shared" si="50"/>
        <v/>
      </c>
      <c r="CR76" s="5">
        <v>74</v>
      </c>
      <c r="CU7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6" s="373" t="str">
        <f t="shared" si="51"/>
        <v/>
      </c>
      <c r="CW76" s="2"/>
      <c r="CX76" s="104"/>
    </row>
    <row r="77" spans="1:102" ht="18.95" customHeight="1" x14ac:dyDescent="0.35">
      <c r="B77" s="128">
        <v>75</v>
      </c>
      <c r="C77" s="184" t="s">
        <v>878</v>
      </c>
      <c r="E77" s="382" t="s">
        <v>640</v>
      </c>
      <c r="F77" s="69"/>
      <c r="H77" s="69" t="s">
        <v>549</v>
      </c>
      <c r="I77" s="69" t="s">
        <v>429</v>
      </c>
      <c r="J77" s="69" t="s">
        <v>527</v>
      </c>
      <c r="K77" s="160" t="s">
        <v>550</v>
      </c>
      <c r="L77" s="2"/>
      <c r="M77" s="69" t="s">
        <v>770</v>
      </c>
      <c r="N77" s="2"/>
      <c r="O77" s="230" t="str">
        <f>IF($A$2=B77,Elektro!$Q$11,"")</f>
        <v/>
      </c>
      <c r="P77" s="230" t="str">
        <f>IF($A$2=B77,Elektro!$Q$12,"")</f>
        <v/>
      </c>
      <c r="Q77" s="236" t="str">
        <f>IF($A$2=B77,Elektro!$Q$13,"")</f>
        <v/>
      </c>
      <c r="R77" s="231" t="str">
        <f>IF($A$2=B77,Elektro!$Q$14,"")</f>
        <v/>
      </c>
      <c r="S77" s="231" t="str">
        <f>IF($A$2=B77,Elektro!$Q$15,"")</f>
        <v/>
      </c>
      <c r="T77" s="230" t="str">
        <f>IF($A$2=B77,Elektro!$Q$16,"")</f>
        <v/>
      </c>
      <c r="U77" s="353" t="str">
        <f t="shared" si="26"/>
        <v/>
      </c>
      <c r="V77" s="353" t="str">
        <f t="shared" si="27"/>
        <v/>
      </c>
      <c r="W77" s="4" t="s">
        <v>138</v>
      </c>
      <c r="X77" s="4" t="s">
        <v>20</v>
      </c>
      <c r="Y77" s="4">
        <v>4</v>
      </c>
      <c r="Z77" s="4">
        <v>32</v>
      </c>
      <c r="AA77" s="232" t="str">
        <f t="shared" si="28"/>
        <v/>
      </c>
      <c r="AB77" s="233" t="str">
        <f t="shared" si="29"/>
        <v/>
      </c>
      <c r="AC77" s="233" t="str">
        <f t="shared" si="30"/>
        <v>mol/s</v>
      </c>
      <c r="AD77" s="231" t="str">
        <f t="shared" si="31"/>
        <v/>
      </c>
      <c r="AE77" s="231" t="s">
        <v>283</v>
      </c>
      <c r="AF77" s="232" t="str">
        <f t="shared" si="32"/>
        <v/>
      </c>
      <c r="AG77" s="236" t="s">
        <v>284</v>
      </c>
      <c r="AH77" s="4"/>
      <c r="AI77" s="4" t="s">
        <v>117</v>
      </c>
      <c r="AJ77" s="4" t="s">
        <v>282</v>
      </c>
      <c r="AK77" s="4">
        <v>2</v>
      </c>
      <c r="AL77" s="4">
        <v>118.7</v>
      </c>
      <c r="AM77" s="232" t="str">
        <f t="shared" si="33"/>
        <v/>
      </c>
      <c r="AN77" s="233" t="str">
        <f t="shared" si="34"/>
        <v/>
      </c>
      <c r="AO77" s="4" t="str">
        <f t="shared" si="35"/>
        <v>g/s</v>
      </c>
      <c r="AP77" s="4"/>
      <c r="AQ77" s="4"/>
      <c r="AR77" s="4"/>
      <c r="AS77" s="4" t="s">
        <v>121</v>
      </c>
      <c r="AT77" s="4">
        <v>2</v>
      </c>
      <c r="AU77" s="5" t="s">
        <v>65</v>
      </c>
      <c r="AV77" s="248" t="str">
        <f t="shared" si="36"/>
        <v/>
      </c>
      <c r="AW77" s="248"/>
      <c r="AX77" s="4" t="str">
        <f t="shared" si="37"/>
        <v>M</v>
      </c>
      <c r="AY77" s="248" t="str">
        <f t="shared" si="38"/>
        <v/>
      </c>
      <c r="AZ77" s="232"/>
      <c r="BA77" s="4">
        <v>75</v>
      </c>
      <c r="BB77" s="2" t="s">
        <v>47</v>
      </c>
      <c r="BC77" s="2" t="s">
        <v>51</v>
      </c>
      <c r="BD77" s="2"/>
      <c r="BE77" s="2" t="s">
        <v>48</v>
      </c>
      <c r="BF77" s="2" t="s">
        <v>90</v>
      </c>
      <c r="BG77" s="2"/>
      <c r="BH77" s="185" t="s">
        <v>155</v>
      </c>
      <c r="BI77" s="185" t="s">
        <v>165</v>
      </c>
      <c r="BJ77" s="185" t="s">
        <v>167</v>
      </c>
      <c r="BK77" s="185" t="s">
        <v>130</v>
      </c>
      <c r="BL77" s="100"/>
      <c r="BM77" s="97">
        <f t="shared" si="39"/>
        <v>2</v>
      </c>
      <c r="BN77" s="225" t="s">
        <v>312</v>
      </c>
      <c r="BO77" s="225" t="s">
        <v>278</v>
      </c>
      <c r="BP77" s="225" t="s">
        <v>258</v>
      </c>
      <c r="BQ77" s="225" t="s">
        <v>259</v>
      </c>
      <c r="BR77" s="225" t="s">
        <v>381</v>
      </c>
      <c r="BS77" s="225" t="s">
        <v>322</v>
      </c>
      <c r="BT77" s="225" t="s">
        <v>370</v>
      </c>
      <c r="BU77" s="225" t="s">
        <v>260</v>
      </c>
      <c r="BV77" s="2"/>
      <c r="BW77" s="259" t="s">
        <v>347</v>
      </c>
      <c r="BX77" s="259" t="s">
        <v>348</v>
      </c>
      <c r="BY77" s="259" t="s">
        <v>266</v>
      </c>
      <c r="BZ77" s="259" t="s">
        <v>267</v>
      </c>
      <c r="CA77" s="107"/>
      <c r="CB77" s="249"/>
      <c r="CC77" s="107"/>
      <c r="CD77" s="249"/>
      <c r="CE77" s="107"/>
      <c r="CF77" s="225" t="str">
        <f t="shared" si="40"/>
        <v/>
      </c>
      <c r="CG77" s="225" t="str">
        <f t="shared" si="41"/>
        <v/>
      </c>
      <c r="CH77" s="225" t="str">
        <f t="shared" si="42"/>
        <v/>
      </c>
      <c r="CI77" s="225" t="str">
        <f t="shared" si="43"/>
        <v/>
      </c>
      <c r="CJ77" s="225" t="str">
        <f t="shared" si="44"/>
        <v/>
      </c>
      <c r="CK77" s="225" t="str">
        <f t="shared" si="45"/>
        <v/>
      </c>
      <c r="CL77" s="225" t="str">
        <f t="shared" si="46"/>
        <v/>
      </c>
      <c r="CM77" s="225" t="str">
        <f t="shared" si="47"/>
        <v/>
      </c>
      <c r="CN77" s="225" t="str">
        <f t="shared" si="48"/>
        <v/>
      </c>
      <c r="CO77" s="225" t="str">
        <f t="shared" si="49"/>
        <v/>
      </c>
      <c r="CP77" s="250"/>
      <c r="CQ77" s="250" t="str">
        <f t="shared" si="50"/>
        <v/>
      </c>
      <c r="CR77" s="5">
        <v>75</v>
      </c>
      <c r="CU7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7" s="373" t="str">
        <f t="shared" si="51"/>
        <v/>
      </c>
      <c r="CW77" s="2"/>
      <c r="CX77" s="104"/>
    </row>
    <row r="78" spans="1:102" ht="18.95" customHeight="1" x14ac:dyDescent="0.35">
      <c r="B78" s="128">
        <v>76</v>
      </c>
      <c r="C78" s="184" t="s">
        <v>879</v>
      </c>
      <c r="E78" s="382" t="s">
        <v>641</v>
      </c>
      <c r="F78" s="69"/>
      <c r="H78" s="69" t="s">
        <v>551</v>
      </c>
      <c r="I78" s="69" t="s">
        <v>429</v>
      </c>
      <c r="J78" s="69" t="s">
        <v>552</v>
      </c>
      <c r="K78" s="160" t="s">
        <v>553</v>
      </c>
      <c r="L78" s="2"/>
      <c r="M78" s="69" t="s">
        <v>771</v>
      </c>
      <c r="N78" s="2"/>
      <c r="O78" s="230" t="str">
        <f>IF($A$2=B78,Elektro!$Q$11,"")</f>
        <v/>
      </c>
      <c r="P78" s="230" t="str">
        <f>IF($A$2=B78,Elektro!$Q$12,"")</f>
        <v/>
      </c>
      <c r="Q78" s="236" t="str">
        <f>IF($A$2=B78,Elektro!$Q$13,"")</f>
        <v/>
      </c>
      <c r="R78" s="231" t="str">
        <f>IF($A$2=B78,Elektro!$Q$14,"")</f>
        <v/>
      </c>
      <c r="S78" s="231" t="str">
        <f>IF($A$2=B78,Elektro!$Q$15,"")</f>
        <v/>
      </c>
      <c r="T78" s="230" t="str">
        <f>IF($A$2=B78,Elektro!$Q$16,"")</f>
        <v/>
      </c>
      <c r="U78" s="353" t="str">
        <f t="shared" si="26"/>
        <v/>
      </c>
      <c r="V78" s="353" t="str">
        <f t="shared" si="27"/>
        <v/>
      </c>
      <c r="W78" s="4" t="s">
        <v>138</v>
      </c>
      <c r="X78" s="4" t="s">
        <v>20</v>
      </c>
      <c r="Y78" s="4">
        <v>4</v>
      </c>
      <c r="Z78" s="4">
        <v>32</v>
      </c>
      <c r="AA78" s="232" t="str">
        <f t="shared" si="28"/>
        <v/>
      </c>
      <c r="AB78" s="233" t="str">
        <f t="shared" si="29"/>
        <v/>
      </c>
      <c r="AC78" s="233" t="str">
        <f t="shared" si="30"/>
        <v>mol/s</v>
      </c>
      <c r="AD78" s="231" t="str">
        <f t="shared" si="31"/>
        <v/>
      </c>
      <c r="AE78" s="231" t="s">
        <v>283</v>
      </c>
      <c r="AF78" s="232" t="str">
        <f t="shared" si="32"/>
        <v/>
      </c>
      <c r="AG78" s="236" t="s">
        <v>284</v>
      </c>
      <c r="AH78" s="4"/>
      <c r="AI78" s="4" t="s">
        <v>116</v>
      </c>
      <c r="AJ78" s="4" t="s">
        <v>282</v>
      </c>
      <c r="AK78" s="4">
        <v>2</v>
      </c>
      <c r="AL78" s="4">
        <v>207.2</v>
      </c>
      <c r="AM78" s="232" t="str">
        <f t="shared" si="33"/>
        <v/>
      </c>
      <c r="AN78" s="233" t="str">
        <f t="shared" si="34"/>
        <v/>
      </c>
      <c r="AO78" s="4" t="str">
        <f t="shared" si="35"/>
        <v>g/s</v>
      </c>
      <c r="AP78" s="4"/>
      <c r="AQ78" s="4"/>
      <c r="AR78" s="4"/>
      <c r="AS78" s="4" t="s">
        <v>121</v>
      </c>
      <c r="AT78" s="4">
        <v>2</v>
      </c>
      <c r="AU78" s="5" t="s">
        <v>65</v>
      </c>
      <c r="AV78" s="248" t="str">
        <f t="shared" si="36"/>
        <v/>
      </c>
      <c r="AW78" s="248"/>
      <c r="AX78" s="4" t="str">
        <f t="shared" si="37"/>
        <v>M</v>
      </c>
      <c r="AY78" s="248" t="str">
        <f t="shared" si="38"/>
        <v/>
      </c>
      <c r="AZ78" s="232"/>
      <c r="BA78" s="4">
        <v>76</v>
      </c>
      <c r="BB78" s="2" t="s">
        <v>47</v>
      </c>
      <c r="BC78" s="2" t="s">
        <v>51</v>
      </c>
      <c r="BD78" s="2"/>
      <c r="BE78" s="2" t="s">
        <v>48</v>
      </c>
      <c r="BF78" s="2" t="s">
        <v>89</v>
      </c>
      <c r="BG78" s="2"/>
      <c r="BH78" s="185" t="s">
        <v>155</v>
      </c>
      <c r="BI78" s="185" t="s">
        <v>165</v>
      </c>
      <c r="BJ78" s="185" t="s">
        <v>170</v>
      </c>
      <c r="BK78" s="185" t="s">
        <v>129</v>
      </c>
      <c r="BL78" s="100"/>
      <c r="BM78" s="97">
        <f t="shared" si="39"/>
        <v>2</v>
      </c>
      <c r="BN78" s="225" t="s">
        <v>315</v>
      </c>
      <c r="BO78" s="225" t="s">
        <v>278</v>
      </c>
      <c r="BP78" s="225" t="s">
        <v>258</v>
      </c>
      <c r="BQ78" s="225" t="s">
        <v>259</v>
      </c>
      <c r="BR78" s="225" t="s">
        <v>390</v>
      </c>
      <c r="BS78" s="225" t="s">
        <v>322</v>
      </c>
      <c r="BT78" s="225" t="s">
        <v>373</v>
      </c>
      <c r="BU78" s="225" t="s">
        <v>260</v>
      </c>
      <c r="BV78" s="2"/>
      <c r="BW78" s="259" t="s">
        <v>365</v>
      </c>
      <c r="BX78" s="259" t="s">
        <v>366</v>
      </c>
      <c r="BY78" s="259" t="s">
        <v>266</v>
      </c>
      <c r="BZ78" s="259" t="s">
        <v>267</v>
      </c>
      <c r="CA78" s="107"/>
      <c r="CB78" s="249"/>
      <c r="CC78" s="107"/>
      <c r="CD78" s="249"/>
      <c r="CE78" s="107"/>
      <c r="CF78" s="225" t="str">
        <f t="shared" si="40"/>
        <v/>
      </c>
      <c r="CG78" s="225" t="str">
        <f t="shared" si="41"/>
        <v/>
      </c>
      <c r="CH78" s="225" t="str">
        <f t="shared" si="42"/>
        <v/>
      </c>
      <c r="CI78" s="225" t="str">
        <f t="shared" si="43"/>
        <v/>
      </c>
      <c r="CJ78" s="225" t="str">
        <f t="shared" si="44"/>
        <v/>
      </c>
      <c r="CK78" s="225" t="str">
        <f t="shared" si="45"/>
        <v/>
      </c>
      <c r="CL78" s="225" t="str">
        <f t="shared" si="46"/>
        <v/>
      </c>
      <c r="CM78" s="225" t="str">
        <f t="shared" si="47"/>
        <v/>
      </c>
      <c r="CN78" s="225" t="str">
        <f t="shared" si="48"/>
        <v/>
      </c>
      <c r="CO78" s="225" t="str">
        <f t="shared" si="49"/>
        <v/>
      </c>
      <c r="CP78" s="250"/>
      <c r="CQ78" s="250" t="str">
        <f t="shared" si="50"/>
        <v/>
      </c>
      <c r="CR78" s="5">
        <v>76</v>
      </c>
      <c r="CU7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8" s="373" t="str">
        <f t="shared" si="51"/>
        <v/>
      </c>
      <c r="CW78" s="2"/>
      <c r="CX78" s="104"/>
    </row>
    <row r="79" spans="1:102" ht="18.95" customHeight="1" x14ac:dyDescent="0.35">
      <c r="B79" s="128">
        <v>77</v>
      </c>
      <c r="C79" s="184" t="s">
        <v>880</v>
      </c>
      <c r="E79" s="382" t="s">
        <v>642</v>
      </c>
      <c r="F79" s="69"/>
      <c r="H79" s="69" t="s">
        <v>554</v>
      </c>
      <c r="I79" s="69" t="s">
        <v>429</v>
      </c>
      <c r="J79" s="69" t="s">
        <v>555</v>
      </c>
      <c r="K79" s="160" t="s">
        <v>556</v>
      </c>
      <c r="L79" s="2"/>
      <c r="M79" s="69" t="s">
        <v>772</v>
      </c>
      <c r="N79" s="2"/>
      <c r="O79" s="230" t="str">
        <f>IF($A$2=B79,Elektro!$Q$11,"")</f>
        <v/>
      </c>
      <c r="P79" s="230" t="str">
        <f>IF($A$2=B79,Elektro!$Q$12,"")</f>
        <v/>
      </c>
      <c r="Q79" s="236" t="str">
        <f>IF($A$2=B79,Elektro!$Q$13,"")</f>
        <v/>
      </c>
      <c r="R79" s="231" t="str">
        <f>IF($A$2=B79,Elektro!$Q$14,"")</f>
        <v/>
      </c>
      <c r="S79" s="231" t="str">
        <f>IF($A$2=B79,Elektro!$Q$15,"")</f>
        <v/>
      </c>
      <c r="T79" s="230" t="str">
        <f>IF($A$2=B79,Elektro!$Q$16,"")</f>
        <v/>
      </c>
      <c r="U79" s="353" t="str">
        <f t="shared" si="26"/>
        <v/>
      </c>
      <c r="V79" s="353" t="str">
        <f t="shared" si="27"/>
        <v/>
      </c>
      <c r="W79" s="4" t="s">
        <v>138</v>
      </c>
      <c r="X79" s="4" t="s">
        <v>20</v>
      </c>
      <c r="Y79" s="4">
        <v>4</v>
      </c>
      <c r="Z79" s="4">
        <v>32</v>
      </c>
      <c r="AA79" s="232" t="str">
        <f t="shared" si="28"/>
        <v/>
      </c>
      <c r="AB79" s="233" t="str">
        <f t="shared" si="29"/>
        <v/>
      </c>
      <c r="AC79" s="233" t="str">
        <f t="shared" si="30"/>
        <v>mol/s</v>
      </c>
      <c r="AD79" s="231" t="str">
        <f t="shared" si="31"/>
        <v/>
      </c>
      <c r="AE79" s="231" t="s">
        <v>283</v>
      </c>
      <c r="AF79" s="232" t="str">
        <f t="shared" si="32"/>
        <v/>
      </c>
      <c r="AG79" s="236" t="s">
        <v>284</v>
      </c>
      <c r="AH79" s="4"/>
      <c r="AI79" s="4" t="s">
        <v>113</v>
      </c>
      <c r="AJ79" s="4" t="s">
        <v>282</v>
      </c>
      <c r="AK79" s="4">
        <v>2</v>
      </c>
      <c r="AL79" s="4">
        <v>112.4</v>
      </c>
      <c r="AM79" s="232" t="str">
        <f t="shared" si="33"/>
        <v/>
      </c>
      <c r="AN79" s="233" t="str">
        <f t="shared" si="34"/>
        <v/>
      </c>
      <c r="AO79" s="4" t="str">
        <f t="shared" si="35"/>
        <v>g/s</v>
      </c>
      <c r="AP79" s="4"/>
      <c r="AQ79" s="4"/>
      <c r="AR79" s="4"/>
      <c r="AS79" s="4" t="s">
        <v>121</v>
      </c>
      <c r="AT79" s="4">
        <v>2</v>
      </c>
      <c r="AU79" s="5" t="s">
        <v>65</v>
      </c>
      <c r="AV79" s="248" t="str">
        <f t="shared" si="36"/>
        <v/>
      </c>
      <c r="AW79" s="248"/>
      <c r="AX79" s="4" t="str">
        <f t="shared" si="37"/>
        <v>M</v>
      </c>
      <c r="AY79" s="248" t="str">
        <f t="shared" si="38"/>
        <v/>
      </c>
      <c r="AZ79" s="232"/>
      <c r="BA79" s="4">
        <v>77</v>
      </c>
      <c r="BB79" s="2" t="s">
        <v>47</v>
      </c>
      <c r="BC79" s="2" t="s">
        <v>51</v>
      </c>
      <c r="BD79" s="2"/>
      <c r="BE79" s="2" t="s">
        <v>48</v>
      </c>
      <c r="BF79" s="2" t="s">
        <v>98</v>
      </c>
      <c r="BG79" s="2"/>
      <c r="BH79" s="185" t="s">
        <v>155</v>
      </c>
      <c r="BI79" s="185" t="s">
        <v>165</v>
      </c>
      <c r="BJ79" s="185" t="s">
        <v>159</v>
      </c>
      <c r="BK79" s="185" t="s">
        <v>31</v>
      </c>
      <c r="BL79" s="100"/>
      <c r="BM79" s="97">
        <f t="shared" si="39"/>
        <v>2</v>
      </c>
      <c r="BN79" s="225" t="s">
        <v>316</v>
      </c>
      <c r="BO79" s="225" t="s">
        <v>278</v>
      </c>
      <c r="BP79" s="225" t="s">
        <v>258</v>
      </c>
      <c r="BQ79" s="225" t="s">
        <v>259</v>
      </c>
      <c r="BR79" s="225" t="s">
        <v>391</v>
      </c>
      <c r="BS79" s="225" t="s">
        <v>322</v>
      </c>
      <c r="BT79" s="225" t="s">
        <v>374</v>
      </c>
      <c r="BU79" s="225" t="s">
        <v>260</v>
      </c>
      <c r="BV79" s="2"/>
      <c r="BW79" s="259" t="s">
        <v>350</v>
      </c>
      <c r="BX79" s="259" t="s">
        <v>351</v>
      </c>
      <c r="BY79" s="259" t="s">
        <v>266</v>
      </c>
      <c r="BZ79" s="259" t="s">
        <v>267</v>
      </c>
      <c r="CA79" s="107"/>
      <c r="CB79" s="249"/>
      <c r="CC79" s="107"/>
      <c r="CD79" s="249"/>
      <c r="CE79" s="107"/>
      <c r="CF79" s="225" t="str">
        <f t="shared" si="40"/>
        <v/>
      </c>
      <c r="CG79" s="225" t="str">
        <f t="shared" si="41"/>
        <v/>
      </c>
      <c r="CH79" s="225" t="str">
        <f t="shared" si="42"/>
        <v/>
      </c>
      <c r="CI79" s="225" t="str">
        <f t="shared" si="43"/>
        <v/>
      </c>
      <c r="CJ79" s="225" t="str">
        <f t="shared" si="44"/>
        <v/>
      </c>
      <c r="CK79" s="225" t="str">
        <f t="shared" si="45"/>
        <v/>
      </c>
      <c r="CL79" s="225" t="str">
        <f t="shared" si="46"/>
        <v/>
      </c>
      <c r="CM79" s="225" t="str">
        <f t="shared" si="47"/>
        <v/>
      </c>
      <c r="CN79" s="225" t="str">
        <f t="shared" si="48"/>
        <v/>
      </c>
      <c r="CO79" s="225" t="str">
        <f t="shared" si="49"/>
        <v/>
      </c>
      <c r="CP79" s="250"/>
      <c r="CQ79" s="250" t="str">
        <f t="shared" si="50"/>
        <v/>
      </c>
      <c r="CR79" s="5">
        <v>77</v>
      </c>
      <c r="CU7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9" s="373" t="str">
        <f t="shared" si="51"/>
        <v/>
      </c>
      <c r="CW79" s="2"/>
      <c r="CX79" s="104"/>
    </row>
    <row r="80" spans="1:102" ht="18.95" customHeight="1" x14ac:dyDescent="0.35">
      <c r="A80" s="5" t="s">
        <v>55</v>
      </c>
      <c r="B80" s="4">
        <v>78</v>
      </c>
      <c r="C80" s="4" t="s">
        <v>5</v>
      </c>
      <c r="E80" s="382" t="s">
        <v>602</v>
      </c>
      <c r="F80" s="69"/>
      <c r="H80" s="69" t="s">
        <v>484</v>
      </c>
      <c r="I80" s="69" t="s">
        <v>463</v>
      </c>
      <c r="J80" s="69" t="s">
        <v>419</v>
      </c>
      <c r="K80" s="160" t="s">
        <v>557</v>
      </c>
      <c r="L80" s="2"/>
      <c r="M80" s="69" t="s">
        <v>773</v>
      </c>
      <c r="N80" s="2"/>
      <c r="O80" s="230" t="str">
        <f>IF($A$2=B80,Elektro!$Q$11,"")</f>
        <v/>
      </c>
      <c r="P80" s="230" t="str">
        <f>IF($A$2=B80,Elektro!$Q$12,"")</f>
        <v/>
      </c>
      <c r="Q80" s="236" t="str">
        <f>IF($A$2=B80,Elektro!$Q$13,"")</f>
        <v/>
      </c>
      <c r="R80" s="231" t="str">
        <f>IF($A$2=B80,Elektro!$Q$14,"")</f>
        <v/>
      </c>
      <c r="S80" s="231" t="str">
        <f>IF($A$2=B80,Elektro!$Q$15,"")</f>
        <v/>
      </c>
      <c r="T80" s="230" t="str">
        <f>IF($A$2=B80,Elektro!$Q$16,"")</f>
        <v/>
      </c>
      <c r="U80" s="353" t="str">
        <f t="shared" si="26"/>
        <v/>
      </c>
      <c r="V80" s="353" t="str">
        <f t="shared" si="27"/>
        <v/>
      </c>
      <c r="W80" s="4" t="s">
        <v>139</v>
      </c>
      <c r="X80" s="4" t="s">
        <v>248</v>
      </c>
      <c r="Y80" s="4">
        <v>2</v>
      </c>
      <c r="Z80" s="4">
        <v>63.55</v>
      </c>
      <c r="AA80" s="232" t="str">
        <f t="shared" si="28"/>
        <v/>
      </c>
      <c r="AB80" s="233" t="str">
        <f t="shared" si="29"/>
        <v/>
      </c>
      <c r="AC80" s="233" t="str">
        <f t="shared" si="30"/>
        <v>mol/s</v>
      </c>
      <c r="AD80" s="231" t="str">
        <f t="shared" si="31"/>
        <v/>
      </c>
      <c r="AE80" s="231" t="s">
        <v>283</v>
      </c>
      <c r="AF80" s="232" t="str">
        <f t="shared" si="32"/>
        <v/>
      </c>
      <c r="AG80" s="236" t="s">
        <v>284</v>
      </c>
      <c r="AH80" s="4"/>
      <c r="AI80" s="4" t="s">
        <v>142</v>
      </c>
      <c r="AJ80" s="4" t="s">
        <v>20</v>
      </c>
      <c r="AK80" s="4">
        <v>2</v>
      </c>
      <c r="AL80" s="4">
        <v>2</v>
      </c>
      <c r="AM80" s="232" t="str">
        <f t="shared" si="33"/>
        <v/>
      </c>
      <c r="AN80" s="233" t="str">
        <f t="shared" si="34"/>
        <v/>
      </c>
      <c r="AO80" s="4" t="str">
        <f t="shared" si="35"/>
        <v>mol/s</v>
      </c>
      <c r="AP80" s="4"/>
      <c r="AQ80" s="4"/>
      <c r="AR80" s="4"/>
      <c r="AS80" s="4" t="s">
        <v>120</v>
      </c>
      <c r="AT80" s="4">
        <v>1</v>
      </c>
      <c r="AU80" s="5" t="s">
        <v>55</v>
      </c>
      <c r="AV80" s="248" t="str">
        <f t="shared" si="36"/>
        <v/>
      </c>
      <c r="AW80" s="248"/>
      <c r="AX80" s="4" t="str">
        <f t="shared" si="37"/>
        <v>M</v>
      </c>
      <c r="AY80" s="248" t="str">
        <f t="shared" si="38"/>
        <v/>
      </c>
      <c r="AZ80" s="232"/>
      <c r="BA80" s="4">
        <v>78</v>
      </c>
      <c r="BB80" s="2" t="s">
        <v>47</v>
      </c>
      <c r="BC80" s="2" t="s">
        <v>52</v>
      </c>
      <c r="BD80" s="2" t="s">
        <v>54</v>
      </c>
      <c r="BE80" s="2" t="s">
        <v>48</v>
      </c>
      <c r="BF80" s="2" t="s">
        <v>49</v>
      </c>
      <c r="BG80" s="2"/>
      <c r="BH80" s="185" t="s">
        <v>3</v>
      </c>
      <c r="BI80" s="185" t="s">
        <v>151</v>
      </c>
      <c r="BJ80" s="185" t="s">
        <v>146</v>
      </c>
      <c r="BK80" s="185" t="s">
        <v>164</v>
      </c>
      <c r="BL80" s="100"/>
      <c r="BM80" s="97">
        <f t="shared" si="39"/>
        <v>1</v>
      </c>
      <c r="BN80" s="225" t="s">
        <v>294</v>
      </c>
      <c r="BO80" s="225" t="s">
        <v>306</v>
      </c>
      <c r="BP80" s="225" t="s">
        <v>258</v>
      </c>
      <c r="BQ80" s="225" t="s">
        <v>259</v>
      </c>
      <c r="BR80" s="225" t="s">
        <v>318</v>
      </c>
      <c r="BS80" s="225" t="s">
        <v>325</v>
      </c>
      <c r="BT80" s="225" t="s">
        <v>273</v>
      </c>
      <c r="BU80" s="225" t="s">
        <v>260</v>
      </c>
      <c r="BV80" s="2"/>
      <c r="BW80" s="259" t="s">
        <v>264</v>
      </c>
      <c r="BX80" s="259" t="s">
        <v>265</v>
      </c>
      <c r="BY80" s="259" t="s">
        <v>270</v>
      </c>
      <c r="BZ80" s="259" t="s">
        <v>336</v>
      </c>
      <c r="CA80" s="107"/>
      <c r="CB80" s="249"/>
      <c r="CC80" s="107"/>
      <c r="CD80" s="249"/>
      <c r="CE80" s="107"/>
      <c r="CF80" s="225" t="str">
        <f t="shared" si="40"/>
        <v/>
      </c>
      <c r="CG80" s="225" t="str">
        <f t="shared" si="41"/>
        <v/>
      </c>
      <c r="CH80" s="225" t="str">
        <f t="shared" si="42"/>
        <v/>
      </c>
      <c r="CI80" s="225" t="str">
        <f t="shared" si="43"/>
        <v/>
      </c>
      <c r="CJ80" s="225" t="str">
        <f t="shared" si="44"/>
        <v/>
      </c>
      <c r="CK80" s="225" t="str">
        <f t="shared" si="45"/>
        <v/>
      </c>
      <c r="CL80" s="225" t="str">
        <f t="shared" si="46"/>
        <v/>
      </c>
      <c r="CM80" s="225" t="str">
        <f t="shared" si="47"/>
        <v/>
      </c>
      <c r="CN80" s="225" t="str">
        <f t="shared" si="48"/>
        <v/>
      </c>
      <c r="CO80" s="225" t="str">
        <f t="shared" si="49"/>
        <v/>
      </c>
      <c r="CP80" s="250"/>
      <c r="CQ80" s="250" t="str">
        <f t="shared" si="50"/>
        <v/>
      </c>
      <c r="CR80" s="5">
        <v>78</v>
      </c>
      <c r="CU8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0" s="373" t="str">
        <f t="shared" si="51"/>
        <v/>
      </c>
      <c r="CW80" s="2"/>
      <c r="CX80" s="104"/>
    </row>
    <row r="81" spans="1:102" ht="18.95" customHeight="1" x14ac:dyDescent="0.35">
      <c r="A81" s="5" t="s">
        <v>55</v>
      </c>
      <c r="B81" s="4">
        <v>79</v>
      </c>
      <c r="C81" s="4" t="s">
        <v>99</v>
      </c>
      <c r="E81" s="382" t="s">
        <v>603</v>
      </c>
      <c r="F81" s="69"/>
      <c r="H81" s="69" t="s">
        <v>486</v>
      </c>
      <c r="I81" s="69" t="s">
        <v>463</v>
      </c>
      <c r="J81" s="69" t="s">
        <v>419</v>
      </c>
      <c r="K81" s="160" t="s">
        <v>557</v>
      </c>
      <c r="L81" s="2"/>
      <c r="M81" s="69" t="s">
        <v>774</v>
      </c>
      <c r="N81" s="2"/>
      <c r="O81" s="230" t="str">
        <f>IF($A$2=B81,Elektro!$Q$11,"")</f>
        <v/>
      </c>
      <c r="P81" s="230" t="str">
        <f>IF($A$2=B81,Elektro!$Q$12,"")</f>
        <v/>
      </c>
      <c r="Q81" s="236" t="str">
        <f>IF($A$2=B81,Elektro!$Q$13,"")</f>
        <v/>
      </c>
      <c r="R81" s="231" t="str">
        <f>IF($A$2=B81,Elektro!$Q$14,"")</f>
        <v/>
      </c>
      <c r="S81" s="231" t="str">
        <f>IF($A$2=B81,Elektro!$Q$15,"")</f>
        <v/>
      </c>
      <c r="T81" s="230" t="str">
        <f>IF($A$2=B81,Elektro!$Q$16,"")</f>
        <v/>
      </c>
      <c r="U81" s="353" t="str">
        <f t="shared" si="26"/>
        <v/>
      </c>
      <c r="V81" s="353" t="str">
        <f t="shared" si="27"/>
        <v/>
      </c>
      <c r="W81" s="4" t="s">
        <v>139</v>
      </c>
      <c r="X81" s="4" t="s">
        <v>248</v>
      </c>
      <c r="Y81" s="4">
        <v>2</v>
      </c>
      <c r="Z81" s="4">
        <v>63.55</v>
      </c>
      <c r="AA81" s="232" t="str">
        <f t="shared" si="28"/>
        <v/>
      </c>
      <c r="AB81" s="233" t="str">
        <f t="shared" si="29"/>
        <v/>
      </c>
      <c r="AC81" s="233" t="str">
        <f t="shared" si="30"/>
        <v>mol/s</v>
      </c>
      <c r="AD81" s="231" t="str">
        <f t="shared" si="31"/>
        <v/>
      </c>
      <c r="AE81" s="231" t="s">
        <v>283</v>
      </c>
      <c r="AF81" s="232" t="str">
        <f t="shared" si="32"/>
        <v/>
      </c>
      <c r="AG81" s="236" t="s">
        <v>284</v>
      </c>
      <c r="AH81" s="4"/>
      <c r="AI81" s="4" t="s">
        <v>142</v>
      </c>
      <c r="AJ81" s="4" t="s">
        <v>20</v>
      </c>
      <c r="AK81" s="4">
        <v>2</v>
      </c>
      <c r="AL81" s="4">
        <v>2</v>
      </c>
      <c r="AM81" s="232" t="str">
        <f t="shared" si="33"/>
        <v/>
      </c>
      <c r="AN81" s="233" t="str">
        <f t="shared" si="34"/>
        <v/>
      </c>
      <c r="AO81" s="4" t="str">
        <f t="shared" si="35"/>
        <v>mol/s</v>
      </c>
      <c r="AP81" s="4"/>
      <c r="AQ81" s="4"/>
      <c r="AR81" s="4"/>
      <c r="AS81" s="4" t="s">
        <v>120</v>
      </c>
      <c r="AT81" s="4">
        <v>1</v>
      </c>
      <c r="AU81" s="5" t="s">
        <v>55</v>
      </c>
      <c r="AV81" s="248" t="str">
        <f t="shared" si="36"/>
        <v/>
      </c>
      <c r="AW81" s="248"/>
      <c r="AX81" s="4" t="str">
        <f t="shared" si="37"/>
        <v>M</v>
      </c>
      <c r="AY81" s="248" t="str">
        <f t="shared" si="38"/>
        <v/>
      </c>
      <c r="AZ81" s="232"/>
      <c r="BA81" s="4">
        <v>79</v>
      </c>
      <c r="BB81" s="2" t="s">
        <v>47</v>
      </c>
      <c r="BC81" s="2" t="s">
        <v>78</v>
      </c>
      <c r="BD81" s="2" t="s">
        <v>54</v>
      </c>
      <c r="BE81" s="2" t="s">
        <v>48</v>
      </c>
      <c r="BF81" s="2" t="s">
        <v>49</v>
      </c>
      <c r="BG81" s="2"/>
      <c r="BH81" s="185" t="s">
        <v>3</v>
      </c>
      <c r="BI81" s="185" t="s">
        <v>151</v>
      </c>
      <c r="BJ81" s="185" t="s">
        <v>146</v>
      </c>
      <c r="BK81" s="185" t="s">
        <v>164</v>
      </c>
      <c r="BL81" s="100"/>
      <c r="BM81" s="97">
        <f t="shared" si="39"/>
        <v>1</v>
      </c>
      <c r="BN81" s="225" t="s">
        <v>294</v>
      </c>
      <c r="BO81" s="225" t="s">
        <v>306</v>
      </c>
      <c r="BP81" s="225" t="s">
        <v>258</v>
      </c>
      <c r="BQ81" s="225" t="s">
        <v>259</v>
      </c>
      <c r="BR81" s="225" t="s">
        <v>318</v>
      </c>
      <c r="BS81" s="225" t="s">
        <v>325</v>
      </c>
      <c r="BT81" s="225" t="s">
        <v>273</v>
      </c>
      <c r="BU81" s="225" t="s">
        <v>260</v>
      </c>
      <c r="BV81" s="2"/>
      <c r="BW81" s="259" t="s">
        <v>264</v>
      </c>
      <c r="BX81" s="259" t="s">
        <v>265</v>
      </c>
      <c r="BY81" s="259" t="s">
        <v>270</v>
      </c>
      <c r="BZ81" s="259" t="s">
        <v>336</v>
      </c>
      <c r="CA81" s="107"/>
      <c r="CB81" s="249"/>
      <c r="CC81" s="107"/>
      <c r="CD81" s="249"/>
      <c r="CE81" s="107"/>
      <c r="CF81" s="225" t="str">
        <f t="shared" si="40"/>
        <v/>
      </c>
      <c r="CG81" s="225" t="str">
        <f t="shared" si="41"/>
        <v/>
      </c>
      <c r="CH81" s="225" t="str">
        <f t="shared" si="42"/>
        <v/>
      </c>
      <c r="CI81" s="225" t="str">
        <f t="shared" si="43"/>
        <v/>
      </c>
      <c r="CJ81" s="225" t="str">
        <f t="shared" si="44"/>
        <v/>
      </c>
      <c r="CK81" s="225" t="str">
        <f t="shared" si="45"/>
        <v/>
      </c>
      <c r="CL81" s="225" t="str">
        <f t="shared" si="46"/>
        <v/>
      </c>
      <c r="CM81" s="225" t="str">
        <f t="shared" si="47"/>
        <v/>
      </c>
      <c r="CN81" s="225" t="str">
        <f t="shared" si="48"/>
        <v/>
      </c>
      <c r="CO81" s="225" t="str">
        <f t="shared" si="49"/>
        <v/>
      </c>
      <c r="CP81" s="250"/>
      <c r="CQ81" s="250" t="str">
        <f t="shared" si="50"/>
        <v/>
      </c>
      <c r="CR81" s="5">
        <v>79</v>
      </c>
      <c r="CU8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1" s="373" t="str">
        <f t="shared" si="51"/>
        <v/>
      </c>
      <c r="CW81" s="2"/>
      <c r="CX81" s="104"/>
    </row>
    <row r="82" spans="1:102" ht="18.95" customHeight="1" x14ac:dyDescent="0.35">
      <c r="A82" s="5" t="s">
        <v>55</v>
      </c>
      <c r="B82" s="4">
        <v>80</v>
      </c>
      <c r="C82" s="4" t="s">
        <v>694</v>
      </c>
      <c r="E82" s="382" t="s">
        <v>604</v>
      </c>
      <c r="F82" s="69"/>
      <c r="H82" s="69" t="s">
        <v>489</v>
      </c>
      <c r="I82" s="69" t="s">
        <v>463</v>
      </c>
      <c r="J82" s="69" t="s">
        <v>419</v>
      </c>
      <c r="K82" s="160" t="s">
        <v>557</v>
      </c>
      <c r="L82" s="2"/>
      <c r="M82" s="69" t="s">
        <v>775</v>
      </c>
      <c r="N82" s="2"/>
      <c r="O82" s="230" t="str">
        <f>IF($A$2=B82,Elektro!$Q$11,"")</f>
        <v/>
      </c>
      <c r="P82" s="230" t="str">
        <f>IF($A$2=B82,Elektro!$Q$12,"")</f>
        <v/>
      </c>
      <c r="Q82" s="236" t="str">
        <f>IF($A$2=B82,Elektro!$Q$13,"")</f>
        <v/>
      </c>
      <c r="R82" s="231" t="str">
        <f>IF($A$2=B82,Elektro!$Q$14,"")</f>
        <v/>
      </c>
      <c r="S82" s="231" t="str">
        <f>IF($A$2=B82,Elektro!$Q$15,"")</f>
        <v/>
      </c>
      <c r="T82" s="230" t="str">
        <f>IF($A$2=B82,Elektro!$Q$16,"")</f>
        <v/>
      </c>
      <c r="U82" s="353" t="str">
        <f t="shared" si="26"/>
        <v/>
      </c>
      <c r="V82" s="353" t="str">
        <f t="shared" si="27"/>
        <v/>
      </c>
      <c r="W82" s="4" t="s">
        <v>139</v>
      </c>
      <c r="X82" s="4" t="s">
        <v>248</v>
      </c>
      <c r="Y82" s="4">
        <v>2</v>
      </c>
      <c r="Z82" s="4">
        <v>63.55</v>
      </c>
      <c r="AA82" s="232" t="str">
        <f t="shared" si="28"/>
        <v/>
      </c>
      <c r="AB82" s="233" t="str">
        <f t="shared" si="29"/>
        <v/>
      </c>
      <c r="AC82" s="233" t="str">
        <f t="shared" si="30"/>
        <v>mol/s</v>
      </c>
      <c r="AD82" s="231" t="str">
        <f t="shared" si="31"/>
        <v/>
      </c>
      <c r="AE82" s="231" t="s">
        <v>283</v>
      </c>
      <c r="AF82" s="232" t="str">
        <f t="shared" si="32"/>
        <v/>
      </c>
      <c r="AG82" s="236" t="s">
        <v>284</v>
      </c>
      <c r="AH82" s="4"/>
      <c r="AI82" s="4" t="s">
        <v>142</v>
      </c>
      <c r="AJ82" s="4" t="s">
        <v>20</v>
      </c>
      <c r="AK82" s="4">
        <v>2</v>
      </c>
      <c r="AL82" s="4">
        <v>2</v>
      </c>
      <c r="AM82" s="232" t="str">
        <f t="shared" si="33"/>
        <v/>
      </c>
      <c r="AN82" s="233" t="str">
        <f t="shared" si="34"/>
        <v/>
      </c>
      <c r="AO82" s="4" t="str">
        <f t="shared" si="35"/>
        <v>mol/s</v>
      </c>
      <c r="AP82" s="4"/>
      <c r="AQ82" s="4"/>
      <c r="AR82" s="4"/>
      <c r="AS82" s="4" t="s">
        <v>120</v>
      </c>
      <c r="AT82" s="4">
        <v>1</v>
      </c>
      <c r="AU82" s="5" t="s">
        <v>55</v>
      </c>
      <c r="AV82" s="248" t="str">
        <f t="shared" si="36"/>
        <v/>
      </c>
      <c r="AW82" s="248"/>
      <c r="AX82" s="4" t="str">
        <f t="shared" si="37"/>
        <v>M</v>
      </c>
      <c r="AY82" s="248" t="str">
        <f t="shared" si="38"/>
        <v/>
      </c>
      <c r="AZ82" s="232"/>
      <c r="BA82" s="4">
        <v>80</v>
      </c>
      <c r="BB82" s="2" t="s">
        <v>47</v>
      </c>
      <c r="BC82" s="2" t="s">
        <v>235</v>
      </c>
      <c r="BD82" s="2" t="s">
        <v>54</v>
      </c>
      <c r="BE82" s="2" t="s">
        <v>48</v>
      </c>
      <c r="BF82" s="2" t="s">
        <v>49</v>
      </c>
      <c r="BG82" s="2"/>
      <c r="BH82" s="185" t="s">
        <v>3</v>
      </c>
      <c r="BI82" s="185" t="s">
        <v>151</v>
      </c>
      <c r="BJ82" s="185" t="s">
        <v>146</v>
      </c>
      <c r="BK82" s="185" t="s">
        <v>164</v>
      </c>
      <c r="BL82" s="100"/>
      <c r="BM82" s="97">
        <f t="shared" si="39"/>
        <v>1</v>
      </c>
      <c r="BN82" s="225" t="s">
        <v>294</v>
      </c>
      <c r="BO82" s="225" t="s">
        <v>306</v>
      </c>
      <c r="BP82" s="225" t="s">
        <v>258</v>
      </c>
      <c r="BQ82" s="225" t="s">
        <v>259</v>
      </c>
      <c r="BR82" s="225" t="s">
        <v>318</v>
      </c>
      <c r="BS82" s="225" t="s">
        <v>325</v>
      </c>
      <c r="BT82" s="225" t="s">
        <v>273</v>
      </c>
      <c r="BU82" s="225" t="s">
        <v>260</v>
      </c>
      <c r="BV82" s="2"/>
      <c r="BW82" s="259" t="s">
        <v>329</v>
      </c>
      <c r="BX82" s="259" t="s">
        <v>330</v>
      </c>
      <c r="BY82" s="259" t="s">
        <v>270</v>
      </c>
      <c r="BZ82" s="259" t="s">
        <v>336</v>
      </c>
      <c r="CA82" s="107"/>
      <c r="CB82" s="249"/>
      <c r="CC82" s="107"/>
      <c r="CD82" s="249"/>
      <c r="CE82" s="107"/>
      <c r="CF82" s="225" t="str">
        <f t="shared" si="40"/>
        <v/>
      </c>
      <c r="CG82" s="225" t="str">
        <f t="shared" si="41"/>
        <v/>
      </c>
      <c r="CH82" s="225" t="str">
        <f t="shared" si="42"/>
        <v/>
      </c>
      <c r="CI82" s="225" t="str">
        <f t="shared" si="43"/>
        <v/>
      </c>
      <c r="CJ82" s="225" t="str">
        <f t="shared" si="44"/>
        <v/>
      </c>
      <c r="CK82" s="225" t="str">
        <f t="shared" si="45"/>
        <v/>
      </c>
      <c r="CL82" s="225" t="str">
        <f t="shared" si="46"/>
        <v/>
      </c>
      <c r="CM82" s="225" t="str">
        <f t="shared" si="47"/>
        <v/>
      </c>
      <c r="CN82" s="225" t="str">
        <f t="shared" si="48"/>
        <v/>
      </c>
      <c r="CO82" s="225" t="str">
        <f t="shared" si="49"/>
        <v/>
      </c>
      <c r="CP82" s="250"/>
      <c r="CQ82" s="250" t="str">
        <f t="shared" si="50"/>
        <v/>
      </c>
      <c r="CR82" s="5">
        <v>80</v>
      </c>
      <c r="CU8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2" s="373" t="str">
        <f t="shared" si="51"/>
        <v/>
      </c>
      <c r="CW82" s="2"/>
      <c r="CX82" s="104"/>
    </row>
    <row r="83" spans="1:102" ht="18.95" customHeight="1" x14ac:dyDescent="0.35">
      <c r="A83" s="5" t="s">
        <v>55</v>
      </c>
      <c r="B83" s="4">
        <v>81</v>
      </c>
      <c r="C83" s="4" t="s">
        <v>887</v>
      </c>
      <c r="E83" s="382" t="s">
        <v>669</v>
      </c>
      <c r="F83" s="69"/>
      <c r="H83" s="69" t="s">
        <v>490</v>
      </c>
      <c r="I83" s="69" t="s">
        <v>463</v>
      </c>
      <c r="J83" s="69" t="s">
        <v>419</v>
      </c>
      <c r="K83" s="160" t="s">
        <v>557</v>
      </c>
      <c r="L83" s="2"/>
      <c r="M83" s="69" t="s">
        <v>776</v>
      </c>
      <c r="N83" s="2"/>
      <c r="O83" s="230" t="str">
        <f>IF($A$2=B83,Elektro!$Q$11,"")</f>
        <v/>
      </c>
      <c r="P83" s="230" t="str">
        <f>IF($A$2=B83,Elektro!$Q$12,"")</f>
        <v/>
      </c>
      <c r="Q83" s="236" t="str">
        <f>IF($A$2=B83,Elektro!$Q$13,"")</f>
        <v/>
      </c>
      <c r="R83" s="231" t="str">
        <f>IF($A$2=B83,Elektro!$Q$14,"")</f>
        <v/>
      </c>
      <c r="S83" s="231" t="str">
        <f>IF($A$2=B83,Elektro!$Q$15,"")</f>
        <v/>
      </c>
      <c r="T83" s="230" t="str">
        <f>IF($A$2=B83,Elektro!$Q$16,"")</f>
        <v/>
      </c>
      <c r="U83" s="353" t="str">
        <f t="shared" si="26"/>
        <v/>
      </c>
      <c r="V83" s="353" t="str">
        <f t="shared" si="27"/>
        <v/>
      </c>
      <c r="W83" s="4" t="s">
        <v>139</v>
      </c>
      <c r="X83" s="4" t="s">
        <v>248</v>
      </c>
      <c r="Y83" s="4">
        <v>2</v>
      </c>
      <c r="Z83" s="4">
        <v>63.55</v>
      </c>
      <c r="AA83" s="232" t="str">
        <f t="shared" si="28"/>
        <v/>
      </c>
      <c r="AB83" s="233" t="str">
        <f t="shared" si="29"/>
        <v/>
      </c>
      <c r="AC83" s="233" t="str">
        <f t="shared" si="30"/>
        <v>mol/s</v>
      </c>
      <c r="AD83" s="231" t="str">
        <f t="shared" si="31"/>
        <v/>
      </c>
      <c r="AE83" s="231" t="s">
        <v>283</v>
      </c>
      <c r="AF83" s="232" t="str">
        <f t="shared" si="32"/>
        <v/>
      </c>
      <c r="AG83" s="236" t="s">
        <v>284</v>
      </c>
      <c r="AH83" s="4"/>
      <c r="AI83" s="4" t="s">
        <v>142</v>
      </c>
      <c r="AJ83" s="4" t="s">
        <v>20</v>
      </c>
      <c r="AK83" s="4">
        <v>2</v>
      </c>
      <c r="AL83" s="4">
        <v>2</v>
      </c>
      <c r="AM83" s="232" t="str">
        <f t="shared" si="33"/>
        <v/>
      </c>
      <c r="AN83" s="233" t="str">
        <f t="shared" si="34"/>
        <v/>
      </c>
      <c r="AO83" s="4" t="str">
        <f t="shared" si="35"/>
        <v>mol/s</v>
      </c>
      <c r="AP83" s="4"/>
      <c r="AQ83" s="4"/>
      <c r="AR83" s="4"/>
      <c r="AS83" s="4" t="s">
        <v>120</v>
      </c>
      <c r="AT83" s="4">
        <v>1</v>
      </c>
      <c r="AU83" s="5" t="s">
        <v>55</v>
      </c>
      <c r="AV83" s="248" t="str">
        <f t="shared" si="36"/>
        <v/>
      </c>
      <c r="AW83" s="248"/>
      <c r="AX83" s="4" t="str">
        <f t="shared" si="37"/>
        <v>M</v>
      </c>
      <c r="AY83" s="248" t="str">
        <f t="shared" si="38"/>
        <v/>
      </c>
      <c r="AZ83" s="232"/>
      <c r="BA83" s="4">
        <v>81</v>
      </c>
      <c r="BB83" s="2" t="s">
        <v>47</v>
      </c>
      <c r="BC83" s="2" t="s">
        <v>236</v>
      </c>
      <c r="BD83" s="2" t="s">
        <v>54</v>
      </c>
      <c r="BE83" s="2" t="s">
        <v>48</v>
      </c>
      <c r="BF83" s="2" t="s">
        <v>49</v>
      </c>
      <c r="BG83" s="2"/>
      <c r="BH83" s="185" t="s">
        <v>3</v>
      </c>
      <c r="BI83" s="185" t="s">
        <v>151</v>
      </c>
      <c r="BJ83" s="185" t="s">
        <v>146</v>
      </c>
      <c r="BK83" s="185" t="s">
        <v>164</v>
      </c>
      <c r="BL83" s="100"/>
      <c r="BM83" s="97">
        <f t="shared" si="39"/>
        <v>1</v>
      </c>
      <c r="BN83" s="225" t="s">
        <v>294</v>
      </c>
      <c r="BO83" s="225" t="s">
        <v>306</v>
      </c>
      <c r="BP83" s="225" t="s">
        <v>258</v>
      </c>
      <c r="BQ83" s="225" t="s">
        <v>259</v>
      </c>
      <c r="BR83" s="225" t="s">
        <v>318</v>
      </c>
      <c r="BS83" s="225" t="s">
        <v>325</v>
      </c>
      <c r="BT83" s="225" t="s">
        <v>273</v>
      </c>
      <c r="BU83" s="225" t="s">
        <v>260</v>
      </c>
      <c r="BV83" s="2"/>
      <c r="BW83" s="259" t="s">
        <v>329</v>
      </c>
      <c r="BX83" s="259" t="s">
        <v>330</v>
      </c>
      <c r="BY83" s="259" t="s">
        <v>270</v>
      </c>
      <c r="BZ83" s="259" t="s">
        <v>336</v>
      </c>
      <c r="CA83" s="107"/>
      <c r="CB83" s="249"/>
      <c r="CC83" s="107"/>
      <c r="CD83" s="249"/>
      <c r="CE83" s="107"/>
      <c r="CF83" s="225" t="str">
        <f t="shared" si="40"/>
        <v/>
      </c>
      <c r="CG83" s="225" t="str">
        <f t="shared" si="41"/>
        <v/>
      </c>
      <c r="CH83" s="225" t="str">
        <f t="shared" si="42"/>
        <v/>
      </c>
      <c r="CI83" s="225" t="str">
        <f t="shared" si="43"/>
        <v/>
      </c>
      <c r="CJ83" s="225" t="str">
        <f t="shared" si="44"/>
        <v/>
      </c>
      <c r="CK83" s="225" t="str">
        <f t="shared" si="45"/>
        <v/>
      </c>
      <c r="CL83" s="225" t="str">
        <f t="shared" si="46"/>
        <v/>
      </c>
      <c r="CM83" s="225" t="str">
        <f t="shared" si="47"/>
        <v/>
      </c>
      <c r="CN83" s="225" t="str">
        <f t="shared" si="48"/>
        <v/>
      </c>
      <c r="CO83" s="225" t="str">
        <f t="shared" si="49"/>
        <v/>
      </c>
      <c r="CP83" s="250"/>
      <c r="CQ83" s="250" t="str">
        <f t="shared" si="50"/>
        <v/>
      </c>
      <c r="CR83" s="5">
        <v>81</v>
      </c>
      <c r="CU8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3" s="373" t="str">
        <f t="shared" si="51"/>
        <v/>
      </c>
      <c r="CW83" s="2"/>
      <c r="CX83" s="104"/>
    </row>
    <row r="84" spans="1:102" ht="18.95" customHeight="1" x14ac:dyDescent="0.35">
      <c r="A84" s="5" t="s">
        <v>55</v>
      </c>
      <c r="B84" s="4">
        <v>82</v>
      </c>
      <c r="C84" s="4" t="s">
        <v>102</v>
      </c>
      <c r="E84" s="382" t="s">
        <v>586</v>
      </c>
      <c r="F84" s="69"/>
      <c r="H84" s="69" t="s">
        <v>367</v>
      </c>
      <c r="I84" s="69" t="s">
        <v>463</v>
      </c>
      <c r="J84" s="69" t="s">
        <v>419</v>
      </c>
      <c r="K84" s="160" t="s">
        <v>557</v>
      </c>
      <c r="L84" s="2"/>
      <c r="M84" s="69" t="s">
        <v>777</v>
      </c>
      <c r="N84" s="2"/>
      <c r="O84" s="230" t="str">
        <f>IF($A$2=B84,Elektro!$Q$11,"")</f>
        <v/>
      </c>
      <c r="P84" s="230" t="str">
        <f>IF($A$2=B84,Elektro!$Q$12,"")</f>
        <v/>
      </c>
      <c r="Q84" s="236" t="str">
        <f>IF($A$2=B84,Elektro!$Q$13,"")</f>
        <v/>
      </c>
      <c r="R84" s="231" t="str">
        <f>IF($A$2=B84,Elektro!$Q$14,"")</f>
        <v/>
      </c>
      <c r="S84" s="231" t="str">
        <f>IF($A$2=B84,Elektro!$Q$15,"")</f>
        <v/>
      </c>
      <c r="T84" s="230" t="str">
        <f>IF($A$2=B84,Elektro!$Q$16,"")</f>
        <v/>
      </c>
      <c r="U84" s="353" t="str">
        <f t="shared" si="26"/>
        <v/>
      </c>
      <c r="V84" s="353" t="str">
        <f t="shared" si="27"/>
        <v/>
      </c>
      <c r="W84" s="4" t="s">
        <v>139</v>
      </c>
      <c r="X84" s="4" t="s">
        <v>248</v>
      </c>
      <c r="Y84" s="4">
        <v>2</v>
      </c>
      <c r="Z84" s="4">
        <v>63.55</v>
      </c>
      <c r="AA84" s="232" t="str">
        <f t="shared" si="28"/>
        <v/>
      </c>
      <c r="AB84" s="233" t="str">
        <f t="shared" si="29"/>
        <v/>
      </c>
      <c r="AC84" s="233" t="str">
        <f t="shared" si="30"/>
        <v>mol/s</v>
      </c>
      <c r="AD84" s="231" t="str">
        <f t="shared" si="31"/>
        <v/>
      </c>
      <c r="AE84" s="231" t="s">
        <v>283</v>
      </c>
      <c r="AF84" s="232" t="str">
        <f t="shared" si="32"/>
        <v/>
      </c>
      <c r="AG84" s="236" t="s">
        <v>284</v>
      </c>
      <c r="AH84" s="4"/>
      <c r="AI84" s="4" t="s">
        <v>142</v>
      </c>
      <c r="AJ84" s="4" t="s">
        <v>20</v>
      </c>
      <c r="AK84" s="4">
        <v>2</v>
      </c>
      <c r="AL84" s="4">
        <v>2</v>
      </c>
      <c r="AM84" s="232" t="str">
        <f t="shared" si="33"/>
        <v/>
      </c>
      <c r="AN84" s="233" t="str">
        <f t="shared" si="34"/>
        <v/>
      </c>
      <c r="AO84" s="4" t="str">
        <f t="shared" si="35"/>
        <v>mol/s</v>
      </c>
      <c r="AP84" s="4"/>
      <c r="AQ84" s="4"/>
      <c r="AR84" s="4"/>
      <c r="AS84" s="4" t="s">
        <v>120</v>
      </c>
      <c r="AT84" s="4">
        <v>1</v>
      </c>
      <c r="AU84" s="5" t="s">
        <v>55</v>
      </c>
      <c r="AV84" s="248" t="str">
        <f t="shared" si="36"/>
        <v/>
      </c>
      <c r="AW84" s="248"/>
      <c r="AX84" s="4" t="str">
        <f t="shared" si="37"/>
        <v>M</v>
      </c>
      <c r="AY84" s="248" t="str">
        <f t="shared" si="38"/>
        <v/>
      </c>
      <c r="AZ84" s="232"/>
      <c r="BA84" s="4">
        <v>82</v>
      </c>
      <c r="BB84" s="2" t="s">
        <v>47</v>
      </c>
      <c r="BC84" s="2" t="s">
        <v>79</v>
      </c>
      <c r="BD84" s="2" t="s">
        <v>54</v>
      </c>
      <c r="BE84" s="2" t="s">
        <v>48</v>
      </c>
      <c r="BF84" s="2" t="s">
        <v>49</v>
      </c>
      <c r="BG84" s="2"/>
      <c r="BH84" s="185" t="s">
        <v>3</v>
      </c>
      <c r="BI84" s="185" t="s">
        <v>151</v>
      </c>
      <c r="BJ84" s="185" t="s">
        <v>146</v>
      </c>
      <c r="BK84" s="185" t="s">
        <v>164</v>
      </c>
      <c r="BL84" s="100"/>
      <c r="BM84" s="97">
        <f t="shared" si="39"/>
        <v>1</v>
      </c>
      <c r="BN84" s="225" t="s">
        <v>294</v>
      </c>
      <c r="BO84" s="225" t="s">
        <v>306</v>
      </c>
      <c r="BP84" s="225" t="s">
        <v>258</v>
      </c>
      <c r="BQ84" s="225" t="s">
        <v>259</v>
      </c>
      <c r="BR84" s="225" t="s">
        <v>318</v>
      </c>
      <c r="BS84" s="225" t="s">
        <v>325</v>
      </c>
      <c r="BT84" s="225" t="s">
        <v>273</v>
      </c>
      <c r="BU84" s="225" t="s">
        <v>260</v>
      </c>
      <c r="BV84" s="2"/>
      <c r="BW84" s="259" t="s">
        <v>329</v>
      </c>
      <c r="BX84" s="259" t="s">
        <v>330</v>
      </c>
      <c r="BY84" s="259" t="s">
        <v>270</v>
      </c>
      <c r="BZ84" s="259" t="s">
        <v>336</v>
      </c>
      <c r="CA84" s="107"/>
      <c r="CB84" s="249"/>
      <c r="CC84" s="107"/>
      <c r="CD84" s="249"/>
      <c r="CE84" s="107"/>
      <c r="CF84" s="225" t="str">
        <f t="shared" si="40"/>
        <v/>
      </c>
      <c r="CG84" s="225" t="str">
        <f t="shared" si="41"/>
        <v/>
      </c>
      <c r="CH84" s="225" t="str">
        <f t="shared" si="42"/>
        <v/>
      </c>
      <c r="CI84" s="225" t="str">
        <f t="shared" si="43"/>
        <v/>
      </c>
      <c r="CJ84" s="225" t="str">
        <f t="shared" si="44"/>
        <v/>
      </c>
      <c r="CK84" s="225" t="str">
        <f t="shared" si="45"/>
        <v/>
      </c>
      <c r="CL84" s="225" t="str">
        <f t="shared" si="46"/>
        <v/>
      </c>
      <c r="CM84" s="225" t="str">
        <f t="shared" si="47"/>
        <v/>
      </c>
      <c r="CN84" s="225" t="str">
        <f t="shared" si="48"/>
        <v/>
      </c>
      <c r="CO84" s="225" t="str">
        <f t="shared" si="49"/>
        <v/>
      </c>
      <c r="CP84" s="250"/>
      <c r="CQ84" s="250" t="str">
        <f t="shared" si="50"/>
        <v/>
      </c>
      <c r="CR84" s="5">
        <v>82</v>
      </c>
      <c r="CU8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4" s="373" t="str">
        <f t="shared" si="51"/>
        <v/>
      </c>
      <c r="CW84" s="2"/>
      <c r="CX84" s="104"/>
    </row>
    <row r="85" spans="1:102" ht="18.95" customHeight="1" x14ac:dyDescent="0.35">
      <c r="B85" s="4">
        <v>83</v>
      </c>
      <c r="C85" s="4" t="s">
        <v>103</v>
      </c>
      <c r="E85" s="382" t="s">
        <v>607</v>
      </c>
      <c r="F85" s="69" t="s">
        <v>75</v>
      </c>
      <c r="H85" s="69" t="s">
        <v>493</v>
      </c>
      <c r="I85" s="69" t="s">
        <v>463</v>
      </c>
      <c r="J85" s="69" t="s">
        <v>423</v>
      </c>
      <c r="K85" s="160" t="s">
        <v>558</v>
      </c>
      <c r="L85" s="2"/>
      <c r="M85" s="167" t="s">
        <v>778</v>
      </c>
      <c r="N85" s="2"/>
      <c r="O85" s="230" t="str">
        <f>IF($A$2=B85,Elektro!$Q$11,"")</f>
        <v/>
      </c>
      <c r="P85" s="230" t="str">
        <f>IF($A$2=B85,Elektro!$Q$12,"")</f>
        <v/>
      </c>
      <c r="Q85" s="236" t="str">
        <f>IF($A$2=B85,Elektro!$Q$13,"")</f>
        <v/>
      </c>
      <c r="R85" s="231" t="str">
        <f>IF($A$2=B85,Elektro!$Q$14,"")</f>
        <v/>
      </c>
      <c r="S85" s="231" t="str">
        <f>IF($A$2=B85,Elektro!$Q$15,"")</f>
        <v/>
      </c>
      <c r="T85" s="230" t="str">
        <f>IF($A$2=B85,Elektro!$Q$16,"")</f>
        <v/>
      </c>
      <c r="U85" s="353" t="str">
        <f t="shared" si="26"/>
        <v/>
      </c>
      <c r="V85" s="353" t="str">
        <f t="shared" si="27"/>
        <v/>
      </c>
      <c r="W85" s="4" t="s">
        <v>139</v>
      </c>
      <c r="X85" s="4" t="s">
        <v>248</v>
      </c>
      <c r="Y85" s="4">
        <v>2</v>
      </c>
      <c r="Z85" s="4">
        <v>63.55</v>
      </c>
      <c r="AA85" s="232" t="str">
        <f t="shared" si="28"/>
        <v/>
      </c>
      <c r="AB85" s="233" t="str">
        <f t="shared" si="29"/>
        <v/>
      </c>
      <c r="AC85" s="233" t="str">
        <f t="shared" si="30"/>
        <v>mol/s</v>
      </c>
      <c r="AD85" s="231" t="str">
        <f t="shared" si="31"/>
        <v/>
      </c>
      <c r="AE85" s="231" t="s">
        <v>283</v>
      </c>
      <c r="AF85" s="232" t="str">
        <f t="shared" si="32"/>
        <v/>
      </c>
      <c r="AG85" s="236" t="s">
        <v>284</v>
      </c>
      <c r="AH85" s="4"/>
      <c r="AI85" s="4" t="s">
        <v>142</v>
      </c>
      <c r="AJ85" s="4" t="s">
        <v>20</v>
      </c>
      <c r="AK85" s="4">
        <v>2</v>
      </c>
      <c r="AL85" s="4">
        <v>2</v>
      </c>
      <c r="AM85" s="232" t="str">
        <f t="shared" si="33"/>
        <v/>
      </c>
      <c r="AN85" s="233" t="str">
        <f t="shared" si="34"/>
        <v/>
      </c>
      <c r="AO85" s="4" t="str">
        <f t="shared" si="35"/>
        <v>mol/s</v>
      </c>
      <c r="AP85" s="4"/>
      <c r="AQ85" s="4"/>
      <c r="AR85" s="4"/>
      <c r="AS85" s="4" t="s">
        <v>368</v>
      </c>
      <c r="AT85" s="4">
        <v>0</v>
      </c>
      <c r="AV85" s="248" t="str">
        <f t="shared" si="36"/>
        <v/>
      </c>
      <c r="AW85" s="248"/>
      <c r="AX85" s="4" t="str">
        <f t="shared" si="37"/>
        <v>M</v>
      </c>
      <c r="AY85" s="248" t="str">
        <f t="shared" si="38"/>
        <v/>
      </c>
      <c r="AZ85" s="232"/>
      <c r="BA85" s="4">
        <v>83</v>
      </c>
      <c r="BB85" s="2" t="s">
        <v>47</v>
      </c>
      <c r="BC85" s="2" t="s">
        <v>52</v>
      </c>
      <c r="BD85" s="2" t="s">
        <v>54</v>
      </c>
      <c r="BE85" s="2" t="s">
        <v>48</v>
      </c>
      <c r="BF85" s="2" t="s">
        <v>74</v>
      </c>
      <c r="BG85" s="2"/>
      <c r="BH85" s="185" t="s">
        <v>3</v>
      </c>
      <c r="BI85" s="185" t="s">
        <v>151</v>
      </c>
      <c r="BJ85" s="185" t="s">
        <v>148</v>
      </c>
      <c r="BK85" s="185" t="s">
        <v>164</v>
      </c>
      <c r="BL85" s="100"/>
      <c r="BM85" s="97">
        <f t="shared" si="39"/>
        <v>0</v>
      </c>
      <c r="BN85" s="225" t="s">
        <v>294</v>
      </c>
      <c r="BO85" s="225" t="s">
        <v>306</v>
      </c>
      <c r="BP85" s="225" t="s">
        <v>258</v>
      </c>
      <c r="BQ85" s="225" t="s">
        <v>259</v>
      </c>
      <c r="BR85" s="225" t="s">
        <v>318</v>
      </c>
      <c r="BS85" s="225" t="s">
        <v>325</v>
      </c>
      <c r="BT85" s="225" t="s">
        <v>275</v>
      </c>
      <c r="BU85" s="225" t="s">
        <v>260</v>
      </c>
      <c r="BV85" s="2"/>
      <c r="BW85" s="259" t="s">
        <v>329</v>
      </c>
      <c r="BX85" s="259" t="s">
        <v>330</v>
      </c>
      <c r="BY85" s="259" t="s">
        <v>270</v>
      </c>
      <c r="BZ85" s="259" t="s">
        <v>336</v>
      </c>
      <c r="CA85" s="107"/>
      <c r="CB85" s="249"/>
      <c r="CC85" s="107"/>
      <c r="CD85" s="249"/>
      <c r="CE85" s="107"/>
      <c r="CF85" s="225" t="str">
        <f t="shared" si="40"/>
        <v/>
      </c>
      <c r="CG85" s="225" t="str">
        <f t="shared" si="41"/>
        <v/>
      </c>
      <c r="CH85" s="225" t="str">
        <f t="shared" si="42"/>
        <v/>
      </c>
      <c r="CI85" s="225" t="str">
        <f t="shared" si="43"/>
        <v/>
      </c>
      <c r="CJ85" s="225" t="str">
        <f t="shared" si="44"/>
        <v/>
      </c>
      <c r="CK85" s="225" t="str">
        <f t="shared" si="45"/>
        <v/>
      </c>
      <c r="CL85" s="225" t="str">
        <f t="shared" si="46"/>
        <v/>
      </c>
      <c r="CM85" s="225" t="str">
        <f t="shared" si="47"/>
        <v/>
      </c>
      <c r="CN85" s="225" t="str">
        <f t="shared" si="48"/>
        <v/>
      </c>
      <c r="CO85" s="225" t="str">
        <f t="shared" si="49"/>
        <v/>
      </c>
      <c r="CP85" s="250"/>
      <c r="CQ85" s="250" t="str">
        <f t="shared" si="50"/>
        <v/>
      </c>
      <c r="CR85" s="5">
        <v>83</v>
      </c>
      <c r="CU8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5" s="373" t="str">
        <f t="shared" si="51"/>
        <v/>
      </c>
      <c r="CW85" s="2"/>
      <c r="CX85" s="104"/>
    </row>
    <row r="86" spans="1:102" ht="18.95" customHeight="1" x14ac:dyDescent="0.35">
      <c r="B86" s="4">
        <v>84</v>
      </c>
      <c r="C86" s="4" t="s">
        <v>131</v>
      </c>
      <c r="E86" s="382" t="s">
        <v>608</v>
      </c>
      <c r="F86" s="69" t="s">
        <v>75</v>
      </c>
      <c r="H86" s="69" t="s">
        <v>495</v>
      </c>
      <c r="I86" s="69" t="s">
        <v>463</v>
      </c>
      <c r="J86" s="69" t="s">
        <v>423</v>
      </c>
      <c r="K86" s="160" t="s">
        <v>558</v>
      </c>
      <c r="L86" s="2"/>
      <c r="M86" s="167" t="s">
        <v>779</v>
      </c>
      <c r="N86" s="2"/>
      <c r="O86" s="230" t="str">
        <f>IF($A$2=B86,Elektro!$Q$11,"")</f>
        <v/>
      </c>
      <c r="P86" s="230" t="str">
        <f>IF($A$2=B86,Elektro!$Q$12,"")</f>
        <v/>
      </c>
      <c r="Q86" s="236" t="str">
        <f>IF($A$2=B86,Elektro!$Q$13,"")</f>
        <v/>
      </c>
      <c r="R86" s="231" t="str">
        <f>IF($A$2=B86,Elektro!$Q$14,"")</f>
        <v/>
      </c>
      <c r="S86" s="231" t="str">
        <f>IF($A$2=B86,Elektro!$Q$15,"")</f>
        <v/>
      </c>
      <c r="T86" s="230" t="str">
        <f>IF($A$2=B86,Elektro!$Q$16,"")</f>
        <v/>
      </c>
      <c r="U86" s="353" t="str">
        <f t="shared" si="26"/>
        <v/>
      </c>
      <c r="V86" s="353" t="str">
        <f t="shared" si="27"/>
        <v/>
      </c>
      <c r="W86" s="4" t="s">
        <v>139</v>
      </c>
      <c r="X86" s="4" t="s">
        <v>248</v>
      </c>
      <c r="Y86" s="4">
        <v>2</v>
      </c>
      <c r="Z86" s="4">
        <v>63.55</v>
      </c>
      <c r="AA86" s="232" t="str">
        <f t="shared" si="28"/>
        <v/>
      </c>
      <c r="AB86" s="233" t="str">
        <f t="shared" si="29"/>
        <v/>
      </c>
      <c r="AC86" s="233" t="str">
        <f t="shared" si="30"/>
        <v>mol/s</v>
      </c>
      <c r="AD86" s="231" t="str">
        <f t="shared" si="31"/>
        <v/>
      </c>
      <c r="AE86" s="231" t="s">
        <v>283</v>
      </c>
      <c r="AF86" s="232" t="str">
        <f t="shared" si="32"/>
        <v/>
      </c>
      <c r="AG86" s="236" t="s">
        <v>284</v>
      </c>
      <c r="AH86" s="4"/>
      <c r="AI86" s="4" t="s">
        <v>142</v>
      </c>
      <c r="AJ86" s="4" t="s">
        <v>20</v>
      </c>
      <c r="AK86" s="4">
        <v>2</v>
      </c>
      <c r="AL86" s="4">
        <v>2</v>
      </c>
      <c r="AM86" s="232" t="str">
        <f t="shared" si="33"/>
        <v/>
      </c>
      <c r="AN86" s="233" t="str">
        <f t="shared" si="34"/>
        <v/>
      </c>
      <c r="AO86" s="4" t="str">
        <f t="shared" si="35"/>
        <v>mol/s</v>
      </c>
      <c r="AP86" s="4"/>
      <c r="AQ86" s="4"/>
      <c r="AR86" s="4"/>
      <c r="AS86" s="4" t="s">
        <v>368</v>
      </c>
      <c r="AT86" s="4">
        <v>0</v>
      </c>
      <c r="AV86" s="248" t="str">
        <f t="shared" si="36"/>
        <v/>
      </c>
      <c r="AW86" s="248"/>
      <c r="AX86" s="4" t="str">
        <f t="shared" si="37"/>
        <v>M</v>
      </c>
      <c r="AY86" s="248" t="str">
        <f t="shared" si="38"/>
        <v/>
      </c>
      <c r="AZ86" s="232"/>
      <c r="BA86" s="4">
        <v>84</v>
      </c>
      <c r="BB86" s="2" t="s">
        <v>47</v>
      </c>
      <c r="BC86" s="2" t="s">
        <v>78</v>
      </c>
      <c r="BD86" s="2" t="s">
        <v>54</v>
      </c>
      <c r="BE86" s="2" t="s">
        <v>48</v>
      </c>
      <c r="BF86" s="2" t="s">
        <v>50</v>
      </c>
      <c r="BG86" s="2"/>
      <c r="BH86" s="185" t="s">
        <v>3</v>
      </c>
      <c r="BI86" s="185" t="s">
        <v>151</v>
      </c>
      <c r="BJ86" s="185" t="s">
        <v>148</v>
      </c>
      <c r="BK86" s="185" t="s">
        <v>164</v>
      </c>
      <c r="BL86" s="100"/>
      <c r="BM86" s="97">
        <f t="shared" si="39"/>
        <v>0</v>
      </c>
      <c r="BN86" s="225" t="s">
        <v>294</v>
      </c>
      <c r="BO86" s="225" t="s">
        <v>306</v>
      </c>
      <c r="BP86" s="225" t="s">
        <v>258</v>
      </c>
      <c r="BQ86" s="225" t="s">
        <v>259</v>
      </c>
      <c r="BR86" s="225" t="s">
        <v>318</v>
      </c>
      <c r="BS86" s="225" t="s">
        <v>325</v>
      </c>
      <c r="BT86" s="225" t="s">
        <v>275</v>
      </c>
      <c r="BU86" s="225" t="s">
        <v>260</v>
      </c>
      <c r="BV86" s="2"/>
      <c r="BW86" s="259" t="s">
        <v>329</v>
      </c>
      <c r="BX86" s="259" t="s">
        <v>330</v>
      </c>
      <c r="BY86" s="259" t="s">
        <v>270</v>
      </c>
      <c r="BZ86" s="259" t="s">
        <v>336</v>
      </c>
      <c r="CA86" s="107"/>
      <c r="CB86" s="249"/>
      <c r="CC86" s="107"/>
      <c r="CD86" s="249"/>
      <c r="CE86" s="107"/>
      <c r="CF86" s="225" t="str">
        <f t="shared" si="40"/>
        <v/>
      </c>
      <c r="CG86" s="225" t="str">
        <f t="shared" si="41"/>
        <v/>
      </c>
      <c r="CH86" s="225" t="str">
        <f t="shared" si="42"/>
        <v/>
      </c>
      <c r="CI86" s="225" t="str">
        <f t="shared" si="43"/>
        <v/>
      </c>
      <c r="CJ86" s="225" t="str">
        <f t="shared" si="44"/>
        <v/>
      </c>
      <c r="CK86" s="225" t="str">
        <f t="shared" si="45"/>
        <v/>
      </c>
      <c r="CL86" s="225" t="str">
        <f t="shared" si="46"/>
        <v/>
      </c>
      <c r="CM86" s="225" t="str">
        <f t="shared" si="47"/>
        <v/>
      </c>
      <c r="CN86" s="225" t="str">
        <f t="shared" si="48"/>
        <v/>
      </c>
      <c r="CO86" s="225" t="str">
        <f t="shared" si="49"/>
        <v/>
      </c>
      <c r="CP86" s="250"/>
      <c r="CQ86" s="250" t="str">
        <f t="shared" si="50"/>
        <v/>
      </c>
      <c r="CR86" s="5">
        <v>84</v>
      </c>
      <c r="CU8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6" s="373" t="str">
        <f t="shared" si="51"/>
        <v/>
      </c>
      <c r="CW86" s="2"/>
      <c r="CX86" s="104"/>
    </row>
    <row r="87" spans="1:102" ht="18.95" customHeight="1" x14ac:dyDescent="0.35">
      <c r="B87" s="4">
        <v>85</v>
      </c>
      <c r="C87" s="4" t="s">
        <v>8</v>
      </c>
      <c r="E87" s="382" t="s">
        <v>609</v>
      </c>
      <c r="F87" s="69" t="s">
        <v>75</v>
      </c>
      <c r="H87" s="69" t="s">
        <v>497</v>
      </c>
      <c r="I87" s="69" t="s">
        <v>463</v>
      </c>
      <c r="J87" s="69" t="s">
        <v>423</v>
      </c>
      <c r="K87" s="160" t="s">
        <v>558</v>
      </c>
      <c r="L87" s="2"/>
      <c r="M87" s="167" t="s">
        <v>780</v>
      </c>
      <c r="N87" s="2"/>
      <c r="O87" s="230" t="str">
        <f>IF($A$2=B87,Elektro!$Q$11,"")</f>
        <v/>
      </c>
      <c r="P87" s="230" t="str">
        <f>IF($A$2=B87,Elektro!$Q$12,"")</f>
        <v/>
      </c>
      <c r="Q87" s="236" t="str">
        <f>IF($A$2=B87,Elektro!$Q$13,"")</f>
        <v/>
      </c>
      <c r="R87" s="231" t="str">
        <f>IF($A$2=B87,Elektro!$Q$14,"")</f>
        <v/>
      </c>
      <c r="S87" s="231" t="str">
        <f>IF($A$2=B87,Elektro!$Q$15,"")</f>
        <v/>
      </c>
      <c r="T87" s="230" t="str">
        <f>IF($A$2=B87,Elektro!$Q$16,"")</f>
        <v/>
      </c>
      <c r="U87" s="353" t="str">
        <f t="shared" si="26"/>
        <v/>
      </c>
      <c r="V87" s="353" t="str">
        <f t="shared" si="27"/>
        <v/>
      </c>
      <c r="W87" s="4" t="s">
        <v>139</v>
      </c>
      <c r="X87" s="4" t="s">
        <v>248</v>
      </c>
      <c r="Y87" s="4">
        <v>2</v>
      </c>
      <c r="Z87" s="4">
        <v>63.55</v>
      </c>
      <c r="AA87" s="232" t="str">
        <f t="shared" si="28"/>
        <v/>
      </c>
      <c r="AB87" s="233" t="str">
        <f t="shared" si="29"/>
        <v/>
      </c>
      <c r="AC87" s="233" t="str">
        <f t="shared" si="30"/>
        <v>mol/s</v>
      </c>
      <c r="AD87" s="231" t="str">
        <f t="shared" si="31"/>
        <v/>
      </c>
      <c r="AE87" s="231" t="s">
        <v>283</v>
      </c>
      <c r="AF87" s="232" t="str">
        <f t="shared" si="32"/>
        <v/>
      </c>
      <c r="AG87" s="236" t="s">
        <v>284</v>
      </c>
      <c r="AH87" s="4"/>
      <c r="AI87" s="4" t="s">
        <v>142</v>
      </c>
      <c r="AJ87" s="4" t="s">
        <v>20</v>
      </c>
      <c r="AK87" s="4">
        <v>2</v>
      </c>
      <c r="AL87" s="4">
        <v>2</v>
      </c>
      <c r="AM87" s="232" t="str">
        <f t="shared" si="33"/>
        <v/>
      </c>
      <c r="AN87" s="233" t="str">
        <f t="shared" si="34"/>
        <v/>
      </c>
      <c r="AO87" s="4" t="str">
        <f t="shared" si="35"/>
        <v>mol/s</v>
      </c>
      <c r="AP87" s="4"/>
      <c r="AQ87" s="4"/>
      <c r="AR87" s="4"/>
      <c r="AS87" s="4" t="s">
        <v>368</v>
      </c>
      <c r="AT87" s="4">
        <v>0</v>
      </c>
      <c r="AV87" s="248" t="str">
        <f t="shared" si="36"/>
        <v/>
      </c>
      <c r="AW87" s="248"/>
      <c r="AX87" s="4" t="str">
        <f t="shared" si="37"/>
        <v>M</v>
      </c>
      <c r="AY87" s="248" t="str">
        <f t="shared" si="38"/>
        <v/>
      </c>
      <c r="AZ87" s="232"/>
      <c r="BA87" s="4">
        <v>85</v>
      </c>
      <c r="BB87" s="2" t="s">
        <v>47</v>
      </c>
      <c r="BC87" s="2" t="s">
        <v>52</v>
      </c>
      <c r="BD87" s="2" t="s">
        <v>54</v>
      </c>
      <c r="BE87" s="2" t="s">
        <v>48</v>
      </c>
      <c r="BF87" s="2" t="s">
        <v>50</v>
      </c>
      <c r="BG87" s="2"/>
      <c r="BH87" s="185" t="s">
        <v>3</v>
      </c>
      <c r="BI87" s="185" t="s">
        <v>151</v>
      </c>
      <c r="BJ87" s="185" t="s">
        <v>148</v>
      </c>
      <c r="BK87" s="185" t="s">
        <v>164</v>
      </c>
      <c r="BL87" s="100"/>
      <c r="BM87" s="97">
        <f t="shared" si="39"/>
        <v>0</v>
      </c>
      <c r="BN87" s="225" t="s">
        <v>294</v>
      </c>
      <c r="BO87" s="225" t="s">
        <v>306</v>
      </c>
      <c r="BP87" s="225" t="s">
        <v>258</v>
      </c>
      <c r="BQ87" s="225" t="s">
        <v>259</v>
      </c>
      <c r="BR87" s="225" t="s">
        <v>318</v>
      </c>
      <c r="BS87" s="225" t="s">
        <v>325</v>
      </c>
      <c r="BT87" s="225" t="s">
        <v>275</v>
      </c>
      <c r="BU87" s="225" t="s">
        <v>260</v>
      </c>
      <c r="BV87" s="2"/>
      <c r="BW87" s="259" t="s">
        <v>329</v>
      </c>
      <c r="BX87" s="259" t="s">
        <v>330</v>
      </c>
      <c r="BY87" s="259" t="s">
        <v>270</v>
      </c>
      <c r="BZ87" s="259" t="s">
        <v>336</v>
      </c>
      <c r="CA87" s="107"/>
      <c r="CB87" s="249"/>
      <c r="CC87" s="107"/>
      <c r="CD87" s="249"/>
      <c r="CE87" s="107"/>
      <c r="CF87" s="225" t="str">
        <f t="shared" si="40"/>
        <v/>
      </c>
      <c r="CG87" s="225" t="str">
        <f t="shared" si="41"/>
        <v/>
      </c>
      <c r="CH87" s="225" t="str">
        <f t="shared" si="42"/>
        <v/>
      </c>
      <c r="CI87" s="225" t="str">
        <f t="shared" si="43"/>
        <v/>
      </c>
      <c r="CJ87" s="225" t="str">
        <f t="shared" si="44"/>
        <v/>
      </c>
      <c r="CK87" s="225" t="str">
        <f t="shared" si="45"/>
        <v/>
      </c>
      <c r="CL87" s="225" t="str">
        <f t="shared" si="46"/>
        <v/>
      </c>
      <c r="CM87" s="225" t="str">
        <f t="shared" si="47"/>
        <v/>
      </c>
      <c r="CN87" s="225" t="str">
        <f t="shared" si="48"/>
        <v/>
      </c>
      <c r="CO87" s="225" t="str">
        <f t="shared" si="49"/>
        <v/>
      </c>
      <c r="CP87" s="250"/>
      <c r="CQ87" s="250" t="str">
        <f t="shared" si="50"/>
        <v/>
      </c>
      <c r="CR87" s="5">
        <v>85</v>
      </c>
      <c r="CU8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7" s="373" t="str">
        <f t="shared" si="51"/>
        <v/>
      </c>
      <c r="CW87" s="2"/>
      <c r="CX87" s="104"/>
    </row>
    <row r="88" spans="1:102" ht="18.95" customHeight="1" x14ac:dyDescent="0.35">
      <c r="B88" s="4">
        <v>86</v>
      </c>
      <c r="C88" s="4" t="s">
        <v>866</v>
      </c>
      <c r="E88" s="382" t="s">
        <v>610</v>
      </c>
      <c r="F88" s="69" t="s">
        <v>75</v>
      </c>
      <c r="H88" s="69" t="s">
        <v>498</v>
      </c>
      <c r="I88" s="69" t="s">
        <v>463</v>
      </c>
      <c r="J88" s="69" t="s">
        <v>423</v>
      </c>
      <c r="K88" s="160" t="s">
        <v>558</v>
      </c>
      <c r="L88" s="2"/>
      <c r="M88" s="167" t="s">
        <v>781</v>
      </c>
      <c r="N88" s="2"/>
      <c r="O88" s="230" t="str">
        <f>IF($A$2=B88,Elektro!$Q$11,"")</f>
        <v/>
      </c>
      <c r="P88" s="230" t="str">
        <f>IF($A$2=B88,Elektro!$Q$12,"")</f>
        <v/>
      </c>
      <c r="Q88" s="236" t="str">
        <f>IF($A$2=B88,Elektro!$Q$13,"")</f>
        <v/>
      </c>
      <c r="R88" s="231" t="str">
        <f>IF($A$2=B88,Elektro!$Q$14,"")</f>
        <v/>
      </c>
      <c r="S88" s="231" t="str">
        <f>IF($A$2=B88,Elektro!$Q$15,"")</f>
        <v/>
      </c>
      <c r="T88" s="230" t="str">
        <f>IF($A$2=B88,Elektro!$Q$16,"")</f>
        <v/>
      </c>
      <c r="U88" s="353" t="str">
        <f t="shared" si="26"/>
        <v/>
      </c>
      <c r="V88" s="353" t="str">
        <f t="shared" si="27"/>
        <v/>
      </c>
      <c r="W88" s="4" t="s">
        <v>139</v>
      </c>
      <c r="X88" s="4" t="s">
        <v>248</v>
      </c>
      <c r="Y88" s="4">
        <v>2</v>
      </c>
      <c r="Z88" s="4">
        <v>63.55</v>
      </c>
      <c r="AA88" s="232" t="str">
        <f t="shared" si="28"/>
        <v/>
      </c>
      <c r="AB88" s="233" t="str">
        <f t="shared" si="29"/>
        <v/>
      </c>
      <c r="AC88" s="233" t="str">
        <f t="shared" si="30"/>
        <v>mol/s</v>
      </c>
      <c r="AD88" s="231" t="str">
        <f t="shared" si="31"/>
        <v/>
      </c>
      <c r="AE88" s="231" t="s">
        <v>283</v>
      </c>
      <c r="AF88" s="232" t="str">
        <f t="shared" si="32"/>
        <v/>
      </c>
      <c r="AG88" s="236" t="s">
        <v>284</v>
      </c>
      <c r="AH88" s="4"/>
      <c r="AI88" s="4" t="s">
        <v>142</v>
      </c>
      <c r="AJ88" s="4" t="s">
        <v>20</v>
      </c>
      <c r="AK88" s="4">
        <v>2</v>
      </c>
      <c r="AL88" s="4">
        <v>2</v>
      </c>
      <c r="AM88" s="232" t="str">
        <f t="shared" si="33"/>
        <v/>
      </c>
      <c r="AN88" s="233" t="str">
        <f t="shared" si="34"/>
        <v/>
      </c>
      <c r="AO88" s="4" t="str">
        <f t="shared" si="35"/>
        <v>mol/s</v>
      </c>
      <c r="AP88" s="4"/>
      <c r="AQ88" s="4"/>
      <c r="AR88" s="4"/>
      <c r="AS88" s="4" t="s">
        <v>368</v>
      </c>
      <c r="AT88" s="4">
        <v>0</v>
      </c>
      <c r="AV88" s="248" t="str">
        <f t="shared" si="36"/>
        <v/>
      </c>
      <c r="AW88" s="248"/>
      <c r="AX88" s="4" t="str">
        <f t="shared" si="37"/>
        <v>M</v>
      </c>
      <c r="AY88" s="248" t="str">
        <f t="shared" si="38"/>
        <v/>
      </c>
      <c r="AZ88" s="232"/>
      <c r="BA88" s="4">
        <v>86</v>
      </c>
      <c r="BB88" s="2" t="s">
        <v>47</v>
      </c>
      <c r="BC88" s="2" t="s">
        <v>52</v>
      </c>
      <c r="BD88" s="2" t="s">
        <v>54</v>
      </c>
      <c r="BE88" s="2" t="s">
        <v>48</v>
      </c>
      <c r="BF88" s="2" t="s">
        <v>80</v>
      </c>
      <c r="BG88" s="2"/>
      <c r="BH88" s="185" t="s">
        <v>3</v>
      </c>
      <c r="BI88" s="185" t="s">
        <v>151</v>
      </c>
      <c r="BJ88" s="185" t="s">
        <v>148</v>
      </c>
      <c r="BK88" s="185" t="s">
        <v>164</v>
      </c>
      <c r="BL88" s="100"/>
      <c r="BM88" s="97">
        <f t="shared" si="39"/>
        <v>0</v>
      </c>
      <c r="BN88" s="225" t="s">
        <v>294</v>
      </c>
      <c r="BO88" s="225" t="s">
        <v>306</v>
      </c>
      <c r="BP88" s="225" t="s">
        <v>258</v>
      </c>
      <c r="BQ88" s="225" t="s">
        <v>259</v>
      </c>
      <c r="BR88" s="225" t="s">
        <v>318</v>
      </c>
      <c r="BS88" s="225" t="s">
        <v>325</v>
      </c>
      <c r="BT88" s="225" t="s">
        <v>275</v>
      </c>
      <c r="BU88" s="225" t="s">
        <v>260</v>
      </c>
      <c r="BV88" s="2"/>
      <c r="BW88" s="259" t="s">
        <v>329</v>
      </c>
      <c r="BX88" s="259" t="s">
        <v>330</v>
      </c>
      <c r="BY88" s="259" t="s">
        <v>270</v>
      </c>
      <c r="BZ88" s="259" t="s">
        <v>336</v>
      </c>
      <c r="CA88" s="107"/>
      <c r="CB88" s="249"/>
      <c r="CC88" s="107"/>
      <c r="CD88" s="249"/>
      <c r="CE88" s="107"/>
      <c r="CF88" s="225" t="str">
        <f t="shared" si="40"/>
        <v/>
      </c>
      <c r="CG88" s="225" t="str">
        <f t="shared" si="41"/>
        <v/>
      </c>
      <c r="CH88" s="225" t="str">
        <f t="shared" si="42"/>
        <v/>
      </c>
      <c r="CI88" s="225" t="str">
        <f t="shared" si="43"/>
        <v/>
      </c>
      <c r="CJ88" s="225" t="str">
        <f t="shared" si="44"/>
        <v/>
      </c>
      <c r="CK88" s="225" t="str">
        <f t="shared" si="45"/>
        <v/>
      </c>
      <c r="CL88" s="225" t="str">
        <f t="shared" si="46"/>
        <v/>
      </c>
      <c r="CM88" s="225" t="str">
        <f t="shared" si="47"/>
        <v/>
      </c>
      <c r="CN88" s="225" t="str">
        <f t="shared" si="48"/>
        <v/>
      </c>
      <c r="CO88" s="225" t="str">
        <f t="shared" si="49"/>
        <v/>
      </c>
      <c r="CP88" s="250"/>
      <c r="CQ88" s="250" t="str">
        <f t="shared" si="50"/>
        <v/>
      </c>
      <c r="CR88" s="5">
        <v>86</v>
      </c>
      <c r="CU8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8" s="373" t="str">
        <f t="shared" si="51"/>
        <v/>
      </c>
      <c r="CW88" s="2"/>
      <c r="CX88" s="104"/>
    </row>
    <row r="89" spans="1:102" ht="18.95" customHeight="1" x14ac:dyDescent="0.35">
      <c r="B89" s="4">
        <v>87</v>
      </c>
      <c r="C89" s="4" t="s">
        <v>695</v>
      </c>
      <c r="E89" s="382" t="s">
        <v>611</v>
      </c>
      <c r="F89" s="69" t="s">
        <v>75</v>
      </c>
      <c r="H89" s="69" t="s">
        <v>499</v>
      </c>
      <c r="I89" s="69" t="s">
        <v>463</v>
      </c>
      <c r="J89" s="69" t="s">
        <v>423</v>
      </c>
      <c r="K89" s="160" t="s">
        <v>558</v>
      </c>
      <c r="L89" s="2"/>
      <c r="M89" s="167" t="s">
        <v>782</v>
      </c>
      <c r="N89" s="2"/>
      <c r="O89" s="230" t="str">
        <f>IF($A$2=B89,Elektro!$Q$11,"")</f>
        <v/>
      </c>
      <c r="P89" s="230" t="str">
        <f>IF($A$2=B89,Elektro!$Q$12,"")</f>
        <v/>
      </c>
      <c r="Q89" s="236" t="str">
        <f>IF($A$2=B89,Elektro!$Q$13,"")</f>
        <v/>
      </c>
      <c r="R89" s="231" t="str">
        <f>IF($A$2=B89,Elektro!$Q$14,"")</f>
        <v/>
      </c>
      <c r="S89" s="231" t="str">
        <f>IF($A$2=B89,Elektro!$Q$15,"")</f>
        <v/>
      </c>
      <c r="T89" s="230" t="str">
        <f>IF($A$2=B89,Elektro!$Q$16,"")</f>
        <v/>
      </c>
      <c r="U89" s="353" t="str">
        <f t="shared" si="26"/>
        <v/>
      </c>
      <c r="V89" s="353" t="str">
        <f t="shared" si="27"/>
        <v/>
      </c>
      <c r="W89" s="4" t="s">
        <v>139</v>
      </c>
      <c r="X89" s="4" t="s">
        <v>248</v>
      </c>
      <c r="Y89" s="4">
        <v>2</v>
      </c>
      <c r="Z89" s="4">
        <v>63.55</v>
      </c>
      <c r="AA89" s="232" t="str">
        <f t="shared" si="28"/>
        <v/>
      </c>
      <c r="AB89" s="233" t="str">
        <f t="shared" si="29"/>
        <v/>
      </c>
      <c r="AC89" s="233" t="str">
        <f t="shared" si="30"/>
        <v>mol/s</v>
      </c>
      <c r="AD89" s="231" t="str">
        <f t="shared" si="31"/>
        <v/>
      </c>
      <c r="AE89" s="231" t="s">
        <v>283</v>
      </c>
      <c r="AF89" s="232" t="str">
        <f t="shared" si="32"/>
        <v/>
      </c>
      <c r="AG89" s="236" t="s">
        <v>284</v>
      </c>
      <c r="AH89" s="4"/>
      <c r="AI89" s="4" t="s">
        <v>142</v>
      </c>
      <c r="AJ89" s="4" t="s">
        <v>20</v>
      </c>
      <c r="AK89" s="4">
        <v>2</v>
      </c>
      <c r="AL89" s="4">
        <v>2</v>
      </c>
      <c r="AM89" s="232" t="str">
        <f t="shared" si="33"/>
        <v/>
      </c>
      <c r="AN89" s="233" t="str">
        <f t="shared" si="34"/>
        <v/>
      </c>
      <c r="AO89" s="4" t="str">
        <f t="shared" si="35"/>
        <v>mol/s</v>
      </c>
      <c r="AP89" s="4"/>
      <c r="AQ89" s="4"/>
      <c r="AR89" s="4"/>
      <c r="AS89" s="4" t="s">
        <v>368</v>
      </c>
      <c r="AT89" s="4">
        <v>0</v>
      </c>
      <c r="AV89" s="248" t="str">
        <f t="shared" si="36"/>
        <v/>
      </c>
      <c r="AW89" s="248"/>
      <c r="AX89" s="4" t="str">
        <f t="shared" si="37"/>
        <v>M</v>
      </c>
      <c r="AY89" s="248" t="str">
        <f t="shared" si="38"/>
        <v/>
      </c>
      <c r="AZ89" s="232"/>
      <c r="BA89" s="4">
        <v>87</v>
      </c>
      <c r="BB89" s="2" t="s">
        <v>47</v>
      </c>
      <c r="BC89" s="2" t="s">
        <v>52</v>
      </c>
      <c r="BD89" s="2" t="s">
        <v>54</v>
      </c>
      <c r="BE89" s="2" t="s">
        <v>48</v>
      </c>
      <c r="BF89" s="2" t="s">
        <v>81</v>
      </c>
      <c r="BG89" s="2"/>
      <c r="BH89" s="185" t="s">
        <v>3</v>
      </c>
      <c r="BI89" s="185" t="s">
        <v>151</v>
      </c>
      <c r="BJ89" s="185" t="s">
        <v>148</v>
      </c>
      <c r="BK89" s="185" t="s">
        <v>164</v>
      </c>
      <c r="BL89" s="100"/>
      <c r="BM89" s="97">
        <f t="shared" si="39"/>
        <v>0</v>
      </c>
      <c r="BN89" s="225" t="s">
        <v>294</v>
      </c>
      <c r="BO89" s="225" t="s">
        <v>306</v>
      </c>
      <c r="BP89" s="225" t="s">
        <v>258</v>
      </c>
      <c r="BQ89" s="225" t="s">
        <v>259</v>
      </c>
      <c r="BR89" s="225" t="s">
        <v>318</v>
      </c>
      <c r="BS89" s="225" t="s">
        <v>325</v>
      </c>
      <c r="BT89" s="225" t="s">
        <v>275</v>
      </c>
      <c r="BU89" s="225" t="s">
        <v>260</v>
      </c>
      <c r="BV89" s="2"/>
      <c r="BW89" s="259" t="s">
        <v>329</v>
      </c>
      <c r="BX89" s="259" t="s">
        <v>330</v>
      </c>
      <c r="BY89" s="259" t="s">
        <v>270</v>
      </c>
      <c r="BZ89" s="259" t="s">
        <v>336</v>
      </c>
      <c r="CA89" s="107"/>
      <c r="CB89" s="249"/>
      <c r="CC89" s="107"/>
      <c r="CD89" s="249"/>
      <c r="CE89" s="107"/>
      <c r="CF89" s="225" t="str">
        <f t="shared" si="40"/>
        <v/>
      </c>
      <c r="CG89" s="225" t="str">
        <f t="shared" si="41"/>
        <v/>
      </c>
      <c r="CH89" s="225" t="str">
        <f t="shared" si="42"/>
        <v/>
      </c>
      <c r="CI89" s="225" t="str">
        <f t="shared" si="43"/>
        <v/>
      </c>
      <c r="CJ89" s="225" t="str">
        <f t="shared" si="44"/>
        <v/>
      </c>
      <c r="CK89" s="225" t="str">
        <f t="shared" si="45"/>
        <v/>
      </c>
      <c r="CL89" s="225" t="str">
        <f t="shared" si="46"/>
        <v/>
      </c>
      <c r="CM89" s="225" t="str">
        <f t="shared" si="47"/>
        <v/>
      </c>
      <c r="CN89" s="225" t="str">
        <f t="shared" si="48"/>
        <v/>
      </c>
      <c r="CO89" s="225" t="str">
        <f t="shared" si="49"/>
        <v/>
      </c>
      <c r="CP89" s="250"/>
      <c r="CQ89" s="250" t="str">
        <f t="shared" si="50"/>
        <v/>
      </c>
      <c r="CR89" s="5">
        <v>87</v>
      </c>
      <c r="CU8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9" s="373" t="str">
        <f t="shared" si="51"/>
        <v/>
      </c>
      <c r="CW89" s="2"/>
      <c r="CX89" s="104"/>
    </row>
    <row r="90" spans="1:102" ht="18.95" customHeight="1" x14ac:dyDescent="0.35">
      <c r="B90" s="4">
        <v>88</v>
      </c>
      <c r="C90" s="4" t="s">
        <v>867</v>
      </c>
      <c r="E90" s="382" t="s">
        <v>612</v>
      </c>
      <c r="F90" s="69" t="s">
        <v>75</v>
      </c>
      <c r="H90" s="69" t="s">
        <v>500</v>
      </c>
      <c r="I90" s="69" t="s">
        <v>463</v>
      </c>
      <c r="J90" s="69" t="s">
        <v>423</v>
      </c>
      <c r="K90" s="160" t="s">
        <v>558</v>
      </c>
      <c r="L90" s="2"/>
      <c r="M90" s="167" t="s">
        <v>783</v>
      </c>
      <c r="N90" s="2"/>
      <c r="O90" s="230" t="str">
        <f>IF($A$2=B90,Elektro!$Q$11,"")</f>
        <v/>
      </c>
      <c r="P90" s="230" t="str">
        <f>IF($A$2=B90,Elektro!$Q$12,"")</f>
        <v/>
      </c>
      <c r="Q90" s="236" t="str">
        <f>IF($A$2=B90,Elektro!$Q$13,"")</f>
        <v/>
      </c>
      <c r="R90" s="231" t="str">
        <f>IF($A$2=B90,Elektro!$Q$14,"")</f>
        <v/>
      </c>
      <c r="S90" s="231" t="str">
        <f>IF($A$2=B90,Elektro!$Q$15,"")</f>
        <v/>
      </c>
      <c r="T90" s="230" t="str">
        <f>IF($A$2=B90,Elektro!$Q$16,"")</f>
        <v/>
      </c>
      <c r="U90" s="353" t="str">
        <f t="shared" si="26"/>
        <v/>
      </c>
      <c r="V90" s="353" t="str">
        <f t="shared" si="27"/>
        <v/>
      </c>
      <c r="W90" s="4" t="s">
        <v>139</v>
      </c>
      <c r="X90" s="4" t="s">
        <v>248</v>
      </c>
      <c r="Y90" s="4">
        <v>2</v>
      </c>
      <c r="Z90" s="4">
        <v>63.55</v>
      </c>
      <c r="AA90" s="232" t="str">
        <f t="shared" si="28"/>
        <v/>
      </c>
      <c r="AB90" s="233" t="str">
        <f t="shared" si="29"/>
        <v/>
      </c>
      <c r="AC90" s="233" t="str">
        <f t="shared" si="30"/>
        <v>mol/s</v>
      </c>
      <c r="AD90" s="231" t="str">
        <f t="shared" si="31"/>
        <v/>
      </c>
      <c r="AE90" s="231" t="s">
        <v>283</v>
      </c>
      <c r="AF90" s="232" t="str">
        <f t="shared" si="32"/>
        <v/>
      </c>
      <c r="AG90" s="236" t="s">
        <v>284</v>
      </c>
      <c r="AH90" s="4"/>
      <c r="AI90" s="4" t="s">
        <v>142</v>
      </c>
      <c r="AJ90" s="4" t="s">
        <v>20</v>
      </c>
      <c r="AK90" s="4">
        <v>2</v>
      </c>
      <c r="AL90" s="4">
        <v>2</v>
      </c>
      <c r="AM90" s="232" t="str">
        <f t="shared" si="33"/>
        <v/>
      </c>
      <c r="AN90" s="233" t="str">
        <f t="shared" si="34"/>
        <v/>
      </c>
      <c r="AO90" s="4" t="str">
        <f t="shared" si="35"/>
        <v>mol/s</v>
      </c>
      <c r="AP90" s="4"/>
      <c r="AQ90" s="4"/>
      <c r="AR90" s="4"/>
      <c r="AS90" s="4" t="s">
        <v>368</v>
      </c>
      <c r="AT90" s="4">
        <v>0</v>
      </c>
      <c r="AV90" s="248" t="str">
        <f t="shared" si="36"/>
        <v/>
      </c>
      <c r="AW90" s="248"/>
      <c r="AX90" s="4" t="str">
        <f t="shared" si="37"/>
        <v>M</v>
      </c>
      <c r="AY90" s="248" t="str">
        <f t="shared" si="38"/>
        <v/>
      </c>
      <c r="AZ90" s="232"/>
      <c r="BA90" s="4">
        <v>88</v>
      </c>
      <c r="BB90" s="2" t="s">
        <v>47</v>
      </c>
      <c r="BC90" s="2" t="s">
        <v>52</v>
      </c>
      <c r="BD90" s="2" t="s">
        <v>54</v>
      </c>
      <c r="BE90" s="2" t="s">
        <v>48</v>
      </c>
      <c r="BF90" s="2" t="s">
        <v>82</v>
      </c>
      <c r="BG90" s="2"/>
      <c r="BH90" s="185" t="s">
        <v>3</v>
      </c>
      <c r="BI90" s="185" t="s">
        <v>151</v>
      </c>
      <c r="BJ90" s="185" t="s">
        <v>148</v>
      </c>
      <c r="BK90" s="185" t="s">
        <v>164</v>
      </c>
      <c r="BL90" s="100"/>
      <c r="BM90" s="97">
        <f t="shared" si="39"/>
        <v>0</v>
      </c>
      <c r="BN90" s="225" t="s">
        <v>294</v>
      </c>
      <c r="BO90" s="225" t="s">
        <v>306</v>
      </c>
      <c r="BP90" s="225" t="s">
        <v>258</v>
      </c>
      <c r="BQ90" s="225" t="s">
        <v>259</v>
      </c>
      <c r="BR90" s="225" t="s">
        <v>318</v>
      </c>
      <c r="BS90" s="225" t="s">
        <v>325</v>
      </c>
      <c r="BT90" s="225" t="s">
        <v>275</v>
      </c>
      <c r="BU90" s="225" t="s">
        <v>260</v>
      </c>
      <c r="BV90" s="2"/>
      <c r="BW90" s="259" t="s">
        <v>329</v>
      </c>
      <c r="BX90" s="259" t="s">
        <v>330</v>
      </c>
      <c r="BY90" s="259" t="s">
        <v>270</v>
      </c>
      <c r="BZ90" s="259" t="s">
        <v>336</v>
      </c>
      <c r="CA90" s="107"/>
      <c r="CB90" s="249"/>
      <c r="CC90" s="107"/>
      <c r="CD90" s="249"/>
      <c r="CE90" s="107"/>
      <c r="CF90" s="225" t="str">
        <f t="shared" si="40"/>
        <v/>
      </c>
      <c r="CG90" s="225" t="str">
        <f t="shared" si="41"/>
        <v/>
      </c>
      <c r="CH90" s="225" t="str">
        <f t="shared" si="42"/>
        <v/>
      </c>
      <c r="CI90" s="225" t="str">
        <f t="shared" si="43"/>
        <v/>
      </c>
      <c r="CJ90" s="225" t="str">
        <f t="shared" si="44"/>
        <v/>
      </c>
      <c r="CK90" s="225" t="str">
        <f t="shared" si="45"/>
        <v/>
      </c>
      <c r="CL90" s="225" t="str">
        <f t="shared" si="46"/>
        <v/>
      </c>
      <c r="CM90" s="225" t="str">
        <f t="shared" si="47"/>
        <v/>
      </c>
      <c r="CN90" s="225" t="str">
        <f t="shared" si="48"/>
        <v/>
      </c>
      <c r="CO90" s="225" t="str">
        <f t="shared" si="49"/>
        <v/>
      </c>
      <c r="CP90" s="250"/>
      <c r="CQ90" s="250" t="str">
        <f t="shared" si="50"/>
        <v/>
      </c>
      <c r="CR90" s="5">
        <v>88</v>
      </c>
      <c r="CU9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0" s="373" t="str">
        <f t="shared" si="51"/>
        <v/>
      </c>
      <c r="CW90" s="2"/>
      <c r="CX90" s="104"/>
    </row>
    <row r="91" spans="1:102" ht="18.75" x14ac:dyDescent="0.35">
      <c r="B91" s="4">
        <v>89</v>
      </c>
      <c r="C91" s="4" t="s">
        <v>696</v>
      </c>
      <c r="E91" s="382" t="s">
        <v>613</v>
      </c>
      <c r="F91" s="69" t="s">
        <v>75</v>
      </c>
      <c r="H91" s="69" t="s">
        <v>501</v>
      </c>
      <c r="I91" s="69" t="s">
        <v>463</v>
      </c>
      <c r="J91" s="69" t="s">
        <v>423</v>
      </c>
      <c r="K91" s="160" t="s">
        <v>558</v>
      </c>
      <c r="L91" s="2"/>
      <c r="M91" s="168" t="s">
        <v>784</v>
      </c>
      <c r="N91" s="2"/>
      <c r="O91" s="230" t="str">
        <f>IF($A$2=B91,Elektro!$Q$11,"")</f>
        <v/>
      </c>
      <c r="P91" s="230" t="str">
        <f>IF($A$2=B91,Elektro!$Q$12,"")</f>
        <v/>
      </c>
      <c r="Q91" s="236" t="str">
        <f>IF($A$2=B91,Elektro!$Q$13,"")</f>
        <v/>
      </c>
      <c r="R91" s="231" t="str">
        <f>IF($A$2=B91,Elektro!$Q$14,"")</f>
        <v/>
      </c>
      <c r="S91" s="231" t="str">
        <f>IF($A$2=B91,Elektro!$Q$15,"")</f>
        <v/>
      </c>
      <c r="T91" s="230" t="str">
        <f>IF($A$2=B91,Elektro!$Q$16,"")</f>
        <v/>
      </c>
      <c r="U91" s="353" t="str">
        <f t="shared" si="26"/>
        <v/>
      </c>
      <c r="V91" s="353" t="str">
        <f t="shared" si="27"/>
        <v/>
      </c>
      <c r="W91" s="4" t="s">
        <v>139</v>
      </c>
      <c r="X91" s="4" t="s">
        <v>248</v>
      </c>
      <c r="Y91" s="4">
        <v>2</v>
      </c>
      <c r="Z91" s="4">
        <v>63.55</v>
      </c>
      <c r="AA91" s="232" t="str">
        <f t="shared" si="28"/>
        <v/>
      </c>
      <c r="AB91" s="233" t="str">
        <f t="shared" si="29"/>
        <v/>
      </c>
      <c r="AC91" s="233" t="str">
        <f t="shared" si="30"/>
        <v>mol/s</v>
      </c>
      <c r="AD91" s="231" t="str">
        <f t="shared" si="31"/>
        <v/>
      </c>
      <c r="AE91" s="231" t="s">
        <v>283</v>
      </c>
      <c r="AF91" s="232" t="str">
        <f t="shared" si="32"/>
        <v/>
      </c>
      <c r="AG91" s="236" t="s">
        <v>284</v>
      </c>
      <c r="AH91" s="4"/>
      <c r="AI91" s="4" t="s">
        <v>142</v>
      </c>
      <c r="AJ91" s="4" t="s">
        <v>20</v>
      </c>
      <c r="AK91" s="4">
        <v>2</v>
      </c>
      <c r="AL91" s="4">
        <v>2</v>
      </c>
      <c r="AM91" s="232" t="str">
        <f t="shared" si="33"/>
        <v/>
      </c>
      <c r="AN91" s="233" t="str">
        <f t="shared" si="34"/>
        <v/>
      </c>
      <c r="AO91" s="4" t="str">
        <f t="shared" si="35"/>
        <v>mol/s</v>
      </c>
      <c r="AP91" s="4"/>
      <c r="AQ91" s="4"/>
      <c r="AR91" s="4"/>
      <c r="AS91" s="4" t="s">
        <v>368</v>
      </c>
      <c r="AT91" s="4">
        <v>0</v>
      </c>
      <c r="AV91" s="248" t="str">
        <f t="shared" si="36"/>
        <v/>
      </c>
      <c r="AW91" s="248"/>
      <c r="AX91" s="4" t="str">
        <f t="shared" si="37"/>
        <v>M</v>
      </c>
      <c r="AY91" s="248" t="str">
        <f t="shared" si="38"/>
        <v/>
      </c>
      <c r="AZ91" s="232"/>
      <c r="BA91" s="4">
        <v>89</v>
      </c>
      <c r="BB91" s="2" t="s">
        <v>47</v>
      </c>
      <c r="BC91" s="2" t="s">
        <v>235</v>
      </c>
      <c r="BD91" s="2" t="s">
        <v>54</v>
      </c>
      <c r="BE91" s="2" t="s">
        <v>48</v>
      </c>
      <c r="BF91" s="2" t="s">
        <v>83</v>
      </c>
      <c r="BG91" s="2"/>
      <c r="BH91" s="185" t="s">
        <v>3</v>
      </c>
      <c r="BI91" s="185" t="s">
        <v>151</v>
      </c>
      <c r="BJ91" s="185" t="s">
        <v>148</v>
      </c>
      <c r="BK91" s="185" t="s">
        <v>164</v>
      </c>
      <c r="BL91" s="100"/>
      <c r="BM91" s="97">
        <f t="shared" si="39"/>
        <v>0</v>
      </c>
      <c r="BN91" s="225" t="s">
        <v>294</v>
      </c>
      <c r="BO91" s="225" t="s">
        <v>306</v>
      </c>
      <c r="BP91" s="225" t="s">
        <v>258</v>
      </c>
      <c r="BQ91" s="225" t="s">
        <v>259</v>
      </c>
      <c r="BR91" s="225" t="s">
        <v>318</v>
      </c>
      <c r="BS91" s="225" t="s">
        <v>325</v>
      </c>
      <c r="BT91" s="225" t="s">
        <v>275</v>
      </c>
      <c r="BU91" s="225" t="s">
        <v>260</v>
      </c>
      <c r="BV91" s="2"/>
      <c r="BW91" s="259" t="s">
        <v>329</v>
      </c>
      <c r="BX91" s="259" t="s">
        <v>330</v>
      </c>
      <c r="BY91" s="259" t="s">
        <v>270</v>
      </c>
      <c r="BZ91" s="259" t="s">
        <v>336</v>
      </c>
      <c r="CA91" s="107"/>
      <c r="CB91" s="249"/>
      <c r="CC91" s="107"/>
      <c r="CD91" s="249"/>
      <c r="CE91" s="107"/>
      <c r="CF91" s="225" t="str">
        <f t="shared" si="40"/>
        <v/>
      </c>
      <c r="CG91" s="225" t="str">
        <f t="shared" si="41"/>
        <v/>
      </c>
      <c r="CH91" s="225" t="str">
        <f t="shared" si="42"/>
        <v/>
      </c>
      <c r="CI91" s="225" t="str">
        <f t="shared" si="43"/>
        <v/>
      </c>
      <c r="CJ91" s="225" t="str">
        <f t="shared" si="44"/>
        <v/>
      </c>
      <c r="CK91" s="225" t="str">
        <f t="shared" si="45"/>
        <v/>
      </c>
      <c r="CL91" s="225" t="str">
        <f t="shared" si="46"/>
        <v/>
      </c>
      <c r="CM91" s="225" t="str">
        <f t="shared" si="47"/>
        <v/>
      </c>
      <c r="CN91" s="225" t="str">
        <f t="shared" si="48"/>
        <v/>
      </c>
      <c r="CO91" s="225" t="str">
        <f t="shared" si="49"/>
        <v/>
      </c>
      <c r="CP91" s="250"/>
      <c r="CQ91" s="250" t="str">
        <f t="shared" si="50"/>
        <v/>
      </c>
      <c r="CR91" s="5">
        <v>89</v>
      </c>
      <c r="CU9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1" s="373" t="str">
        <f t="shared" si="51"/>
        <v/>
      </c>
      <c r="CW91" s="2"/>
      <c r="CX91" s="104"/>
    </row>
    <row r="92" spans="1:102" ht="18.95" customHeight="1" x14ac:dyDescent="0.35">
      <c r="B92" s="4">
        <v>90</v>
      </c>
      <c r="C92" s="4" t="s">
        <v>689</v>
      </c>
      <c r="E92" s="382" t="s">
        <v>670</v>
      </c>
      <c r="F92" s="69" t="s">
        <v>75</v>
      </c>
      <c r="H92" s="69" t="s">
        <v>502</v>
      </c>
      <c r="I92" s="69" t="s">
        <v>463</v>
      </c>
      <c r="J92" s="69" t="s">
        <v>423</v>
      </c>
      <c r="K92" s="160" t="s">
        <v>558</v>
      </c>
      <c r="L92" s="2"/>
      <c r="M92" s="166" t="s">
        <v>785</v>
      </c>
      <c r="N92" s="2"/>
      <c r="O92" s="230" t="str">
        <f>IF($A$2=B92,Elektro!$Q$11,"")</f>
        <v/>
      </c>
      <c r="P92" s="230" t="str">
        <f>IF($A$2=B92,Elektro!$Q$12,"")</f>
        <v/>
      </c>
      <c r="Q92" s="236" t="str">
        <f>IF($A$2=B92,Elektro!$Q$13,"")</f>
        <v/>
      </c>
      <c r="R92" s="231" t="str">
        <f>IF($A$2=B92,Elektro!$Q$14,"")</f>
        <v/>
      </c>
      <c r="S92" s="231" t="str">
        <f>IF($A$2=B92,Elektro!$Q$15,"")</f>
        <v/>
      </c>
      <c r="T92" s="230" t="str">
        <f>IF($A$2=B92,Elektro!$Q$16,"")</f>
        <v/>
      </c>
      <c r="U92" s="353" t="str">
        <f t="shared" si="26"/>
        <v/>
      </c>
      <c r="V92" s="353" t="str">
        <f t="shared" si="27"/>
        <v/>
      </c>
      <c r="W92" s="4" t="s">
        <v>139</v>
      </c>
      <c r="X92" s="4" t="s">
        <v>248</v>
      </c>
      <c r="Y92" s="4">
        <v>2</v>
      </c>
      <c r="Z92" s="4">
        <v>63.55</v>
      </c>
      <c r="AA92" s="232" t="str">
        <f t="shared" si="28"/>
        <v/>
      </c>
      <c r="AB92" s="233" t="str">
        <f t="shared" si="29"/>
        <v/>
      </c>
      <c r="AC92" s="233" t="str">
        <f t="shared" si="30"/>
        <v>mol/s</v>
      </c>
      <c r="AD92" s="231" t="str">
        <f t="shared" si="31"/>
        <v/>
      </c>
      <c r="AE92" s="231" t="s">
        <v>283</v>
      </c>
      <c r="AF92" s="232" t="str">
        <f t="shared" si="32"/>
        <v/>
      </c>
      <c r="AG92" s="236" t="s">
        <v>284</v>
      </c>
      <c r="AH92" s="4"/>
      <c r="AI92" s="4" t="s">
        <v>142</v>
      </c>
      <c r="AJ92" s="4" t="s">
        <v>20</v>
      </c>
      <c r="AK92" s="4">
        <v>2</v>
      </c>
      <c r="AL92" s="4">
        <v>2</v>
      </c>
      <c r="AM92" s="232" t="str">
        <f t="shared" si="33"/>
        <v/>
      </c>
      <c r="AN92" s="233" t="str">
        <f t="shared" si="34"/>
        <v/>
      </c>
      <c r="AO92" s="4" t="str">
        <f t="shared" si="35"/>
        <v>mol/s</v>
      </c>
      <c r="AP92" s="4"/>
      <c r="AQ92" s="4"/>
      <c r="AR92" s="4"/>
      <c r="AS92" s="4" t="s">
        <v>368</v>
      </c>
      <c r="AT92" s="4">
        <v>0</v>
      </c>
      <c r="AV92" s="248" t="str">
        <f t="shared" si="36"/>
        <v/>
      </c>
      <c r="AW92" s="248"/>
      <c r="AX92" s="4" t="str">
        <f t="shared" si="37"/>
        <v>M</v>
      </c>
      <c r="AY92" s="248" t="str">
        <f t="shared" si="38"/>
        <v/>
      </c>
      <c r="AZ92" s="232"/>
      <c r="BA92" s="4">
        <v>90</v>
      </c>
      <c r="BB92" s="2" t="s">
        <v>47</v>
      </c>
      <c r="BC92" s="2" t="s">
        <v>236</v>
      </c>
      <c r="BD92" s="2" t="s">
        <v>54</v>
      </c>
      <c r="BE92" s="2" t="s">
        <v>48</v>
      </c>
      <c r="BF92" s="2" t="s">
        <v>50</v>
      </c>
      <c r="BG92" s="2"/>
      <c r="BH92" s="185" t="s">
        <v>3</v>
      </c>
      <c r="BI92" s="185" t="s">
        <v>151</v>
      </c>
      <c r="BJ92" s="185" t="s">
        <v>148</v>
      </c>
      <c r="BK92" s="185" t="s">
        <v>164</v>
      </c>
      <c r="BL92" s="100"/>
      <c r="BM92" s="97">
        <f t="shared" si="39"/>
        <v>0</v>
      </c>
      <c r="BN92" s="225" t="s">
        <v>294</v>
      </c>
      <c r="BO92" s="225" t="s">
        <v>306</v>
      </c>
      <c r="BP92" s="225" t="s">
        <v>258</v>
      </c>
      <c r="BQ92" s="225" t="s">
        <v>259</v>
      </c>
      <c r="BR92" s="225" t="s">
        <v>318</v>
      </c>
      <c r="BS92" s="225" t="s">
        <v>325</v>
      </c>
      <c r="BT92" s="225" t="s">
        <v>275</v>
      </c>
      <c r="BU92" s="225" t="s">
        <v>260</v>
      </c>
      <c r="BV92" s="2"/>
      <c r="BW92" s="259" t="s">
        <v>329</v>
      </c>
      <c r="BX92" s="259" t="s">
        <v>330</v>
      </c>
      <c r="BY92" s="259" t="s">
        <v>270</v>
      </c>
      <c r="BZ92" s="259" t="s">
        <v>336</v>
      </c>
      <c r="CA92" s="107"/>
      <c r="CB92" s="249"/>
      <c r="CC92" s="107"/>
      <c r="CD92" s="249"/>
      <c r="CE92" s="107"/>
      <c r="CF92" s="225" t="str">
        <f t="shared" si="40"/>
        <v/>
      </c>
      <c r="CG92" s="225" t="str">
        <f t="shared" si="41"/>
        <v/>
      </c>
      <c r="CH92" s="225" t="str">
        <f t="shared" si="42"/>
        <v/>
      </c>
      <c r="CI92" s="225" t="str">
        <f t="shared" si="43"/>
        <v/>
      </c>
      <c r="CJ92" s="225" t="str">
        <f t="shared" si="44"/>
        <v/>
      </c>
      <c r="CK92" s="225" t="str">
        <f t="shared" si="45"/>
        <v/>
      </c>
      <c r="CL92" s="225" t="str">
        <f t="shared" si="46"/>
        <v/>
      </c>
      <c r="CM92" s="225" t="str">
        <f t="shared" si="47"/>
        <v/>
      </c>
      <c r="CN92" s="225" t="str">
        <f t="shared" si="48"/>
        <v/>
      </c>
      <c r="CO92" s="225" t="str">
        <f t="shared" si="49"/>
        <v/>
      </c>
      <c r="CP92" s="250"/>
      <c r="CQ92" s="250" t="str">
        <f t="shared" si="50"/>
        <v/>
      </c>
      <c r="CR92" s="5">
        <v>90</v>
      </c>
      <c r="CU9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2" s="373" t="str">
        <f t="shared" si="51"/>
        <v/>
      </c>
      <c r="CW92" s="2"/>
      <c r="CX92" s="104"/>
    </row>
    <row r="93" spans="1:102" ht="18.95" customHeight="1" x14ac:dyDescent="0.35">
      <c r="B93" s="4">
        <v>91</v>
      </c>
      <c r="C93" s="4" t="s">
        <v>868</v>
      </c>
      <c r="E93" s="382" t="s">
        <v>615</v>
      </c>
      <c r="F93" s="69" t="s">
        <v>75</v>
      </c>
      <c r="H93" s="69" t="s">
        <v>503</v>
      </c>
      <c r="I93" s="69" t="s">
        <v>463</v>
      </c>
      <c r="J93" s="69" t="s">
        <v>423</v>
      </c>
      <c r="K93" s="160" t="s">
        <v>558</v>
      </c>
      <c r="L93" s="2"/>
      <c r="M93" s="166" t="s">
        <v>786</v>
      </c>
      <c r="N93" s="2"/>
      <c r="O93" s="230" t="str">
        <f>IF($A$2=B93,Elektro!$Q$11,"")</f>
        <v/>
      </c>
      <c r="P93" s="230" t="str">
        <f>IF($A$2=B93,Elektro!$Q$12,"")</f>
        <v/>
      </c>
      <c r="Q93" s="236" t="str">
        <f>IF($A$2=B93,Elektro!$Q$13,"")</f>
        <v/>
      </c>
      <c r="R93" s="231" t="str">
        <f>IF($A$2=B93,Elektro!$Q$14,"")</f>
        <v/>
      </c>
      <c r="S93" s="231" t="str">
        <f>IF($A$2=B93,Elektro!$Q$15,"")</f>
        <v/>
      </c>
      <c r="T93" s="230" t="str">
        <f>IF($A$2=B93,Elektro!$Q$16,"")</f>
        <v/>
      </c>
      <c r="U93" s="353" t="str">
        <f t="shared" si="26"/>
        <v/>
      </c>
      <c r="V93" s="353" t="str">
        <f t="shared" si="27"/>
        <v/>
      </c>
      <c r="W93" s="4" t="s">
        <v>139</v>
      </c>
      <c r="X93" s="4" t="s">
        <v>248</v>
      </c>
      <c r="Y93" s="4">
        <v>2</v>
      </c>
      <c r="Z93" s="4">
        <v>63.55</v>
      </c>
      <c r="AA93" s="232" t="str">
        <f t="shared" si="28"/>
        <v/>
      </c>
      <c r="AB93" s="233" t="str">
        <f t="shared" si="29"/>
        <v/>
      </c>
      <c r="AC93" s="233" t="str">
        <f t="shared" si="30"/>
        <v>mol/s</v>
      </c>
      <c r="AD93" s="231" t="str">
        <f t="shared" si="31"/>
        <v/>
      </c>
      <c r="AE93" s="231" t="s">
        <v>283</v>
      </c>
      <c r="AF93" s="232" t="str">
        <f t="shared" si="32"/>
        <v/>
      </c>
      <c r="AG93" s="236" t="s">
        <v>284</v>
      </c>
      <c r="AH93" s="4"/>
      <c r="AI93" s="4" t="s">
        <v>142</v>
      </c>
      <c r="AJ93" s="4" t="s">
        <v>20</v>
      </c>
      <c r="AK93" s="4">
        <v>2</v>
      </c>
      <c r="AL93" s="4">
        <v>2</v>
      </c>
      <c r="AM93" s="232" t="str">
        <f t="shared" si="33"/>
        <v/>
      </c>
      <c r="AN93" s="233" t="str">
        <f t="shared" si="34"/>
        <v/>
      </c>
      <c r="AO93" s="4" t="str">
        <f t="shared" si="35"/>
        <v>mol/s</v>
      </c>
      <c r="AP93" s="4"/>
      <c r="AQ93" s="4"/>
      <c r="AR93" s="4"/>
      <c r="AS93" s="4" t="s">
        <v>368</v>
      </c>
      <c r="AT93" s="4">
        <v>0</v>
      </c>
      <c r="AV93" s="248" t="str">
        <f t="shared" si="36"/>
        <v/>
      </c>
      <c r="AW93" s="248"/>
      <c r="AX93" s="4" t="str">
        <f t="shared" si="37"/>
        <v>M</v>
      </c>
      <c r="AY93" s="248" t="str">
        <f t="shared" si="38"/>
        <v/>
      </c>
      <c r="AZ93" s="232"/>
      <c r="BA93" s="4">
        <v>91</v>
      </c>
      <c r="BB93" s="2" t="s">
        <v>47</v>
      </c>
      <c r="BC93" s="2" t="s">
        <v>235</v>
      </c>
      <c r="BD93" s="2" t="s">
        <v>54</v>
      </c>
      <c r="BE93" s="2" t="s">
        <v>48</v>
      </c>
      <c r="BF93" s="2" t="s">
        <v>80</v>
      </c>
      <c r="BG93" s="2"/>
      <c r="BH93" s="185" t="s">
        <v>3</v>
      </c>
      <c r="BI93" s="185" t="s">
        <v>151</v>
      </c>
      <c r="BJ93" s="185" t="s">
        <v>148</v>
      </c>
      <c r="BK93" s="185" t="s">
        <v>164</v>
      </c>
      <c r="BL93" s="100"/>
      <c r="BM93" s="97">
        <f t="shared" si="39"/>
        <v>0</v>
      </c>
      <c r="BN93" s="225" t="s">
        <v>294</v>
      </c>
      <c r="BO93" s="225" t="s">
        <v>306</v>
      </c>
      <c r="BP93" s="225" t="s">
        <v>258</v>
      </c>
      <c r="BQ93" s="225" t="s">
        <v>259</v>
      </c>
      <c r="BR93" s="225" t="s">
        <v>318</v>
      </c>
      <c r="BS93" s="225" t="s">
        <v>325</v>
      </c>
      <c r="BT93" s="225" t="s">
        <v>275</v>
      </c>
      <c r="BU93" s="225" t="s">
        <v>260</v>
      </c>
      <c r="BV93" s="2"/>
      <c r="BW93" s="259" t="s">
        <v>329</v>
      </c>
      <c r="BX93" s="259" t="s">
        <v>330</v>
      </c>
      <c r="BY93" s="259" t="s">
        <v>270</v>
      </c>
      <c r="BZ93" s="259" t="s">
        <v>336</v>
      </c>
      <c r="CA93" s="107"/>
      <c r="CB93" s="249"/>
      <c r="CC93" s="107"/>
      <c r="CD93" s="249"/>
      <c r="CE93" s="107"/>
      <c r="CF93" s="225" t="str">
        <f t="shared" si="40"/>
        <v/>
      </c>
      <c r="CG93" s="225" t="str">
        <f t="shared" si="41"/>
        <v/>
      </c>
      <c r="CH93" s="225" t="str">
        <f t="shared" si="42"/>
        <v/>
      </c>
      <c r="CI93" s="225" t="str">
        <f t="shared" si="43"/>
        <v/>
      </c>
      <c r="CJ93" s="225" t="str">
        <f t="shared" si="44"/>
        <v/>
      </c>
      <c r="CK93" s="225" t="str">
        <f t="shared" si="45"/>
        <v/>
      </c>
      <c r="CL93" s="225" t="str">
        <f t="shared" si="46"/>
        <v/>
      </c>
      <c r="CM93" s="225" t="str">
        <f t="shared" si="47"/>
        <v/>
      </c>
      <c r="CN93" s="225" t="str">
        <f t="shared" si="48"/>
        <v/>
      </c>
      <c r="CO93" s="225" t="str">
        <f t="shared" si="49"/>
        <v/>
      </c>
      <c r="CP93" s="250"/>
      <c r="CQ93" s="250" t="str">
        <f t="shared" si="50"/>
        <v/>
      </c>
      <c r="CR93" s="5">
        <v>91</v>
      </c>
      <c r="CU9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3" s="373" t="str">
        <f t="shared" si="51"/>
        <v/>
      </c>
      <c r="CW93" s="2"/>
      <c r="CX93" s="104"/>
    </row>
    <row r="94" spans="1:102" ht="18.95" customHeight="1" x14ac:dyDescent="0.35">
      <c r="B94" s="4">
        <v>92</v>
      </c>
      <c r="C94" s="4" t="s">
        <v>690</v>
      </c>
      <c r="E94" s="382" t="s">
        <v>671</v>
      </c>
      <c r="F94" s="69" t="s">
        <v>75</v>
      </c>
      <c r="H94" s="69" t="s">
        <v>504</v>
      </c>
      <c r="I94" s="69" t="s">
        <v>463</v>
      </c>
      <c r="J94" s="69" t="s">
        <v>423</v>
      </c>
      <c r="K94" s="160" t="s">
        <v>558</v>
      </c>
      <c r="L94" s="2"/>
      <c r="M94" s="168" t="s">
        <v>787</v>
      </c>
      <c r="N94" s="2"/>
      <c r="O94" s="230" t="str">
        <f>IF($A$2=B94,Elektro!$Q$11,"")</f>
        <v/>
      </c>
      <c r="P94" s="230" t="str">
        <f>IF($A$2=B94,Elektro!$Q$12,"")</f>
        <v/>
      </c>
      <c r="Q94" s="236" t="str">
        <f>IF($A$2=B94,Elektro!$Q$13,"")</f>
        <v/>
      </c>
      <c r="R94" s="231" t="str">
        <f>IF($A$2=B94,Elektro!$Q$14,"")</f>
        <v/>
      </c>
      <c r="S94" s="231" t="str">
        <f>IF($A$2=B94,Elektro!$Q$15,"")</f>
        <v/>
      </c>
      <c r="T94" s="230" t="str">
        <f>IF($A$2=B94,Elektro!$Q$16,"")</f>
        <v/>
      </c>
      <c r="U94" s="353" t="str">
        <f t="shared" si="26"/>
        <v/>
      </c>
      <c r="V94" s="353" t="str">
        <f t="shared" si="27"/>
        <v/>
      </c>
      <c r="W94" s="4" t="s">
        <v>139</v>
      </c>
      <c r="X94" s="4" t="s">
        <v>248</v>
      </c>
      <c r="Y94" s="4">
        <v>2</v>
      </c>
      <c r="Z94" s="4">
        <v>63.55</v>
      </c>
      <c r="AA94" s="232" t="str">
        <f t="shared" si="28"/>
        <v/>
      </c>
      <c r="AB94" s="233" t="str">
        <f t="shared" si="29"/>
        <v/>
      </c>
      <c r="AC94" s="233" t="str">
        <f t="shared" si="30"/>
        <v>mol/s</v>
      </c>
      <c r="AD94" s="231" t="str">
        <f t="shared" si="31"/>
        <v/>
      </c>
      <c r="AE94" s="231" t="s">
        <v>283</v>
      </c>
      <c r="AF94" s="232" t="str">
        <f t="shared" si="32"/>
        <v/>
      </c>
      <c r="AG94" s="236" t="s">
        <v>284</v>
      </c>
      <c r="AH94" s="4"/>
      <c r="AI94" s="4" t="s">
        <v>142</v>
      </c>
      <c r="AJ94" s="4" t="s">
        <v>20</v>
      </c>
      <c r="AK94" s="4">
        <v>2</v>
      </c>
      <c r="AL94" s="4">
        <v>2</v>
      </c>
      <c r="AM94" s="232" t="str">
        <f t="shared" si="33"/>
        <v/>
      </c>
      <c r="AN94" s="233" t="str">
        <f t="shared" si="34"/>
        <v/>
      </c>
      <c r="AO94" s="4" t="str">
        <f t="shared" si="35"/>
        <v>mol/s</v>
      </c>
      <c r="AP94" s="4"/>
      <c r="AQ94" s="4"/>
      <c r="AR94" s="4"/>
      <c r="AS94" s="4" t="s">
        <v>368</v>
      </c>
      <c r="AT94" s="4">
        <v>0</v>
      </c>
      <c r="AV94" s="248" t="str">
        <f t="shared" si="36"/>
        <v/>
      </c>
      <c r="AW94" s="248"/>
      <c r="AX94" s="4" t="str">
        <f t="shared" si="37"/>
        <v>M</v>
      </c>
      <c r="AY94" s="248" t="str">
        <f t="shared" si="38"/>
        <v/>
      </c>
      <c r="AZ94" s="232"/>
      <c r="BA94" s="4">
        <v>92</v>
      </c>
      <c r="BB94" s="2" t="s">
        <v>47</v>
      </c>
      <c r="BC94" s="2" t="s">
        <v>234</v>
      </c>
      <c r="BD94" s="2" t="s">
        <v>54</v>
      </c>
      <c r="BE94" s="2" t="s">
        <v>48</v>
      </c>
      <c r="BF94" s="2" t="s">
        <v>80</v>
      </c>
      <c r="BG94" s="2"/>
      <c r="BH94" s="185" t="s">
        <v>3</v>
      </c>
      <c r="BI94" s="185" t="s">
        <v>151</v>
      </c>
      <c r="BJ94" s="185" t="s">
        <v>148</v>
      </c>
      <c r="BK94" s="185" t="s">
        <v>164</v>
      </c>
      <c r="BL94" s="100"/>
      <c r="BM94" s="97">
        <f t="shared" si="39"/>
        <v>0</v>
      </c>
      <c r="BN94" s="225" t="s">
        <v>294</v>
      </c>
      <c r="BO94" s="225" t="s">
        <v>306</v>
      </c>
      <c r="BP94" s="225" t="s">
        <v>258</v>
      </c>
      <c r="BQ94" s="225" t="s">
        <v>259</v>
      </c>
      <c r="BR94" s="225" t="s">
        <v>318</v>
      </c>
      <c r="BS94" s="225" t="s">
        <v>325</v>
      </c>
      <c r="BT94" s="225" t="s">
        <v>275</v>
      </c>
      <c r="BU94" s="225" t="s">
        <v>260</v>
      </c>
      <c r="BV94" s="2"/>
      <c r="BW94" s="259" t="s">
        <v>329</v>
      </c>
      <c r="BX94" s="259" t="s">
        <v>330</v>
      </c>
      <c r="BY94" s="259" t="s">
        <v>270</v>
      </c>
      <c r="BZ94" s="259" t="s">
        <v>336</v>
      </c>
      <c r="CA94" s="107"/>
      <c r="CB94" s="249"/>
      <c r="CC94" s="107"/>
      <c r="CD94" s="249"/>
      <c r="CE94" s="107"/>
      <c r="CF94" s="225" t="str">
        <f t="shared" si="40"/>
        <v/>
      </c>
      <c r="CG94" s="225" t="str">
        <f t="shared" si="41"/>
        <v/>
      </c>
      <c r="CH94" s="225" t="str">
        <f t="shared" si="42"/>
        <v/>
      </c>
      <c r="CI94" s="225" t="str">
        <f t="shared" si="43"/>
        <v/>
      </c>
      <c r="CJ94" s="225" t="str">
        <f t="shared" si="44"/>
        <v/>
      </c>
      <c r="CK94" s="225" t="str">
        <f t="shared" si="45"/>
        <v/>
      </c>
      <c r="CL94" s="225" t="str">
        <f t="shared" si="46"/>
        <v/>
      </c>
      <c r="CM94" s="225" t="str">
        <f t="shared" si="47"/>
        <v/>
      </c>
      <c r="CN94" s="225" t="str">
        <f t="shared" si="48"/>
        <v/>
      </c>
      <c r="CO94" s="225" t="str">
        <f t="shared" si="49"/>
        <v/>
      </c>
      <c r="CP94" s="250"/>
      <c r="CQ94" s="250" t="str">
        <f t="shared" si="50"/>
        <v/>
      </c>
      <c r="CR94" s="5">
        <v>92</v>
      </c>
      <c r="CU9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4" s="373" t="str">
        <f t="shared" si="51"/>
        <v/>
      </c>
      <c r="CW94" s="2"/>
      <c r="CX94" s="104"/>
    </row>
    <row r="95" spans="1:102" ht="18.95" customHeight="1" x14ac:dyDescent="0.35">
      <c r="B95" s="4">
        <v>93</v>
      </c>
      <c r="C95" s="4" t="s">
        <v>691</v>
      </c>
      <c r="E95" s="382" t="s">
        <v>672</v>
      </c>
      <c r="F95" s="69" t="s">
        <v>75</v>
      </c>
      <c r="H95" s="69" t="s">
        <v>505</v>
      </c>
      <c r="I95" s="69" t="s">
        <v>463</v>
      </c>
      <c r="J95" s="69" t="s">
        <v>423</v>
      </c>
      <c r="K95" s="160" t="s">
        <v>558</v>
      </c>
      <c r="L95" s="2"/>
      <c r="M95" s="168" t="s">
        <v>788</v>
      </c>
      <c r="N95" s="2"/>
      <c r="O95" s="230" t="str">
        <f>IF($A$2=B95,Elektro!$Q$11,"")</f>
        <v/>
      </c>
      <c r="P95" s="230" t="str">
        <f>IF($A$2=B95,Elektro!$Q$12,"")</f>
        <v/>
      </c>
      <c r="Q95" s="236" t="str">
        <f>IF($A$2=B95,Elektro!$Q$13,"")</f>
        <v/>
      </c>
      <c r="R95" s="231" t="str">
        <f>IF($A$2=B95,Elektro!$Q$14,"")</f>
        <v/>
      </c>
      <c r="S95" s="231" t="str">
        <f>IF($A$2=B95,Elektro!$Q$15,"")</f>
        <v/>
      </c>
      <c r="T95" s="230" t="str">
        <f>IF($A$2=B95,Elektro!$Q$16,"")</f>
        <v/>
      </c>
      <c r="U95" s="353" t="str">
        <f t="shared" si="26"/>
        <v/>
      </c>
      <c r="V95" s="353" t="str">
        <f t="shared" si="27"/>
        <v/>
      </c>
      <c r="W95" s="4" t="s">
        <v>139</v>
      </c>
      <c r="X95" s="4" t="s">
        <v>248</v>
      </c>
      <c r="Y95" s="4">
        <v>2</v>
      </c>
      <c r="Z95" s="4">
        <v>63.55</v>
      </c>
      <c r="AA95" s="232" t="str">
        <f t="shared" si="28"/>
        <v/>
      </c>
      <c r="AB95" s="233" t="str">
        <f t="shared" si="29"/>
        <v/>
      </c>
      <c r="AC95" s="233" t="str">
        <f t="shared" si="30"/>
        <v>mol/s</v>
      </c>
      <c r="AD95" s="231" t="str">
        <f t="shared" si="31"/>
        <v/>
      </c>
      <c r="AE95" s="231" t="s">
        <v>283</v>
      </c>
      <c r="AF95" s="232" t="str">
        <f t="shared" si="32"/>
        <v/>
      </c>
      <c r="AG95" s="236" t="s">
        <v>284</v>
      </c>
      <c r="AH95" s="4"/>
      <c r="AI95" s="4" t="s">
        <v>142</v>
      </c>
      <c r="AJ95" s="4" t="s">
        <v>20</v>
      </c>
      <c r="AK95" s="4">
        <v>2</v>
      </c>
      <c r="AL95" s="4">
        <v>2</v>
      </c>
      <c r="AM95" s="232" t="str">
        <f t="shared" si="33"/>
        <v/>
      </c>
      <c r="AN95" s="233" t="str">
        <f t="shared" si="34"/>
        <v/>
      </c>
      <c r="AO95" s="4" t="str">
        <f t="shared" si="35"/>
        <v>mol/s</v>
      </c>
      <c r="AP95" s="4"/>
      <c r="AQ95" s="4"/>
      <c r="AR95" s="4"/>
      <c r="AS95" s="4" t="s">
        <v>368</v>
      </c>
      <c r="AT95" s="4">
        <v>0</v>
      </c>
      <c r="AV95" s="248" t="str">
        <f t="shared" si="36"/>
        <v/>
      </c>
      <c r="AW95" s="248"/>
      <c r="AX95" s="4" t="str">
        <f t="shared" si="37"/>
        <v>M</v>
      </c>
      <c r="AY95" s="248" t="str">
        <f t="shared" si="38"/>
        <v/>
      </c>
      <c r="AZ95" s="232"/>
      <c r="BA95" s="4">
        <v>93</v>
      </c>
      <c r="BB95" s="2" t="s">
        <v>47</v>
      </c>
      <c r="BC95" s="2" t="s">
        <v>236</v>
      </c>
      <c r="BD95" s="2" t="s">
        <v>54</v>
      </c>
      <c r="BE95" s="2" t="s">
        <v>48</v>
      </c>
      <c r="BF95" s="2" t="s">
        <v>81</v>
      </c>
      <c r="BG95" s="2"/>
      <c r="BH95" s="185" t="s">
        <v>3</v>
      </c>
      <c r="BI95" s="185" t="s">
        <v>151</v>
      </c>
      <c r="BJ95" s="185" t="s">
        <v>148</v>
      </c>
      <c r="BK95" s="185" t="s">
        <v>164</v>
      </c>
      <c r="BL95" s="100"/>
      <c r="BM95" s="97">
        <f t="shared" si="39"/>
        <v>0</v>
      </c>
      <c r="BN95" s="225" t="s">
        <v>294</v>
      </c>
      <c r="BO95" s="225" t="s">
        <v>306</v>
      </c>
      <c r="BP95" s="225" t="s">
        <v>258</v>
      </c>
      <c r="BQ95" s="225" t="s">
        <v>259</v>
      </c>
      <c r="BR95" s="225" t="s">
        <v>318</v>
      </c>
      <c r="BS95" s="225" t="s">
        <v>325</v>
      </c>
      <c r="BT95" s="225" t="s">
        <v>275</v>
      </c>
      <c r="BU95" s="225" t="s">
        <v>260</v>
      </c>
      <c r="BV95" s="2"/>
      <c r="BW95" s="259" t="s">
        <v>329</v>
      </c>
      <c r="BX95" s="259" t="s">
        <v>330</v>
      </c>
      <c r="BY95" s="259" t="s">
        <v>270</v>
      </c>
      <c r="BZ95" s="259" t="s">
        <v>336</v>
      </c>
      <c r="CA95" s="107"/>
      <c r="CB95" s="249"/>
      <c r="CC95" s="107"/>
      <c r="CD95" s="249"/>
      <c r="CE95" s="107"/>
      <c r="CF95" s="225" t="str">
        <f t="shared" si="40"/>
        <v/>
      </c>
      <c r="CG95" s="225" t="str">
        <f t="shared" si="41"/>
        <v/>
      </c>
      <c r="CH95" s="225" t="str">
        <f t="shared" si="42"/>
        <v/>
      </c>
      <c r="CI95" s="225" t="str">
        <f t="shared" si="43"/>
        <v/>
      </c>
      <c r="CJ95" s="225" t="str">
        <f t="shared" si="44"/>
        <v/>
      </c>
      <c r="CK95" s="225" t="str">
        <f t="shared" si="45"/>
        <v/>
      </c>
      <c r="CL95" s="225" t="str">
        <f t="shared" si="46"/>
        <v/>
      </c>
      <c r="CM95" s="225" t="str">
        <f t="shared" si="47"/>
        <v/>
      </c>
      <c r="CN95" s="225" t="str">
        <f t="shared" si="48"/>
        <v/>
      </c>
      <c r="CO95" s="225" t="str">
        <f t="shared" si="49"/>
        <v/>
      </c>
      <c r="CP95" s="250"/>
      <c r="CQ95" s="250" t="str">
        <f t="shared" si="50"/>
        <v/>
      </c>
      <c r="CR95" s="5">
        <v>93</v>
      </c>
      <c r="CU9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5" s="373" t="str">
        <f t="shared" si="51"/>
        <v/>
      </c>
      <c r="CW95" s="2"/>
      <c r="CX95" s="104"/>
    </row>
    <row r="96" spans="1:102" ht="18.95" customHeight="1" x14ac:dyDescent="0.35">
      <c r="B96" s="4">
        <v>94</v>
      </c>
      <c r="C96" s="4" t="s">
        <v>692</v>
      </c>
      <c r="E96" s="382" t="s">
        <v>673</v>
      </c>
      <c r="F96" s="69" t="s">
        <v>75</v>
      </c>
      <c r="H96" s="69" t="s">
        <v>506</v>
      </c>
      <c r="I96" s="69" t="s">
        <v>463</v>
      </c>
      <c r="J96" s="69" t="s">
        <v>423</v>
      </c>
      <c r="K96" s="160" t="s">
        <v>558</v>
      </c>
      <c r="L96" s="2"/>
      <c r="M96" s="168" t="s">
        <v>789</v>
      </c>
      <c r="N96" s="2"/>
      <c r="O96" s="230" t="str">
        <f>IF($A$2=B96,Elektro!$Q$11,"")</f>
        <v/>
      </c>
      <c r="P96" s="230" t="str">
        <f>IF($A$2=B96,Elektro!$Q$12,"")</f>
        <v/>
      </c>
      <c r="Q96" s="236" t="str">
        <f>IF($A$2=B96,Elektro!$Q$13,"")</f>
        <v/>
      </c>
      <c r="R96" s="231" t="str">
        <f>IF($A$2=B96,Elektro!$Q$14,"")</f>
        <v/>
      </c>
      <c r="S96" s="231" t="str">
        <f>IF($A$2=B96,Elektro!$Q$15,"")</f>
        <v/>
      </c>
      <c r="T96" s="230" t="str">
        <f>IF($A$2=B96,Elektro!$Q$16,"")</f>
        <v/>
      </c>
      <c r="U96" s="353" t="str">
        <f t="shared" si="26"/>
        <v/>
      </c>
      <c r="V96" s="353" t="str">
        <f t="shared" si="27"/>
        <v/>
      </c>
      <c r="W96" s="4" t="s">
        <v>139</v>
      </c>
      <c r="X96" s="4" t="s">
        <v>248</v>
      </c>
      <c r="Y96" s="4">
        <v>2</v>
      </c>
      <c r="Z96" s="4">
        <v>63.55</v>
      </c>
      <c r="AA96" s="232" t="str">
        <f t="shared" si="28"/>
        <v/>
      </c>
      <c r="AB96" s="233" t="str">
        <f t="shared" si="29"/>
        <v/>
      </c>
      <c r="AC96" s="233" t="str">
        <f t="shared" si="30"/>
        <v>mol/s</v>
      </c>
      <c r="AD96" s="231" t="str">
        <f t="shared" si="31"/>
        <v/>
      </c>
      <c r="AE96" s="231" t="s">
        <v>283</v>
      </c>
      <c r="AF96" s="232" t="str">
        <f t="shared" si="32"/>
        <v/>
      </c>
      <c r="AG96" s="236" t="s">
        <v>284</v>
      </c>
      <c r="AH96" s="4"/>
      <c r="AI96" s="4" t="s">
        <v>142</v>
      </c>
      <c r="AJ96" s="4" t="s">
        <v>20</v>
      </c>
      <c r="AK96" s="4">
        <v>2</v>
      </c>
      <c r="AL96" s="4">
        <v>2</v>
      </c>
      <c r="AM96" s="232" t="str">
        <f t="shared" si="33"/>
        <v/>
      </c>
      <c r="AN96" s="233" t="str">
        <f t="shared" si="34"/>
        <v/>
      </c>
      <c r="AO96" s="4" t="str">
        <f t="shared" si="35"/>
        <v>mol/s</v>
      </c>
      <c r="AP96" s="4"/>
      <c r="AQ96" s="4"/>
      <c r="AR96" s="4"/>
      <c r="AS96" s="4" t="s">
        <v>368</v>
      </c>
      <c r="AT96" s="4">
        <v>0</v>
      </c>
      <c r="AV96" s="248" t="str">
        <f t="shared" si="36"/>
        <v/>
      </c>
      <c r="AW96" s="248"/>
      <c r="AX96" s="4" t="str">
        <f t="shared" si="37"/>
        <v>M</v>
      </c>
      <c r="AY96" s="248" t="str">
        <f t="shared" si="38"/>
        <v/>
      </c>
      <c r="AZ96" s="232"/>
      <c r="BA96" s="4">
        <v>94</v>
      </c>
      <c r="BB96" s="2" t="s">
        <v>47</v>
      </c>
      <c r="BC96" s="2" t="s">
        <v>234</v>
      </c>
      <c r="BD96" s="2" t="s">
        <v>54</v>
      </c>
      <c r="BE96" s="2" t="s">
        <v>48</v>
      </c>
      <c r="BF96" s="2" t="s">
        <v>82</v>
      </c>
      <c r="BG96" s="2"/>
      <c r="BH96" s="185" t="s">
        <v>3</v>
      </c>
      <c r="BI96" s="185" t="s">
        <v>151</v>
      </c>
      <c r="BJ96" s="185" t="s">
        <v>148</v>
      </c>
      <c r="BK96" s="185" t="s">
        <v>164</v>
      </c>
      <c r="BL96" s="100"/>
      <c r="BM96" s="97">
        <f t="shared" si="39"/>
        <v>0</v>
      </c>
      <c r="BN96" s="225" t="s">
        <v>294</v>
      </c>
      <c r="BO96" s="225" t="s">
        <v>306</v>
      </c>
      <c r="BP96" s="225" t="s">
        <v>258</v>
      </c>
      <c r="BQ96" s="225" t="s">
        <v>259</v>
      </c>
      <c r="BR96" s="225" t="s">
        <v>318</v>
      </c>
      <c r="BS96" s="225" t="s">
        <v>325</v>
      </c>
      <c r="BT96" s="225" t="s">
        <v>275</v>
      </c>
      <c r="BU96" s="225" t="s">
        <v>260</v>
      </c>
      <c r="BV96" s="2"/>
      <c r="BW96" s="259" t="s">
        <v>329</v>
      </c>
      <c r="BX96" s="259" t="s">
        <v>330</v>
      </c>
      <c r="BY96" s="259" t="s">
        <v>270</v>
      </c>
      <c r="BZ96" s="259" t="s">
        <v>336</v>
      </c>
      <c r="CA96" s="107"/>
      <c r="CB96" s="249"/>
      <c r="CC96" s="107"/>
      <c r="CD96" s="249"/>
      <c r="CE96" s="107"/>
      <c r="CF96" s="225" t="str">
        <f t="shared" si="40"/>
        <v/>
      </c>
      <c r="CG96" s="225" t="str">
        <f t="shared" si="41"/>
        <v/>
      </c>
      <c r="CH96" s="225" t="str">
        <f t="shared" si="42"/>
        <v/>
      </c>
      <c r="CI96" s="225" t="str">
        <f t="shared" si="43"/>
        <v/>
      </c>
      <c r="CJ96" s="225" t="str">
        <f t="shared" si="44"/>
        <v/>
      </c>
      <c r="CK96" s="225" t="str">
        <f t="shared" si="45"/>
        <v/>
      </c>
      <c r="CL96" s="225" t="str">
        <f t="shared" si="46"/>
        <v/>
      </c>
      <c r="CM96" s="225" t="str">
        <f t="shared" si="47"/>
        <v/>
      </c>
      <c r="CN96" s="225" t="str">
        <f t="shared" si="48"/>
        <v/>
      </c>
      <c r="CO96" s="225" t="str">
        <f t="shared" si="49"/>
        <v/>
      </c>
      <c r="CP96" s="250"/>
      <c r="CQ96" s="250" t="str">
        <f t="shared" si="50"/>
        <v/>
      </c>
      <c r="CR96" s="5">
        <v>94</v>
      </c>
      <c r="CU9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6" s="373" t="str">
        <f t="shared" si="51"/>
        <v/>
      </c>
      <c r="CW96" s="2"/>
      <c r="CX96" s="104"/>
    </row>
    <row r="97" spans="2:102" ht="18.95" customHeight="1" x14ac:dyDescent="0.35">
      <c r="B97" s="4">
        <v>95</v>
      </c>
      <c r="C97" s="4" t="s">
        <v>105</v>
      </c>
      <c r="E97" s="382" t="s">
        <v>619</v>
      </c>
      <c r="F97" s="69" t="s">
        <v>75</v>
      </c>
      <c r="H97" s="69" t="s">
        <v>507</v>
      </c>
      <c r="I97" s="69" t="s">
        <v>463</v>
      </c>
      <c r="J97" s="69" t="s">
        <v>423</v>
      </c>
      <c r="K97" s="160" t="s">
        <v>558</v>
      </c>
      <c r="L97" s="2"/>
      <c r="M97" s="4" t="s">
        <v>790</v>
      </c>
      <c r="N97" s="2"/>
      <c r="O97" s="230" t="str">
        <f>IF($A$2=B97,Elektro!$Q$11,"")</f>
        <v/>
      </c>
      <c r="P97" s="230" t="str">
        <f>IF($A$2=B97,Elektro!$Q$12,"")</f>
        <v/>
      </c>
      <c r="Q97" s="236" t="str">
        <f>IF($A$2=B97,Elektro!$Q$13,"")</f>
        <v/>
      </c>
      <c r="R97" s="231" t="str">
        <f>IF($A$2=B97,Elektro!$Q$14,"")</f>
        <v/>
      </c>
      <c r="S97" s="231" t="str">
        <f>IF($A$2=B97,Elektro!$Q$15,"")</f>
        <v/>
      </c>
      <c r="T97" s="230" t="str">
        <f>IF($A$2=B97,Elektro!$Q$16,"")</f>
        <v/>
      </c>
      <c r="U97" s="353" t="str">
        <f t="shared" si="26"/>
        <v/>
      </c>
      <c r="V97" s="353" t="str">
        <f t="shared" si="27"/>
        <v/>
      </c>
      <c r="W97" s="4" t="s">
        <v>139</v>
      </c>
      <c r="X97" s="4" t="s">
        <v>248</v>
      </c>
      <c r="Y97" s="4">
        <v>2</v>
      </c>
      <c r="Z97" s="4">
        <v>63.55</v>
      </c>
      <c r="AA97" s="232" t="str">
        <f t="shared" si="28"/>
        <v/>
      </c>
      <c r="AB97" s="233" t="str">
        <f t="shared" si="29"/>
        <v/>
      </c>
      <c r="AC97" s="233" t="str">
        <f t="shared" si="30"/>
        <v>mol/s</v>
      </c>
      <c r="AD97" s="231" t="str">
        <f t="shared" si="31"/>
        <v/>
      </c>
      <c r="AE97" s="231" t="s">
        <v>283</v>
      </c>
      <c r="AF97" s="232" t="str">
        <f t="shared" si="32"/>
        <v/>
      </c>
      <c r="AG97" s="236" t="s">
        <v>284</v>
      </c>
      <c r="AH97" s="4"/>
      <c r="AI97" s="4" t="s">
        <v>142</v>
      </c>
      <c r="AJ97" s="4" t="s">
        <v>20</v>
      </c>
      <c r="AK97" s="4">
        <v>2</v>
      </c>
      <c r="AL97" s="4">
        <v>2</v>
      </c>
      <c r="AM97" s="232" t="str">
        <f t="shared" si="33"/>
        <v/>
      </c>
      <c r="AN97" s="233" t="str">
        <f t="shared" si="34"/>
        <v/>
      </c>
      <c r="AO97" s="4" t="str">
        <f t="shared" si="35"/>
        <v>mol/s</v>
      </c>
      <c r="AP97" s="4"/>
      <c r="AQ97" s="4"/>
      <c r="AR97" s="4"/>
      <c r="AS97" s="4" t="s">
        <v>121</v>
      </c>
      <c r="AT97" s="4">
        <v>2</v>
      </c>
      <c r="AU97" s="5" t="s">
        <v>65</v>
      </c>
      <c r="AV97" s="248" t="str">
        <f t="shared" si="36"/>
        <v/>
      </c>
      <c r="AW97" s="248"/>
      <c r="AX97" s="4" t="str">
        <f t="shared" si="37"/>
        <v>M</v>
      </c>
      <c r="AY97" s="248" t="str">
        <f t="shared" si="38"/>
        <v/>
      </c>
      <c r="AZ97" s="232"/>
      <c r="BA97" s="4">
        <v>95</v>
      </c>
      <c r="BB97" s="2" t="s">
        <v>47</v>
      </c>
      <c r="BC97" s="2" t="s">
        <v>51</v>
      </c>
      <c r="BD97" s="2" t="s">
        <v>54</v>
      </c>
      <c r="BE97" s="2" t="s">
        <v>48</v>
      </c>
      <c r="BF97" s="2" t="s">
        <v>83</v>
      </c>
      <c r="BG97" s="2"/>
      <c r="BH97" s="185" t="s">
        <v>3</v>
      </c>
      <c r="BI97" s="185" t="s">
        <v>151</v>
      </c>
      <c r="BJ97" s="185" t="s">
        <v>148</v>
      </c>
      <c r="BK97" s="185" t="s">
        <v>164</v>
      </c>
      <c r="BL97" s="100"/>
      <c r="BM97" s="97">
        <f t="shared" si="39"/>
        <v>2</v>
      </c>
      <c r="BN97" s="225" t="s">
        <v>294</v>
      </c>
      <c r="BO97" s="225" t="s">
        <v>306</v>
      </c>
      <c r="BP97" s="225" t="s">
        <v>258</v>
      </c>
      <c r="BQ97" s="225" t="s">
        <v>259</v>
      </c>
      <c r="BR97" s="225" t="s">
        <v>318</v>
      </c>
      <c r="BS97" s="225" t="s">
        <v>325</v>
      </c>
      <c r="BT97" s="225" t="s">
        <v>275</v>
      </c>
      <c r="BU97" s="225" t="s">
        <v>260</v>
      </c>
      <c r="BV97" s="2"/>
      <c r="BW97" s="259" t="s">
        <v>329</v>
      </c>
      <c r="BX97" s="259" t="s">
        <v>330</v>
      </c>
      <c r="BY97" s="259" t="s">
        <v>270</v>
      </c>
      <c r="BZ97" s="259" t="s">
        <v>336</v>
      </c>
      <c r="CA97" s="107"/>
      <c r="CB97" s="249"/>
      <c r="CC97" s="107"/>
      <c r="CD97" s="249"/>
      <c r="CE97" s="107"/>
      <c r="CF97" s="225" t="str">
        <f t="shared" si="40"/>
        <v/>
      </c>
      <c r="CG97" s="225" t="str">
        <f t="shared" si="41"/>
        <v/>
      </c>
      <c r="CH97" s="225" t="str">
        <f t="shared" si="42"/>
        <v/>
      </c>
      <c r="CI97" s="225" t="str">
        <f t="shared" si="43"/>
        <v/>
      </c>
      <c r="CJ97" s="225" t="str">
        <f t="shared" si="44"/>
        <v/>
      </c>
      <c r="CK97" s="225" t="str">
        <f t="shared" si="45"/>
        <v/>
      </c>
      <c r="CL97" s="225" t="str">
        <f t="shared" si="46"/>
        <v/>
      </c>
      <c r="CM97" s="225" t="str">
        <f t="shared" si="47"/>
        <v/>
      </c>
      <c r="CN97" s="225" t="str">
        <f t="shared" si="48"/>
        <v/>
      </c>
      <c r="CO97" s="225" t="str">
        <f t="shared" si="49"/>
        <v/>
      </c>
      <c r="CP97" s="250"/>
      <c r="CQ97" s="250" t="str">
        <f t="shared" si="50"/>
        <v/>
      </c>
      <c r="CR97" s="5">
        <v>95</v>
      </c>
      <c r="CU9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7" s="373" t="str">
        <f t="shared" si="51"/>
        <v/>
      </c>
      <c r="CW97" s="2"/>
      <c r="CX97" s="104"/>
    </row>
    <row r="98" spans="2:102" ht="18.95" customHeight="1" x14ac:dyDescent="0.35">
      <c r="B98" s="4">
        <v>96</v>
      </c>
      <c r="C98" s="4" t="s">
        <v>869</v>
      </c>
      <c r="E98" s="382" t="s">
        <v>620</v>
      </c>
      <c r="F98" s="69" t="s">
        <v>75</v>
      </c>
      <c r="H98" s="69" t="s">
        <v>508</v>
      </c>
      <c r="I98" s="69" t="s">
        <v>463</v>
      </c>
      <c r="J98" s="69" t="s">
        <v>423</v>
      </c>
      <c r="K98" s="160" t="s">
        <v>558</v>
      </c>
      <c r="L98" s="2"/>
      <c r="M98" s="4" t="s">
        <v>791</v>
      </c>
      <c r="N98" s="2"/>
      <c r="O98" s="230" t="str">
        <f>IF($A$2=B98,Elektro!$Q$11,"")</f>
        <v/>
      </c>
      <c r="P98" s="230" t="str">
        <f>IF($A$2=B98,Elektro!$Q$12,"")</f>
        <v/>
      </c>
      <c r="Q98" s="236" t="str">
        <f>IF($A$2=B98,Elektro!$Q$13,"")</f>
        <v/>
      </c>
      <c r="R98" s="231" t="str">
        <f>IF($A$2=B98,Elektro!$Q$14,"")</f>
        <v/>
      </c>
      <c r="S98" s="231" t="str">
        <f>IF($A$2=B98,Elektro!$Q$15,"")</f>
        <v/>
      </c>
      <c r="T98" s="230" t="str">
        <f>IF($A$2=B98,Elektro!$Q$16,"")</f>
        <v/>
      </c>
      <c r="U98" s="353" t="str">
        <f t="shared" si="26"/>
        <v/>
      </c>
      <c r="V98" s="353" t="str">
        <f t="shared" si="27"/>
        <v/>
      </c>
      <c r="W98" s="4" t="s">
        <v>139</v>
      </c>
      <c r="X98" s="4" t="s">
        <v>248</v>
      </c>
      <c r="Y98" s="4">
        <v>2</v>
      </c>
      <c r="Z98" s="4">
        <v>63.55</v>
      </c>
      <c r="AA98" s="232" t="str">
        <f t="shared" si="28"/>
        <v/>
      </c>
      <c r="AB98" s="233" t="str">
        <f t="shared" si="29"/>
        <v/>
      </c>
      <c r="AC98" s="233" t="str">
        <f t="shared" si="30"/>
        <v>mol/s</v>
      </c>
      <c r="AD98" s="231" t="str">
        <f t="shared" si="31"/>
        <v/>
      </c>
      <c r="AE98" s="231" t="s">
        <v>283</v>
      </c>
      <c r="AF98" s="232" t="str">
        <f t="shared" si="32"/>
        <v/>
      </c>
      <c r="AG98" s="236" t="s">
        <v>284</v>
      </c>
      <c r="AH98" s="4"/>
      <c r="AI98" s="4" t="s">
        <v>142</v>
      </c>
      <c r="AJ98" s="4" t="s">
        <v>20</v>
      </c>
      <c r="AK98" s="4">
        <v>2</v>
      </c>
      <c r="AL98" s="4">
        <v>2</v>
      </c>
      <c r="AM98" s="232" t="str">
        <f t="shared" si="33"/>
        <v/>
      </c>
      <c r="AN98" s="233" t="str">
        <f t="shared" si="34"/>
        <v/>
      </c>
      <c r="AO98" s="4" t="str">
        <f t="shared" si="35"/>
        <v>mol/s</v>
      </c>
      <c r="AP98" s="4"/>
      <c r="AQ98" s="4"/>
      <c r="AR98" s="4"/>
      <c r="AS98" s="4" t="s">
        <v>121</v>
      </c>
      <c r="AT98" s="4">
        <v>2</v>
      </c>
      <c r="AU98" s="5" t="s">
        <v>65</v>
      </c>
      <c r="AV98" s="248" t="str">
        <f t="shared" si="36"/>
        <v/>
      </c>
      <c r="AW98" s="248"/>
      <c r="AX98" s="4" t="str">
        <f t="shared" si="37"/>
        <v>M</v>
      </c>
      <c r="AY98" s="248" t="str">
        <f t="shared" si="38"/>
        <v/>
      </c>
      <c r="AZ98" s="232"/>
      <c r="BA98" s="4">
        <v>96</v>
      </c>
      <c r="BB98" s="2" t="s">
        <v>47</v>
      </c>
      <c r="BC98" s="2" t="s">
        <v>51</v>
      </c>
      <c r="BD98" s="2" t="s">
        <v>54</v>
      </c>
      <c r="BE98" s="2" t="s">
        <v>48</v>
      </c>
      <c r="BF98" s="2" t="s">
        <v>80</v>
      </c>
      <c r="BG98" s="2"/>
      <c r="BH98" s="185" t="s">
        <v>3</v>
      </c>
      <c r="BI98" s="185" t="s">
        <v>151</v>
      </c>
      <c r="BJ98" s="185" t="s">
        <v>148</v>
      </c>
      <c r="BK98" s="185" t="s">
        <v>164</v>
      </c>
      <c r="BL98" s="100"/>
      <c r="BM98" s="97">
        <f t="shared" si="39"/>
        <v>2</v>
      </c>
      <c r="BN98" s="225" t="s">
        <v>294</v>
      </c>
      <c r="BO98" s="225" t="s">
        <v>306</v>
      </c>
      <c r="BP98" s="225" t="s">
        <v>258</v>
      </c>
      <c r="BQ98" s="225" t="s">
        <v>259</v>
      </c>
      <c r="BR98" s="225" t="s">
        <v>318</v>
      </c>
      <c r="BS98" s="225" t="s">
        <v>325</v>
      </c>
      <c r="BT98" s="225" t="s">
        <v>275</v>
      </c>
      <c r="BU98" s="225" t="s">
        <v>260</v>
      </c>
      <c r="BV98" s="2"/>
      <c r="BW98" s="259" t="s">
        <v>329</v>
      </c>
      <c r="BX98" s="259" t="s">
        <v>330</v>
      </c>
      <c r="BY98" s="259" t="s">
        <v>270</v>
      </c>
      <c r="BZ98" s="259" t="s">
        <v>336</v>
      </c>
      <c r="CA98" s="107"/>
      <c r="CB98" s="249"/>
      <c r="CC98" s="107"/>
      <c r="CD98" s="249"/>
      <c r="CE98" s="107"/>
      <c r="CF98" s="225" t="str">
        <f t="shared" si="40"/>
        <v/>
      </c>
      <c r="CG98" s="225" t="str">
        <f t="shared" si="41"/>
        <v/>
      </c>
      <c r="CH98" s="225" t="str">
        <f t="shared" si="42"/>
        <v/>
      </c>
      <c r="CI98" s="225" t="str">
        <f t="shared" si="43"/>
        <v/>
      </c>
      <c r="CJ98" s="225" t="str">
        <f t="shared" si="44"/>
        <v/>
      </c>
      <c r="CK98" s="225" t="str">
        <f t="shared" si="45"/>
        <v/>
      </c>
      <c r="CL98" s="225" t="str">
        <f t="shared" si="46"/>
        <v/>
      </c>
      <c r="CM98" s="225" t="str">
        <f t="shared" si="47"/>
        <v/>
      </c>
      <c r="CN98" s="225" t="str">
        <f t="shared" si="48"/>
        <v/>
      </c>
      <c r="CO98" s="225" t="str">
        <f t="shared" si="49"/>
        <v/>
      </c>
      <c r="CP98" s="250"/>
      <c r="CQ98" s="250" t="str">
        <f t="shared" si="50"/>
        <v/>
      </c>
      <c r="CR98" s="5">
        <v>96</v>
      </c>
      <c r="CU9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8" s="373" t="str">
        <f t="shared" si="51"/>
        <v/>
      </c>
      <c r="CW98" s="2"/>
      <c r="CX98" s="104"/>
    </row>
    <row r="99" spans="2:102" ht="18.95" customHeight="1" x14ac:dyDescent="0.35">
      <c r="B99" s="4">
        <v>97</v>
      </c>
      <c r="C99" s="4" t="s">
        <v>870</v>
      </c>
      <c r="E99" s="382" t="s">
        <v>621</v>
      </c>
      <c r="F99" s="69" t="s">
        <v>75</v>
      </c>
      <c r="H99" s="69" t="s">
        <v>509</v>
      </c>
      <c r="I99" s="69" t="s">
        <v>463</v>
      </c>
      <c r="J99" s="69" t="s">
        <v>423</v>
      </c>
      <c r="K99" s="160" t="s">
        <v>558</v>
      </c>
      <c r="L99" s="2"/>
      <c r="M99" s="4" t="s">
        <v>792</v>
      </c>
      <c r="N99" s="2"/>
      <c r="O99" s="230" t="str">
        <f>IF($A$2=B99,Elektro!$Q$11,"")</f>
        <v/>
      </c>
      <c r="P99" s="230" t="str">
        <f>IF($A$2=B99,Elektro!$Q$12,"")</f>
        <v/>
      </c>
      <c r="Q99" s="236" t="str">
        <f>IF($A$2=B99,Elektro!$Q$13,"")</f>
        <v/>
      </c>
      <c r="R99" s="231" t="str">
        <f>IF($A$2=B99,Elektro!$Q$14,"")</f>
        <v/>
      </c>
      <c r="S99" s="231" t="str">
        <f>IF($A$2=B99,Elektro!$Q$15,"")</f>
        <v/>
      </c>
      <c r="T99" s="230" t="str">
        <f>IF($A$2=B99,Elektro!$Q$16,"")</f>
        <v/>
      </c>
      <c r="U99" s="353" t="str">
        <f t="shared" si="26"/>
        <v/>
      </c>
      <c r="V99" s="353" t="str">
        <f t="shared" si="27"/>
        <v/>
      </c>
      <c r="W99" s="4" t="s">
        <v>139</v>
      </c>
      <c r="X99" s="4" t="s">
        <v>248</v>
      </c>
      <c r="Y99" s="4">
        <v>2</v>
      </c>
      <c r="Z99" s="4">
        <v>63.55</v>
      </c>
      <c r="AA99" s="232" t="str">
        <f t="shared" si="28"/>
        <v/>
      </c>
      <c r="AB99" s="233" t="str">
        <f t="shared" si="29"/>
        <v/>
      </c>
      <c r="AC99" s="233" t="str">
        <f t="shared" si="30"/>
        <v>mol/s</v>
      </c>
      <c r="AD99" s="231" t="str">
        <f t="shared" si="31"/>
        <v/>
      </c>
      <c r="AE99" s="231" t="s">
        <v>283</v>
      </c>
      <c r="AF99" s="232" t="str">
        <f t="shared" si="32"/>
        <v/>
      </c>
      <c r="AG99" s="236" t="s">
        <v>284</v>
      </c>
      <c r="AH99" s="4"/>
      <c r="AI99" s="4" t="s">
        <v>142</v>
      </c>
      <c r="AJ99" s="4" t="s">
        <v>20</v>
      </c>
      <c r="AK99" s="4">
        <v>2</v>
      </c>
      <c r="AL99" s="4">
        <v>2</v>
      </c>
      <c r="AM99" s="232" t="str">
        <f t="shared" si="33"/>
        <v/>
      </c>
      <c r="AN99" s="233" t="str">
        <f t="shared" si="34"/>
        <v/>
      </c>
      <c r="AO99" s="4" t="str">
        <f t="shared" si="35"/>
        <v>mol/s</v>
      </c>
      <c r="AP99" s="4"/>
      <c r="AQ99" s="4"/>
      <c r="AR99" s="4"/>
      <c r="AS99" s="4" t="s">
        <v>121</v>
      </c>
      <c r="AT99" s="4">
        <v>2</v>
      </c>
      <c r="AU99" s="5" t="s">
        <v>65</v>
      </c>
      <c r="AV99" s="248" t="str">
        <f t="shared" si="36"/>
        <v/>
      </c>
      <c r="AW99" s="248"/>
      <c r="AX99" s="4" t="str">
        <f t="shared" si="37"/>
        <v>M</v>
      </c>
      <c r="AY99" s="248" t="str">
        <f t="shared" si="38"/>
        <v/>
      </c>
      <c r="AZ99" s="232"/>
      <c r="BA99" s="4">
        <v>97</v>
      </c>
      <c r="BB99" s="2" t="s">
        <v>47</v>
      </c>
      <c r="BC99" s="2" t="s">
        <v>51</v>
      </c>
      <c r="BD99" s="2" t="s">
        <v>54</v>
      </c>
      <c r="BE99" s="2" t="s">
        <v>48</v>
      </c>
      <c r="BF99" s="2" t="s">
        <v>85</v>
      </c>
      <c r="BG99" s="2"/>
      <c r="BH99" s="185" t="s">
        <v>3</v>
      </c>
      <c r="BI99" s="185" t="s">
        <v>151</v>
      </c>
      <c r="BJ99" s="185" t="s">
        <v>148</v>
      </c>
      <c r="BK99" s="185" t="s">
        <v>164</v>
      </c>
      <c r="BL99" s="100"/>
      <c r="BM99" s="97">
        <f t="shared" si="39"/>
        <v>2</v>
      </c>
      <c r="BN99" s="225" t="s">
        <v>294</v>
      </c>
      <c r="BO99" s="225" t="s">
        <v>306</v>
      </c>
      <c r="BP99" s="225" t="s">
        <v>258</v>
      </c>
      <c r="BQ99" s="225" t="s">
        <v>259</v>
      </c>
      <c r="BR99" s="225" t="s">
        <v>318</v>
      </c>
      <c r="BS99" s="225" t="s">
        <v>325</v>
      </c>
      <c r="BT99" s="225" t="s">
        <v>275</v>
      </c>
      <c r="BU99" s="225" t="s">
        <v>260</v>
      </c>
      <c r="BV99" s="2"/>
      <c r="BW99" s="259" t="s">
        <v>329</v>
      </c>
      <c r="BX99" s="259" t="s">
        <v>330</v>
      </c>
      <c r="BY99" s="259" t="s">
        <v>270</v>
      </c>
      <c r="BZ99" s="259" t="s">
        <v>336</v>
      </c>
      <c r="CA99" s="107"/>
      <c r="CB99" s="249"/>
      <c r="CC99" s="107"/>
      <c r="CD99" s="249"/>
      <c r="CE99" s="107"/>
      <c r="CF99" s="225" t="str">
        <f t="shared" si="40"/>
        <v/>
      </c>
      <c r="CG99" s="225" t="str">
        <f t="shared" si="41"/>
        <v/>
      </c>
      <c r="CH99" s="225" t="str">
        <f t="shared" si="42"/>
        <v/>
      </c>
      <c r="CI99" s="225" t="str">
        <f t="shared" si="43"/>
        <v/>
      </c>
      <c r="CJ99" s="225" t="str">
        <f t="shared" si="44"/>
        <v/>
      </c>
      <c r="CK99" s="225" t="str">
        <f t="shared" si="45"/>
        <v/>
      </c>
      <c r="CL99" s="225" t="str">
        <f t="shared" si="46"/>
        <v/>
      </c>
      <c r="CM99" s="225" t="str">
        <f t="shared" si="47"/>
        <v/>
      </c>
      <c r="CN99" s="225" t="str">
        <f t="shared" si="48"/>
        <v/>
      </c>
      <c r="CO99" s="225" t="str">
        <f t="shared" si="49"/>
        <v/>
      </c>
      <c r="CP99" s="250"/>
      <c r="CQ99" s="250" t="str">
        <f t="shared" si="50"/>
        <v/>
      </c>
      <c r="CR99" s="5">
        <v>97</v>
      </c>
      <c r="CU9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9" s="373" t="str">
        <f t="shared" si="51"/>
        <v/>
      </c>
      <c r="CW99" s="2"/>
      <c r="CX99" s="104"/>
    </row>
    <row r="100" spans="2:102" ht="18.95" customHeight="1" x14ac:dyDescent="0.35">
      <c r="B100" s="4">
        <v>98</v>
      </c>
      <c r="C100" s="4" t="s">
        <v>871</v>
      </c>
      <c r="E100" s="382" t="s">
        <v>622</v>
      </c>
      <c r="F100" s="69" t="s">
        <v>75</v>
      </c>
      <c r="H100" s="69" t="s">
        <v>510</v>
      </c>
      <c r="I100" s="69" t="s">
        <v>463</v>
      </c>
      <c r="J100" s="69" t="s">
        <v>423</v>
      </c>
      <c r="K100" s="160" t="s">
        <v>558</v>
      </c>
      <c r="L100" s="2"/>
      <c r="M100" s="4" t="s">
        <v>793</v>
      </c>
      <c r="N100" s="2"/>
      <c r="O100" s="230" t="str">
        <f>IF($A$2=B100,Elektro!$Q$11,"")</f>
        <v/>
      </c>
      <c r="P100" s="230" t="str">
        <f>IF($A$2=B100,Elektro!$Q$12,"")</f>
        <v/>
      </c>
      <c r="Q100" s="236" t="str">
        <f>IF($A$2=B100,Elektro!$Q$13,"")</f>
        <v/>
      </c>
      <c r="R100" s="231" t="str">
        <f>IF($A$2=B100,Elektro!$Q$14,"")</f>
        <v/>
      </c>
      <c r="S100" s="231" t="str">
        <f>IF($A$2=B100,Elektro!$Q$15,"")</f>
        <v/>
      </c>
      <c r="T100" s="230" t="str">
        <f>IF($A$2=B100,Elektro!$Q$16,"")</f>
        <v/>
      </c>
      <c r="U100" s="353" t="str">
        <f t="shared" si="26"/>
        <v/>
      </c>
      <c r="V100" s="353" t="str">
        <f t="shared" si="27"/>
        <v/>
      </c>
      <c r="W100" s="4" t="s">
        <v>139</v>
      </c>
      <c r="X100" s="4" t="s">
        <v>248</v>
      </c>
      <c r="Y100" s="4">
        <v>2</v>
      </c>
      <c r="Z100" s="4">
        <v>63.55</v>
      </c>
      <c r="AA100" s="232" t="str">
        <f t="shared" si="28"/>
        <v/>
      </c>
      <c r="AB100" s="233" t="str">
        <f t="shared" si="29"/>
        <v/>
      </c>
      <c r="AC100" s="233" t="str">
        <f t="shared" si="30"/>
        <v>mol/s</v>
      </c>
      <c r="AD100" s="231" t="str">
        <f t="shared" si="31"/>
        <v/>
      </c>
      <c r="AE100" s="231" t="s">
        <v>283</v>
      </c>
      <c r="AF100" s="232" t="str">
        <f t="shared" si="32"/>
        <v/>
      </c>
      <c r="AG100" s="236" t="s">
        <v>284</v>
      </c>
      <c r="AH100" s="4"/>
      <c r="AI100" s="4" t="s">
        <v>142</v>
      </c>
      <c r="AJ100" s="4" t="s">
        <v>20</v>
      </c>
      <c r="AK100" s="4">
        <v>2</v>
      </c>
      <c r="AL100" s="4">
        <v>2</v>
      </c>
      <c r="AM100" s="232" t="str">
        <f t="shared" si="33"/>
        <v/>
      </c>
      <c r="AN100" s="233" t="str">
        <f t="shared" si="34"/>
        <v/>
      </c>
      <c r="AO100" s="4" t="str">
        <f t="shared" si="35"/>
        <v>mol/s</v>
      </c>
      <c r="AP100" s="4"/>
      <c r="AQ100" s="4"/>
      <c r="AR100" s="4"/>
      <c r="AS100" s="4" t="s">
        <v>121</v>
      </c>
      <c r="AT100" s="4">
        <v>2</v>
      </c>
      <c r="AU100" s="5" t="s">
        <v>65</v>
      </c>
      <c r="AV100" s="248" t="str">
        <f t="shared" si="36"/>
        <v/>
      </c>
      <c r="AW100" s="248"/>
      <c r="AX100" s="4" t="str">
        <f t="shared" si="37"/>
        <v>M</v>
      </c>
      <c r="AY100" s="248" t="str">
        <f t="shared" si="38"/>
        <v/>
      </c>
      <c r="AZ100" s="232"/>
      <c r="BA100" s="4">
        <v>98</v>
      </c>
      <c r="BB100" s="2" t="s">
        <v>47</v>
      </c>
      <c r="BC100" s="2" t="s">
        <v>51</v>
      </c>
      <c r="BD100" s="2" t="s">
        <v>54</v>
      </c>
      <c r="BE100" s="2" t="s">
        <v>48</v>
      </c>
      <c r="BF100" s="2" t="s">
        <v>84</v>
      </c>
      <c r="BG100" s="2"/>
      <c r="BH100" s="185" t="s">
        <v>3</v>
      </c>
      <c r="BI100" s="185" t="s">
        <v>151</v>
      </c>
      <c r="BJ100" s="185" t="s">
        <v>148</v>
      </c>
      <c r="BK100" s="185" t="s">
        <v>164</v>
      </c>
      <c r="BL100" s="100"/>
      <c r="BM100" s="97">
        <f t="shared" si="39"/>
        <v>2</v>
      </c>
      <c r="BN100" s="225" t="s">
        <v>294</v>
      </c>
      <c r="BO100" s="225" t="s">
        <v>306</v>
      </c>
      <c r="BP100" s="225" t="s">
        <v>258</v>
      </c>
      <c r="BQ100" s="225" t="s">
        <v>259</v>
      </c>
      <c r="BR100" s="225" t="s">
        <v>318</v>
      </c>
      <c r="BS100" s="225" t="s">
        <v>325</v>
      </c>
      <c r="BT100" s="225" t="s">
        <v>275</v>
      </c>
      <c r="BU100" s="225" t="s">
        <v>260</v>
      </c>
      <c r="BV100" s="2"/>
      <c r="BW100" s="259" t="s">
        <v>329</v>
      </c>
      <c r="BX100" s="259" t="s">
        <v>330</v>
      </c>
      <c r="BY100" s="259" t="s">
        <v>270</v>
      </c>
      <c r="BZ100" s="259" t="s">
        <v>336</v>
      </c>
      <c r="CA100" s="107"/>
      <c r="CB100" s="249"/>
      <c r="CC100" s="107"/>
      <c r="CD100" s="249"/>
      <c r="CE100" s="107"/>
      <c r="CF100" s="225" t="str">
        <f t="shared" si="40"/>
        <v/>
      </c>
      <c r="CG100" s="225" t="str">
        <f t="shared" si="41"/>
        <v/>
      </c>
      <c r="CH100" s="225" t="str">
        <f t="shared" si="42"/>
        <v/>
      </c>
      <c r="CI100" s="225" t="str">
        <f t="shared" si="43"/>
        <v/>
      </c>
      <c r="CJ100" s="225" t="str">
        <f t="shared" si="44"/>
        <v/>
      </c>
      <c r="CK100" s="225" t="str">
        <f t="shared" si="45"/>
        <v/>
      </c>
      <c r="CL100" s="225" t="str">
        <f t="shared" si="46"/>
        <v/>
      </c>
      <c r="CM100" s="225" t="str">
        <f t="shared" si="47"/>
        <v/>
      </c>
      <c r="CN100" s="225" t="str">
        <f t="shared" si="48"/>
        <v/>
      </c>
      <c r="CO100" s="225" t="str">
        <f t="shared" si="49"/>
        <v/>
      </c>
      <c r="CP100" s="250"/>
      <c r="CQ100" s="250" t="str">
        <f t="shared" si="50"/>
        <v/>
      </c>
      <c r="CR100" s="5">
        <v>98</v>
      </c>
      <c r="CU10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0" s="373" t="str">
        <f t="shared" si="51"/>
        <v/>
      </c>
      <c r="CW100" s="2"/>
      <c r="CX100" s="104"/>
    </row>
    <row r="101" spans="2:102" ht="18.95" customHeight="1" x14ac:dyDescent="0.35">
      <c r="B101" s="4">
        <v>99</v>
      </c>
      <c r="C101" s="4" t="s">
        <v>882</v>
      </c>
      <c r="E101" s="382" t="s">
        <v>623</v>
      </c>
      <c r="F101" s="69" t="s">
        <v>75</v>
      </c>
      <c r="H101" s="69" t="s">
        <v>511</v>
      </c>
      <c r="I101" s="69" t="s">
        <v>463</v>
      </c>
      <c r="J101" s="69" t="s">
        <v>423</v>
      </c>
      <c r="K101" s="160" t="s">
        <v>558</v>
      </c>
      <c r="L101" s="2"/>
      <c r="M101" s="167" t="s">
        <v>794</v>
      </c>
      <c r="N101" s="2"/>
      <c r="O101" s="230" t="str">
        <f>IF($A$2=B101,Elektro!$Q$11,"")</f>
        <v/>
      </c>
      <c r="P101" s="230" t="str">
        <f>IF($A$2=B101,Elektro!$Q$12,"")</f>
        <v/>
      </c>
      <c r="Q101" s="236" t="str">
        <f>IF($A$2=B101,Elektro!$Q$13,"")</f>
        <v/>
      </c>
      <c r="R101" s="231" t="str">
        <f>IF($A$2=B101,Elektro!$Q$14,"")</f>
        <v/>
      </c>
      <c r="S101" s="231" t="str">
        <f>IF($A$2=B101,Elektro!$Q$15,"")</f>
        <v/>
      </c>
      <c r="T101" s="230" t="str">
        <f>IF($A$2=B101,Elektro!$Q$16,"")</f>
        <v/>
      </c>
      <c r="U101" s="353" t="str">
        <f t="shared" si="26"/>
        <v/>
      </c>
      <c r="V101" s="353" t="str">
        <f t="shared" si="27"/>
        <v/>
      </c>
      <c r="W101" s="4" t="s">
        <v>139</v>
      </c>
      <c r="X101" s="4" t="s">
        <v>248</v>
      </c>
      <c r="Y101" s="4">
        <v>2</v>
      </c>
      <c r="Z101" s="4">
        <v>63.55</v>
      </c>
      <c r="AA101" s="232" t="str">
        <f t="shared" si="28"/>
        <v/>
      </c>
      <c r="AB101" s="233" t="str">
        <f t="shared" si="29"/>
        <v/>
      </c>
      <c r="AC101" s="233" t="str">
        <f t="shared" si="30"/>
        <v>mol/s</v>
      </c>
      <c r="AD101" s="231" t="str">
        <f t="shared" si="31"/>
        <v/>
      </c>
      <c r="AE101" s="231" t="s">
        <v>283</v>
      </c>
      <c r="AF101" s="232" t="str">
        <f t="shared" si="32"/>
        <v/>
      </c>
      <c r="AG101" s="236" t="s">
        <v>284</v>
      </c>
      <c r="AH101" s="4"/>
      <c r="AI101" s="4" t="s">
        <v>142</v>
      </c>
      <c r="AJ101" s="4" t="s">
        <v>20</v>
      </c>
      <c r="AK101" s="4">
        <v>2</v>
      </c>
      <c r="AL101" s="4">
        <v>2</v>
      </c>
      <c r="AM101" s="232" t="str">
        <f t="shared" si="33"/>
        <v/>
      </c>
      <c r="AN101" s="233" t="str">
        <f t="shared" si="34"/>
        <v/>
      </c>
      <c r="AO101" s="4" t="str">
        <f t="shared" si="35"/>
        <v>mol/s</v>
      </c>
      <c r="AP101" s="4"/>
      <c r="AQ101" s="4"/>
      <c r="AR101" s="4"/>
      <c r="AS101" s="4" t="s">
        <v>121</v>
      </c>
      <c r="AT101" s="4">
        <v>2</v>
      </c>
      <c r="AU101" s="5" t="s">
        <v>65</v>
      </c>
      <c r="AV101" s="248" t="str">
        <f t="shared" si="36"/>
        <v/>
      </c>
      <c r="AW101" s="248"/>
      <c r="AX101" s="4" t="str">
        <f t="shared" si="37"/>
        <v>M</v>
      </c>
      <c r="AY101" s="248" t="str">
        <f t="shared" si="38"/>
        <v/>
      </c>
      <c r="AZ101" s="232"/>
      <c r="BA101" s="4">
        <v>99</v>
      </c>
      <c r="BB101" s="2" t="s">
        <v>47</v>
      </c>
      <c r="BC101" s="2" t="s">
        <v>51</v>
      </c>
      <c r="BD101" s="2" t="s">
        <v>54</v>
      </c>
      <c r="BE101" s="2" t="s">
        <v>48</v>
      </c>
      <c r="BF101" s="2" t="s">
        <v>81</v>
      </c>
      <c r="BG101" s="2"/>
      <c r="BH101" s="185" t="s">
        <v>3</v>
      </c>
      <c r="BI101" s="185" t="s">
        <v>151</v>
      </c>
      <c r="BJ101" s="185" t="s">
        <v>148</v>
      </c>
      <c r="BK101" s="185" t="s">
        <v>164</v>
      </c>
      <c r="BL101" s="100"/>
      <c r="BM101" s="97">
        <f t="shared" si="39"/>
        <v>2</v>
      </c>
      <c r="BN101" s="225" t="s">
        <v>294</v>
      </c>
      <c r="BO101" s="225" t="s">
        <v>306</v>
      </c>
      <c r="BP101" s="225" t="s">
        <v>258</v>
      </c>
      <c r="BQ101" s="225" t="s">
        <v>259</v>
      </c>
      <c r="BR101" s="225" t="s">
        <v>318</v>
      </c>
      <c r="BS101" s="225" t="s">
        <v>325</v>
      </c>
      <c r="BT101" s="225" t="s">
        <v>275</v>
      </c>
      <c r="BU101" s="225" t="s">
        <v>260</v>
      </c>
      <c r="BV101" s="2"/>
      <c r="BW101" s="259" t="s">
        <v>329</v>
      </c>
      <c r="BX101" s="259" t="s">
        <v>330</v>
      </c>
      <c r="BY101" s="259" t="s">
        <v>270</v>
      </c>
      <c r="BZ101" s="259" t="s">
        <v>336</v>
      </c>
      <c r="CA101" s="107"/>
      <c r="CB101" s="249"/>
      <c r="CC101" s="107"/>
      <c r="CD101" s="249"/>
      <c r="CE101" s="107"/>
      <c r="CF101" s="225" t="str">
        <f t="shared" si="40"/>
        <v/>
      </c>
      <c r="CG101" s="225" t="str">
        <f t="shared" si="41"/>
        <v/>
      </c>
      <c r="CH101" s="225" t="str">
        <f t="shared" si="42"/>
        <v/>
      </c>
      <c r="CI101" s="225" t="str">
        <f t="shared" si="43"/>
        <v/>
      </c>
      <c r="CJ101" s="225" t="str">
        <f t="shared" si="44"/>
        <v/>
      </c>
      <c r="CK101" s="225" t="str">
        <f t="shared" si="45"/>
        <v/>
      </c>
      <c r="CL101" s="225" t="str">
        <f t="shared" si="46"/>
        <v/>
      </c>
      <c r="CM101" s="225" t="str">
        <f t="shared" si="47"/>
        <v/>
      </c>
      <c r="CN101" s="225" t="str">
        <f t="shared" si="48"/>
        <v/>
      </c>
      <c r="CO101" s="225" t="str">
        <f t="shared" si="49"/>
        <v/>
      </c>
      <c r="CP101" s="250"/>
      <c r="CQ101" s="250" t="str">
        <f t="shared" si="50"/>
        <v/>
      </c>
      <c r="CR101" s="5">
        <v>99</v>
      </c>
      <c r="CU10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1" s="373" t="str">
        <f t="shared" si="51"/>
        <v/>
      </c>
      <c r="CW101" s="2"/>
      <c r="CX101" s="104"/>
    </row>
    <row r="102" spans="2:102" ht="18.95" customHeight="1" x14ac:dyDescent="0.35">
      <c r="B102" s="4">
        <v>100</v>
      </c>
      <c r="C102" s="4" t="s">
        <v>872</v>
      </c>
      <c r="E102" s="382" t="s">
        <v>624</v>
      </c>
      <c r="F102" s="69" t="s">
        <v>75</v>
      </c>
      <c r="H102" s="69" t="s">
        <v>512</v>
      </c>
      <c r="I102" s="69" t="s">
        <v>463</v>
      </c>
      <c r="J102" s="69" t="s">
        <v>423</v>
      </c>
      <c r="K102" s="160" t="s">
        <v>558</v>
      </c>
      <c r="L102" s="2"/>
      <c r="M102" s="4" t="s">
        <v>795</v>
      </c>
      <c r="N102" s="2"/>
      <c r="O102" s="230" t="str">
        <f>IF($A$2=B102,Elektro!$Q$11,"")</f>
        <v/>
      </c>
      <c r="P102" s="230" t="str">
        <f>IF($A$2=B102,Elektro!$Q$12,"")</f>
        <v/>
      </c>
      <c r="Q102" s="236" t="str">
        <f>IF($A$2=B102,Elektro!$Q$13,"")</f>
        <v/>
      </c>
      <c r="R102" s="231" t="str">
        <f>IF($A$2=B102,Elektro!$Q$14,"")</f>
        <v/>
      </c>
      <c r="S102" s="231" t="str">
        <f>IF($A$2=B102,Elektro!$Q$15,"")</f>
        <v/>
      </c>
      <c r="T102" s="230" t="str">
        <f>IF($A$2=B102,Elektro!$Q$16,"")</f>
        <v/>
      </c>
      <c r="U102" s="353" t="str">
        <f t="shared" si="26"/>
        <v/>
      </c>
      <c r="V102" s="353" t="str">
        <f t="shared" si="27"/>
        <v/>
      </c>
      <c r="W102" s="4" t="s">
        <v>139</v>
      </c>
      <c r="X102" s="4" t="s">
        <v>248</v>
      </c>
      <c r="Y102" s="4">
        <v>2</v>
      </c>
      <c r="Z102" s="4">
        <v>63.55</v>
      </c>
      <c r="AA102" s="232" t="str">
        <f t="shared" si="28"/>
        <v/>
      </c>
      <c r="AB102" s="233" t="str">
        <f t="shared" si="29"/>
        <v/>
      </c>
      <c r="AC102" s="233" t="str">
        <f t="shared" si="30"/>
        <v>mol/s</v>
      </c>
      <c r="AD102" s="231" t="str">
        <f t="shared" si="31"/>
        <v/>
      </c>
      <c r="AE102" s="231" t="s">
        <v>283</v>
      </c>
      <c r="AF102" s="232" t="str">
        <f t="shared" si="32"/>
        <v/>
      </c>
      <c r="AG102" s="236" t="s">
        <v>284</v>
      </c>
      <c r="AH102" s="4"/>
      <c r="AI102" s="4" t="s">
        <v>142</v>
      </c>
      <c r="AJ102" s="4" t="s">
        <v>20</v>
      </c>
      <c r="AK102" s="4">
        <v>2</v>
      </c>
      <c r="AL102" s="4">
        <v>2</v>
      </c>
      <c r="AM102" s="232" t="str">
        <f t="shared" si="33"/>
        <v/>
      </c>
      <c r="AN102" s="233" t="str">
        <f t="shared" si="34"/>
        <v/>
      </c>
      <c r="AO102" s="4" t="str">
        <f t="shared" si="35"/>
        <v>mol/s</v>
      </c>
      <c r="AP102" s="4"/>
      <c r="AQ102" s="4"/>
      <c r="AR102" s="4"/>
      <c r="AS102" s="4" t="s">
        <v>121</v>
      </c>
      <c r="AT102" s="4">
        <v>2</v>
      </c>
      <c r="AU102" s="5" t="s">
        <v>65</v>
      </c>
      <c r="AV102" s="248" t="str">
        <f t="shared" si="36"/>
        <v/>
      </c>
      <c r="AW102" s="248"/>
      <c r="AX102" s="4" t="str">
        <f t="shared" si="37"/>
        <v>M</v>
      </c>
      <c r="AY102" s="248" t="str">
        <f t="shared" si="38"/>
        <v/>
      </c>
      <c r="AZ102" s="232"/>
      <c r="BA102" s="4">
        <v>100</v>
      </c>
      <c r="BB102" s="2" t="s">
        <v>47</v>
      </c>
      <c r="BC102" s="2" t="s">
        <v>51</v>
      </c>
      <c r="BD102" s="2" t="s">
        <v>54</v>
      </c>
      <c r="BE102" s="2" t="s">
        <v>48</v>
      </c>
      <c r="BF102" s="2" t="s">
        <v>82</v>
      </c>
      <c r="BG102" s="2"/>
      <c r="BH102" s="185" t="s">
        <v>3</v>
      </c>
      <c r="BI102" s="185" t="s">
        <v>151</v>
      </c>
      <c r="BJ102" s="185" t="s">
        <v>148</v>
      </c>
      <c r="BK102" s="185" t="s">
        <v>164</v>
      </c>
      <c r="BL102" s="100"/>
      <c r="BM102" s="97">
        <f t="shared" si="39"/>
        <v>2</v>
      </c>
      <c r="BN102" s="225" t="s">
        <v>294</v>
      </c>
      <c r="BO102" s="225" t="s">
        <v>306</v>
      </c>
      <c r="BP102" s="225" t="s">
        <v>258</v>
      </c>
      <c r="BQ102" s="225" t="s">
        <v>259</v>
      </c>
      <c r="BR102" s="225" t="s">
        <v>318</v>
      </c>
      <c r="BS102" s="225" t="s">
        <v>325</v>
      </c>
      <c r="BT102" s="225" t="s">
        <v>275</v>
      </c>
      <c r="BU102" s="225" t="s">
        <v>260</v>
      </c>
      <c r="BV102" s="2"/>
      <c r="BW102" s="259" t="s">
        <v>329</v>
      </c>
      <c r="BX102" s="259" t="s">
        <v>330</v>
      </c>
      <c r="BY102" s="259" t="s">
        <v>270</v>
      </c>
      <c r="BZ102" s="259" t="s">
        <v>336</v>
      </c>
      <c r="CA102" s="107"/>
      <c r="CB102" s="249"/>
      <c r="CC102" s="107"/>
      <c r="CD102" s="249"/>
      <c r="CE102" s="107"/>
      <c r="CF102" s="225" t="str">
        <f t="shared" si="40"/>
        <v/>
      </c>
      <c r="CG102" s="225" t="str">
        <f t="shared" si="41"/>
        <v/>
      </c>
      <c r="CH102" s="225" t="str">
        <f t="shared" si="42"/>
        <v/>
      </c>
      <c r="CI102" s="225" t="str">
        <f t="shared" si="43"/>
        <v/>
      </c>
      <c r="CJ102" s="225" t="str">
        <f t="shared" si="44"/>
        <v/>
      </c>
      <c r="CK102" s="225" t="str">
        <f t="shared" si="45"/>
        <v/>
      </c>
      <c r="CL102" s="225" t="str">
        <f t="shared" si="46"/>
        <v/>
      </c>
      <c r="CM102" s="225" t="str">
        <f t="shared" si="47"/>
        <v/>
      </c>
      <c r="CN102" s="225" t="str">
        <f t="shared" si="48"/>
        <v/>
      </c>
      <c r="CO102" s="225" t="str">
        <f t="shared" si="49"/>
        <v/>
      </c>
      <c r="CP102" s="250"/>
      <c r="CQ102" s="250" t="str">
        <f t="shared" si="50"/>
        <v/>
      </c>
      <c r="CR102" s="5">
        <v>100</v>
      </c>
      <c r="CU10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2" s="373" t="str">
        <f t="shared" si="51"/>
        <v/>
      </c>
      <c r="CW102" s="2"/>
      <c r="CX102" s="104"/>
    </row>
    <row r="103" spans="2:102" ht="18.95" customHeight="1" x14ac:dyDescent="0.35">
      <c r="B103" s="4">
        <v>101</v>
      </c>
      <c r="C103" s="4" t="s">
        <v>106</v>
      </c>
      <c r="E103" s="382" t="s">
        <v>625</v>
      </c>
      <c r="F103" s="69"/>
      <c r="H103" s="69" t="s">
        <v>513</v>
      </c>
      <c r="I103" s="69" t="s">
        <v>463</v>
      </c>
      <c r="J103" s="69" t="s">
        <v>514</v>
      </c>
      <c r="K103" s="160" t="s">
        <v>559</v>
      </c>
      <c r="L103" s="2"/>
      <c r="M103" s="69" t="s">
        <v>796</v>
      </c>
      <c r="N103" s="2"/>
      <c r="O103" s="230" t="str">
        <f>IF($A$2=B103,Elektro!$Q$11,"")</f>
        <v/>
      </c>
      <c r="P103" s="230" t="str">
        <f>IF($A$2=B103,Elektro!$Q$12,"")</f>
        <v/>
      </c>
      <c r="Q103" s="236" t="str">
        <f>IF($A$2=B103,Elektro!$Q$13,"")</f>
        <v/>
      </c>
      <c r="R103" s="231" t="str">
        <f>IF($A$2=B103,Elektro!$Q$14,"")</f>
        <v/>
      </c>
      <c r="S103" s="231" t="str">
        <f>IF($A$2=B103,Elektro!$Q$15,"")</f>
        <v/>
      </c>
      <c r="T103" s="230" t="str">
        <f>IF($A$2=B103,Elektro!$Q$16,"")</f>
        <v/>
      </c>
      <c r="U103" s="353" t="str">
        <f t="shared" si="26"/>
        <v/>
      </c>
      <c r="V103" s="353" t="str">
        <f t="shared" si="27"/>
        <v/>
      </c>
      <c r="W103" s="4" t="s">
        <v>139</v>
      </c>
      <c r="X103" s="4" t="s">
        <v>248</v>
      </c>
      <c r="Y103" s="4">
        <v>2</v>
      </c>
      <c r="Z103" s="4">
        <v>63.55</v>
      </c>
      <c r="AA103" s="232" t="str">
        <f t="shared" si="28"/>
        <v/>
      </c>
      <c r="AB103" s="233" t="str">
        <f t="shared" si="29"/>
        <v/>
      </c>
      <c r="AC103" s="233" t="str">
        <f t="shared" si="30"/>
        <v>mol/s</v>
      </c>
      <c r="AD103" s="231" t="str">
        <f t="shared" si="31"/>
        <v/>
      </c>
      <c r="AE103" s="231" t="s">
        <v>283</v>
      </c>
      <c r="AF103" s="232" t="str">
        <f t="shared" si="32"/>
        <v/>
      </c>
      <c r="AG103" s="236" t="s">
        <v>284</v>
      </c>
      <c r="AH103" s="4"/>
      <c r="AI103" s="4" t="s">
        <v>112</v>
      </c>
      <c r="AJ103" s="4" t="s">
        <v>282</v>
      </c>
      <c r="AK103" s="4">
        <v>1</v>
      </c>
      <c r="AL103" s="4">
        <v>107.9</v>
      </c>
      <c r="AM103" s="232" t="str">
        <f t="shared" si="33"/>
        <v/>
      </c>
      <c r="AN103" s="233" t="str">
        <f t="shared" si="34"/>
        <v/>
      </c>
      <c r="AO103" s="4" t="str">
        <f t="shared" si="35"/>
        <v>g/s</v>
      </c>
      <c r="AP103" s="4"/>
      <c r="AQ103" s="4"/>
      <c r="AR103" s="4"/>
      <c r="AS103" s="4" t="s">
        <v>368</v>
      </c>
      <c r="AT103" s="4">
        <v>0</v>
      </c>
      <c r="AV103" s="248" t="str">
        <f t="shared" si="36"/>
        <v/>
      </c>
      <c r="AW103" s="248"/>
      <c r="AX103" s="4" t="str">
        <f t="shared" si="37"/>
        <v>M</v>
      </c>
      <c r="AY103" s="248" t="str">
        <f t="shared" si="38"/>
        <v/>
      </c>
      <c r="AZ103" s="232"/>
      <c r="BA103" s="4">
        <v>101</v>
      </c>
      <c r="BB103" s="2" t="s">
        <v>47</v>
      </c>
      <c r="BC103" s="2" t="s">
        <v>52</v>
      </c>
      <c r="BD103" s="2" t="s">
        <v>54</v>
      </c>
      <c r="BE103" s="2" t="s">
        <v>48</v>
      </c>
      <c r="BF103" s="2" t="s">
        <v>86</v>
      </c>
      <c r="BG103" s="2"/>
      <c r="BH103" s="185" t="s">
        <v>3</v>
      </c>
      <c r="BI103" s="185" t="s">
        <v>151</v>
      </c>
      <c r="BJ103" s="185" t="s">
        <v>160</v>
      </c>
      <c r="BK103" s="185" t="s">
        <v>44</v>
      </c>
      <c r="BL103" s="100"/>
      <c r="BM103" s="97">
        <f t="shared" si="39"/>
        <v>0</v>
      </c>
      <c r="BN103" s="225" t="s">
        <v>301</v>
      </c>
      <c r="BO103" s="225" t="s">
        <v>306</v>
      </c>
      <c r="BP103" s="225" t="s">
        <v>258</v>
      </c>
      <c r="BQ103" s="225" t="s">
        <v>259</v>
      </c>
      <c r="BR103" s="225" t="s">
        <v>321</v>
      </c>
      <c r="BS103" s="225" t="s">
        <v>325</v>
      </c>
      <c r="BT103" s="225" t="s">
        <v>377</v>
      </c>
      <c r="BU103" s="225" t="s">
        <v>260</v>
      </c>
      <c r="BV103" s="2"/>
      <c r="BW103" s="259" t="s">
        <v>354</v>
      </c>
      <c r="BX103" s="259" t="s">
        <v>355</v>
      </c>
      <c r="BY103" s="259" t="s">
        <v>270</v>
      </c>
      <c r="BZ103" s="259" t="s">
        <v>336</v>
      </c>
      <c r="CA103" s="107"/>
      <c r="CB103" s="249"/>
      <c r="CC103" s="107"/>
      <c r="CD103" s="249"/>
      <c r="CE103" s="107"/>
      <c r="CF103" s="225" t="str">
        <f t="shared" si="40"/>
        <v/>
      </c>
      <c r="CG103" s="225" t="str">
        <f t="shared" si="41"/>
        <v/>
      </c>
      <c r="CH103" s="225" t="str">
        <f t="shared" si="42"/>
        <v/>
      </c>
      <c r="CI103" s="225" t="str">
        <f t="shared" si="43"/>
        <v/>
      </c>
      <c r="CJ103" s="225" t="str">
        <f t="shared" si="44"/>
        <v/>
      </c>
      <c r="CK103" s="225" t="str">
        <f t="shared" si="45"/>
        <v/>
      </c>
      <c r="CL103" s="225" t="str">
        <f t="shared" si="46"/>
        <v/>
      </c>
      <c r="CM103" s="225" t="str">
        <f t="shared" si="47"/>
        <v/>
      </c>
      <c r="CN103" s="225" t="str">
        <f t="shared" si="48"/>
        <v/>
      </c>
      <c r="CO103" s="225" t="str">
        <f t="shared" si="49"/>
        <v/>
      </c>
      <c r="CP103" s="250"/>
      <c r="CQ103" s="250" t="str">
        <f t="shared" si="50"/>
        <v/>
      </c>
      <c r="CR103" s="5">
        <v>101</v>
      </c>
      <c r="CU10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3" s="373" t="str">
        <f t="shared" si="51"/>
        <v/>
      </c>
      <c r="CW103" s="2"/>
      <c r="CX103" s="104"/>
    </row>
    <row r="104" spans="2:102" ht="18.95" customHeight="1" x14ac:dyDescent="0.35">
      <c r="B104" s="4">
        <v>102</v>
      </c>
      <c r="C104" s="4" t="s">
        <v>683</v>
      </c>
      <c r="E104" s="382" t="s">
        <v>626</v>
      </c>
      <c r="F104" s="69"/>
      <c r="H104" s="69" t="s">
        <v>516</v>
      </c>
      <c r="I104" s="69" t="s">
        <v>463</v>
      </c>
      <c r="J104" s="69" t="s">
        <v>517</v>
      </c>
      <c r="K104" s="160" t="s">
        <v>560</v>
      </c>
      <c r="L104" s="2"/>
      <c r="M104" s="69" t="s">
        <v>797</v>
      </c>
      <c r="N104" s="2"/>
      <c r="O104" s="230" t="str">
        <f>IF($A$2=B104,Elektro!$Q$11,"")</f>
        <v/>
      </c>
      <c r="P104" s="230" t="str">
        <f>IF($A$2=B104,Elektro!$Q$12,"")</f>
        <v/>
      </c>
      <c r="Q104" s="236" t="str">
        <f>IF($A$2=B104,Elektro!$Q$13,"")</f>
        <v/>
      </c>
      <c r="R104" s="231" t="str">
        <f>IF($A$2=B104,Elektro!$Q$14,"")</f>
        <v/>
      </c>
      <c r="S104" s="231" t="str">
        <f>IF($A$2=B104,Elektro!$Q$15,"")</f>
        <v/>
      </c>
      <c r="T104" s="230" t="str">
        <f>IF($A$2=B104,Elektro!$Q$16,"")</f>
        <v/>
      </c>
      <c r="U104" s="353" t="str">
        <f t="shared" si="26"/>
        <v/>
      </c>
      <c r="V104" s="353" t="str">
        <f t="shared" si="27"/>
        <v/>
      </c>
      <c r="W104" s="4" t="s">
        <v>139</v>
      </c>
      <c r="X104" s="4" t="s">
        <v>248</v>
      </c>
      <c r="Y104" s="4">
        <v>2</v>
      </c>
      <c r="Z104" s="4">
        <v>63.55</v>
      </c>
      <c r="AA104" s="232" t="str">
        <f t="shared" si="28"/>
        <v/>
      </c>
      <c r="AB104" s="233" t="str">
        <f t="shared" si="29"/>
        <v/>
      </c>
      <c r="AC104" s="233" t="str">
        <f t="shared" si="30"/>
        <v>mol/s</v>
      </c>
      <c r="AD104" s="231" t="str">
        <f t="shared" si="31"/>
        <v/>
      </c>
      <c r="AE104" s="231" t="s">
        <v>283</v>
      </c>
      <c r="AF104" s="232" t="str">
        <f t="shared" si="32"/>
        <v/>
      </c>
      <c r="AG104" s="236" t="s">
        <v>284</v>
      </c>
      <c r="AH104" s="4"/>
      <c r="AI104" s="4" t="s">
        <v>115</v>
      </c>
      <c r="AJ104" s="4" t="s">
        <v>282</v>
      </c>
      <c r="AK104" s="4">
        <v>2</v>
      </c>
      <c r="AL104" s="4">
        <v>58.69</v>
      </c>
      <c r="AM104" s="232" t="str">
        <f t="shared" si="33"/>
        <v/>
      </c>
      <c r="AN104" s="233" t="str">
        <f t="shared" si="34"/>
        <v/>
      </c>
      <c r="AO104" s="4" t="str">
        <f t="shared" si="35"/>
        <v>g/s</v>
      </c>
      <c r="AP104" s="4"/>
      <c r="AQ104" s="4"/>
      <c r="AR104" s="4"/>
      <c r="AS104" s="4" t="s">
        <v>368</v>
      </c>
      <c r="AT104" s="4">
        <v>0</v>
      </c>
      <c r="AV104" s="248" t="str">
        <f t="shared" si="36"/>
        <v/>
      </c>
      <c r="AW104" s="248"/>
      <c r="AX104" s="4" t="str">
        <f t="shared" si="37"/>
        <v>M</v>
      </c>
      <c r="AY104" s="248" t="str">
        <f t="shared" si="38"/>
        <v/>
      </c>
      <c r="AZ104" s="232"/>
      <c r="BA104" s="4">
        <v>102</v>
      </c>
      <c r="BB104" s="2" t="s">
        <v>47</v>
      </c>
      <c r="BC104" s="2" t="s">
        <v>78</v>
      </c>
      <c r="BD104" s="2" t="s">
        <v>54</v>
      </c>
      <c r="BE104" s="2" t="s">
        <v>48</v>
      </c>
      <c r="BF104" s="2" t="s">
        <v>87</v>
      </c>
      <c r="BG104" s="2"/>
      <c r="BH104" s="185" t="s">
        <v>3</v>
      </c>
      <c r="BI104" s="185" t="s">
        <v>151</v>
      </c>
      <c r="BJ104" s="185" t="s">
        <v>166</v>
      </c>
      <c r="BK104" s="185" t="s">
        <v>60</v>
      </c>
      <c r="BL104" s="100"/>
      <c r="BM104" s="97">
        <f t="shared" si="39"/>
        <v>0</v>
      </c>
      <c r="BN104" s="225" t="s">
        <v>305</v>
      </c>
      <c r="BO104" s="225" t="s">
        <v>306</v>
      </c>
      <c r="BP104" s="225" t="s">
        <v>258</v>
      </c>
      <c r="BQ104" s="225" t="s">
        <v>259</v>
      </c>
      <c r="BR104" s="225" t="s">
        <v>392</v>
      </c>
      <c r="BS104" s="225" t="s">
        <v>325</v>
      </c>
      <c r="BT104" s="225" t="s">
        <v>372</v>
      </c>
      <c r="BU104" s="225" t="s">
        <v>260</v>
      </c>
      <c r="BV104" s="2"/>
      <c r="BW104" s="259" t="s">
        <v>359</v>
      </c>
      <c r="BX104" s="259" t="s">
        <v>360</v>
      </c>
      <c r="BY104" s="259" t="s">
        <v>270</v>
      </c>
      <c r="BZ104" s="259" t="s">
        <v>336</v>
      </c>
      <c r="CA104" s="107"/>
      <c r="CB104" s="249"/>
      <c r="CC104" s="107"/>
      <c r="CD104" s="249"/>
      <c r="CE104" s="107"/>
      <c r="CF104" s="225" t="str">
        <f t="shared" si="40"/>
        <v/>
      </c>
      <c r="CG104" s="225" t="str">
        <f t="shared" si="41"/>
        <v/>
      </c>
      <c r="CH104" s="225" t="str">
        <f t="shared" si="42"/>
        <v/>
      </c>
      <c r="CI104" s="225" t="str">
        <f t="shared" si="43"/>
        <v/>
      </c>
      <c r="CJ104" s="225" t="str">
        <f t="shared" si="44"/>
        <v/>
      </c>
      <c r="CK104" s="225" t="str">
        <f t="shared" si="45"/>
        <v/>
      </c>
      <c r="CL104" s="225" t="str">
        <f t="shared" si="46"/>
        <v/>
      </c>
      <c r="CM104" s="225" t="str">
        <f t="shared" si="47"/>
        <v/>
      </c>
      <c r="CN104" s="225" t="str">
        <f t="shared" si="48"/>
        <v/>
      </c>
      <c r="CO104" s="225" t="str">
        <f t="shared" si="49"/>
        <v/>
      </c>
      <c r="CP104" s="250"/>
      <c r="CQ104" s="250" t="str">
        <f t="shared" si="50"/>
        <v/>
      </c>
      <c r="CR104" s="5">
        <v>102</v>
      </c>
      <c r="CU10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4" s="373" t="str">
        <f t="shared" si="51"/>
        <v/>
      </c>
      <c r="CW104" s="2"/>
      <c r="CX104" s="104"/>
    </row>
    <row r="105" spans="2:102" ht="18.95" customHeight="1" x14ac:dyDescent="0.35">
      <c r="B105" s="4">
        <v>103</v>
      </c>
      <c r="C105" s="4" t="s">
        <v>873</v>
      </c>
      <c r="E105" s="382" t="s">
        <v>627</v>
      </c>
      <c r="F105" s="69"/>
      <c r="H105" s="69" t="s">
        <v>519</v>
      </c>
      <c r="I105" s="69" t="s">
        <v>463</v>
      </c>
      <c r="J105" s="69" t="s">
        <v>262</v>
      </c>
      <c r="K105" s="160" t="s">
        <v>561</v>
      </c>
      <c r="L105" s="2"/>
      <c r="M105" s="69" t="s">
        <v>798</v>
      </c>
      <c r="N105" s="2"/>
      <c r="O105" s="230" t="str">
        <f>IF($A$2=B105,Elektro!$Q$11,"")</f>
        <v/>
      </c>
      <c r="P105" s="230" t="str">
        <f>IF($A$2=B105,Elektro!$Q$12,"")</f>
        <v/>
      </c>
      <c r="Q105" s="236" t="str">
        <f>IF($A$2=B105,Elektro!$Q$13,"")</f>
        <v/>
      </c>
      <c r="R105" s="231" t="str">
        <f>IF($A$2=B105,Elektro!$Q$14,"")</f>
        <v/>
      </c>
      <c r="S105" s="231" t="str">
        <f>IF($A$2=B105,Elektro!$Q$15,"")</f>
        <v/>
      </c>
      <c r="T105" s="230" t="str">
        <f>IF($A$2=B105,Elektro!$Q$16,"")</f>
        <v/>
      </c>
      <c r="U105" s="353" t="str">
        <f t="shared" si="26"/>
        <v/>
      </c>
      <c r="V105" s="353" t="str">
        <f t="shared" si="27"/>
        <v/>
      </c>
      <c r="W105" s="4" t="s">
        <v>139</v>
      </c>
      <c r="X105" s="4" t="s">
        <v>248</v>
      </c>
      <c r="Y105" s="4">
        <v>2</v>
      </c>
      <c r="Z105" s="4">
        <v>63.55</v>
      </c>
      <c r="AA105" s="232" t="str">
        <f t="shared" si="28"/>
        <v/>
      </c>
      <c r="AB105" s="233" t="str">
        <f t="shared" si="29"/>
        <v/>
      </c>
      <c r="AC105" s="233" t="str">
        <f t="shared" si="30"/>
        <v>mol/s</v>
      </c>
      <c r="AD105" s="231" t="str">
        <f t="shared" si="31"/>
        <v/>
      </c>
      <c r="AE105" s="231" t="s">
        <v>283</v>
      </c>
      <c r="AF105" s="232" t="str">
        <f t="shared" si="32"/>
        <v/>
      </c>
      <c r="AG105" s="236" t="s">
        <v>284</v>
      </c>
      <c r="AH105" s="4"/>
      <c r="AI105" s="4" t="s">
        <v>107</v>
      </c>
      <c r="AJ105" s="4" t="s">
        <v>282</v>
      </c>
      <c r="AK105" s="4">
        <v>2</v>
      </c>
      <c r="AL105" s="4">
        <v>63.55</v>
      </c>
      <c r="AM105" s="232" t="str">
        <f t="shared" si="33"/>
        <v/>
      </c>
      <c r="AN105" s="233" t="str">
        <f t="shared" si="34"/>
        <v/>
      </c>
      <c r="AO105" s="4" t="str">
        <f t="shared" si="35"/>
        <v>g/s</v>
      </c>
      <c r="AP105" s="4"/>
      <c r="AQ105" s="4"/>
      <c r="AR105" s="4"/>
      <c r="AS105" s="4" t="s">
        <v>368</v>
      </c>
      <c r="AT105" s="4">
        <v>0</v>
      </c>
      <c r="AV105" s="248" t="str">
        <f t="shared" si="36"/>
        <v/>
      </c>
      <c r="AW105" s="248"/>
      <c r="AX105" s="4" t="str">
        <f t="shared" si="37"/>
        <v>M</v>
      </c>
      <c r="AY105" s="248" t="str">
        <f t="shared" si="38"/>
        <v/>
      </c>
      <c r="AZ105" s="232"/>
      <c r="BA105" s="4">
        <v>103</v>
      </c>
      <c r="BB105" s="2" t="s">
        <v>47</v>
      </c>
      <c r="BC105" s="2" t="s">
        <v>73</v>
      </c>
      <c r="BD105" s="2" t="s">
        <v>54</v>
      </c>
      <c r="BE105" s="2" t="s">
        <v>48</v>
      </c>
      <c r="BF105" s="2" t="s">
        <v>53</v>
      </c>
      <c r="BG105" s="2"/>
      <c r="BH105" s="185" t="s">
        <v>3</v>
      </c>
      <c r="BI105" s="185" t="s">
        <v>151</v>
      </c>
      <c r="BJ105" s="185" t="s">
        <v>151</v>
      </c>
      <c r="BK105" s="185" t="s">
        <v>3</v>
      </c>
      <c r="BL105" s="100"/>
      <c r="BM105" s="97">
        <f t="shared" si="39"/>
        <v>0</v>
      </c>
      <c r="BN105" s="225" t="s">
        <v>296</v>
      </c>
      <c r="BO105" s="225" t="s">
        <v>306</v>
      </c>
      <c r="BP105" s="225" t="s">
        <v>258</v>
      </c>
      <c r="BQ105" s="225" t="s">
        <v>259</v>
      </c>
      <c r="BR105" s="225" t="s">
        <v>319</v>
      </c>
      <c r="BS105" s="225" t="s">
        <v>325</v>
      </c>
      <c r="BT105" s="225" t="s">
        <v>375</v>
      </c>
      <c r="BU105" s="225" t="s">
        <v>260</v>
      </c>
      <c r="BV105" s="2"/>
      <c r="BW105" s="259" t="s">
        <v>270</v>
      </c>
      <c r="BX105" s="259" t="s">
        <v>349</v>
      </c>
      <c r="BY105" s="259" t="s">
        <v>270</v>
      </c>
      <c r="BZ105" s="259" t="s">
        <v>336</v>
      </c>
      <c r="CA105" s="107"/>
      <c r="CB105" s="249"/>
      <c r="CC105" s="107"/>
      <c r="CD105" s="249"/>
      <c r="CE105" s="107"/>
      <c r="CF105" s="225" t="str">
        <f t="shared" si="40"/>
        <v/>
      </c>
      <c r="CG105" s="225" t="str">
        <f t="shared" si="41"/>
        <v/>
      </c>
      <c r="CH105" s="225" t="str">
        <f t="shared" si="42"/>
        <v/>
      </c>
      <c r="CI105" s="225" t="str">
        <f t="shared" si="43"/>
        <v/>
      </c>
      <c r="CJ105" s="225" t="str">
        <f t="shared" si="44"/>
        <v/>
      </c>
      <c r="CK105" s="225" t="str">
        <f t="shared" si="45"/>
        <v/>
      </c>
      <c r="CL105" s="225" t="str">
        <f t="shared" si="46"/>
        <v/>
      </c>
      <c r="CM105" s="225" t="str">
        <f t="shared" si="47"/>
        <v/>
      </c>
      <c r="CN105" s="225" t="str">
        <f t="shared" si="48"/>
        <v/>
      </c>
      <c r="CO105" s="225" t="str">
        <f t="shared" si="49"/>
        <v/>
      </c>
      <c r="CP105" s="250"/>
      <c r="CQ105" s="250" t="str">
        <f t="shared" si="50"/>
        <v/>
      </c>
      <c r="CR105" s="5">
        <v>103</v>
      </c>
      <c r="CU10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5" s="373" t="str">
        <f t="shared" si="51"/>
        <v/>
      </c>
      <c r="CW105" s="2"/>
      <c r="CX105" s="104"/>
    </row>
    <row r="106" spans="2:102" ht="18.95" customHeight="1" x14ac:dyDescent="0.35">
      <c r="B106" s="4">
        <v>104</v>
      </c>
      <c r="C106" s="4" t="s">
        <v>679</v>
      </c>
      <c r="E106" s="382" t="s">
        <v>628</v>
      </c>
      <c r="F106" s="69"/>
      <c r="H106" s="69" t="s">
        <v>521</v>
      </c>
      <c r="I106" s="69" t="s">
        <v>463</v>
      </c>
      <c r="J106" s="69" t="s">
        <v>522</v>
      </c>
      <c r="K106" s="160" t="s">
        <v>562</v>
      </c>
      <c r="L106" s="2"/>
      <c r="M106" s="69" t="s">
        <v>799</v>
      </c>
      <c r="N106" s="2"/>
      <c r="O106" s="230" t="str">
        <f>IF($A$2=B106,Elektro!$Q$11,"")</f>
        <v/>
      </c>
      <c r="P106" s="230" t="str">
        <f>IF($A$2=B106,Elektro!$Q$12,"")</f>
        <v/>
      </c>
      <c r="Q106" s="236" t="str">
        <f>IF($A$2=B106,Elektro!$Q$13,"")</f>
        <v/>
      </c>
      <c r="R106" s="231" t="str">
        <f>IF($A$2=B106,Elektro!$Q$14,"")</f>
        <v/>
      </c>
      <c r="S106" s="231" t="str">
        <f>IF($A$2=B106,Elektro!$Q$15,"")</f>
        <v/>
      </c>
      <c r="T106" s="230" t="str">
        <f>IF($A$2=B106,Elektro!$Q$16,"")</f>
        <v/>
      </c>
      <c r="U106" s="353" t="str">
        <f t="shared" si="26"/>
        <v/>
      </c>
      <c r="V106" s="353" t="str">
        <f t="shared" si="27"/>
        <v/>
      </c>
      <c r="W106" s="4" t="s">
        <v>139</v>
      </c>
      <c r="X106" s="4" t="s">
        <v>248</v>
      </c>
      <c r="Y106" s="4">
        <v>2</v>
      </c>
      <c r="Z106" s="4">
        <v>63.55</v>
      </c>
      <c r="AA106" s="232" t="str">
        <f t="shared" si="28"/>
        <v/>
      </c>
      <c r="AB106" s="233" t="str">
        <f t="shared" si="29"/>
        <v/>
      </c>
      <c r="AC106" s="233" t="str">
        <f t="shared" si="30"/>
        <v>mol/s</v>
      </c>
      <c r="AD106" s="231" t="str">
        <f t="shared" si="31"/>
        <v/>
      </c>
      <c r="AE106" s="231" t="s">
        <v>283</v>
      </c>
      <c r="AF106" s="232" t="str">
        <f t="shared" si="32"/>
        <v/>
      </c>
      <c r="AG106" s="236" t="s">
        <v>284</v>
      </c>
      <c r="AH106" s="4"/>
      <c r="AI106" s="4" t="s">
        <v>111</v>
      </c>
      <c r="AJ106" s="4" t="s">
        <v>282</v>
      </c>
      <c r="AK106" s="4">
        <v>2</v>
      </c>
      <c r="AL106" s="4">
        <v>65.39</v>
      </c>
      <c r="AM106" s="232" t="str">
        <f t="shared" si="33"/>
        <v/>
      </c>
      <c r="AN106" s="233" t="str">
        <f t="shared" si="34"/>
        <v/>
      </c>
      <c r="AO106" s="4" t="str">
        <f t="shared" si="35"/>
        <v>g/s</v>
      </c>
      <c r="AP106" s="4"/>
      <c r="AQ106" s="4"/>
      <c r="AR106" s="4"/>
      <c r="AS106" s="4" t="s">
        <v>368</v>
      </c>
      <c r="AT106" s="4">
        <v>0</v>
      </c>
      <c r="AV106" s="248" t="str">
        <f t="shared" si="36"/>
        <v/>
      </c>
      <c r="AW106" s="248"/>
      <c r="AX106" s="4" t="str">
        <f t="shared" si="37"/>
        <v>M</v>
      </c>
      <c r="AY106" s="248" t="str">
        <f t="shared" si="38"/>
        <v/>
      </c>
      <c r="AZ106" s="232"/>
      <c r="BA106" s="4">
        <v>104</v>
      </c>
      <c r="BB106" s="2" t="s">
        <v>47</v>
      </c>
      <c r="BC106" s="2" t="s">
        <v>52</v>
      </c>
      <c r="BD106" s="2" t="s">
        <v>54</v>
      </c>
      <c r="BE106" s="2" t="s">
        <v>48</v>
      </c>
      <c r="BF106" s="2" t="s">
        <v>88</v>
      </c>
      <c r="BG106" s="2"/>
      <c r="BH106" s="185" t="s">
        <v>3</v>
      </c>
      <c r="BI106" s="185" t="s">
        <v>151</v>
      </c>
      <c r="BJ106" s="185" t="s">
        <v>158</v>
      </c>
      <c r="BK106" s="185" t="s">
        <v>30</v>
      </c>
      <c r="BL106" s="100"/>
      <c r="BM106" s="97">
        <f t="shared" si="39"/>
        <v>0</v>
      </c>
      <c r="BN106" s="225" t="s">
        <v>300</v>
      </c>
      <c r="BO106" s="225" t="s">
        <v>306</v>
      </c>
      <c r="BP106" s="225" t="s">
        <v>258</v>
      </c>
      <c r="BQ106" s="225" t="s">
        <v>259</v>
      </c>
      <c r="BR106" s="225" t="s">
        <v>393</v>
      </c>
      <c r="BS106" s="225" t="s">
        <v>325</v>
      </c>
      <c r="BT106" s="225" t="s">
        <v>369</v>
      </c>
      <c r="BU106" s="225" t="s">
        <v>260</v>
      </c>
      <c r="BV106" s="2"/>
      <c r="BW106" s="259" t="s">
        <v>345</v>
      </c>
      <c r="BX106" s="259" t="s">
        <v>346</v>
      </c>
      <c r="BY106" s="259" t="s">
        <v>270</v>
      </c>
      <c r="BZ106" s="259" t="s">
        <v>336</v>
      </c>
      <c r="CA106" s="107"/>
      <c r="CB106" s="249"/>
      <c r="CC106" s="107"/>
      <c r="CD106" s="249"/>
      <c r="CE106" s="107"/>
      <c r="CF106" s="225" t="str">
        <f t="shared" si="40"/>
        <v/>
      </c>
      <c r="CG106" s="225" t="str">
        <f t="shared" si="41"/>
        <v/>
      </c>
      <c r="CH106" s="225" t="str">
        <f t="shared" si="42"/>
        <v/>
      </c>
      <c r="CI106" s="225" t="str">
        <f t="shared" si="43"/>
        <v/>
      </c>
      <c r="CJ106" s="225" t="str">
        <f t="shared" si="44"/>
        <v/>
      </c>
      <c r="CK106" s="225" t="str">
        <f t="shared" si="45"/>
        <v/>
      </c>
      <c r="CL106" s="225" t="str">
        <f t="shared" si="46"/>
        <v/>
      </c>
      <c r="CM106" s="225" t="str">
        <f t="shared" si="47"/>
        <v/>
      </c>
      <c r="CN106" s="225" t="str">
        <f t="shared" si="48"/>
        <v/>
      </c>
      <c r="CO106" s="225" t="str">
        <f t="shared" si="49"/>
        <v/>
      </c>
      <c r="CP106" s="250"/>
      <c r="CQ106" s="250" t="str">
        <f t="shared" si="50"/>
        <v/>
      </c>
      <c r="CR106" s="5">
        <v>104</v>
      </c>
      <c r="CU10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6" s="373" t="str">
        <f t="shared" si="51"/>
        <v/>
      </c>
      <c r="CW106" s="2"/>
      <c r="CX106" s="104"/>
    </row>
    <row r="107" spans="2:102" ht="18.95" customHeight="1" x14ac:dyDescent="0.35">
      <c r="B107" s="4">
        <v>105</v>
      </c>
      <c r="C107" s="4" t="s">
        <v>681</v>
      </c>
      <c r="E107" s="382" t="s">
        <v>629</v>
      </c>
      <c r="F107" s="69"/>
      <c r="H107" s="69" t="s">
        <v>524</v>
      </c>
      <c r="I107" s="69" t="s">
        <v>463</v>
      </c>
      <c r="J107" s="69" t="s">
        <v>443</v>
      </c>
      <c r="K107" s="160" t="s">
        <v>563</v>
      </c>
      <c r="L107" s="2"/>
      <c r="M107" s="69" t="s">
        <v>800</v>
      </c>
      <c r="N107" s="2"/>
      <c r="O107" s="230" t="str">
        <f>IF($A$2=B107,Elektro!$Q$11,"")</f>
        <v/>
      </c>
      <c r="P107" s="230" t="str">
        <f>IF($A$2=B107,Elektro!$Q$12,"")</f>
        <v/>
      </c>
      <c r="Q107" s="236" t="str">
        <f>IF($A$2=B107,Elektro!$Q$13,"")</f>
        <v/>
      </c>
      <c r="R107" s="231" t="str">
        <f>IF($A$2=B107,Elektro!$Q$14,"")</f>
        <v/>
      </c>
      <c r="S107" s="231" t="str">
        <f>IF($A$2=B107,Elektro!$Q$15,"")</f>
        <v/>
      </c>
      <c r="T107" s="230" t="str">
        <f>IF($A$2=B107,Elektro!$Q$16,"")</f>
        <v/>
      </c>
      <c r="U107" s="353" t="str">
        <f t="shared" si="26"/>
        <v/>
      </c>
      <c r="V107" s="353" t="str">
        <f t="shared" si="27"/>
        <v/>
      </c>
      <c r="W107" s="4" t="s">
        <v>139</v>
      </c>
      <c r="X107" s="4" t="s">
        <v>248</v>
      </c>
      <c r="Y107" s="4">
        <v>2</v>
      </c>
      <c r="Z107" s="4">
        <v>63.55</v>
      </c>
      <c r="AA107" s="232" t="str">
        <f t="shared" si="28"/>
        <v/>
      </c>
      <c r="AB107" s="233" t="str">
        <f t="shared" si="29"/>
        <v/>
      </c>
      <c r="AC107" s="233" t="str">
        <f t="shared" si="30"/>
        <v>mol/s</v>
      </c>
      <c r="AD107" s="231" t="str">
        <f t="shared" si="31"/>
        <v/>
      </c>
      <c r="AE107" s="231" t="s">
        <v>283</v>
      </c>
      <c r="AF107" s="232" t="str">
        <f t="shared" si="32"/>
        <v/>
      </c>
      <c r="AG107" s="236" t="s">
        <v>284</v>
      </c>
      <c r="AH107" s="4"/>
      <c r="AI107" s="4" t="s">
        <v>110</v>
      </c>
      <c r="AJ107" s="4" t="s">
        <v>282</v>
      </c>
      <c r="AK107" s="4">
        <v>3</v>
      </c>
      <c r="AL107" s="4">
        <v>52</v>
      </c>
      <c r="AM107" s="232" t="str">
        <f t="shared" si="33"/>
        <v/>
      </c>
      <c r="AN107" s="233" t="str">
        <f t="shared" si="34"/>
        <v/>
      </c>
      <c r="AO107" s="4" t="str">
        <f t="shared" si="35"/>
        <v>g/s</v>
      </c>
      <c r="AP107" s="4"/>
      <c r="AQ107" s="4"/>
      <c r="AR107" s="4"/>
      <c r="AS107" s="4" t="s">
        <v>368</v>
      </c>
      <c r="AT107" s="4">
        <v>0</v>
      </c>
      <c r="AV107" s="248" t="str">
        <f t="shared" si="36"/>
        <v/>
      </c>
      <c r="AW107" s="248"/>
      <c r="AX107" s="4" t="str">
        <f t="shared" si="37"/>
        <v>M</v>
      </c>
      <c r="AY107" s="248" t="str">
        <f t="shared" si="38"/>
        <v/>
      </c>
      <c r="AZ107" s="232"/>
      <c r="BA107" s="4">
        <v>105</v>
      </c>
      <c r="BB107" s="2" t="s">
        <v>47</v>
      </c>
      <c r="BC107" s="2" t="s">
        <v>52</v>
      </c>
      <c r="BD107" s="2" t="s">
        <v>54</v>
      </c>
      <c r="BE107" s="2" t="s">
        <v>48</v>
      </c>
      <c r="BF107" s="2" t="s">
        <v>132</v>
      </c>
      <c r="BG107" s="2"/>
      <c r="BH107" s="185" t="s">
        <v>3</v>
      </c>
      <c r="BI107" s="185" t="s">
        <v>151</v>
      </c>
      <c r="BJ107" s="185" t="s">
        <v>154</v>
      </c>
      <c r="BK107" s="185" t="s">
        <v>29</v>
      </c>
      <c r="BL107" s="100"/>
      <c r="BM107" s="97">
        <f t="shared" si="39"/>
        <v>0</v>
      </c>
      <c r="BN107" s="225" t="s">
        <v>299</v>
      </c>
      <c r="BO107" s="225" t="s">
        <v>306</v>
      </c>
      <c r="BP107" s="225" t="s">
        <v>258</v>
      </c>
      <c r="BQ107" s="225" t="s">
        <v>259</v>
      </c>
      <c r="BR107" s="225" t="s">
        <v>394</v>
      </c>
      <c r="BS107" s="225" t="s">
        <v>325</v>
      </c>
      <c r="BT107" s="225" t="s">
        <v>376</v>
      </c>
      <c r="BU107" s="225" t="s">
        <v>260</v>
      </c>
      <c r="BV107" s="2"/>
      <c r="BW107" s="259" t="s">
        <v>352</v>
      </c>
      <c r="BX107" s="259" t="s">
        <v>353</v>
      </c>
      <c r="BY107" s="259" t="s">
        <v>270</v>
      </c>
      <c r="BZ107" s="259" t="s">
        <v>336</v>
      </c>
      <c r="CA107" s="107"/>
      <c r="CB107" s="249"/>
      <c r="CC107" s="107"/>
      <c r="CD107" s="249"/>
      <c r="CE107" s="107"/>
      <c r="CF107" s="225" t="str">
        <f t="shared" si="40"/>
        <v/>
      </c>
      <c r="CG107" s="225" t="str">
        <f t="shared" si="41"/>
        <v/>
      </c>
      <c r="CH107" s="225" t="str">
        <f t="shared" si="42"/>
        <v/>
      </c>
      <c r="CI107" s="225" t="str">
        <f t="shared" si="43"/>
        <v/>
      </c>
      <c r="CJ107" s="225" t="str">
        <f t="shared" si="44"/>
        <v/>
      </c>
      <c r="CK107" s="225" t="str">
        <f t="shared" si="45"/>
        <v/>
      </c>
      <c r="CL107" s="225" t="str">
        <f t="shared" si="46"/>
        <v/>
      </c>
      <c r="CM107" s="225" t="str">
        <f t="shared" si="47"/>
        <v/>
      </c>
      <c r="CN107" s="225" t="str">
        <f t="shared" si="48"/>
        <v/>
      </c>
      <c r="CO107" s="225" t="str">
        <f t="shared" si="49"/>
        <v/>
      </c>
      <c r="CP107" s="250"/>
      <c r="CQ107" s="250" t="str">
        <f t="shared" si="50"/>
        <v/>
      </c>
      <c r="CR107" s="5">
        <v>105</v>
      </c>
      <c r="CU10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7" s="373" t="str">
        <f t="shared" si="51"/>
        <v/>
      </c>
      <c r="CW107" s="2"/>
      <c r="CX107" s="104"/>
    </row>
    <row r="108" spans="2:102" ht="18.95" customHeight="1" x14ac:dyDescent="0.35">
      <c r="B108" s="4">
        <v>106</v>
      </c>
      <c r="C108" s="4" t="s">
        <v>874</v>
      </c>
      <c r="E108" s="382" t="s">
        <v>630</v>
      </c>
      <c r="F108" s="69"/>
      <c r="H108" s="69" t="s">
        <v>526</v>
      </c>
      <c r="I108" s="69" t="s">
        <v>463</v>
      </c>
      <c r="J108" s="69" t="s">
        <v>527</v>
      </c>
      <c r="K108" s="160" t="s">
        <v>564</v>
      </c>
      <c r="L108" s="2"/>
      <c r="M108" s="69" t="s">
        <v>801</v>
      </c>
      <c r="N108" s="2"/>
      <c r="O108" s="230" t="str">
        <f>IF($A$2=B108,Elektro!$Q$11,"")</f>
        <v/>
      </c>
      <c r="P108" s="230" t="str">
        <f>IF($A$2=B108,Elektro!$Q$12,"")</f>
        <v/>
      </c>
      <c r="Q108" s="236" t="str">
        <f>IF($A$2=B108,Elektro!$Q$13,"")</f>
        <v/>
      </c>
      <c r="R108" s="231" t="str">
        <f>IF($A$2=B108,Elektro!$Q$14,"")</f>
        <v/>
      </c>
      <c r="S108" s="231" t="str">
        <f>IF($A$2=B108,Elektro!$Q$15,"")</f>
        <v/>
      </c>
      <c r="T108" s="230" t="str">
        <f>IF($A$2=B108,Elektro!$Q$16,"")</f>
        <v/>
      </c>
      <c r="U108" s="353" t="str">
        <f t="shared" si="26"/>
        <v/>
      </c>
      <c r="V108" s="353" t="str">
        <f t="shared" si="27"/>
        <v/>
      </c>
      <c r="W108" s="4" t="s">
        <v>139</v>
      </c>
      <c r="X108" s="4" t="s">
        <v>248</v>
      </c>
      <c r="Y108" s="4">
        <v>2</v>
      </c>
      <c r="Z108" s="4">
        <v>63.55</v>
      </c>
      <c r="AA108" s="232" t="str">
        <f t="shared" si="28"/>
        <v/>
      </c>
      <c r="AB108" s="233" t="str">
        <f t="shared" si="29"/>
        <v/>
      </c>
      <c r="AC108" s="233" t="str">
        <f t="shared" si="30"/>
        <v>mol/s</v>
      </c>
      <c r="AD108" s="231" t="str">
        <f t="shared" si="31"/>
        <v/>
      </c>
      <c r="AE108" s="231" t="s">
        <v>283</v>
      </c>
      <c r="AF108" s="232" t="str">
        <f t="shared" si="32"/>
        <v/>
      </c>
      <c r="AG108" s="236" t="s">
        <v>284</v>
      </c>
      <c r="AH108" s="4"/>
      <c r="AI108" s="4" t="s">
        <v>117</v>
      </c>
      <c r="AJ108" s="4" t="s">
        <v>282</v>
      </c>
      <c r="AK108" s="4">
        <v>2</v>
      </c>
      <c r="AL108" s="4">
        <v>118.7</v>
      </c>
      <c r="AM108" s="232" t="str">
        <f t="shared" si="33"/>
        <v/>
      </c>
      <c r="AN108" s="233" t="str">
        <f t="shared" si="34"/>
        <v/>
      </c>
      <c r="AO108" s="4" t="str">
        <f t="shared" si="35"/>
        <v>g/s</v>
      </c>
      <c r="AP108" s="4"/>
      <c r="AQ108" s="4"/>
      <c r="AR108" s="4"/>
      <c r="AS108" s="4" t="s">
        <v>368</v>
      </c>
      <c r="AT108" s="4">
        <v>0</v>
      </c>
      <c r="AV108" s="248" t="str">
        <f t="shared" si="36"/>
        <v/>
      </c>
      <c r="AW108" s="248"/>
      <c r="AX108" s="4" t="str">
        <f t="shared" si="37"/>
        <v>M</v>
      </c>
      <c r="AY108" s="248" t="str">
        <f t="shared" si="38"/>
        <v/>
      </c>
      <c r="AZ108" s="232"/>
      <c r="BA108" s="4">
        <v>106</v>
      </c>
      <c r="BB108" s="2" t="s">
        <v>47</v>
      </c>
      <c r="BC108" s="2" t="s">
        <v>52</v>
      </c>
      <c r="BD108" s="2" t="s">
        <v>54</v>
      </c>
      <c r="BE108" s="2" t="s">
        <v>48</v>
      </c>
      <c r="BF108" s="2" t="s">
        <v>90</v>
      </c>
      <c r="BG108" s="2"/>
      <c r="BH108" s="185" t="s">
        <v>3</v>
      </c>
      <c r="BI108" s="185" t="s">
        <v>151</v>
      </c>
      <c r="BJ108" s="185" t="s">
        <v>167</v>
      </c>
      <c r="BK108" s="185" t="s">
        <v>130</v>
      </c>
      <c r="BL108" s="100"/>
      <c r="BM108" s="97">
        <f t="shared" si="39"/>
        <v>0</v>
      </c>
      <c r="BN108" s="225" t="s">
        <v>312</v>
      </c>
      <c r="BO108" s="225" t="s">
        <v>306</v>
      </c>
      <c r="BP108" s="225" t="s">
        <v>258</v>
      </c>
      <c r="BQ108" s="225" t="s">
        <v>259</v>
      </c>
      <c r="BR108" s="225" t="s">
        <v>395</v>
      </c>
      <c r="BS108" s="225" t="s">
        <v>325</v>
      </c>
      <c r="BT108" s="225" t="s">
        <v>370</v>
      </c>
      <c r="BU108" s="225" t="s">
        <v>260</v>
      </c>
      <c r="BV108" s="2"/>
      <c r="BW108" s="259" t="s">
        <v>347</v>
      </c>
      <c r="BX108" s="259" t="s">
        <v>348</v>
      </c>
      <c r="BY108" s="259" t="s">
        <v>337</v>
      </c>
      <c r="BZ108" s="259" t="s">
        <v>338</v>
      </c>
      <c r="CA108" s="107"/>
      <c r="CB108" s="249"/>
      <c r="CC108" s="107"/>
      <c r="CD108" s="249"/>
      <c r="CE108" s="107"/>
      <c r="CF108" s="225" t="str">
        <f t="shared" si="40"/>
        <v/>
      </c>
      <c r="CG108" s="225" t="str">
        <f t="shared" si="41"/>
        <v/>
      </c>
      <c r="CH108" s="225" t="str">
        <f t="shared" si="42"/>
        <v/>
      </c>
      <c r="CI108" s="225" t="str">
        <f t="shared" si="43"/>
        <v/>
      </c>
      <c r="CJ108" s="225" t="str">
        <f t="shared" si="44"/>
        <v/>
      </c>
      <c r="CK108" s="225" t="str">
        <f t="shared" si="45"/>
        <v/>
      </c>
      <c r="CL108" s="225" t="str">
        <f t="shared" si="46"/>
        <v/>
      </c>
      <c r="CM108" s="225" t="str">
        <f t="shared" si="47"/>
        <v/>
      </c>
      <c r="CN108" s="225" t="str">
        <f t="shared" si="48"/>
        <v/>
      </c>
      <c r="CO108" s="225" t="str">
        <f t="shared" si="49"/>
        <v/>
      </c>
      <c r="CP108" s="250"/>
      <c r="CQ108" s="250" t="str">
        <f t="shared" si="50"/>
        <v/>
      </c>
      <c r="CR108" s="5">
        <v>106</v>
      </c>
      <c r="CU10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8" s="373" t="str">
        <f t="shared" si="51"/>
        <v/>
      </c>
      <c r="CW108" s="2"/>
      <c r="CX108" s="104"/>
    </row>
    <row r="109" spans="2:102" ht="18.95" customHeight="1" x14ac:dyDescent="0.35">
      <c r="B109" s="4">
        <v>107</v>
      </c>
      <c r="C109" s="4" t="s">
        <v>883</v>
      </c>
      <c r="E109" s="382" t="s">
        <v>631</v>
      </c>
      <c r="F109" s="69"/>
      <c r="H109" s="69" t="s">
        <v>529</v>
      </c>
      <c r="I109" s="69" t="s">
        <v>463</v>
      </c>
      <c r="J109" s="69" t="s">
        <v>514</v>
      </c>
      <c r="K109" s="160" t="s">
        <v>559</v>
      </c>
      <c r="L109" s="2"/>
      <c r="M109" s="69" t="s">
        <v>802</v>
      </c>
      <c r="N109" s="2"/>
      <c r="O109" s="230" t="str">
        <f>IF($A$2=B109,Elektro!$Q$11,"")</f>
        <v/>
      </c>
      <c r="P109" s="230" t="str">
        <f>IF($A$2=B109,Elektro!$Q$12,"")</f>
        <v/>
      </c>
      <c r="Q109" s="236" t="str">
        <f>IF($A$2=B109,Elektro!$Q$13,"")</f>
        <v/>
      </c>
      <c r="R109" s="231" t="str">
        <f>IF($A$2=B109,Elektro!$Q$14,"")</f>
        <v/>
      </c>
      <c r="S109" s="231" t="str">
        <f>IF($A$2=B109,Elektro!$Q$15,"")</f>
        <v/>
      </c>
      <c r="T109" s="230" t="str">
        <f>IF($A$2=B109,Elektro!$Q$16,"")</f>
        <v/>
      </c>
      <c r="U109" s="353" t="str">
        <f t="shared" si="26"/>
        <v/>
      </c>
      <c r="V109" s="353" t="str">
        <f t="shared" si="27"/>
        <v/>
      </c>
      <c r="W109" s="4" t="s">
        <v>139</v>
      </c>
      <c r="X109" s="4" t="s">
        <v>248</v>
      </c>
      <c r="Y109" s="4">
        <v>2</v>
      </c>
      <c r="Z109" s="4">
        <v>63.55</v>
      </c>
      <c r="AA109" s="232" t="str">
        <f t="shared" si="28"/>
        <v/>
      </c>
      <c r="AB109" s="233" t="str">
        <f t="shared" si="29"/>
        <v/>
      </c>
      <c r="AC109" s="233" t="str">
        <f t="shared" si="30"/>
        <v>mol/s</v>
      </c>
      <c r="AD109" s="231" t="str">
        <f t="shared" si="31"/>
        <v/>
      </c>
      <c r="AE109" s="231" t="s">
        <v>283</v>
      </c>
      <c r="AF109" s="232" t="str">
        <f t="shared" si="32"/>
        <v/>
      </c>
      <c r="AG109" s="236" t="s">
        <v>284</v>
      </c>
      <c r="AH109" s="4"/>
      <c r="AI109" s="4" t="s">
        <v>112</v>
      </c>
      <c r="AJ109" s="4" t="s">
        <v>282</v>
      </c>
      <c r="AK109" s="4">
        <v>1</v>
      </c>
      <c r="AL109" s="4">
        <v>107.9</v>
      </c>
      <c r="AM109" s="232" t="str">
        <f t="shared" si="33"/>
        <v/>
      </c>
      <c r="AN109" s="233" t="str">
        <f t="shared" si="34"/>
        <v/>
      </c>
      <c r="AO109" s="4" t="str">
        <f t="shared" si="35"/>
        <v>g/s</v>
      </c>
      <c r="AP109" s="4"/>
      <c r="AQ109" s="4"/>
      <c r="AR109" s="4"/>
      <c r="AS109" s="4" t="s">
        <v>368</v>
      </c>
      <c r="AT109" s="4">
        <v>0</v>
      </c>
      <c r="AV109" s="248" t="str">
        <f t="shared" si="36"/>
        <v/>
      </c>
      <c r="AW109" s="248"/>
      <c r="AX109" s="4" t="str">
        <f t="shared" si="37"/>
        <v>M</v>
      </c>
      <c r="AY109" s="248" t="str">
        <f t="shared" si="38"/>
        <v/>
      </c>
      <c r="AZ109" s="232"/>
      <c r="BA109" s="4">
        <v>107</v>
      </c>
      <c r="BB109" s="2" t="s">
        <v>47</v>
      </c>
      <c r="BC109" s="2" t="s">
        <v>235</v>
      </c>
      <c r="BD109" s="2" t="s">
        <v>54</v>
      </c>
      <c r="BE109" s="2" t="s">
        <v>48</v>
      </c>
      <c r="BF109" s="2" t="s">
        <v>86</v>
      </c>
      <c r="BG109" s="2"/>
      <c r="BH109" s="185" t="s">
        <v>3</v>
      </c>
      <c r="BI109" s="185" t="s">
        <v>151</v>
      </c>
      <c r="BJ109" s="185" t="s">
        <v>160</v>
      </c>
      <c r="BK109" s="185" t="s">
        <v>44</v>
      </c>
      <c r="BL109" s="100"/>
      <c r="BM109" s="97">
        <f t="shared" si="39"/>
        <v>0</v>
      </c>
      <c r="BN109" s="225" t="s">
        <v>301</v>
      </c>
      <c r="BO109" s="225" t="s">
        <v>306</v>
      </c>
      <c r="BP109" s="225" t="s">
        <v>258</v>
      </c>
      <c r="BQ109" s="225" t="s">
        <v>259</v>
      </c>
      <c r="BR109" s="225" t="s">
        <v>320</v>
      </c>
      <c r="BS109" s="225" t="s">
        <v>325</v>
      </c>
      <c r="BT109" s="225" t="s">
        <v>377</v>
      </c>
      <c r="BU109" s="225" t="s">
        <v>260</v>
      </c>
      <c r="BV109" s="2"/>
      <c r="BW109" s="259" t="s">
        <v>354</v>
      </c>
      <c r="BX109" s="259" t="s">
        <v>355</v>
      </c>
      <c r="BY109" s="259" t="s">
        <v>337</v>
      </c>
      <c r="BZ109" s="259" t="s">
        <v>338</v>
      </c>
      <c r="CA109" s="107"/>
      <c r="CB109" s="249"/>
      <c r="CC109" s="107"/>
      <c r="CD109" s="249"/>
      <c r="CE109" s="107"/>
      <c r="CF109" s="225" t="str">
        <f t="shared" si="40"/>
        <v/>
      </c>
      <c r="CG109" s="225" t="str">
        <f t="shared" si="41"/>
        <v/>
      </c>
      <c r="CH109" s="225" t="str">
        <f t="shared" si="42"/>
        <v/>
      </c>
      <c r="CI109" s="225" t="str">
        <f t="shared" si="43"/>
        <v/>
      </c>
      <c r="CJ109" s="225" t="str">
        <f t="shared" si="44"/>
        <v/>
      </c>
      <c r="CK109" s="225" t="str">
        <f t="shared" si="45"/>
        <v/>
      </c>
      <c r="CL109" s="225" t="str">
        <f t="shared" si="46"/>
        <v/>
      </c>
      <c r="CM109" s="225" t="str">
        <f t="shared" si="47"/>
        <v/>
      </c>
      <c r="CN109" s="225" t="str">
        <f t="shared" si="48"/>
        <v/>
      </c>
      <c r="CO109" s="225" t="str">
        <f t="shared" si="49"/>
        <v/>
      </c>
      <c r="CP109" s="250"/>
      <c r="CQ109" s="250" t="str">
        <f t="shared" si="50"/>
        <v/>
      </c>
      <c r="CR109" s="5">
        <v>107</v>
      </c>
      <c r="CU10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9" s="373" t="str">
        <f t="shared" si="51"/>
        <v/>
      </c>
      <c r="CW109" s="2"/>
      <c r="CX109" s="104"/>
    </row>
    <row r="110" spans="2:102" ht="18.95" customHeight="1" x14ac:dyDescent="0.35">
      <c r="B110" s="4">
        <v>108</v>
      </c>
      <c r="C110" s="4" t="s">
        <v>888</v>
      </c>
      <c r="E110" s="382" t="s">
        <v>632</v>
      </c>
      <c r="F110" s="69"/>
      <c r="H110" s="69" t="s">
        <v>531</v>
      </c>
      <c r="I110" s="69" t="s">
        <v>463</v>
      </c>
      <c r="J110" s="69" t="s">
        <v>532</v>
      </c>
      <c r="K110" s="160" t="s">
        <v>565</v>
      </c>
      <c r="L110" s="2"/>
      <c r="M110" s="69" t="s">
        <v>803</v>
      </c>
      <c r="N110" s="2"/>
      <c r="O110" s="230" t="str">
        <f>IF($A$2=B110,Elektro!$Q$11,"")</f>
        <v/>
      </c>
      <c r="P110" s="230" t="str">
        <f>IF($A$2=B110,Elektro!$Q$12,"")</f>
        <v/>
      </c>
      <c r="Q110" s="236" t="str">
        <f>IF($A$2=B110,Elektro!$Q$13,"")</f>
        <v/>
      </c>
      <c r="R110" s="231" t="str">
        <f>IF($A$2=B110,Elektro!$Q$14,"")</f>
        <v/>
      </c>
      <c r="S110" s="231" t="str">
        <f>IF($A$2=B110,Elektro!$Q$15,"")</f>
        <v/>
      </c>
      <c r="T110" s="230" t="str">
        <f>IF($A$2=B110,Elektro!$Q$16,"")</f>
        <v/>
      </c>
      <c r="U110" s="353" t="str">
        <f t="shared" si="26"/>
        <v/>
      </c>
      <c r="V110" s="353" t="str">
        <f t="shared" si="27"/>
        <v/>
      </c>
      <c r="W110" s="4" t="s">
        <v>139</v>
      </c>
      <c r="X110" s="4" t="s">
        <v>248</v>
      </c>
      <c r="Y110" s="4">
        <v>2</v>
      </c>
      <c r="Z110" s="4">
        <v>63.55</v>
      </c>
      <c r="AA110" s="232" t="str">
        <f t="shared" si="28"/>
        <v/>
      </c>
      <c r="AB110" s="233" t="str">
        <f t="shared" si="29"/>
        <v/>
      </c>
      <c r="AC110" s="233" t="str">
        <f t="shared" si="30"/>
        <v>mol/s</v>
      </c>
      <c r="AD110" s="231" t="str">
        <f t="shared" si="31"/>
        <v/>
      </c>
      <c r="AE110" s="231" t="s">
        <v>283</v>
      </c>
      <c r="AF110" s="232" t="str">
        <f t="shared" si="32"/>
        <v/>
      </c>
      <c r="AG110" s="236" t="s">
        <v>284</v>
      </c>
      <c r="AH110" s="4"/>
      <c r="AI110" s="4" t="s">
        <v>118</v>
      </c>
      <c r="AJ110" s="4" t="s">
        <v>282</v>
      </c>
      <c r="AK110" s="4">
        <v>3</v>
      </c>
      <c r="AL110" s="4">
        <v>55.85</v>
      </c>
      <c r="AM110" s="232" t="str">
        <f t="shared" si="33"/>
        <v/>
      </c>
      <c r="AN110" s="233" t="str">
        <f t="shared" si="34"/>
        <v/>
      </c>
      <c r="AO110" s="4" t="str">
        <f t="shared" si="35"/>
        <v>g/s</v>
      </c>
      <c r="AP110" s="4"/>
      <c r="AQ110" s="4"/>
      <c r="AR110" s="4"/>
      <c r="AS110" s="4" t="s">
        <v>368</v>
      </c>
      <c r="AT110" s="4">
        <v>0</v>
      </c>
      <c r="AV110" s="248" t="str">
        <f t="shared" si="36"/>
        <v/>
      </c>
      <c r="AW110" s="248"/>
      <c r="AX110" s="4" t="str">
        <f t="shared" si="37"/>
        <v>M</v>
      </c>
      <c r="AY110" s="248" t="str">
        <f t="shared" si="38"/>
        <v/>
      </c>
      <c r="AZ110" s="232"/>
      <c r="BA110" s="4">
        <v>108</v>
      </c>
      <c r="BB110" s="2" t="s">
        <v>47</v>
      </c>
      <c r="BC110" s="2" t="s">
        <v>236</v>
      </c>
      <c r="BD110" s="2" t="s">
        <v>54</v>
      </c>
      <c r="BE110" s="2" t="s">
        <v>48</v>
      </c>
      <c r="BF110" s="2" t="s">
        <v>96</v>
      </c>
      <c r="BG110" s="2"/>
      <c r="BH110" s="185" t="s">
        <v>3</v>
      </c>
      <c r="BI110" s="185" t="s">
        <v>151</v>
      </c>
      <c r="BJ110" s="185" t="s">
        <v>168</v>
      </c>
      <c r="BK110" s="185" t="s">
        <v>128</v>
      </c>
      <c r="BL110" s="100"/>
      <c r="BM110" s="97">
        <f t="shared" si="39"/>
        <v>0</v>
      </c>
      <c r="BN110" s="225" t="s">
        <v>313</v>
      </c>
      <c r="BO110" s="225" t="s">
        <v>306</v>
      </c>
      <c r="BP110" s="225" t="s">
        <v>258</v>
      </c>
      <c r="BQ110" s="225" t="s">
        <v>259</v>
      </c>
      <c r="BR110" s="225" t="s">
        <v>388</v>
      </c>
      <c r="BS110" s="225" t="s">
        <v>325</v>
      </c>
      <c r="BT110" s="225" t="s">
        <v>413</v>
      </c>
      <c r="BU110" s="225" t="s">
        <v>260</v>
      </c>
      <c r="BV110" s="2"/>
      <c r="BW110" s="259" t="s">
        <v>361</v>
      </c>
      <c r="BX110" s="259" t="s">
        <v>362</v>
      </c>
      <c r="BY110" s="259" t="s">
        <v>337</v>
      </c>
      <c r="BZ110" s="259" t="s">
        <v>338</v>
      </c>
      <c r="CA110" s="107"/>
      <c r="CB110" s="249"/>
      <c r="CC110" s="107"/>
      <c r="CD110" s="249"/>
      <c r="CE110" s="107"/>
      <c r="CF110" s="225" t="str">
        <f t="shared" si="40"/>
        <v/>
      </c>
      <c r="CG110" s="225" t="str">
        <f t="shared" si="41"/>
        <v/>
      </c>
      <c r="CH110" s="225" t="str">
        <f t="shared" si="42"/>
        <v/>
      </c>
      <c r="CI110" s="225" t="str">
        <f t="shared" si="43"/>
        <v/>
      </c>
      <c r="CJ110" s="225" t="str">
        <f t="shared" si="44"/>
        <v/>
      </c>
      <c r="CK110" s="225" t="str">
        <f t="shared" si="45"/>
        <v/>
      </c>
      <c r="CL110" s="225" t="str">
        <f t="shared" si="46"/>
        <v/>
      </c>
      <c r="CM110" s="225" t="str">
        <f t="shared" si="47"/>
        <v/>
      </c>
      <c r="CN110" s="225" t="str">
        <f t="shared" si="48"/>
        <v/>
      </c>
      <c r="CO110" s="225" t="str">
        <f t="shared" si="49"/>
        <v/>
      </c>
      <c r="CP110" s="250"/>
      <c r="CQ110" s="250" t="str">
        <f t="shared" si="50"/>
        <v/>
      </c>
      <c r="CR110" s="5">
        <v>108</v>
      </c>
      <c r="CU1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0" s="373" t="str">
        <f t="shared" si="51"/>
        <v/>
      </c>
      <c r="CW110" s="2"/>
      <c r="CX110" s="104"/>
    </row>
    <row r="111" spans="2:102" ht="18.95" customHeight="1" x14ac:dyDescent="0.35">
      <c r="B111" s="4">
        <v>109</v>
      </c>
      <c r="C111" s="4" t="s">
        <v>884</v>
      </c>
      <c r="E111" s="382" t="s">
        <v>633</v>
      </c>
      <c r="F111" s="69"/>
      <c r="H111" s="69" t="s">
        <v>534</v>
      </c>
      <c r="I111" s="69" t="s">
        <v>463</v>
      </c>
      <c r="J111" s="69" t="s">
        <v>535</v>
      </c>
      <c r="K111" s="160" t="s">
        <v>566</v>
      </c>
      <c r="L111" s="2"/>
      <c r="M111" s="69" t="s">
        <v>804</v>
      </c>
      <c r="N111" s="2"/>
      <c r="O111" s="230" t="str">
        <f>IF($A$2=B111,Elektro!$Q$11,"")</f>
        <v/>
      </c>
      <c r="P111" s="230" t="str">
        <f>IF($A$2=B111,Elektro!$Q$12,"")</f>
        <v/>
      </c>
      <c r="Q111" s="236" t="str">
        <f>IF($A$2=B111,Elektro!$Q$13,"")</f>
        <v/>
      </c>
      <c r="R111" s="231" t="str">
        <f>IF($A$2=B111,Elektro!$Q$14,"")</f>
        <v/>
      </c>
      <c r="S111" s="231" t="str">
        <f>IF($A$2=B111,Elektro!$Q$15,"")</f>
        <v/>
      </c>
      <c r="T111" s="230" t="str">
        <f>IF($A$2=B111,Elektro!$Q$16,"")</f>
        <v/>
      </c>
      <c r="U111" s="353" t="str">
        <f t="shared" si="26"/>
        <v/>
      </c>
      <c r="V111" s="353" t="str">
        <f t="shared" si="27"/>
        <v/>
      </c>
      <c r="W111" s="4" t="s">
        <v>139</v>
      </c>
      <c r="X111" s="4" t="s">
        <v>248</v>
      </c>
      <c r="Y111" s="4">
        <v>2</v>
      </c>
      <c r="Z111" s="4">
        <v>63.55</v>
      </c>
      <c r="AA111" s="232" t="str">
        <f t="shared" si="28"/>
        <v/>
      </c>
      <c r="AB111" s="233" t="str">
        <f t="shared" si="29"/>
        <v/>
      </c>
      <c r="AC111" s="233" t="str">
        <f t="shared" si="30"/>
        <v>mol/s</v>
      </c>
      <c r="AD111" s="231" t="str">
        <f t="shared" si="31"/>
        <v/>
      </c>
      <c r="AE111" s="231" t="s">
        <v>283</v>
      </c>
      <c r="AF111" s="232" t="str">
        <f t="shared" si="32"/>
        <v/>
      </c>
      <c r="AG111" s="236" t="s">
        <v>284</v>
      </c>
      <c r="AH111" s="4"/>
      <c r="AI111" s="4" t="s">
        <v>119</v>
      </c>
      <c r="AJ111" s="4" t="s">
        <v>282</v>
      </c>
      <c r="AK111" s="4">
        <v>2</v>
      </c>
      <c r="AL111" s="4">
        <v>58.93</v>
      </c>
      <c r="AM111" s="232" t="str">
        <f t="shared" si="33"/>
        <v/>
      </c>
      <c r="AN111" s="233" t="str">
        <f t="shared" si="34"/>
        <v/>
      </c>
      <c r="AO111" s="4" t="str">
        <f t="shared" si="35"/>
        <v>g/s</v>
      </c>
      <c r="AP111" s="4"/>
      <c r="AQ111" s="4"/>
      <c r="AR111" s="4"/>
      <c r="AS111" s="4" t="s">
        <v>368</v>
      </c>
      <c r="AT111" s="4">
        <v>0</v>
      </c>
      <c r="AV111" s="248" t="str">
        <f t="shared" si="36"/>
        <v/>
      </c>
      <c r="AW111" s="248"/>
      <c r="AX111" s="4" t="str">
        <f t="shared" si="37"/>
        <v>M</v>
      </c>
      <c r="AY111" s="248" t="str">
        <f t="shared" si="38"/>
        <v/>
      </c>
      <c r="AZ111" s="232"/>
      <c r="BA111" s="4">
        <v>109</v>
      </c>
      <c r="BB111" s="2" t="s">
        <v>47</v>
      </c>
      <c r="BC111" s="2" t="s">
        <v>235</v>
      </c>
      <c r="BD111" s="2" t="s">
        <v>54</v>
      </c>
      <c r="BE111" s="2" t="s">
        <v>48</v>
      </c>
      <c r="BF111" s="2" t="s">
        <v>97</v>
      </c>
      <c r="BG111" s="2"/>
      <c r="BH111" s="185" t="s">
        <v>3</v>
      </c>
      <c r="BI111" s="185" t="s">
        <v>151</v>
      </c>
      <c r="BJ111" s="185" t="s">
        <v>169</v>
      </c>
      <c r="BK111" s="185" t="s">
        <v>68</v>
      </c>
      <c r="BL111" s="100"/>
      <c r="BM111" s="97">
        <f t="shared" si="39"/>
        <v>0</v>
      </c>
      <c r="BN111" s="225" t="s">
        <v>314</v>
      </c>
      <c r="BO111" s="225" t="s">
        <v>306</v>
      </c>
      <c r="BP111" s="225" t="s">
        <v>258</v>
      </c>
      <c r="BQ111" s="225" t="s">
        <v>259</v>
      </c>
      <c r="BR111" s="225" t="s">
        <v>389</v>
      </c>
      <c r="BS111" s="225" t="s">
        <v>325</v>
      </c>
      <c r="BT111" s="225" t="s">
        <v>371</v>
      </c>
      <c r="BU111" s="225" t="s">
        <v>260</v>
      </c>
      <c r="BV111" s="2"/>
      <c r="BW111" s="259" t="s">
        <v>363</v>
      </c>
      <c r="BX111" s="259" t="s">
        <v>364</v>
      </c>
      <c r="BY111" s="259" t="s">
        <v>337</v>
      </c>
      <c r="BZ111" s="259" t="s">
        <v>338</v>
      </c>
      <c r="CA111" s="107"/>
      <c r="CB111" s="249"/>
      <c r="CC111" s="107"/>
      <c r="CD111" s="249"/>
      <c r="CE111" s="107"/>
      <c r="CF111" s="225" t="str">
        <f t="shared" si="40"/>
        <v/>
      </c>
      <c r="CG111" s="225" t="str">
        <f t="shared" si="41"/>
        <v/>
      </c>
      <c r="CH111" s="225" t="str">
        <f t="shared" si="42"/>
        <v/>
      </c>
      <c r="CI111" s="225" t="str">
        <f t="shared" si="43"/>
        <v/>
      </c>
      <c r="CJ111" s="225" t="str">
        <f t="shared" si="44"/>
        <v/>
      </c>
      <c r="CK111" s="225" t="str">
        <f t="shared" si="45"/>
        <v/>
      </c>
      <c r="CL111" s="225" t="str">
        <f t="shared" si="46"/>
        <v/>
      </c>
      <c r="CM111" s="225" t="str">
        <f t="shared" si="47"/>
        <v/>
      </c>
      <c r="CN111" s="225" t="str">
        <f t="shared" si="48"/>
        <v/>
      </c>
      <c r="CO111" s="225" t="str">
        <f t="shared" si="49"/>
        <v/>
      </c>
      <c r="CP111" s="250"/>
      <c r="CQ111" s="250" t="str">
        <f t="shared" si="50"/>
        <v/>
      </c>
      <c r="CR111" s="5">
        <v>109</v>
      </c>
      <c r="CU1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1" s="373" t="str">
        <f t="shared" si="51"/>
        <v/>
      </c>
      <c r="CW111" s="2"/>
      <c r="CX111" s="104"/>
    </row>
    <row r="112" spans="2:102" ht="18.95" customHeight="1" x14ac:dyDescent="0.35">
      <c r="B112" s="4">
        <v>110</v>
      </c>
      <c r="C112" s="4" t="s">
        <v>889</v>
      </c>
      <c r="E112" s="382" t="s">
        <v>634</v>
      </c>
      <c r="F112" s="69"/>
      <c r="H112" s="69" t="s">
        <v>537</v>
      </c>
      <c r="I112" s="69" t="s">
        <v>463</v>
      </c>
      <c r="J112" s="69" t="s">
        <v>517</v>
      </c>
      <c r="K112" s="160" t="s">
        <v>560</v>
      </c>
      <c r="L112" s="2"/>
      <c r="M112" s="69" t="s">
        <v>805</v>
      </c>
      <c r="N112" s="2"/>
      <c r="O112" s="230" t="str">
        <f>IF($A$2=B112,Elektro!$Q$11,"")</f>
        <v/>
      </c>
      <c r="P112" s="230" t="str">
        <f>IF($A$2=B112,Elektro!$Q$12,"")</f>
        <v/>
      </c>
      <c r="Q112" s="236" t="str">
        <f>IF($A$2=B112,Elektro!$Q$13,"")</f>
        <v/>
      </c>
      <c r="R112" s="231" t="str">
        <f>IF($A$2=B112,Elektro!$Q$14,"")</f>
        <v/>
      </c>
      <c r="S112" s="231" t="str">
        <f>IF($A$2=B112,Elektro!$Q$15,"")</f>
        <v/>
      </c>
      <c r="T112" s="230" t="str">
        <f>IF($A$2=B112,Elektro!$Q$16,"")</f>
        <v/>
      </c>
      <c r="U112" s="353" t="str">
        <f t="shared" si="26"/>
        <v/>
      </c>
      <c r="V112" s="353" t="str">
        <f t="shared" si="27"/>
        <v/>
      </c>
      <c r="W112" s="4" t="s">
        <v>139</v>
      </c>
      <c r="X112" s="4" t="s">
        <v>248</v>
      </c>
      <c r="Y112" s="4">
        <v>2</v>
      </c>
      <c r="Z112" s="4">
        <v>63.55</v>
      </c>
      <c r="AA112" s="232" t="str">
        <f t="shared" si="28"/>
        <v/>
      </c>
      <c r="AB112" s="233" t="str">
        <f t="shared" si="29"/>
        <v/>
      </c>
      <c r="AC112" s="233" t="str">
        <f t="shared" si="30"/>
        <v>mol/s</v>
      </c>
      <c r="AD112" s="231" t="str">
        <f t="shared" si="31"/>
        <v/>
      </c>
      <c r="AE112" s="231" t="s">
        <v>283</v>
      </c>
      <c r="AF112" s="232" t="str">
        <f t="shared" si="32"/>
        <v/>
      </c>
      <c r="AG112" s="236" t="s">
        <v>284</v>
      </c>
      <c r="AH112" s="4"/>
      <c r="AI112" s="4" t="s">
        <v>115</v>
      </c>
      <c r="AJ112" s="4" t="s">
        <v>282</v>
      </c>
      <c r="AK112" s="4">
        <v>2</v>
      </c>
      <c r="AL112" s="4">
        <v>58.69</v>
      </c>
      <c r="AM112" s="232" t="str">
        <f t="shared" si="33"/>
        <v/>
      </c>
      <c r="AN112" s="233" t="str">
        <f t="shared" si="34"/>
        <v/>
      </c>
      <c r="AO112" s="4" t="str">
        <f t="shared" si="35"/>
        <v>g/s</v>
      </c>
      <c r="AP112" s="4"/>
      <c r="AQ112" s="4"/>
      <c r="AR112" s="4"/>
      <c r="AS112" s="4" t="s">
        <v>368</v>
      </c>
      <c r="AT112" s="4">
        <v>0</v>
      </c>
      <c r="AV112" s="248" t="str">
        <f t="shared" si="36"/>
        <v/>
      </c>
      <c r="AW112" s="248"/>
      <c r="AX112" s="4" t="str">
        <f t="shared" si="37"/>
        <v>M</v>
      </c>
      <c r="AY112" s="248" t="str">
        <f t="shared" si="38"/>
        <v/>
      </c>
      <c r="AZ112" s="232"/>
      <c r="BA112" s="4">
        <v>110</v>
      </c>
      <c r="BB112" s="2" t="s">
        <v>47</v>
      </c>
      <c r="BC112" s="2" t="s">
        <v>234</v>
      </c>
      <c r="BD112" s="2" t="s">
        <v>54</v>
      </c>
      <c r="BE112" s="2" t="s">
        <v>48</v>
      </c>
      <c r="BF112" s="2" t="s">
        <v>87</v>
      </c>
      <c r="BG112" s="2"/>
      <c r="BH112" s="185" t="s">
        <v>3</v>
      </c>
      <c r="BI112" s="185" t="s">
        <v>151</v>
      </c>
      <c r="BJ112" s="185" t="s">
        <v>166</v>
      </c>
      <c r="BK112" s="185" t="s">
        <v>60</v>
      </c>
      <c r="BL112" s="100"/>
      <c r="BM112" s="97">
        <f t="shared" si="39"/>
        <v>0</v>
      </c>
      <c r="BN112" s="225" t="s">
        <v>305</v>
      </c>
      <c r="BO112" s="225" t="s">
        <v>306</v>
      </c>
      <c r="BP112" s="225" t="s">
        <v>258</v>
      </c>
      <c r="BQ112" s="225" t="s">
        <v>259</v>
      </c>
      <c r="BR112" s="225" t="s">
        <v>383</v>
      </c>
      <c r="BS112" s="225" t="s">
        <v>325</v>
      </c>
      <c r="BT112" s="225" t="s">
        <v>372</v>
      </c>
      <c r="BU112" s="225" t="s">
        <v>260</v>
      </c>
      <c r="BV112" s="2"/>
      <c r="BW112" s="259" t="s">
        <v>359</v>
      </c>
      <c r="BX112" s="259" t="s">
        <v>360</v>
      </c>
      <c r="BY112" s="259" t="s">
        <v>337</v>
      </c>
      <c r="BZ112" s="259" t="s">
        <v>338</v>
      </c>
      <c r="CA112" s="107"/>
      <c r="CB112" s="249"/>
      <c r="CC112" s="107"/>
      <c r="CD112" s="249"/>
      <c r="CE112" s="107"/>
      <c r="CF112" s="225" t="str">
        <f t="shared" si="40"/>
        <v/>
      </c>
      <c r="CG112" s="225" t="str">
        <f t="shared" si="41"/>
        <v/>
      </c>
      <c r="CH112" s="225" t="str">
        <f t="shared" si="42"/>
        <v/>
      </c>
      <c r="CI112" s="225" t="str">
        <f t="shared" si="43"/>
        <v/>
      </c>
      <c r="CJ112" s="225" t="str">
        <f t="shared" si="44"/>
        <v/>
      </c>
      <c r="CK112" s="225" t="str">
        <f t="shared" si="45"/>
        <v/>
      </c>
      <c r="CL112" s="225" t="str">
        <f t="shared" si="46"/>
        <v/>
      </c>
      <c r="CM112" s="225" t="str">
        <f t="shared" si="47"/>
        <v/>
      </c>
      <c r="CN112" s="225" t="str">
        <f t="shared" si="48"/>
        <v/>
      </c>
      <c r="CO112" s="225" t="str">
        <f t="shared" si="49"/>
        <v/>
      </c>
      <c r="CP112" s="250"/>
      <c r="CQ112" s="250" t="str">
        <f t="shared" si="50"/>
        <v/>
      </c>
      <c r="CR112" s="5">
        <v>110</v>
      </c>
      <c r="CU1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2" s="373" t="str">
        <f t="shared" si="51"/>
        <v/>
      </c>
      <c r="CW112" s="2"/>
      <c r="CX112" s="104"/>
    </row>
    <row r="113" spans="1:102" ht="18.95" customHeight="1" x14ac:dyDescent="0.35">
      <c r="B113" s="4">
        <v>111</v>
      </c>
      <c r="C113" s="4" t="s">
        <v>890</v>
      </c>
      <c r="E113" s="382" t="s">
        <v>635</v>
      </c>
      <c r="F113" s="69" t="s">
        <v>12</v>
      </c>
      <c r="H113" s="69" t="s">
        <v>539</v>
      </c>
      <c r="I113" s="69" t="s">
        <v>463</v>
      </c>
      <c r="J113" s="69" t="s">
        <v>522</v>
      </c>
      <c r="K113" s="160" t="s">
        <v>562</v>
      </c>
      <c r="L113" s="2"/>
      <c r="M113" s="69" t="s">
        <v>806</v>
      </c>
      <c r="N113" s="2"/>
      <c r="O113" s="230" t="str">
        <f>IF($A$2=B113,Elektro!$Q$11,"")</f>
        <v/>
      </c>
      <c r="P113" s="230" t="str">
        <f>IF($A$2=B113,Elektro!$Q$12,"")</f>
        <v/>
      </c>
      <c r="Q113" s="236" t="str">
        <f>IF($A$2=B113,Elektro!$Q$13,"")</f>
        <v/>
      </c>
      <c r="R113" s="231" t="str">
        <f>IF($A$2=B113,Elektro!$Q$14,"")</f>
        <v/>
      </c>
      <c r="S113" s="231" t="str">
        <f>IF($A$2=B113,Elektro!$Q$15,"")</f>
        <v/>
      </c>
      <c r="T113" s="230" t="str">
        <f>IF($A$2=B113,Elektro!$Q$16,"")</f>
        <v/>
      </c>
      <c r="U113" s="353" t="str">
        <f t="shared" si="26"/>
        <v/>
      </c>
      <c r="V113" s="353" t="str">
        <f t="shared" si="27"/>
        <v/>
      </c>
      <c r="W113" s="4" t="s">
        <v>139</v>
      </c>
      <c r="X113" s="4" t="s">
        <v>248</v>
      </c>
      <c r="Y113" s="4">
        <v>2</v>
      </c>
      <c r="Z113" s="4">
        <v>63.55</v>
      </c>
      <c r="AA113" s="232" t="str">
        <f t="shared" si="28"/>
        <v/>
      </c>
      <c r="AB113" s="233" t="str">
        <f t="shared" si="29"/>
        <v/>
      </c>
      <c r="AC113" s="233" t="str">
        <f t="shared" si="30"/>
        <v>mol/s</v>
      </c>
      <c r="AD113" s="231" t="str">
        <f t="shared" si="31"/>
        <v/>
      </c>
      <c r="AE113" s="231" t="s">
        <v>283</v>
      </c>
      <c r="AF113" s="232" t="str">
        <f t="shared" si="32"/>
        <v/>
      </c>
      <c r="AG113" s="236" t="s">
        <v>284</v>
      </c>
      <c r="AH113" s="4"/>
      <c r="AI113" s="4" t="s">
        <v>111</v>
      </c>
      <c r="AJ113" s="4" t="s">
        <v>282</v>
      </c>
      <c r="AK113" s="4">
        <v>2</v>
      </c>
      <c r="AL113" s="4">
        <v>65.39</v>
      </c>
      <c r="AM113" s="232" t="str">
        <f t="shared" si="33"/>
        <v/>
      </c>
      <c r="AN113" s="233" t="str">
        <f t="shared" si="34"/>
        <v/>
      </c>
      <c r="AO113" s="4" t="str">
        <f t="shared" si="35"/>
        <v>g/s</v>
      </c>
      <c r="AP113" s="4"/>
      <c r="AQ113" s="4"/>
      <c r="AR113" s="4"/>
      <c r="AS113" s="4" t="s">
        <v>368</v>
      </c>
      <c r="AT113" s="4">
        <v>0</v>
      </c>
      <c r="AV113" s="248" t="str">
        <f t="shared" si="36"/>
        <v/>
      </c>
      <c r="AW113" s="248"/>
      <c r="AX113" s="4" t="str">
        <f t="shared" si="37"/>
        <v>M</v>
      </c>
      <c r="AY113" s="248" t="str">
        <f t="shared" si="38"/>
        <v/>
      </c>
      <c r="AZ113" s="232"/>
      <c r="BA113" s="4">
        <v>111</v>
      </c>
      <c r="BB113" s="2" t="s">
        <v>47</v>
      </c>
      <c r="BC113" s="2" t="s">
        <v>234</v>
      </c>
      <c r="BD113" s="2" t="s">
        <v>54</v>
      </c>
      <c r="BE113" s="2" t="s">
        <v>48</v>
      </c>
      <c r="BF113" s="2" t="s">
        <v>88</v>
      </c>
      <c r="BG113" s="2"/>
      <c r="BH113" s="185" t="s">
        <v>3</v>
      </c>
      <c r="BI113" s="185" t="s">
        <v>151</v>
      </c>
      <c r="BJ113" s="185" t="s">
        <v>158</v>
      </c>
      <c r="BK113" s="185" t="s">
        <v>30</v>
      </c>
      <c r="BL113" s="100"/>
      <c r="BM113" s="97">
        <f t="shared" si="39"/>
        <v>0</v>
      </c>
      <c r="BN113" s="225" t="s">
        <v>300</v>
      </c>
      <c r="BO113" s="225" t="s">
        <v>306</v>
      </c>
      <c r="BP113" s="225" t="s">
        <v>258</v>
      </c>
      <c r="BQ113" s="225" t="s">
        <v>259</v>
      </c>
      <c r="BR113" s="225" t="s">
        <v>385</v>
      </c>
      <c r="BS113" s="225" t="s">
        <v>325</v>
      </c>
      <c r="BT113" s="225" t="s">
        <v>369</v>
      </c>
      <c r="BU113" s="225" t="s">
        <v>260</v>
      </c>
      <c r="BV113" s="2"/>
      <c r="BW113" s="259" t="s">
        <v>345</v>
      </c>
      <c r="BX113" s="259" t="s">
        <v>346</v>
      </c>
      <c r="BY113" s="259" t="s">
        <v>337</v>
      </c>
      <c r="BZ113" s="259" t="s">
        <v>338</v>
      </c>
      <c r="CA113" s="107"/>
      <c r="CB113" s="249"/>
      <c r="CC113" s="107"/>
      <c r="CD113" s="249"/>
      <c r="CE113" s="107"/>
      <c r="CF113" s="225" t="str">
        <f t="shared" si="40"/>
        <v/>
      </c>
      <c r="CG113" s="225" t="str">
        <f t="shared" si="41"/>
        <v/>
      </c>
      <c r="CH113" s="225" t="str">
        <f t="shared" si="42"/>
        <v/>
      </c>
      <c r="CI113" s="225" t="str">
        <f t="shared" si="43"/>
        <v/>
      </c>
      <c r="CJ113" s="225" t="str">
        <f t="shared" si="44"/>
        <v/>
      </c>
      <c r="CK113" s="225" t="str">
        <f t="shared" si="45"/>
        <v/>
      </c>
      <c r="CL113" s="225" t="str">
        <f t="shared" si="46"/>
        <v/>
      </c>
      <c r="CM113" s="225" t="str">
        <f t="shared" si="47"/>
        <v/>
      </c>
      <c r="CN113" s="225" t="str">
        <f t="shared" si="48"/>
        <v/>
      </c>
      <c r="CO113" s="225" t="str">
        <f t="shared" si="49"/>
        <v/>
      </c>
      <c r="CP113" s="250"/>
      <c r="CQ113" s="250" t="str">
        <f t="shared" si="50"/>
        <v/>
      </c>
      <c r="CR113" s="5">
        <v>111</v>
      </c>
      <c r="CU1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3" s="373" t="str">
        <f t="shared" si="51"/>
        <v/>
      </c>
      <c r="CW113" s="2"/>
      <c r="CX113" s="104"/>
    </row>
    <row r="114" spans="1:102" ht="18.95" customHeight="1" x14ac:dyDescent="0.35">
      <c r="B114" s="4">
        <v>112</v>
      </c>
      <c r="C114" s="4" t="s">
        <v>885</v>
      </c>
      <c r="E114" s="382" t="s">
        <v>636</v>
      </c>
      <c r="F114" s="69"/>
      <c r="H114" s="69" t="s">
        <v>567</v>
      </c>
      <c r="I114" s="69" t="s">
        <v>463</v>
      </c>
      <c r="J114" s="69" t="s">
        <v>527</v>
      </c>
      <c r="K114" s="160" t="s">
        <v>564</v>
      </c>
      <c r="L114" s="2"/>
      <c r="M114" s="69" t="s">
        <v>807</v>
      </c>
      <c r="N114" s="2"/>
      <c r="O114" s="230" t="str">
        <f>IF($A$2=B114,Elektro!$Q$11,"")</f>
        <v/>
      </c>
      <c r="P114" s="230" t="str">
        <f>IF($A$2=B114,Elektro!$Q$12,"")</f>
        <v/>
      </c>
      <c r="Q114" s="236" t="str">
        <f>IF($A$2=B114,Elektro!$Q$13,"")</f>
        <v/>
      </c>
      <c r="R114" s="231" t="str">
        <f>IF($A$2=B114,Elektro!$Q$14,"")</f>
        <v/>
      </c>
      <c r="S114" s="231" t="str">
        <f>IF($A$2=B114,Elektro!$Q$15,"")</f>
        <v/>
      </c>
      <c r="T114" s="230" t="str">
        <f>IF($A$2=B114,Elektro!$Q$16,"")</f>
        <v/>
      </c>
      <c r="U114" s="353" t="str">
        <f t="shared" si="26"/>
        <v/>
      </c>
      <c r="V114" s="353" t="str">
        <f t="shared" si="27"/>
        <v/>
      </c>
      <c r="W114" s="4" t="s">
        <v>139</v>
      </c>
      <c r="X114" s="4" t="s">
        <v>248</v>
      </c>
      <c r="Y114" s="4">
        <v>2</v>
      </c>
      <c r="Z114" s="4">
        <v>63.55</v>
      </c>
      <c r="AA114" s="232" t="str">
        <f t="shared" si="28"/>
        <v/>
      </c>
      <c r="AB114" s="233" t="str">
        <f t="shared" si="29"/>
        <v/>
      </c>
      <c r="AC114" s="233" t="str">
        <f t="shared" si="30"/>
        <v>mol/s</v>
      </c>
      <c r="AD114" s="231" t="str">
        <f t="shared" si="31"/>
        <v/>
      </c>
      <c r="AE114" s="231" t="s">
        <v>283</v>
      </c>
      <c r="AF114" s="232" t="str">
        <f t="shared" si="32"/>
        <v/>
      </c>
      <c r="AG114" s="236" t="s">
        <v>284</v>
      </c>
      <c r="AH114" s="4"/>
      <c r="AI114" s="4" t="s">
        <v>117</v>
      </c>
      <c r="AJ114" s="4" t="s">
        <v>282</v>
      </c>
      <c r="AK114" s="4">
        <v>2</v>
      </c>
      <c r="AL114" s="4">
        <v>118.7</v>
      </c>
      <c r="AM114" s="232" t="str">
        <f t="shared" si="33"/>
        <v/>
      </c>
      <c r="AN114" s="233" t="str">
        <f t="shared" si="34"/>
        <v/>
      </c>
      <c r="AO114" s="4" t="str">
        <f t="shared" si="35"/>
        <v>g/s</v>
      </c>
      <c r="AP114" s="4"/>
      <c r="AQ114" s="4"/>
      <c r="AR114" s="4"/>
      <c r="AS114" s="4" t="s">
        <v>368</v>
      </c>
      <c r="AT114" s="4">
        <v>0</v>
      </c>
      <c r="AV114" s="248" t="str">
        <f t="shared" si="36"/>
        <v/>
      </c>
      <c r="AW114" s="248"/>
      <c r="AX114" s="4" t="str">
        <f t="shared" si="37"/>
        <v>M</v>
      </c>
      <c r="AY114" s="248" t="str">
        <f t="shared" si="38"/>
        <v/>
      </c>
      <c r="AZ114" s="232"/>
      <c r="BA114" s="4">
        <v>112</v>
      </c>
      <c r="BB114" s="2" t="s">
        <v>47</v>
      </c>
      <c r="BC114" s="2" t="s">
        <v>235</v>
      </c>
      <c r="BD114" s="2" t="s">
        <v>54</v>
      </c>
      <c r="BE114" s="2" t="s">
        <v>48</v>
      </c>
      <c r="BF114" s="2" t="s">
        <v>90</v>
      </c>
      <c r="BG114" s="2"/>
      <c r="BH114" s="185" t="s">
        <v>3</v>
      </c>
      <c r="BI114" s="185" t="s">
        <v>151</v>
      </c>
      <c r="BJ114" s="185" t="s">
        <v>167</v>
      </c>
      <c r="BK114" s="185" t="s">
        <v>130</v>
      </c>
      <c r="BL114" s="100"/>
      <c r="BM114" s="97">
        <f t="shared" si="39"/>
        <v>0</v>
      </c>
      <c r="BN114" s="225" t="s">
        <v>317</v>
      </c>
      <c r="BO114" s="225" t="s">
        <v>306</v>
      </c>
      <c r="BP114" s="225" t="s">
        <v>258</v>
      </c>
      <c r="BQ114" s="225" t="s">
        <v>259</v>
      </c>
      <c r="BR114" s="225" t="s">
        <v>387</v>
      </c>
      <c r="BS114" s="225" t="s">
        <v>325</v>
      </c>
      <c r="BT114" s="225" t="s">
        <v>370</v>
      </c>
      <c r="BU114" s="225" t="s">
        <v>260</v>
      </c>
      <c r="BV114" s="2"/>
      <c r="BW114" s="259" t="s">
        <v>347</v>
      </c>
      <c r="BX114" s="259" t="s">
        <v>348</v>
      </c>
      <c r="BY114" s="259" t="s">
        <v>337</v>
      </c>
      <c r="BZ114" s="259" t="s">
        <v>338</v>
      </c>
      <c r="CA114" s="107"/>
      <c r="CB114" s="249"/>
      <c r="CC114" s="107"/>
      <c r="CD114" s="249"/>
      <c r="CE114" s="107"/>
      <c r="CF114" s="225" t="str">
        <f t="shared" si="40"/>
        <v/>
      </c>
      <c r="CG114" s="225" t="str">
        <f t="shared" si="41"/>
        <v/>
      </c>
      <c r="CH114" s="225" t="str">
        <f t="shared" si="42"/>
        <v/>
      </c>
      <c r="CI114" s="225" t="str">
        <f t="shared" si="43"/>
        <v/>
      </c>
      <c r="CJ114" s="225" t="str">
        <f t="shared" si="44"/>
        <v/>
      </c>
      <c r="CK114" s="225" t="str">
        <f t="shared" si="45"/>
        <v/>
      </c>
      <c r="CL114" s="225" t="str">
        <f t="shared" si="46"/>
        <v/>
      </c>
      <c r="CM114" s="225" t="str">
        <f t="shared" si="47"/>
        <v/>
      </c>
      <c r="CN114" s="225" t="str">
        <f t="shared" si="48"/>
        <v/>
      </c>
      <c r="CO114" s="225" t="str">
        <f t="shared" si="49"/>
        <v/>
      </c>
      <c r="CP114" s="250"/>
      <c r="CQ114" s="250" t="str">
        <f t="shared" si="50"/>
        <v/>
      </c>
      <c r="CR114" s="5">
        <v>112</v>
      </c>
      <c r="CU1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4" s="373" t="str">
        <f t="shared" si="51"/>
        <v/>
      </c>
      <c r="CW114" s="2"/>
      <c r="CX114" s="104"/>
    </row>
    <row r="115" spans="1:102" ht="18.95" customHeight="1" x14ac:dyDescent="0.35">
      <c r="B115" s="4">
        <v>113</v>
      </c>
      <c r="C115" s="4" t="s">
        <v>875</v>
      </c>
      <c r="E115" s="382" t="s">
        <v>637</v>
      </c>
      <c r="F115" s="69" t="s">
        <v>75</v>
      </c>
      <c r="H115" s="69" t="s">
        <v>543</v>
      </c>
      <c r="I115" s="69" t="s">
        <v>463</v>
      </c>
      <c r="J115" s="69" t="s">
        <v>535</v>
      </c>
      <c r="K115" s="160" t="s">
        <v>566</v>
      </c>
      <c r="L115" s="2"/>
      <c r="M115" s="69" t="s">
        <v>808</v>
      </c>
      <c r="N115" s="2"/>
      <c r="O115" s="230" t="str">
        <f>IF($A$2=B115,Elektro!$Q$11,"")</f>
        <v/>
      </c>
      <c r="P115" s="230" t="str">
        <f>IF($A$2=B115,Elektro!$Q$12,"")</f>
        <v/>
      </c>
      <c r="Q115" s="236" t="str">
        <f>IF($A$2=B115,Elektro!$Q$13,"")</f>
        <v/>
      </c>
      <c r="R115" s="231" t="str">
        <f>IF($A$2=B115,Elektro!$Q$14,"")</f>
        <v/>
      </c>
      <c r="S115" s="231" t="str">
        <f>IF($A$2=B115,Elektro!$Q$15,"")</f>
        <v/>
      </c>
      <c r="T115" s="230" t="str">
        <f>IF($A$2=B115,Elektro!$Q$16,"")</f>
        <v/>
      </c>
      <c r="U115" s="353" t="str">
        <f t="shared" si="26"/>
        <v/>
      </c>
      <c r="V115" s="353" t="str">
        <f t="shared" si="27"/>
        <v/>
      </c>
      <c r="W115" s="4" t="s">
        <v>139</v>
      </c>
      <c r="X115" s="4" t="s">
        <v>248</v>
      </c>
      <c r="Y115" s="4">
        <v>2</v>
      </c>
      <c r="Z115" s="4">
        <v>63.55</v>
      </c>
      <c r="AA115" s="232" t="str">
        <f t="shared" si="28"/>
        <v/>
      </c>
      <c r="AB115" s="233" t="str">
        <f t="shared" si="29"/>
        <v/>
      </c>
      <c r="AC115" s="233" t="str">
        <f t="shared" si="30"/>
        <v>mol/s</v>
      </c>
      <c r="AD115" s="231" t="str">
        <f t="shared" si="31"/>
        <v/>
      </c>
      <c r="AE115" s="231" t="s">
        <v>283</v>
      </c>
      <c r="AF115" s="232" t="str">
        <f t="shared" si="32"/>
        <v/>
      </c>
      <c r="AG115" s="236" t="s">
        <v>284</v>
      </c>
      <c r="AH115" s="4"/>
      <c r="AI115" s="4" t="s">
        <v>119</v>
      </c>
      <c r="AJ115" s="4" t="s">
        <v>282</v>
      </c>
      <c r="AK115" s="4">
        <v>2</v>
      </c>
      <c r="AL115" s="4">
        <v>58.93</v>
      </c>
      <c r="AM115" s="232" t="str">
        <f t="shared" si="33"/>
        <v/>
      </c>
      <c r="AN115" s="233" t="str">
        <f t="shared" si="34"/>
        <v/>
      </c>
      <c r="AO115" s="4" t="str">
        <f t="shared" si="35"/>
        <v>g/s</v>
      </c>
      <c r="AP115" s="4"/>
      <c r="AQ115" s="4"/>
      <c r="AR115" s="4"/>
      <c r="AS115" s="4" t="s">
        <v>121</v>
      </c>
      <c r="AT115" s="4">
        <v>2</v>
      </c>
      <c r="AU115" s="5" t="s">
        <v>65</v>
      </c>
      <c r="AV115" s="248" t="str">
        <f t="shared" si="36"/>
        <v/>
      </c>
      <c r="AW115" s="248"/>
      <c r="AX115" s="4" t="str">
        <f t="shared" si="37"/>
        <v>M</v>
      </c>
      <c r="AY115" s="248" t="str">
        <f t="shared" si="38"/>
        <v/>
      </c>
      <c r="AZ115" s="232"/>
      <c r="BA115" s="4">
        <v>113</v>
      </c>
      <c r="BB115" s="2" t="s">
        <v>47</v>
      </c>
      <c r="BC115" s="2" t="s">
        <v>51</v>
      </c>
      <c r="BD115" s="2" t="s">
        <v>54</v>
      </c>
      <c r="BE115" s="2" t="s">
        <v>48</v>
      </c>
      <c r="BF115" s="2" t="s">
        <v>97</v>
      </c>
      <c r="BG115" s="2"/>
      <c r="BH115" s="185" t="s">
        <v>3</v>
      </c>
      <c r="BI115" s="185" t="s">
        <v>151</v>
      </c>
      <c r="BJ115" s="185" t="s">
        <v>169</v>
      </c>
      <c r="BK115" s="185" t="s">
        <v>68</v>
      </c>
      <c r="BL115" s="100"/>
      <c r="BM115" s="97">
        <f t="shared" si="39"/>
        <v>2</v>
      </c>
      <c r="BN115" s="225" t="s">
        <v>314</v>
      </c>
      <c r="BO115" s="225" t="s">
        <v>306</v>
      </c>
      <c r="BP115" s="225" t="s">
        <v>258</v>
      </c>
      <c r="BQ115" s="225" t="s">
        <v>259</v>
      </c>
      <c r="BR115" s="225" t="s">
        <v>389</v>
      </c>
      <c r="BS115" s="225" t="s">
        <v>325</v>
      </c>
      <c r="BT115" s="225" t="s">
        <v>371</v>
      </c>
      <c r="BU115" s="225" t="s">
        <v>260</v>
      </c>
      <c r="BV115" s="2"/>
      <c r="BW115" s="259" t="s">
        <v>363</v>
      </c>
      <c r="BX115" s="259" t="s">
        <v>364</v>
      </c>
      <c r="BY115" s="259" t="s">
        <v>337</v>
      </c>
      <c r="BZ115" s="259" t="s">
        <v>338</v>
      </c>
      <c r="CA115" s="107"/>
      <c r="CB115" s="249"/>
      <c r="CC115" s="107"/>
      <c r="CD115" s="249"/>
      <c r="CE115" s="107"/>
      <c r="CF115" s="225" t="str">
        <f t="shared" si="40"/>
        <v/>
      </c>
      <c r="CG115" s="225" t="str">
        <f t="shared" si="41"/>
        <v/>
      </c>
      <c r="CH115" s="225" t="str">
        <f t="shared" si="42"/>
        <v/>
      </c>
      <c r="CI115" s="225" t="str">
        <f t="shared" si="43"/>
        <v/>
      </c>
      <c r="CJ115" s="225" t="str">
        <f t="shared" si="44"/>
        <v/>
      </c>
      <c r="CK115" s="225" t="str">
        <f t="shared" si="45"/>
        <v/>
      </c>
      <c r="CL115" s="225" t="str">
        <f t="shared" si="46"/>
        <v/>
      </c>
      <c r="CM115" s="225" t="str">
        <f t="shared" si="47"/>
        <v/>
      </c>
      <c r="CN115" s="225" t="str">
        <f t="shared" si="48"/>
        <v/>
      </c>
      <c r="CO115" s="225" t="str">
        <f t="shared" si="49"/>
        <v/>
      </c>
      <c r="CP115" s="250"/>
      <c r="CQ115" s="250" t="str">
        <f t="shared" si="50"/>
        <v/>
      </c>
      <c r="CR115" s="5">
        <v>113</v>
      </c>
      <c r="CU1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5" s="373" t="str">
        <f t="shared" si="51"/>
        <v/>
      </c>
      <c r="CW115" s="2"/>
      <c r="CX115" s="104"/>
    </row>
    <row r="116" spans="1:102" ht="18.95" customHeight="1" x14ac:dyDescent="0.35">
      <c r="B116" s="4">
        <v>114</v>
      </c>
      <c r="C116" s="4" t="s">
        <v>876</v>
      </c>
      <c r="E116" s="382" t="s">
        <v>638</v>
      </c>
      <c r="F116" s="69" t="s">
        <v>75</v>
      </c>
      <c r="H116" s="69" t="s">
        <v>545</v>
      </c>
      <c r="I116" s="69" t="s">
        <v>463</v>
      </c>
      <c r="J116" s="69" t="s">
        <v>517</v>
      </c>
      <c r="K116" s="160" t="s">
        <v>560</v>
      </c>
      <c r="L116" s="2"/>
      <c r="M116" s="69" t="s">
        <v>809</v>
      </c>
      <c r="N116" s="2"/>
      <c r="O116" s="230" t="str">
        <f>IF($A$2=B116,Elektro!$Q$11,"")</f>
        <v/>
      </c>
      <c r="P116" s="230" t="str">
        <f>IF($A$2=B116,Elektro!$Q$12,"")</f>
        <v/>
      </c>
      <c r="Q116" s="236" t="str">
        <f>IF($A$2=B116,Elektro!$Q$13,"")</f>
        <v/>
      </c>
      <c r="R116" s="231" t="str">
        <f>IF($A$2=B116,Elektro!$Q$14,"")</f>
        <v/>
      </c>
      <c r="S116" s="231" t="str">
        <f>IF($A$2=B116,Elektro!$Q$15,"")</f>
        <v/>
      </c>
      <c r="T116" s="230" t="str">
        <f>IF($A$2=B116,Elektro!$Q$16,"")</f>
        <v/>
      </c>
      <c r="U116" s="353" t="str">
        <f t="shared" si="26"/>
        <v/>
      </c>
      <c r="V116" s="353" t="str">
        <f t="shared" si="27"/>
        <v/>
      </c>
      <c r="W116" s="4" t="s">
        <v>139</v>
      </c>
      <c r="X116" s="4" t="s">
        <v>248</v>
      </c>
      <c r="Y116" s="4">
        <v>2</v>
      </c>
      <c r="Z116" s="4">
        <v>63.55</v>
      </c>
      <c r="AA116" s="232" t="str">
        <f t="shared" si="28"/>
        <v/>
      </c>
      <c r="AB116" s="233" t="str">
        <f t="shared" si="29"/>
        <v/>
      </c>
      <c r="AC116" s="233" t="str">
        <f t="shared" si="30"/>
        <v>mol/s</v>
      </c>
      <c r="AD116" s="231" t="str">
        <f t="shared" si="31"/>
        <v/>
      </c>
      <c r="AE116" s="231" t="s">
        <v>283</v>
      </c>
      <c r="AF116" s="232" t="str">
        <f t="shared" si="32"/>
        <v/>
      </c>
      <c r="AG116" s="236" t="s">
        <v>284</v>
      </c>
      <c r="AH116" s="4"/>
      <c r="AI116" s="4" t="s">
        <v>115</v>
      </c>
      <c r="AJ116" s="4" t="s">
        <v>282</v>
      </c>
      <c r="AK116" s="4">
        <v>2</v>
      </c>
      <c r="AL116" s="4">
        <v>58.69</v>
      </c>
      <c r="AM116" s="232" t="str">
        <f t="shared" si="33"/>
        <v/>
      </c>
      <c r="AN116" s="233" t="str">
        <f t="shared" si="34"/>
        <v/>
      </c>
      <c r="AO116" s="4" t="str">
        <f t="shared" si="35"/>
        <v>g/s</v>
      </c>
      <c r="AP116" s="4"/>
      <c r="AQ116" s="4"/>
      <c r="AR116" s="4"/>
      <c r="AS116" s="4" t="s">
        <v>121</v>
      </c>
      <c r="AT116" s="4">
        <v>2</v>
      </c>
      <c r="AU116" s="5" t="s">
        <v>65</v>
      </c>
      <c r="AV116" s="248" t="str">
        <f t="shared" si="36"/>
        <v/>
      </c>
      <c r="AW116" s="248"/>
      <c r="AX116" s="4" t="str">
        <f t="shared" si="37"/>
        <v>M</v>
      </c>
      <c r="AY116" s="248" t="str">
        <f t="shared" si="38"/>
        <v/>
      </c>
      <c r="AZ116" s="232"/>
      <c r="BA116" s="4">
        <v>114</v>
      </c>
      <c r="BB116" s="2" t="s">
        <v>47</v>
      </c>
      <c r="BC116" s="2" t="s">
        <v>51</v>
      </c>
      <c r="BD116" s="2" t="s">
        <v>54</v>
      </c>
      <c r="BE116" s="2" t="s">
        <v>48</v>
      </c>
      <c r="BF116" s="2" t="s">
        <v>87</v>
      </c>
      <c r="BG116" s="2"/>
      <c r="BH116" s="185" t="s">
        <v>3</v>
      </c>
      <c r="BI116" s="185" t="s">
        <v>151</v>
      </c>
      <c r="BJ116" s="185" t="s">
        <v>166</v>
      </c>
      <c r="BK116" s="185" t="s">
        <v>60</v>
      </c>
      <c r="BL116" s="100"/>
      <c r="BM116" s="97">
        <f t="shared" si="39"/>
        <v>2</v>
      </c>
      <c r="BN116" s="225" t="s">
        <v>305</v>
      </c>
      <c r="BO116" s="225" t="s">
        <v>306</v>
      </c>
      <c r="BP116" s="225" t="s">
        <v>258</v>
      </c>
      <c r="BQ116" s="225" t="s">
        <v>259</v>
      </c>
      <c r="BR116" s="225" t="s">
        <v>383</v>
      </c>
      <c r="BS116" s="225" t="s">
        <v>325</v>
      </c>
      <c r="BT116" s="225" t="s">
        <v>372</v>
      </c>
      <c r="BU116" s="225" t="s">
        <v>260</v>
      </c>
      <c r="BV116" s="2"/>
      <c r="BW116" s="259" t="s">
        <v>359</v>
      </c>
      <c r="BX116" s="259" t="s">
        <v>360</v>
      </c>
      <c r="BY116" s="259" t="s">
        <v>337</v>
      </c>
      <c r="BZ116" s="259" t="s">
        <v>338</v>
      </c>
      <c r="CA116" s="107"/>
      <c r="CB116" s="249"/>
      <c r="CC116" s="107"/>
      <c r="CD116" s="249"/>
      <c r="CE116" s="107"/>
      <c r="CF116" s="225" t="str">
        <f t="shared" si="40"/>
        <v/>
      </c>
      <c r="CG116" s="225" t="str">
        <f t="shared" si="41"/>
        <v/>
      </c>
      <c r="CH116" s="225" t="str">
        <f t="shared" si="42"/>
        <v/>
      </c>
      <c r="CI116" s="225" t="str">
        <f t="shared" si="43"/>
        <v/>
      </c>
      <c r="CJ116" s="225" t="str">
        <f t="shared" si="44"/>
        <v/>
      </c>
      <c r="CK116" s="225" t="str">
        <f t="shared" si="45"/>
        <v/>
      </c>
      <c r="CL116" s="225" t="str">
        <f t="shared" si="46"/>
        <v/>
      </c>
      <c r="CM116" s="225" t="str">
        <f t="shared" si="47"/>
        <v/>
      </c>
      <c r="CN116" s="225" t="str">
        <f t="shared" si="48"/>
        <v/>
      </c>
      <c r="CO116" s="225" t="str">
        <f t="shared" si="49"/>
        <v/>
      </c>
      <c r="CP116" s="250"/>
      <c r="CQ116" s="250" t="str">
        <f t="shared" si="50"/>
        <v/>
      </c>
      <c r="CR116" s="5">
        <v>114</v>
      </c>
      <c r="CU1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6" s="373" t="str">
        <f t="shared" si="51"/>
        <v/>
      </c>
      <c r="CW116" s="2"/>
      <c r="CX116" s="104"/>
    </row>
    <row r="117" spans="1:102" ht="18.95" customHeight="1" x14ac:dyDescent="0.35">
      <c r="B117" s="4">
        <v>115</v>
      </c>
      <c r="C117" s="4" t="s">
        <v>877</v>
      </c>
      <c r="E117" s="382" t="s">
        <v>639</v>
      </c>
      <c r="F117" s="69" t="s">
        <v>75</v>
      </c>
      <c r="H117" s="69" t="s">
        <v>547</v>
      </c>
      <c r="I117" s="69" t="s">
        <v>463</v>
      </c>
      <c r="J117" s="69" t="s">
        <v>522</v>
      </c>
      <c r="K117" s="160" t="s">
        <v>562</v>
      </c>
      <c r="L117" s="2"/>
      <c r="M117" s="69" t="s">
        <v>810</v>
      </c>
      <c r="N117" s="2"/>
      <c r="O117" s="230" t="str">
        <f>IF($A$2=B117,Elektro!$Q$11,"")</f>
        <v/>
      </c>
      <c r="P117" s="230" t="str">
        <f>IF($A$2=B117,Elektro!$Q$12,"")</f>
        <v/>
      </c>
      <c r="Q117" s="236" t="str">
        <f>IF($A$2=B117,Elektro!$Q$13,"")</f>
        <v/>
      </c>
      <c r="R117" s="231" t="str">
        <f>IF($A$2=B117,Elektro!$Q$14,"")</f>
        <v/>
      </c>
      <c r="S117" s="231" t="str">
        <f>IF($A$2=B117,Elektro!$Q$15,"")</f>
        <v/>
      </c>
      <c r="T117" s="230" t="str">
        <f>IF($A$2=B117,Elektro!$Q$16,"")</f>
        <v/>
      </c>
      <c r="U117" s="353" t="str">
        <f t="shared" si="26"/>
        <v/>
      </c>
      <c r="V117" s="353" t="str">
        <f t="shared" si="27"/>
        <v/>
      </c>
      <c r="W117" s="4" t="s">
        <v>139</v>
      </c>
      <c r="X117" s="4" t="s">
        <v>248</v>
      </c>
      <c r="Y117" s="4">
        <v>2</v>
      </c>
      <c r="Z117" s="4">
        <v>63.55</v>
      </c>
      <c r="AA117" s="232" t="str">
        <f t="shared" si="28"/>
        <v/>
      </c>
      <c r="AB117" s="233" t="str">
        <f t="shared" si="29"/>
        <v/>
      </c>
      <c r="AC117" s="233" t="str">
        <f t="shared" si="30"/>
        <v>mol/s</v>
      </c>
      <c r="AD117" s="231" t="str">
        <f t="shared" si="31"/>
        <v/>
      </c>
      <c r="AE117" s="231" t="s">
        <v>283</v>
      </c>
      <c r="AF117" s="232" t="str">
        <f t="shared" si="32"/>
        <v/>
      </c>
      <c r="AG117" s="236" t="s">
        <v>284</v>
      </c>
      <c r="AH117" s="4"/>
      <c r="AI117" s="4" t="s">
        <v>111</v>
      </c>
      <c r="AJ117" s="4" t="s">
        <v>282</v>
      </c>
      <c r="AK117" s="4">
        <v>2</v>
      </c>
      <c r="AL117" s="4">
        <v>65.39</v>
      </c>
      <c r="AM117" s="232" t="str">
        <f t="shared" si="33"/>
        <v/>
      </c>
      <c r="AN117" s="233" t="str">
        <f t="shared" si="34"/>
        <v/>
      </c>
      <c r="AO117" s="4" t="str">
        <f t="shared" si="35"/>
        <v>g/s</v>
      </c>
      <c r="AP117" s="4"/>
      <c r="AQ117" s="4"/>
      <c r="AR117" s="4"/>
      <c r="AS117" s="4" t="s">
        <v>121</v>
      </c>
      <c r="AT117" s="4">
        <v>2</v>
      </c>
      <c r="AU117" s="5" t="s">
        <v>65</v>
      </c>
      <c r="AV117" s="248" t="str">
        <f t="shared" si="36"/>
        <v/>
      </c>
      <c r="AW117" s="248"/>
      <c r="AX117" s="4" t="str">
        <f t="shared" si="37"/>
        <v>M</v>
      </c>
      <c r="AY117" s="248" t="str">
        <f t="shared" si="38"/>
        <v/>
      </c>
      <c r="AZ117" s="232"/>
      <c r="BA117" s="4">
        <v>115</v>
      </c>
      <c r="BB117" s="2" t="s">
        <v>47</v>
      </c>
      <c r="BC117" s="2" t="s">
        <v>51</v>
      </c>
      <c r="BD117" s="2" t="s">
        <v>54</v>
      </c>
      <c r="BE117" s="2" t="s">
        <v>48</v>
      </c>
      <c r="BF117" s="2" t="s">
        <v>88</v>
      </c>
      <c r="BG117" s="2"/>
      <c r="BH117" s="185" t="s">
        <v>3</v>
      </c>
      <c r="BI117" s="185" t="s">
        <v>151</v>
      </c>
      <c r="BJ117" s="185" t="s">
        <v>158</v>
      </c>
      <c r="BK117" s="185" t="s">
        <v>30</v>
      </c>
      <c r="BL117" s="100"/>
      <c r="BM117" s="97">
        <f t="shared" si="39"/>
        <v>2</v>
      </c>
      <c r="BN117" s="225" t="s">
        <v>300</v>
      </c>
      <c r="BO117" s="225" t="s">
        <v>306</v>
      </c>
      <c r="BP117" s="225" t="s">
        <v>258</v>
      </c>
      <c r="BQ117" s="225" t="s">
        <v>259</v>
      </c>
      <c r="BR117" s="225" t="s">
        <v>385</v>
      </c>
      <c r="BS117" s="225" t="s">
        <v>325</v>
      </c>
      <c r="BT117" s="225" t="s">
        <v>369</v>
      </c>
      <c r="BU117" s="225" t="s">
        <v>260</v>
      </c>
      <c r="BV117" s="2"/>
      <c r="BW117" s="259" t="s">
        <v>345</v>
      </c>
      <c r="BX117" s="259" t="s">
        <v>346</v>
      </c>
      <c r="BY117" s="259" t="s">
        <v>337</v>
      </c>
      <c r="BZ117" s="259" t="s">
        <v>338</v>
      </c>
      <c r="CA117" s="107"/>
      <c r="CB117" s="249"/>
      <c r="CC117" s="107"/>
      <c r="CD117" s="249"/>
      <c r="CE117" s="107"/>
      <c r="CF117" s="225" t="str">
        <f t="shared" si="40"/>
        <v/>
      </c>
      <c r="CG117" s="225" t="str">
        <f t="shared" si="41"/>
        <v/>
      </c>
      <c r="CH117" s="225" t="str">
        <f t="shared" si="42"/>
        <v/>
      </c>
      <c r="CI117" s="225" t="str">
        <f t="shared" si="43"/>
        <v/>
      </c>
      <c r="CJ117" s="225" t="str">
        <f t="shared" si="44"/>
        <v/>
      </c>
      <c r="CK117" s="225" t="str">
        <f t="shared" si="45"/>
        <v/>
      </c>
      <c r="CL117" s="225" t="str">
        <f t="shared" si="46"/>
        <v/>
      </c>
      <c r="CM117" s="225" t="str">
        <f t="shared" si="47"/>
        <v/>
      </c>
      <c r="CN117" s="225" t="str">
        <f t="shared" si="48"/>
        <v/>
      </c>
      <c r="CO117" s="225" t="str">
        <f t="shared" si="49"/>
        <v/>
      </c>
      <c r="CP117" s="250"/>
      <c r="CQ117" s="250" t="str">
        <f t="shared" si="50"/>
        <v/>
      </c>
      <c r="CR117" s="5">
        <v>115</v>
      </c>
      <c r="CU1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7" s="373" t="str">
        <f t="shared" si="51"/>
        <v/>
      </c>
      <c r="CW117" s="2"/>
      <c r="CX117" s="104"/>
    </row>
    <row r="118" spans="1:102" ht="18.95" customHeight="1" x14ac:dyDescent="0.35">
      <c r="B118" s="4">
        <v>116</v>
      </c>
      <c r="C118" s="4" t="s">
        <v>878</v>
      </c>
      <c r="E118" s="382" t="s">
        <v>640</v>
      </c>
      <c r="F118" s="69" t="s">
        <v>75</v>
      </c>
      <c r="H118" s="69" t="s">
        <v>549</v>
      </c>
      <c r="I118" s="69" t="s">
        <v>463</v>
      </c>
      <c r="J118" s="69" t="s">
        <v>527</v>
      </c>
      <c r="K118" s="160" t="s">
        <v>564</v>
      </c>
      <c r="L118" s="2"/>
      <c r="M118" s="69" t="s">
        <v>811</v>
      </c>
      <c r="N118" s="2"/>
      <c r="O118" s="230" t="str">
        <f>IF($A$2=B118,Elektro!$Q$11,"")</f>
        <v/>
      </c>
      <c r="P118" s="230" t="str">
        <f>IF($A$2=B118,Elektro!$Q$12,"")</f>
        <v/>
      </c>
      <c r="Q118" s="236" t="str">
        <f>IF($A$2=B118,Elektro!$Q$13,"")</f>
        <v/>
      </c>
      <c r="R118" s="231" t="str">
        <f>IF($A$2=B118,Elektro!$Q$14,"")</f>
        <v/>
      </c>
      <c r="S118" s="231" t="str">
        <f>IF($A$2=B118,Elektro!$Q$15,"")</f>
        <v/>
      </c>
      <c r="T118" s="230" t="str">
        <f>IF($A$2=B118,Elektro!$Q$16,"")</f>
        <v/>
      </c>
      <c r="U118" s="353" t="str">
        <f t="shared" si="26"/>
        <v/>
      </c>
      <c r="V118" s="353" t="str">
        <f t="shared" si="27"/>
        <v/>
      </c>
      <c r="W118" s="4" t="s">
        <v>139</v>
      </c>
      <c r="X118" s="4" t="s">
        <v>248</v>
      </c>
      <c r="Y118" s="4">
        <v>2</v>
      </c>
      <c r="Z118" s="4">
        <v>63.55</v>
      </c>
      <c r="AA118" s="232" t="str">
        <f t="shared" si="28"/>
        <v/>
      </c>
      <c r="AB118" s="233" t="str">
        <f t="shared" si="29"/>
        <v/>
      </c>
      <c r="AC118" s="233" t="str">
        <f t="shared" si="30"/>
        <v>mol/s</v>
      </c>
      <c r="AD118" s="231" t="str">
        <f t="shared" si="31"/>
        <v/>
      </c>
      <c r="AE118" s="231" t="s">
        <v>283</v>
      </c>
      <c r="AF118" s="232" t="str">
        <f t="shared" si="32"/>
        <v/>
      </c>
      <c r="AG118" s="236" t="s">
        <v>284</v>
      </c>
      <c r="AH118" s="4"/>
      <c r="AI118" s="4" t="s">
        <v>117</v>
      </c>
      <c r="AJ118" s="4" t="s">
        <v>282</v>
      </c>
      <c r="AK118" s="4">
        <v>2</v>
      </c>
      <c r="AL118" s="4">
        <v>118.7</v>
      </c>
      <c r="AM118" s="232" t="str">
        <f t="shared" si="33"/>
        <v/>
      </c>
      <c r="AN118" s="233" t="str">
        <f t="shared" si="34"/>
        <v/>
      </c>
      <c r="AO118" s="4" t="str">
        <f t="shared" si="35"/>
        <v>g/s</v>
      </c>
      <c r="AP118" s="4"/>
      <c r="AQ118" s="4"/>
      <c r="AR118" s="4"/>
      <c r="AS118" s="4" t="s">
        <v>121</v>
      </c>
      <c r="AT118" s="4">
        <v>2</v>
      </c>
      <c r="AU118" s="5" t="s">
        <v>65</v>
      </c>
      <c r="AV118" s="248" t="str">
        <f t="shared" si="36"/>
        <v/>
      </c>
      <c r="AW118" s="248"/>
      <c r="AX118" s="4" t="str">
        <f t="shared" si="37"/>
        <v>M</v>
      </c>
      <c r="AY118" s="248" t="str">
        <f t="shared" si="38"/>
        <v/>
      </c>
      <c r="AZ118" s="232"/>
      <c r="BA118" s="4">
        <v>116</v>
      </c>
      <c r="BB118" s="2" t="s">
        <v>47</v>
      </c>
      <c r="BC118" s="2" t="s">
        <v>51</v>
      </c>
      <c r="BD118" s="2" t="s">
        <v>54</v>
      </c>
      <c r="BE118" s="2" t="s">
        <v>48</v>
      </c>
      <c r="BF118" s="2" t="s">
        <v>90</v>
      </c>
      <c r="BG118" s="2"/>
      <c r="BH118" s="185" t="s">
        <v>3</v>
      </c>
      <c r="BI118" s="185" t="s">
        <v>151</v>
      </c>
      <c r="BJ118" s="185" t="s">
        <v>167</v>
      </c>
      <c r="BK118" s="185" t="s">
        <v>130</v>
      </c>
      <c r="BL118" s="100"/>
      <c r="BM118" s="97">
        <f t="shared" si="39"/>
        <v>2</v>
      </c>
      <c r="BN118" s="225" t="s">
        <v>317</v>
      </c>
      <c r="BO118" s="225" t="s">
        <v>306</v>
      </c>
      <c r="BP118" s="225" t="s">
        <v>258</v>
      </c>
      <c r="BQ118" s="225" t="s">
        <v>259</v>
      </c>
      <c r="BR118" s="225" t="s">
        <v>387</v>
      </c>
      <c r="BS118" s="225" t="s">
        <v>325</v>
      </c>
      <c r="BT118" s="225" t="s">
        <v>370</v>
      </c>
      <c r="BU118" s="225" t="s">
        <v>260</v>
      </c>
      <c r="BV118" s="2"/>
      <c r="BW118" s="259" t="s">
        <v>347</v>
      </c>
      <c r="BX118" s="259" t="s">
        <v>348</v>
      </c>
      <c r="BY118" s="259" t="s">
        <v>337</v>
      </c>
      <c r="BZ118" s="259" t="s">
        <v>338</v>
      </c>
      <c r="CA118" s="107"/>
      <c r="CB118" s="249"/>
      <c r="CC118" s="107"/>
      <c r="CD118" s="249"/>
      <c r="CE118" s="107"/>
      <c r="CF118" s="225" t="str">
        <f t="shared" si="40"/>
        <v/>
      </c>
      <c r="CG118" s="225" t="str">
        <f t="shared" si="41"/>
        <v/>
      </c>
      <c r="CH118" s="225" t="str">
        <f t="shared" si="42"/>
        <v/>
      </c>
      <c r="CI118" s="225" t="str">
        <f t="shared" si="43"/>
        <v/>
      </c>
      <c r="CJ118" s="225" t="str">
        <f t="shared" si="44"/>
        <v/>
      </c>
      <c r="CK118" s="225" t="str">
        <f t="shared" si="45"/>
        <v/>
      </c>
      <c r="CL118" s="225" t="str">
        <f t="shared" si="46"/>
        <v/>
      </c>
      <c r="CM118" s="225" t="str">
        <f t="shared" si="47"/>
        <v/>
      </c>
      <c r="CN118" s="225" t="str">
        <f t="shared" si="48"/>
        <v/>
      </c>
      <c r="CO118" s="225" t="str">
        <f t="shared" si="49"/>
        <v/>
      </c>
      <c r="CP118" s="250"/>
      <c r="CQ118" s="250" t="str">
        <f t="shared" si="50"/>
        <v/>
      </c>
      <c r="CR118" s="5">
        <v>116</v>
      </c>
      <c r="CU1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8" s="373" t="str">
        <f t="shared" si="51"/>
        <v/>
      </c>
      <c r="CW118" s="2"/>
      <c r="CX118" s="104"/>
    </row>
    <row r="119" spans="1:102" ht="18.95" customHeight="1" x14ac:dyDescent="0.35">
      <c r="B119" s="4">
        <v>117</v>
      </c>
      <c r="C119" s="4" t="s">
        <v>879</v>
      </c>
      <c r="E119" s="382" t="s">
        <v>641</v>
      </c>
      <c r="F119" s="69" t="s">
        <v>75</v>
      </c>
      <c r="H119" s="69" t="s">
        <v>551</v>
      </c>
      <c r="I119" s="69" t="s">
        <v>463</v>
      </c>
      <c r="J119" s="69" t="s">
        <v>552</v>
      </c>
      <c r="K119" s="160" t="s">
        <v>568</v>
      </c>
      <c r="L119" s="2"/>
      <c r="M119" s="69" t="s">
        <v>812</v>
      </c>
      <c r="N119" s="2"/>
      <c r="O119" s="230" t="str">
        <f>IF($A$2=B119,Elektro!$Q$11,"")</f>
        <v/>
      </c>
      <c r="P119" s="230" t="str">
        <f>IF($A$2=B119,Elektro!$Q$12,"")</f>
        <v/>
      </c>
      <c r="Q119" s="236" t="str">
        <f>IF($A$2=B119,Elektro!$Q$13,"")</f>
        <v/>
      </c>
      <c r="R119" s="231" t="str">
        <f>IF($A$2=B119,Elektro!$Q$14,"")</f>
        <v/>
      </c>
      <c r="S119" s="231" t="str">
        <f>IF($A$2=B119,Elektro!$Q$15,"")</f>
        <v/>
      </c>
      <c r="T119" s="230" t="str">
        <f>IF($A$2=B119,Elektro!$Q$16,"")</f>
        <v/>
      </c>
      <c r="U119" s="353" t="str">
        <f t="shared" si="26"/>
        <v/>
      </c>
      <c r="V119" s="353" t="str">
        <f t="shared" si="27"/>
        <v/>
      </c>
      <c r="W119" s="4" t="s">
        <v>139</v>
      </c>
      <c r="X119" s="4" t="s">
        <v>248</v>
      </c>
      <c r="Y119" s="4">
        <v>2</v>
      </c>
      <c r="Z119" s="4">
        <v>63.55</v>
      </c>
      <c r="AA119" s="232" t="str">
        <f t="shared" si="28"/>
        <v/>
      </c>
      <c r="AB119" s="233" t="str">
        <f t="shared" si="29"/>
        <v/>
      </c>
      <c r="AC119" s="233" t="str">
        <f t="shared" si="30"/>
        <v>mol/s</v>
      </c>
      <c r="AD119" s="231" t="str">
        <f t="shared" si="31"/>
        <v/>
      </c>
      <c r="AE119" s="231" t="s">
        <v>283</v>
      </c>
      <c r="AF119" s="232" t="str">
        <f t="shared" si="32"/>
        <v/>
      </c>
      <c r="AG119" s="236" t="s">
        <v>284</v>
      </c>
      <c r="AH119" s="4"/>
      <c r="AI119" s="4" t="s">
        <v>116</v>
      </c>
      <c r="AJ119" s="4" t="s">
        <v>282</v>
      </c>
      <c r="AK119" s="4">
        <v>2</v>
      </c>
      <c r="AL119" s="4">
        <v>207.2</v>
      </c>
      <c r="AM119" s="232" t="str">
        <f t="shared" si="33"/>
        <v/>
      </c>
      <c r="AN119" s="233" t="str">
        <f t="shared" si="34"/>
        <v/>
      </c>
      <c r="AO119" s="4" t="str">
        <f t="shared" si="35"/>
        <v>g/s</v>
      </c>
      <c r="AP119" s="4"/>
      <c r="AQ119" s="4"/>
      <c r="AR119" s="4"/>
      <c r="AS119" s="4" t="s">
        <v>121</v>
      </c>
      <c r="AT119" s="4">
        <v>2</v>
      </c>
      <c r="AU119" s="5" t="s">
        <v>65</v>
      </c>
      <c r="AV119" s="248" t="str">
        <f t="shared" si="36"/>
        <v/>
      </c>
      <c r="AW119" s="248"/>
      <c r="AX119" s="4" t="str">
        <f t="shared" si="37"/>
        <v>M</v>
      </c>
      <c r="AY119" s="248" t="str">
        <f t="shared" si="38"/>
        <v/>
      </c>
      <c r="AZ119" s="232"/>
      <c r="BA119" s="4">
        <v>117</v>
      </c>
      <c r="BB119" s="2" t="s">
        <v>47</v>
      </c>
      <c r="BC119" s="2" t="s">
        <v>51</v>
      </c>
      <c r="BD119" s="2" t="s">
        <v>54</v>
      </c>
      <c r="BE119" s="2" t="s">
        <v>48</v>
      </c>
      <c r="BF119" s="2" t="s">
        <v>89</v>
      </c>
      <c r="BG119" s="2"/>
      <c r="BH119" s="185" t="s">
        <v>3</v>
      </c>
      <c r="BI119" s="185" t="s">
        <v>151</v>
      </c>
      <c r="BJ119" s="185" t="s">
        <v>170</v>
      </c>
      <c r="BK119" s="185" t="s">
        <v>129</v>
      </c>
      <c r="BL119" s="100"/>
      <c r="BM119" s="97">
        <f t="shared" si="39"/>
        <v>2</v>
      </c>
      <c r="BN119" s="225" t="s">
        <v>315</v>
      </c>
      <c r="BO119" s="225" t="s">
        <v>306</v>
      </c>
      <c r="BP119" s="225" t="s">
        <v>258</v>
      </c>
      <c r="BQ119" s="225" t="s">
        <v>259</v>
      </c>
      <c r="BR119" s="225" t="s">
        <v>396</v>
      </c>
      <c r="BS119" s="225" t="s">
        <v>325</v>
      </c>
      <c r="BT119" s="225" t="s">
        <v>373</v>
      </c>
      <c r="BU119" s="225" t="s">
        <v>260</v>
      </c>
      <c r="BV119" s="2"/>
      <c r="BW119" s="259" t="s">
        <v>365</v>
      </c>
      <c r="BX119" s="259" t="s">
        <v>366</v>
      </c>
      <c r="BY119" s="259" t="s">
        <v>337</v>
      </c>
      <c r="BZ119" s="259" t="s">
        <v>338</v>
      </c>
      <c r="CA119" s="107"/>
      <c r="CB119" s="249"/>
      <c r="CC119" s="107"/>
      <c r="CD119" s="249"/>
      <c r="CE119" s="107"/>
      <c r="CF119" s="225" t="str">
        <f t="shared" si="40"/>
        <v/>
      </c>
      <c r="CG119" s="225" t="str">
        <f t="shared" si="41"/>
        <v/>
      </c>
      <c r="CH119" s="225" t="str">
        <f t="shared" si="42"/>
        <v/>
      </c>
      <c r="CI119" s="225" t="str">
        <f t="shared" si="43"/>
        <v/>
      </c>
      <c r="CJ119" s="225" t="str">
        <f t="shared" si="44"/>
        <v/>
      </c>
      <c r="CK119" s="225" t="str">
        <f t="shared" si="45"/>
        <v/>
      </c>
      <c r="CL119" s="225" t="str">
        <f t="shared" si="46"/>
        <v/>
      </c>
      <c r="CM119" s="225" t="str">
        <f t="shared" si="47"/>
        <v/>
      </c>
      <c r="CN119" s="225" t="str">
        <f t="shared" si="48"/>
        <v/>
      </c>
      <c r="CO119" s="225" t="str">
        <f t="shared" si="49"/>
        <v/>
      </c>
      <c r="CP119" s="250"/>
      <c r="CQ119" s="250" t="str">
        <f t="shared" si="50"/>
        <v/>
      </c>
      <c r="CR119" s="5">
        <v>117</v>
      </c>
      <c r="CU1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9" s="373" t="str">
        <f t="shared" si="51"/>
        <v/>
      </c>
      <c r="CW119" s="2"/>
      <c r="CX119" s="104"/>
    </row>
    <row r="120" spans="1:102" ht="18.95" customHeight="1" x14ac:dyDescent="0.35">
      <c r="B120" s="4">
        <v>118</v>
      </c>
      <c r="C120" s="4" t="s">
        <v>880</v>
      </c>
      <c r="E120" s="382" t="s">
        <v>642</v>
      </c>
      <c r="F120" s="69" t="s">
        <v>75</v>
      </c>
      <c r="H120" s="69" t="s">
        <v>554</v>
      </c>
      <c r="I120" s="69" t="s">
        <v>463</v>
      </c>
      <c r="J120" s="69" t="s">
        <v>555</v>
      </c>
      <c r="K120" s="160" t="s">
        <v>569</v>
      </c>
      <c r="L120" s="2"/>
      <c r="M120" s="69" t="s">
        <v>813</v>
      </c>
      <c r="N120" s="2"/>
      <c r="O120" s="230" t="str">
        <f>IF($A$2=B120,Elektro!$Q$11,"")</f>
        <v/>
      </c>
      <c r="P120" s="230" t="str">
        <f>IF($A$2=B120,Elektro!$Q$12,"")</f>
        <v/>
      </c>
      <c r="Q120" s="236" t="str">
        <f>IF($A$2=B120,Elektro!$Q$13,"")</f>
        <v/>
      </c>
      <c r="R120" s="231" t="str">
        <f>IF($A$2=B120,Elektro!$Q$14,"")</f>
        <v/>
      </c>
      <c r="S120" s="231" t="str">
        <f>IF($A$2=B120,Elektro!$Q$15,"")</f>
        <v/>
      </c>
      <c r="T120" s="230" t="str">
        <f>IF($A$2=B120,Elektro!$Q$16,"")</f>
        <v/>
      </c>
      <c r="U120" s="353" t="str">
        <f t="shared" si="26"/>
        <v/>
      </c>
      <c r="V120" s="353" t="str">
        <f t="shared" si="27"/>
        <v/>
      </c>
      <c r="W120" s="4" t="s">
        <v>139</v>
      </c>
      <c r="X120" s="4" t="s">
        <v>248</v>
      </c>
      <c r="Y120" s="4">
        <v>2</v>
      </c>
      <c r="Z120" s="4">
        <v>63.55</v>
      </c>
      <c r="AA120" s="232" t="str">
        <f t="shared" si="28"/>
        <v/>
      </c>
      <c r="AB120" s="233" t="str">
        <f t="shared" si="29"/>
        <v/>
      </c>
      <c r="AC120" s="233" t="str">
        <f t="shared" si="30"/>
        <v>mol/s</v>
      </c>
      <c r="AD120" s="231" t="str">
        <f t="shared" si="31"/>
        <v/>
      </c>
      <c r="AE120" s="231" t="s">
        <v>283</v>
      </c>
      <c r="AF120" s="232" t="str">
        <f t="shared" si="32"/>
        <v/>
      </c>
      <c r="AG120" s="236" t="s">
        <v>284</v>
      </c>
      <c r="AH120" s="4"/>
      <c r="AI120" s="4" t="s">
        <v>113</v>
      </c>
      <c r="AJ120" s="4" t="s">
        <v>282</v>
      </c>
      <c r="AK120" s="4">
        <v>2</v>
      </c>
      <c r="AL120" s="4">
        <v>112.4</v>
      </c>
      <c r="AM120" s="232" t="str">
        <f t="shared" si="33"/>
        <v/>
      </c>
      <c r="AN120" s="233" t="str">
        <f t="shared" si="34"/>
        <v/>
      </c>
      <c r="AO120" s="4" t="str">
        <f t="shared" si="35"/>
        <v>g/s</v>
      </c>
      <c r="AP120" s="4"/>
      <c r="AQ120" s="4"/>
      <c r="AR120" s="4"/>
      <c r="AS120" s="4" t="s">
        <v>121</v>
      </c>
      <c r="AT120" s="4">
        <v>2</v>
      </c>
      <c r="AU120" s="5" t="s">
        <v>65</v>
      </c>
      <c r="AV120" s="248" t="str">
        <f t="shared" si="36"/>
        <v/>
      </c>
      <c r="AW120" s="248"/>
      <c r="AX120" s="4" t="str">
        <f t="shared" si="37"/>
        <v>M</v>
      </c>
      <c r="AY120" s="248" t="str">
        <f t="shared" si="38"/>
        <v/>
      </c>
      <c r="AZ120" s="232"/>
      <c r="BA120" s="4">
        <v>118</v>
      </c>
      <c r="BB120" s="2" t="s">
        <v>47</v>
      </c>
      <c r="BC120" s="2" t="s">
        <v>51</v>
      </c>
      <c r="BD120" s="2" t="s">
        <v>54</v>
      </c>
      <c r="BE120" s="2" t="s">
        <v>48</v>
      </c>
      <c r="BF120" s="2" t="s">
        <v>98</v>
      </c>
      <c r="BG120" s="2"/>
      <c r="BH120" s="185" t="s">
        <v>3</v>
      </c>
      <c r="BI120" s="185" t="s">
        <v>151</v>
      </c>
      <c r="BJ120" s="185" t="s">
        <v>159</v>
      </c>
      <c r="BK120" s="185" t="s">
        <v>31</v>
      </c>
      <c r="BL120" s="100"/>
      <c r="BM120" s="97">
        <f t="shared" si="39"/>
        <v>2</v>
      </c>
      <c r="BN120" s="225" t="s">
        <v>316</v>
      </c>
      <c r="BO120" s="225" t="s">
        <v>306</v>
      </c>
      <c r="BP120" s="225" t="s">
        <v>258</v>
      </c>
      <c r="BQ120" s="225" t="s">
        <v>259</v>
      </c>
      <c r="BR120" s="225" t="s">
        <v>397</v>
      </c>
      <c r="BS120" s="225" t="s">
        <v>325</v>
      </c>
      <c r="BT120" s="225" t="s">
        <v>374</v>
      </c>
      <c r="BU120" s="225" t="s">
        <v>260</v>
      </c>
      <c r="BV120" s="2"/>
      <c r="BW120" s="259" t="s">
        <v>350</v>
      </c>
      <c r="BX120" s="259" t="s">
        <v>351</v>
      </c>
      <c r="BY120" s="259" t="s">
        <v>337</v>
      </c>
      <c r="BZ120" s="259" t="s">
        <v>338</v>
      </c>
      <c r="CA120" s="107"/>
      <c r="CB120" s="249"/>
      <c r="CC120" s="107"/>
      <c r="CD120" s="249"/>
      <c r="CE120" s="107"/>
      <c r="CF120" s="225" t="str">
        <f t="shared" si="40"/>
        <v/>
      </c>
      <c r="CG120" s="225" t="str">
        <f t="shared" si="41"/>
        <v/>
      </c>
      <c r="CH120" s="225" t="str">
        <f t="shared" si="42"/>
        <v/>
      </c>
      <c r="CI120" s="225" t="str">
        <f t="shared" si="43"/>
        <v/>
      </c>
      <c r="CJ120" s="225" t="str">
        <f t="shared" si="44"/>
        <v/>
      </c>
      <c r="CK120" s="225" t="str">
        <f t="shared" si="45"/>
        <v/>
      </c>
      <c r="CL120" s="225" t="str">
        <f t="shared" si="46"/>
        <v/>
      </c>
      <c r="CM120" s="225" t="str">
        <f t="shared" si="47"/>
        <v/>
      </c>
      <c r="CN120" s="225" t="str">
        <f t="shared" si="48"/>
        <v/>
      </c>
      <c r="CO120" s="225" t="str">
        <f t="shared" si="49"/>
        <v/>
      </c>
      <c r="CP120" s="250"/>
      <c r="CQ120" s="250" t="str">
        <f t="shared" si="50"/>
        <v/>
      </c>
      <c r="CR120" s="5">
        <v>118</v>
      </c>
      <c r="CU1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0" s="373" t="str">
        <f t="shared" si="51"/>
        <v/>
      </c>
      <c r="CW120" s="2"/>
      <c r="CX120" s="104"/>
    </row>
    <row r="121" spans="1:102" ht="18.95" customHeight="1" x14ac:dyDescent="0.35">
      <c r="A121" s="5" t="s">
        <v>55</v>
      </c>
      <c r="B121" s="4">
        <v>119</v>
      </c>
      <c r="C121" s="4" t="s">
        <v>102</v>
      </c>
      <c r="E121" s="382" t="s">
        <v>586</v>
      </c>
      <c r="F121" s="69"/>
      <c r="H121" s="69" t="s">
        <v>367</v>
      </c>
      <c r="I121" s="69" t="s">
        <v>570</v>
      </c>
      <c r="J121" s="69" t="s">
        <v>419</v>
      </c>
      <c r="K121" s="160" t="s">
        <v>571</v>
      </c>
      <c r="L121" s="2"/>
      <c r="M121" s="69" t="s">
        <v>814</v>
      </c>
      <c r="N121" s="2"/>
      <c r="O121" s="230" t="str">
        <f>IF($A$2=B121,Elektro!$Q$11,"")</f>
        <v/>
      </c>
      <c r="P121" s="230" t="str">
        <f>IF($A$2=B121,Elektro!$Q$12,"")</f>
        <v/>
      </c>
      <c r="Q121" s="236" t="str">
        <f>IF($A$2=B121,Elektro!$Q$13,"")</f>
        <v/>
      </c>
      <c r="R121" s="231" t="str">
        <f>IF($A$2=B121,Elektro!$Q$14,"")</f>
        <v/>
      </c>
      <c r="S121" s="231" t="str">
        <f>IF($A$2=B121,Elektro!$Q$15,"")</f>
        <v/>
      </c>
      <c r="T121" s="230" t="str">
        <f>IF($A$2=B121,Elektro!$Q$16,"")</f>
        <v/>
      </c>
      <c r="U121" s="353" t="str">
        <f t="shared" si="26"/>
        <v/>
      </c>
      <c r="V121" s="353" t="str">
        <f t="shared" si="27"/>
        <v/>
      </c>
      <c r="W121" s="4" t="s">
        <v>141</v>
      </c>
      <c r="X121" s="4" t="s">
        <v>248</v>
      </c>
      <c r="Y121" s="4">
        <v>1</v>
      </c>
      <c r="Z121" s="4">
        <v>107.9</v>
      </c>
      <c r="AA121" s="232" t="str">
        <f t="shared" si="28"/>
        <v/>
      </c>
      <c r="AB121" s="233" t="str">
        <f t="shared" si="29"/>
        <v/>
      </c>
      <c r="AC121" s="233" t="str">
        <f t="shared" si="30"/>
        <v>mol/s</v>
      </c>
      <c r="AD121" s="231" t="str">
        <f t="shared" si="31"/>
        <v/>
      </c>
      <c r="AE121" s="231" t="s">
        <v>283</v>
      </c>
      <c r="AF121" s="232" t="str">
        <f t="shared" si="32"/>
        <v/>
      </c>
      <c r="AG121" s="236" t="s">
        <v>284</v>
      </c>
      <c r="AH121" s="4"/>
      <c r="AI121" s="4" t="s">
        <v>142</v>
      </c>
      <c r="AJ121" s="4" t="s">
        <v>20</v>
      </c>
      <c r="AK121" s="4">
        <v>2</v>
      </c>
      <c r="AL121" s="4">
        <v>2</v>
      </c>
      <c r="AM121" s="232" t="str">
        <f t="shared" si="33"/>
        <v/>
      </c>
      <c r="AN121" s="233" t="str">
        <f t="shared" si="34"/>
        <v/>
      </c>
      <c r="AO121" s="4" t="str">
        <f t="shared" si="35"/>
        <v>mol/s</v>
      </c>
      <c r="AP121" s="4"/>
      <c r="AQ121" s="4"/>
      <c r="AR121" s="4"/>
      <c r="AS121" s="4" t="s">
        <v>120</v>
      </c>
      <c r="AT121" s="4">
        <v>1</v>
      </c>
      <c r="AU121" s="5" t="s">
        <v>55</v>
      </c>
      <c r="AV121" s="248" t="str">
        <f t="shared" si="36"/>
        <v/>
      </c>
      <c r="AW121" s="248"/>
      <c r="AX121" s="4" t="str">
        <f t="shared" si="37"/>
        <v>M</v>
      </c>
      <c r="AY121" s="248" t="str">
        <f t="shared" si="38"/>
        <v/>
      </c>
      <c r="AZ121" s="232"/>
      <c r="BA121" s="4">
        <v>119</v>
      </c>
      <c r="BB121" s="2" t="s">
        <v>47</v>
      </c>
      <c r="BC121" s="2" t="s">
        <v>79</v>
      </c>
      <c r="BD121" s="2" t="s">
        <v>77</v>
      </c>
      <c r="BE121" s="2" t="s">
        <v>48</v>
      </c>
      <c r="BF121" s="2" t="s">
        <v>49</v>
      </c>
      <c r="BG121" s="2"/>
      <c r="BH121" s="185" t="s">
        <v>44</v>
      </c>
      <c r="BI121" s="185" t="s">
        <v>160</v>
      </c>
      <c r="BJ121" s="185" t="s">
        <v>146</v>
      </c>
      <c r="BK121" s="185" t="s">
        <v>164</v>
      </c>
      <c r="BL121" s="100"/>
      <c r="BM121" s="97">
        <f t="shared" si="39"/>
        <v>1</v>
      </c>
      <c r="BN121" s="225" t="s">
        <v>304</v>
      </c>
      <c r="BO121" s="225" t="s">
        <v>307</v>
      </c>
      <c r="BP121" s="225" t="s">
        <v>258</v>
      </c>
      <c r="BQ121" s="225" t="s">
        <v>259</v>
      </c>
      <c r="BR121" s="225" t="s">
        <v>318</v>
      </c>
      <c r="BS121" s="225" t="s">
        <v>328</v>
      </c>
      <c r="BT121" s="225" t="s">
        <v>273</v>
      </c>
      <c r="BU121" s="225" t="s">
        <v>260</v>
      </c>
      <c r="BV121" s="2"/>
      <c r="BW121" s="259" t="s">
        <v>329</v>
      </c>
      <c r="BX121" s="259" t="s">
        <v>330</v>
      </c>
      <c r="BY121" s="259" t="s">
        <v>340</v>
      </c>
      <c r="BZ121" s="259" t="s">
        <v>339</v>
      </c>
      <c r="CA121" s="107"/>
      <c r="CB121" s="249"/>
      <c r="CC121" s="107"/>
      <c r="CD121" s="249"/>
      <c r="CE121" s="107"/>
      <c r="CF121" s="225" t="str">
        <f t="shared" si="40"/>
        <v/>
      </c>
      <c r="CG121" s="225" t="str">
        <f t="shared" si="41"/>
        <v/>
      </c>
      <c r="CH121" s="225" t="str">
        <f t="shared" si="42"/>
        <v/>
      </c>
      <c r="CI121" s="225" t="str">
        <f t="shared" si="43"/>
        <v/>
      </c>
      <c r="CJ121" s="225" t="str">
        <f t="shared" si="44"/>
        <v/>
      </c>
      <c r="CK121" s="225" t="str">
        <f t="shared" si="45"/>
        <v/>
      </c>
      <c r="CL121" s="225" t="str">
        <f t="shared" si="46"/>
        <v/>
      </c>
      <c r="CM121" s="225" t="str">
        <f t="shared" si="47"/>
        <v/>
      </c>
      <c r="CN121" s="225" t="str">
        <f t="shared" si="48"/>
        <v/>
      </c>
      <c r="CO121" s="225" t="str">
        <f t="shared" si="49"/>
        <v/>
      </c>
      <c r="CP121" s="250"/>
      <c r="CQ121" s="250" t="str">
        <f t="shared" si="50"/>
        <v/>
      </c>
      <c r="CR121" s="5">
        <v>119</v>
      </c>
      <c r="CU1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1" s="373" t="str">
        <f t="shared" si="51"/>
        <v/>
      </c>
      <c r="CW121" s="2"/>
      <c r="CX121" s="104"/>
    </row>
    <row r="122" spans="1:102" ht="18.95" customHeight="1" x14ac:dyDescent="0.35">
      <c r="A122" s="5" t="s">
        <v>55</v>
      </c>
      <c r="B122" s="4">
        <v>120</v>
      </c>
      <c r="C122" s="4" t="s">
        <v>5</v>
      </c>
      <c r="E122" s="382" t="s">
        <v>602</v>
      </c>
      <c r="F122" s="69"/>
      <c r="H122" s="69" t="s">
        <v>484</v>
      </c>
      <c r="I122" s="69" t="s">
        <v>570</v>
      </c>
      <c r="J122" s="69" t="s">
        <v>419</v>
      </c>
      <c r="K122" s="160" t="s">
        <v>571</v>
      </c>
      <c r="L122" s="2"/>
      <c r="M122" s="69" t="s">
        <v>815</v>
      </c>
      <c r="N122" s="2"/>
      <c r="O122" s="230" t="str">
        <f>IF($A$2=B122,Elektro!$Q$11,"")</f>
        <v/>
      </c>
      <c r="P122" s="230" t="str">
        <f>IF($A$2=B122,Elektro!$Q$12,"")</f>
        <v/>
      </c>
      <c r="Q122" s="236" t="str">
        <f>IF($A$2=B122,Elektro!$Q$13,"")</f>
        <v/>
      </c>
      <c r="R122" s="231" t="str">
        <f>IF($A$2=B122,Elektro!$Q$14,"")</f>
        <v/>
      </c>
      <c r="S122" s="231" t="str">
        <f>IF($A$2=B122,Elektro!$Q$15,"")</f>
        <v/>
      </c>
      <c r="T122" s="230" t="str">
        <f>IF($A$2=B122,Elektro!$Q$16,"")</f>
        <v/>
      </c>
      <c r="U122" s="353" t="str">
        <f t="shared" si="26"/>
        <v/>
      </c>
      <c r="V122" s="353" t="str">
        <f t="shared" si="27"/>
        <v/>
      </c>
      <c r="W122" s="4" t="s">
        <v>141</v>
      </c>
      <c r="X122" s="4" t="s">
        <v>248</v>
      </c>
      <c r="Y122" s="4">
        <v>1</v>
      </c>
      <c r="Z122" s="4">
        <v>107.9</v>
      </c>
      <c r="AA122" s="232" t="str">
        <f t="shared" si="28"/>
        <v/>
      </c>
      <c r="AB122" s="233" t="str">
        <f t="shared" si="29"/>
        <v/>
      </c>
      <c r="AC122" s="233" t="str">
        <f t="shared" si="30"/>
        <v>mol/s</v>
      </c>
      <c r="AD122" s="231" t="str">
        <f t="shared" si="31"/>
        <v/>
      </c>
      <c r="AE122" s="231" t="s">
        <v>283</v>
      </c>
      <c r="AF122" s="232" t="str">
        <f t="shared" si="32"/>
        <v/>
      </c>
      <c r="AG122" s="236" t="s">
        <v>284</v>
      </c>
      <c r="AH122" s="4"/>
      <c r="AI122" s="4" t="s">
        <v>142</v>
      </c>
      <c r="AJ122" s="4" t="s">
        <v>20</v>
      </c>
      <c r="AK122" s="4">
        <v>2</v>
      </c>
      <c r="AL122" s="4">
        <v>2</v>
      </c>
      <c r="AM122" s="232" t="str">
        <f t="shared" si="33"/>
        <v/>
      </c>
      <c r="AN122" s="233" t="str">
        <f t="shared" si="34"/>
        <v/>
      </c>
      <c r="AO122" s="4" t="str">
        <f t="shared" si="35"/>
        <v>mol/s</v>
      </c>
      <c r="AP122" s="4"/>
      <c r="AQ122" s="4"/>
      <c r="AR122" s="4"/>
      <c r="AS122" s="4" t="s">
        <v>120</v>
      </c>
      <c r="AT122" s="4">
        <v>1</v>
      </c>
      <c r="AU122" s="5" t="s">
        <v>55</v>
      </c>
      <c r="AV122" s="248" t="str">
        <f t="shared" si="36"/>
        <v/>
      </c>
      <c r="AW122" s="248"/>
      <c r="AX122" s="4" t="str">
        <f t="shared" si="37"/>
        <v>M</v>
      </c>
      <c r="AY122" s="248" t="str">
        <f t="shared" si="38"/>
        <v/>
      </c>
      <c r="AZ122" s="232"/>
      <c r="BA122" s="4">
        <v>120</v>
      </c>
      <c r="BB122" s="2" t="s">
        <v>47</v>
      </c>
      <c r="BC122" s="2" t="s">
        <v>52</v>
      </c>
      <c r="BD122" s="2" t="s">
        <v>77</v>
      </c>
      <c r="BE122" s="2" t="s">
        <v>48</v>
      </c>
      <c r="BF122" s="2" t="s">
        <v>49</v>
      </c>
      <c r="BG122" s="2"/>
      <c r="BH122" s="185" t="s">
        <v>44</v>
      </c>
      <c r="BI122" s="185" t="s">
        <v>160</v>
      </c>
      <c r="BJ122" s="185" t="s">
        <v>146</v>
      </c>
      <c r="BK122" s="185" t="s">
        <v>164</v>
      </c>
      <c r="BL122" s="100"/>
      <c r="BM122" s="97">
        <f>AT122</f>
        <v>1</v>
      </c>
      <c r="BN122" s="225" t="s">
        <v>304</v>
      </c>
      <c r="BO122" s="225" t="s">
        <v>307</v>
      </c>
      <c r="BP122" s="225" t="s">
        <v>258</v>
      </c>
      <c r="BQ122" s="225" t="s">
        <v>259</v>
      </c>
      <c r="BR122" s="225" t="s">
        <v>318</v>
      </c>
      <c r="BS122" s="225" t="s">
        <v>328</v>
      </c>
      <c r="BT122" s="225" t="s">
        <v>273</v>
      </c>
      <c r="BU122" s="225" t="s">
        <v>260</v>
      </c>
      <c r="BV122" s="2"/>
      <c r="BW122" s="259" t="s">
        <v>329</v>
      </c>
      <c r="BX122" s="259" t="s">
        <v>330</v>
      </c>
      <c r="BY122" s="259" t="s">
        <v>340</v>
      </c>
      <c r="BZ122" s="259" t="s">
        <v>339</v>
      </c>
      <c r="CA122" s="107"/>
      <c r="CB122" s="249"/>
      <c r="CC122" s="107"/>
      <c r="CD122" s="249"/>
      <c r="CE122" s="107"/>
      <c r="CF122" s="225" t="str">
        <f t="shared" si="40"/>
        <v/>
      </c>
      <c r="CG122" s="225" t="str">
        <f t="shared" si="41"/>
        <v/>
      </c>
      <c r="CH122" s="225" t="str">
        <f t="shared" si="42"/>
        <v/>
      </c>
      <c r="CI122" s="225" t="str">
        <f t="shared" si="43"/>
        <v/>
      </c>
      <c r="CJ122" s="225" t="str">
        <f t="shared" si="44"/>
        <v/>
      </c>
      <c r="CK122" s="225" t="str">
        <f t="shared" si="45"/>
        <v/>
      </c>
      <c r="CL122" s="225" t="str">
        <f t="shared" si="46"/>
        <v/>
      </c>
      <c r="CM122" s="225" t="str">
        <f t="shared" si="47"/>
        <v/>
      </c>
      <c r="CN122" s="225" t="str">
        <f t="shared" si="48"/>
        <v/>
      </c>
      <c r="CO122" s="225" t="str">
        <f t="shared" si="49"/>
        <v/>
      </c>
      <c r="CP122" s="250"/>
      <c r="CQ122" s="250" t="str">
        <f t="shared" si="50"/>
        <v/>
      </c>
      <c r="CR122" s="5">
        <v>120</v>
      </c>
      <c r="CU1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2" s="373" t="str">
        <f t="shared" si="51"/>
        <v/>
      </c>
      <c r="CW122" s="2"/>
      <c r="CX122" s="104"/>
    </row>
    <row r="123" spans="1:102" ht="18.95" customHeight="1" x14ac:dyDescent="0.35">
      <c r="A123" s="5" t="s">
        <v>55</v>
      </c>
      <c r="B123" s="4">
        <v>121</v>
      </c>
      <c r="C123" s="4" t="s">
        <v>99</v>
      </c>
      <c r="E123" s="382" t="s">
        <v>603</v>
      </c>
      <c r="F123" s="69"/>
      <c r="H123" s="69" t="s">
        <v>486</v>
      </c>
      <c r="I123" s="69" t="s">
        <v>570</v>
      </c>
      <c r="J123" s="69" t="s">
        <v>419</v>
      </c>
      <c r="K123" s="160" t="s">
        <v>571</v>
      </c>
      <c r="L123" s="2"/>
      <c r="M123" s="69" t="s">
        <v>816</v>
      </c>
      <c r="N123" s="2"/>
      <c r="O123" s="230" t="str">
        <f>IF($A$2=B123,Elektro!$Q$11,"")</f>
        <v/>
      </c>
      <c r="P123" s="230" t="str">
        <f>IF($A$2=B123,Elektro!$Q$12,"")</f>
        <v/>
      </c>
      <c r="Q123" s="236" t="str">
        <f>IF($A$2=B123,Elektro!$Q$13,"")</f>
        <v/>
      </c>
      <c r="R123" s="231" t="str">
        <f>IF($A$2=B123,Elektro!$Q$14,"")</f>
        <v/>
      </c>
      <c r="S123" s="231" t="str">
        <f>IF($A$2=B123,Elektro!$Q$15,"")</f>
        <v/>
      </c>
      <c r="T123" s="230" t="str">
        <f>IF($A$2=B123,Elektro!$Q$16,"")</f>
        <v/>
      </c>
      <c r="U123" s="353" t="str">
        <f t="shared" si="26"/>
        <v/>
      </c>
      <c r="V123" s="353" t="str">
        <f t="shared" si="27"/>
        <v/>
      </c>
      <c r="W123" s="4" t="s">
        <v>141</v>
      </c>
      <c r="X123" s="4" t="s">
        <v>248</v>
      </c>
      <c r="Y123" s="4">
        <v>1</v>
      </c>
      <c r="Z123" s="4">
        <v>107.9</v>
      </c>
      <c r="AA123" s="232" t="str">
        <f t="shared" si="28"/>
        <v/>
      </c>
      <c r="AB123" s="233" t="str">
        <f t="shared" si="29"/>
        <v/>
      </c>
      <c r="AC123" s="233" t="str">
        <f t="shared" si="30"/>
        <v>mol/s</v>
      </c>
      <c r="AD123" s="231" t="str">
        <f t="shared" si="31"/>
        <v/>
      </c>
      <c r="AE123" s="231" t="s">
        <v>283</v>
      </c>
      <c r="AF123" s="232" t="str">
        <f t="shared" si="32"/>
        <v/>
      </c>
      <c r="AG123" s="236" t="s">
        <v>284</v>
      </c>
      <c r="AH123" s="4"/>
      <c r="AI123" s="4" t="s">
        <v>142</v>
      </c>
      <c r="AJ123" s="4" t="s">
        <v>20</v>
      </c>
      <c r="AK123" s="4">
        <v>2</v>
      </c>
      <c r="AL123" s="4">
        <v>2</v>
      </c>
      <c r="AM123" s="232" t="str">
        <f t="shared" si="33"/>
        <v/>
      </c>
      <c r="AN123" s="233" t="str">
        <f t="shared" si="34"/>
        <v/>
      </c>
      <c r="AO123" s="4" t="str">
        <f t="shared" si="35"/>
        <v>mol/s</v>
      </c>
      <c r="AP123" s="4"/>
      <c r="AQ123" s="4"/>
      <c r="AR123" s="4"/>
      <c r="AS123" s="4" t="s">
        <v>120</v>
      </c>
      <c r="AT123" s="4">
        <v>1</v>
      </c>
      <c r="AU123" s="5" t="s">
        <v>55</v>
      </c>
      <c r="AV123" s="248" t="str">
        <f t="shared" si="36"/>
        <v/>
      </c>
      <c r="AW123" s="248"/>
      <c r="AX123" s="4" t="str">
        <f t="shared" si="37"/>
        <v>M</v>
      </c>
      <c r="AY123" s="248" t="str">
        <f t="shared" si="38"/>
        <v/>
      </c>
      <c r="AZ123" s="232"/>
      <c r="BA123" s="4">
        <v>121</v>
      </c>
      <c r="BB123" s="2" t="s">
        <v>47</v>
      </c>
      <c r="BC123" s="2" t="s">
        <v>78</v>
      </c>
      <c r="BD123" s="2" t="s">
        <v>77</v>
      </c>
      <c r="BE123" s="2" t="s">
        <v>48</v>
      </c>
      <c r="BF123" s="2" t="s">
        <v>49</v>
      </c>
      <c r="BG123" s="2"/>
      <c r="BH123" s="185" t="s">
        <v>44</v>
      </c>
      <c r="BI123" s="185" t="s">
        <v>160</v>
      </c>
      <c r="BJ123" s="185" t="s">
        <v>146</v>
      </c>
      <c r="BK123" s="185" t="s">
        <v>164</v>
      </c>
      <c r="BL123" s="100"/>
      <c r="BM123" s="97">
        <f>AT123</f>
        <v>1</v>
      </c>
      <c r="BN123" s="225" t="s">
        <v>304</v>
      </c>
      <c r="BO123" s="225" t="s">
        <v>307</v>
      </c>
      <c r="BP123" s="225" t="s">
        <v>258</v>
      </c>
      <c r="BQ123" s="225" t="s">
        <v>259</v>
      </c>
      <c r="BR123" s="225" t="s">
        <v>318</v>
      </c>
      <c r="BS123" s="225" t="s">
        <v>328</v>
      </c>
      <c r="BT123" s="225" t="s">
        <v>273</v>
      </c>
      <c r="BU123" s="225" t="s">
        <v>260</v>
      </c>
      <c r="BV123" s="2"/>
      <c r="BW123" s="259" t="s">
        <v>329</v>
      </c>
      <c r="BX123" s="259" t="s">
        <v>330</v>
      </c>
      <c r="BY123" s="259" t="s">
        <v>341</v>
      </c>
      <c r="BZ123" s="259" t="s">
        <v>342</v>
      </c>
      <c r="CA123" s="107"/>
      <c r="CB123" s="249"/>
      <c r="CC123" s="107"/>
      <c r="CD123" s="249"/>
      <c r="CE123" s="107"/>
      <c r="CF123" s="225" t="str">
        <f t="shared" si="40"/>
        <v/>
      </c>
      <c r="CG123" s="225" t="str">
        <f t="shared" si="41"/>
        <v/>
      </c>
      <c r="CH123" s="225" t="str">
        <f t="shared" si="42"/>
        <v/>
      </c>
      <c r="CI123" s="225" t="str">
        <f t="shared" si="43"/>
        <v/>
      </c>
      <c r="CJ123" s="225" t="str">
        <f t="shared" si="44"/>
        <v/>
      </c>
      <c r="CK123" s="225" t="str">
        <f t="shared" si="45"/>
        <v/>
      </c>
      <c r="CL123" s="225" t="str">
        <f t="shared" si="46"/>
        <v/>
      </c>
      <c r="CM123" s="225" t="str">
        <f t="shared" si="47"/>
        <v/>
      </c>
      <c r="CN123" s="225" t="str">
        <f t="shared" si="48"/>
        <v/>
      </c>
      <c r="CO123" s="225" t="str">
        <f t="shared" si="49"/>
        <v/>
      </c>
      <c r="CP123" s="250"/>
      <c r="CQ123" s="250" t="str">
        <f t="shared" si="50"/>
        <v/>
      </c>
      <c r="CR123" s="5">
        <v>121</v>
      </c>
      <c r="CU1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3" s="373" t="str">
        <f t="shared" si="51"/>
        <v/>
      </c>
      <c r="CW123" s="2"/>
      <c r="CX123" s="104"/>
    </row>
    <row r="124" spans="1:102" ht="18.95" customHeight="1" x14ac:dyDescent="0.35">
      <c r="A124" s="5" t="s">
        <v>55</v>
      </c>
      <c r="B124" s="4">
        <v>122</v>
      </c>
      <c r="C124" s="4" t="s">
        <v>687</v>
      </c>
      <c r="E124" s="382" t="s">
        <v>643</v>
      </c>
      <c r="F124" s="69"/>
      <c r="H124" s="69" t="s">
        <v>421</v>
      </c>
      <c r="I124" s="69" t="s">
        <v>570</v>
      </c>
      <c r="J124" s="69" t="s">
        <v>419</v>
      </c>
      <c r="K124" s="160" t="s">
        <v>571</v>
      </c>
      <c r="L124" s="2"/>
      <c r="M124" s="69" t="s">
        <v>817</v>
      </c>
      <c r="N124" s="2"/>
      <c r="O124" s="230" t="str">
        <f>IF($A$2=B124,Elektro!$Q$11,"")</f>
        <v/>
      </c>
      <c r="P124" s="230" t="str">
        <f>IF($A$2=B124,Elektro!$Q$12,"")</f>
        <v/>
      </c>
      <c r="Q124" s="236" t="str">
        <f>IF($A$2=B124,Elektro!$Q$13,"")</f>
        <v/>
      </c>
      <c r="R124" s="231" t="str">
        <f>IF($A$2=B124,Elektro!$Q$14,"")</f>
        <v/>
      </c>
      <c r="S124" s="231" t="str">
        <f>IF($A$2=B124,Elektro!$Q$15,"")</f>
        <v/>
      </c>
      <c r="T124" s="230" t="str">
        <f>IF($A$2=B124,Elektro!$Q$16,"")</f>
        <v/>
      </c>
      <c r="U124" s="353" t="str">
        <f t="shared" si="26"/>
        <v/>
      </c>
      <c r="V124" s="353" t="str">
        <f t="shared" si="27"/>
        <v/>
      </c>
      <c r="W124" s="4" t="s">
        <v>141</v>
      </c>
      <c r="X124" s="4" t="s">
        <v>248</v>
      </c>
      <c r="Y124" s="4">
        <v>1</v>
      </c>
      <c r="Z124" s="4">
        <v>107.9</v>
      </c>
      <c r="AA124" s="232" t="str">
        <f t="shared" si="28"/>
        <v/>
      </c>
      <c r="AB124" s="233" t="str">
        <f t="shared" si="29"/>
        <v/>
      </c>
      <c r="AC124" s="233" t="str">
        <f t="shared" si="30"/>
        <v>mol/s</v>
      </c>
      <c r="AD124" s="231" t="str">
        <f t="shared" si="31"/>
        <v/>
      </c>
      <c r="AE124" s="231" t="s">
        <v>283</v>
      </c>
      <c r="AF124" s="232" t="str">
        <f t="shared" si="32"/>
        <v/>
      </c>
      <c r="AG124" s="236" t="s">
        <v>284</v>
      </c>
      <c r="AH124" s="4"/>
      <c r="AI124" s="4" t="s">
        <v>142</v>
      </c>
      <c r="AJ124" s="4" t="s">
        <v>20</v>
      </c>
      <c r="AK124" s="4">
        <v>2</v>
      </c>
      <c r="AL124" s="4">
        <v>2</v>
      </c>
      <c r="AM124" s="232" t="str">
        <f t="shared" si="33"/>
        <v/>
      </c>
      <c r="AN124" s="233" t="str">
        <f t="shared" si="34"/>
        <v/>
      </c>
      <c r="AO124" s="4" t="str">
        <f t="shared" si="35"/>
        <v>mol/s</v>
      </c>
      <c r="AP124" s="4"/>
      <c r="AQ124" s="4"/>
      <c r="AR124" s="4"/>
      <c r="AS124" s="4" t="s">
        <v>120</v>
      </c>
      <c r="AT124" s="4">
        <v>1</v>
      </c>
      <c r="AU124" s="5" t="s">
        <v>55</v>
      </c>
      <c r="AV124" s="248" t="str">
        <f t="shared" si="36"/>
        <v/>
      </c>
      <c r="AW124" s="248"/>
      <c r="AX124" s="4" t="str">
        <f t="shared" si="37"/>
        <v>M</v>
      </c>
      <c r="AY124" s="248" t="str">
        <f t="shared" si="38"/>
        <v/>
      </c>
      <c r="AZ124" s="232"/>
      <c r="BA124" s="4">
        <v>122</v>
      </c>
      <c r="BB124" s="2" t="s">
        <v>47</v>
      </c>
      <c r="BC124" s="2" t="s">
        <v>234</v>
      </c>
      <c r="BD124" s="2" t="s">
        <v>77</v>
      </c>
      <c r="BE124" s="2" t="s">
        <v>48</v>
      </c>
      <c r="BF124" s="2" t="s">
        <v>49</v>
      </c>
      <c r="BG124" s="2"/>
      <c r="BH124" s="185" t="s">
        <v>44</v>
      </c>
      <c r="BI124" s="185" t="s">
        <v>160</v>
      </c>
      <c r="BJ124" s="185" t="s">
        <v>146</v>
      </c>
      <c r="BK124" s="185" t="s">
        <v>164</v>
      </c>
      <c r="BL124" s="100"/>
      <c r="BM124" s="97">
        <f t="shared" si="39"/>
        <v>1</v>
      </c>
      <c r="BN124" s="225" t="s">
        <v>304</v>
      </c>
      <c r="BO124" s="225" t="s">
        <v>307</v>
      </c>
      <c r="BP124" s="225" t="s">
        <v>258</v>
      </c>
      <c r="BQ124" s="225" t="s">
        <v>259</v>
      </c>
      <c r="BR124" s="225" t="s">
        <v>318</v>
      </c>
      <c r="BS124" s="225" t="s">
        <v>328</v>
      </c>
      <c r="BT124" s="225" t="s">
        <v>273</v>
      </c>
      <c r="BU124" s="225" t="s">
        <v>260</v>
      </c>
      <c r="BV124" s="2"/>
      <c r="BW124" s="259" t="s">
        <v>329</v>
      </c>
      <c r="BX124" s="259" t="s">
        <v>330</v>
      </c>
      <c r="BY124" s="259" t="s">
        <v>341</v>
      </c>
      <c r="BZ124" s="259" t="s">
        <v>342</v>
      </c>
      <c r="CA124" s="107"/>
      <c r="CB124" s="249"/>
      <c r="CC124" s="107"/>
      <c r="CD124" s="249"/>
      <c r="CE124" s="107"/>
      <c r="CF124" s="225" t="str">
        <f t="shared" si="40"/>
        <v/>
      </c>
      <c r="CG124" s="225" t="str">
        <f t="shared" si="41"/>
        <v/>
      </c>
      <c r="CH124" s="225" t="str">
        <f t="shared" si="42"/>
        <v/>
      </c>
      <c r="CI124" s="225" t="str">
        <f t="shared" si="43"/>
        <v/>
      </c>
      <c r="CJ124" s="225" t="str">
        <f t="shared" si="44"/>
        <v/>
      </c>
      <c r="CK124" s="225" t="str">
        <f t="shared" si="45"/>
        <v/>
      </c>
      <c r="CL124" s="225" t="str">
        <f t="shared" si="46"/>
        <v/>
      </c>
      <c r="CM124" s="225" t="str">
        <f t="shared" si="47"/>
        <v/>
      </c>
      <c r="CN124" s="225" t="str">
        <f t="shared" si="48"/>
        <v/>
      </c>
      <c r="CO124" s="225" t="str">
        <f t="shared" si="49"/>
        <v/>
      </c>
      <c r="CP124" s="250"/>
      <c r="CQ124" s="250" t="str">
        <f t="shared" si="50"/>
        <v/>
      </c>
      <c r="CR124" s="5">
        <v>122</v>
      </c>
      <c r="CU1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4" s="373" t="str">
        <f t="shared" si="51"/>
        <v/>
      </c>
      <c r="CW124" s="2"/>
      <c r="CX124" s="104"/>
    </row>
    <row r="125" spans="1:102" ht="18.95" customHeight="1" x14ac:dyDescent="0.35">
      <c r="A125" s="5" t="s">
        <v>55</v>
      </c>
      <c r="B125" s="4">
        <v>123</v>
      </c>
      <c r="C125" s="4" t="s">
        <v>694</v>
      </c>
      <c r="E125" s="382" t="s">
        <v>604</v>
      </c>
      <c r="F125" s="69"/>
      <c r="H125" s="69" t="s">
        <v>489</v>
      </c>
      <c r="I125" s="69" t="s">
        <v>570</v>
      </c>
      <c r="J125" s="69" t="s">
        <v>419</v>
      </c>
      <c r="K125" s="160" t="s">
        <v>571</v>
      </c>
      <c r="L125" s="2"/>
      <c r="M125" s="69" t="s">
        <v>818</v>
      </c>
      <c r="N125" s="2"/>
      <c r="O125" s="230" t="str">
        <f>IF($A$2=B125,Elektro!$Q$11,"")</f>
        <v/>
      </c>
      <c r="P125" s="230" t="str">
        <f>IF($A$2=B125,Elektro!$Q$12,"")</f>
        <v/>
      </c>
      <c r="Q125" s="236" t="str">
        <f>IF($A$2=B125,Elektro!$Q$13,"")</f>
        <v/>
      </c>
      <c r="R125" s="231" t="str">
        <f>IF($A$2=B125,Elektro!$Q$14,"")</f>
        <v/>
      </c>
      <c r="S125" s="231" t="str">
        <f>IF($A$2=B125,Elektro!$Q$15,"")</f>
        <v/>
      </c>
      <c r="T125" s="230" t="str">
        <f>IF($A$2=B125,Elektro!$Q$16,"")</f>
        <v/>
      </c>
      <c r="U125" s="353" t="str">
        <f t="shared" si="26"/>
        <v/>
      </c>
      <c r="V125" s="353" t="str">
        <f t="shared" si="27"/>
        <v/>
      </c>
      <c r="W125" s="4" t="s">
        <v>141</v>
      </c>
      <c r="X125" s="4" t="s">
        <v>248</v>
      </c>
      <c r="Y125" s="4">
        <v>1</v>
      </c>
      <c r="Z125" s="4">
        <v>107.9</v>
      </c>
      <c r="AA125" s="232" t="str">
        <f t="shared" si="28"/>
        <v/>
      </c>
      <c r="AB125" s="233" t="str">
        <f t="shared" si="29"/>
        <v/>
      </c>
      <c r="AC125" s="233" t="str">
        <f t="shared" si="30"/>
        <v>mol/s</v>
      </c>
      <c r="AD125" s="231" t="str">
        <f t="shared" si="31"/>
        <v/>
      </c>
      <c r="AE125" s="231" t="s">
        <v>283</v>
      </c>
      <c r="AF125" s="232" t="str">
        <f t="shared" si="32"/>
        <v/>
      </c>
      <c r="AG125" s="236" t="s">
        <v>284</v>
      </c>
      <c r="AH125" s="4"/>
      <c r="AI125" s="4" t="s">
        <v>142</v>
      </c>
      <c r="AJ125" s="4" t="s">
        <v>20</v>
      </c>
      <c r="AK125" s="4">
        <v>2</v>
      </c>
      <c r="AL125" s="4">
        <v>2</v>
      </c>
      <c r="AM125" s="232" t="str">
        <f t="shared" si="33"/>
        <v/>
      </c>
      <c r="AN125" s="233" t="str">
        <f t="shared" si="34"/>
        <v/>
      </c>
      <c r="AO125" s="4" t="str">
        <f t="shared" si="35"/>
        <v>mol/s</v>
      </c>
      <c r="AP125" s="4"/>
      <c r="AQ125" s="4"/>
      <c r="AR125" s="4"/>
      <c r="AS125" s="4" t="s">
        <v>120</v>
      </c>
      <c r="AT125" s="4">
        <v>1</v>
      </c>
      <c r="AU125" s="5" t="s">
        <v>55</v>
      </c>
      <c r="AV125" s="248" t="str">
        <f t="shared" si="36"/>
        <v/>
      </c>
      <c r="AW125" s="248"/>
      <c r="AX125" s="4" t="str">
        <f t="shared" si="37"/>
        <v>M</v>
      </c>
      <c r="AY125" s="248" t="str">
        <f t="shared" si="38"/>
        <v/>
      </c>
      <c r="AZ125" s="232"/>
      <c r="BA125" s="4">
        <v>123</v>
      </c>
      <c r="BB125" s="2" t="s">
        <v>47</v>
      </c>
      <c r="BC125" s="2" t="s">
        <v>235</v>
      </c>
      <c r="BD125" s="2" t="s">
        <v>77</v>
      </c>
      <c r="BE125" s="2" t="s">
        <v>48</v>
      </c>
      <c r="BF125" s="2" t="s">
        <v>49</v>
      </c>
      <c r="BG125" s="2"/>
      <c r="BH125" s="185" t="s">
        <v>44</v>
      </c>
      <c r="BI125" s="185" t="s">
        <v>160</v>
      </c>
      <c r="BJ125" s="185" t="s">
        <v>146</v>
      </c>
      <c r="BK125" s="185" t="s">
        <v>164</v>
      </c>
      <c r="BL125" s="100"/>
      <c r="BM125" s="97">
        <f t="shared" si="39"/>
        <v>1</v>
      </c>
      <c r="BN125" s="225" t="s">
        <v>304</v>
      </c>
      <c r="BO125" s="225" t="s">
        <v>307</v>
      </c>
      <c r="BP125" s="225" t="s">
        <v>258</v>
      </c>
      <c r="BQ125" s="225" t="s">
        <v>259</v>
      </c>
      <c r="BR125" s="225" t="s">
        <v>318</v>
      </c>
      <c r="BS125" s="225" t="s">
        <v>328</v>
      </c>
      <c r="BT125" s="225" t="s">
        <v>273</v>
      </c>
      <c r="BU125" s="225" t="s">
        <v>260</v>
      </c>
      <c r="BV125" s="2"/>
      <c r="BW125" s="259" t="s">
        <v>329</v>
      </c>
      <c r="BX125" s="259" t="s">
        <v>330</v>
      </c>
      <c r="BY125" s="259" t="s">
        <v>341</v>
      </c>
      <c r="BZ125" s="259" t="s">
        <v>342</v>
      </c>
      <c r="CA125" s="107"/>
      <c r="CB125" s="249"/>
      <c r="CC125" s="107"/>
      <c r="CD125" s="249"/>
      <c r="CE125" s="107"/>
      <c r="CF125" s="225" t="str">
        <f t="shared" si="40"/>
        <v/>
      </c>
      <c r="CG125" s="225" t="str">
        <f t="shared" si="41"/>
        <v/>
      </c>
      <c r="CH125" s="225" t="str">
        <f t="shared" si="42"/>
        <v/>
      </c>
      <c r="CI125" s="225" t="str">
        <f t="shared" si="43"/>
        <v/>
      </c>
      <c r="CJ125" s="225" t="str">
        <f t="shared" si="44"/>
        <v/>
      </c>
      <c r="CK125" s="225" t="str">
        <f t="shared" si="45"/>
        <v/>
      </c>
      <c r="CL125" s="225" t="str">
        <f t="shared" si="46"/>
        <v/>
      </c>
      <c r="CM125" s="225" t="str">
        <f t="shared" si="47"/>
        <v/>
      </c>
      <c r="CN125" s="225" t="str">
        <f t="shared" si="48"/>
        <v/>
      </c>
      <c r="CO125" s="225" t="str">
        <f t="shared" si="49"/>
        <v/>
      </c>
      <c r="CP125" s="250"/>
      <c r="CQ125" s="250" t="str">
        <f t="shared" si="50"/>
        <v/>
      </c>
      <c r="CR125" s="5">
        <v>123</v>
      </c>
      <c r="CU1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5" s="373" t="str">
        <f t="shared" si="51"/>
        <v/>
      </c>
      <c r="CW125" s="2"/>
      <c r="CX125" s="104"/>
    </row>
    <row r="126" spans="1:102" ht="18.95" customHeight="1" x14ac:dyDescent="0.35">
      <c r="A126" s="5" t="s">
        <v>55</v>
      </c>
      <c r="B126" s="4">
        <v>124</v>
      </c>
      <c r="C126" s="4" t="s">
        <v>887</v>
      </c>
      <c r="E126" s="382" t="s">
        <v>605</v>
      </c>
      <c r="F126" s="69"/>
      <c r="H126" s="69" t="s">
        <v>490</v>
      </c>
      <c r="I126" s="69" t="s">
        <v>570</v>
      </c>
      <c r="J126" s="69" t="s">
        <v>419</v>
      </c>
      <c r="K126" s="160" t="s">
        <v>571</v>
      </c>
      <c r="L126" s="2"/>
      <c r="M126" s="69" t="s">
        <v>819</v>
      </c>
      <c r="N126" s="2"/>
      <c r="O126" s="230" t="str">
        <f>IF($A$2=B126,Elektro!$Q$11,"")</f>
        <v/>
      </c>
      <c r="P126" s="230" t="str">
        <f>IF($A$2=B126,Elektro!$Q$12,"")</f>
        <v/>
      </c>
      <c r="Q126" s="236" t="str">
        <f>IF($A$2=B126,Elektro!$Q$13,"")</f>
        <v/>
      </c>
      <c r="R126" s="231" t="str">
        <f>IF($A$2=B126,Elektro!$Q$14,"")</f>
        <v/>
      </c>
      <c r="S126" s="231" t="str">
        <f>IF($A$2=B126,Elektro!$Q$15,"")</f>
        <v/>
      </c>
      <c r="T126" s="230" t="str">
        <f>IF($A$2=B126,Elektro!$Q$16,"")</f>
        <v/>
      </c>
      <c r="U126" s="353" t="str">
        <f t="shared" si="26"/>
        <v/>
      </c>
      <c r="V126" s="353" t="str">
        <f t="shared" si="27"/>
        <v/>
      </c>
      <c r="W126" s="4" t="s">
        <v>141</v>
      </c>
      <c r="X126" s="4" t="s">
        <v>248</v>
      </c>
      <c r="Y126" s="4">
        <v>1</v>
      </c>
      <c r="Z126" s="4">
        <v>107.9</v>
      </c>
      <c r="AA126" s="232" t="str">
        <f t="shared" si="28"/>
        <v/>
      </c>
      <c r="AB126" s="233" t="str">
        <f t="shared" si="29"/>
        <v/>
      </c>
      <c r="AC126" s="233" t="str">
        <f t="shared" si="30"/>
        <v>mol/s</v>
      </c>
      <c r="AD126" s="231" t="str">
        <f t="shared" si="31"/>
        <v/>
      </c>
      <c r="AE126" s="231" t="s">
        <v>283</v>
      </c>
      <c r="AF126" s="232" t="str">
        <f t="shared" si="32"/>
        <v/>
      </c>
      <c r="AG126" s="236" t="s">
        <v>284</v>
      </c>
      <c r="AH126" s="4"/>
      <c r="AI126" s="4" t="s">
        <v>142</v>
      </c>
      <c r="AJ126" s="4" t="s">
        <v>20</v>
      </c>
      <c r="AK126" s="4">
        <v>2</v>
      </c>
      <c r="AL126" s="4">
        <v>2</v>
      </c>
      <c r="AM126" s="232" t="str">
        <f t="shared" si="33"/>
        <v/>
      </c>
      <c r="AN126" s="233" t="str">
        <f t="shared" si="34"/>
        <v/>
      </c>
      <c r="AO126" s="4" t="str">
        <f t="shared" si="35"/>
        <v>mol/s</v>
      </c>
      <c r="AP126" s="4"/>
      <c r="AQ126" s="4"/>
      <c r="AR126" s="4"/>
      <c r="AS126" s="4" t="s">
        <v>120</v>
      </c>
      <c r="AT126" s="4">
        <v>1</v>
      </c>
      <c r="AU126" s="5" t="s">
        <v>55</v>
      </c>
      <c r="AV126" s="248" t="str">
        <f t="shared" si="36"/>
        <v/>
      </c>
      <c r="AW126" s="248"/>
      <c r="AX126" s="4" t="str">
        <f t="shared" si="37"/>
        <v>M</v>
      </c>
      <c r="AY126" s="248" t="str">
        <f t="shared" si="38"/>
        <v/>
      </c>
      <c r="AZ126" s="232"/>
      <c r="BA126" s="4">
        <v>124</v>
      </c>
      <c r="BB126" s="2" t="s">
        <v>47</v>
      </c>
      <c r="BC126" s="2" t="s">
        <v>236</v>
      </c>
      <c r="BD126" s="2" t="s">
        <v>77</v>
      </c>
      <c r="BE126" s="2" t="s">
        <v>48</v>
      </c>
      <c r="BF126" s="2" t="s">
        <v>49</v>
      </c>
      <c r="BG126" s="2"/>
      <c r="BH126" s="185" t="s">
        <v>44</v>
      </c>
      <c r="BI126" s="185" t="s">
        <v>160</v>
      </c>
      <c r="BJ126" s="185" t="s">
        <v>146</v>
      </c>
      <c r="BK126" s="185" t="s">
        <v>164</v>
      </c>
      <c r="BL126" s="100"/>
      <c r="BM126" s="97">
        <f t="shared" si="39"/>
        <v>1</v>
      </c>
      <c r="BN126" s="225" t="s">
        <v>304</v>
      </c>
      <c r="BO126" s="225" t="s">
        <v>307</v>
      </c>
      <c r="BP126" s="225" t="s">
        <v>258</v>
      </c>
      <c r="BQ126" s="225" t="s">
        <v>259</v>
      </c>
      <c r="BR126" s="225" t="s">
        <v>318</v>
      </c>
      <c r="BS126" s="225" t="s">
        <v>328</v>
      </c>
      <c r="BT126" s="225" t="s">
        <v>273</v>
      </c>
      <c r="BU126" s="225" t="s">
        <v>260</v>
      </c>
      <c r="BV126" s="2"/>
      <c r="BW126" s="259" t="s">
        <v>329</v>
      </c>
      <c r="BX126" s="259" t="s">
        <v>330</v>
      </c>
      <c r="BY126" s="259" t="s">
        <v>341</v>
      </c>
      <c r="BZ126" s="259" t="s">
        <v>342</v>
      </c>
      <c r="CA126" s="107"/>
      <c r="CB126" s="249"/>
      <c r="CC126" s="107"/>
      <c r="CD126" s="249"/>
      <c r="CE126" s="107"/>
      <c r="CF126" s="225" t="str">
        <f t="shared" si="40"/>
        <v/>
      </c>
      <c r="CG126" s="225" t="str">
        <f t="shared" si="41"/>
        <v/>
      </c>
      <c r="CH126" s="225" t="str">
        <f t="shared" si="42"/>
        <v/>
      </c>
      <c r="CI126" s="225" t="str">
        <f t="shared" si="43"/>
        <v/>
      </c>
      <c r="CJ126" s="225" t="str">
        <f t="shared" si="44"/>
        <v/>
      </c>
      <c r="CK126" s="225" t="str">
        <f t="shared" si="45"/>
        <v/>
      </c>
      <c r="CL126" s="225" t="str">
        <f t="shared" si="46"/>
        <v/>
      </c>
      <c r="CM126" s="225" t="str">
        <f t="shared" si="47"/>
        <v/>
      </c>
      <c r="CN126" s="225" t="str">
        <f t="shared" si="48"/>
        <v/>
      </c>
      <c r="CO126" s="225" t="str">
        <f t="shared" si="49"/>
        <v/>
      </c>
      <c r="CP126" s="250"/>
      <c r="CQ126" s="250" t="str">
        <f t="shared" si="50"/>
        <v/>
      </c>
      <c r="CR126" s="5">
        <v>124</v>
      </c>
      <c r="CU1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6" s="373" t="str">
        <f t="shared" si="51"/>
        <v/>
      </c>
      <c r="CW126" s="2"/>
      <c r="CX126" s="104"/>
    </row>
    <row r="127" spans="1:102" ht="18.95" customHeight="1" x14ac:dyDescent="0.35">
      <c r="A127" s="5" t="s">
        <v>55</v>
      </c>
      <c r="B127" s="110">
        <v>125</v>
      </c>
      <c r="C127" s="110" t="s">
        <v>102</v>
      </c>
      <c r="D127" s="110"/>
      <c r="E127" s="382" t="s">
        <v>586</v>
      </c>
      <c r="F127" s="186"/>
      <c r="G127" s="104"/>
      <c r="H127" s="69" t="s">
        <v>367</v>
      </c>
      <c r="I127" s="186" t="s">
        <v>570</v>
      </c>
      <c r="J127" s="186" t="s">
        <v>419</v>
      </c>
      <c r="K127" s="187" t="s">
        <v>571</v>
      </c>
      <c r="L127" s="104"/>
      <c r="M127" s="186" t="s">
        <v>820</v>
      </c>
      <c r="N127" s="104"/>
      <c r="O127" s="230" t="str">
        <f>IF($A$2=B127,Elektro!$Q$11,"")</f>
        <v/>
      </c>
      <c r="P127" s="230" t="str">
        <f>IF($A$2=B127,Elektro!$Q$12,"")</f>
        <v/>
      </c>
      <c r="Q127" s="236" t="str">
        <f>IF($A$2=B127,Elektro!$Q$13,"")</f>
        <v/>
      </c>
      <c r="R127" s="231" t="str">
        <f>IF($A$2=B127,Elektro!$Q$14,"")</f>
        <v/>
      </c>
      <c r="S127" s="231" t="str">
        <f>IF($A$2=B127,Elektro!$Q$15,"")</f>
        <v/>
      </c>
      <c r="T127" s="230" t="str">
        <f>IF($A$2=B127,Elektro!$Q$16,"")</f>
        <v/>
      </c>
      <c r="U127" s="353" t="str">
        <f t="shared" si="26"/>
        <v/>
      </c>
      <c r="V127" s="353" t="str">
        <f t="shared" si="27"/>
        <v/>
      </c>
      <c r="W127" s="110" t="s">
        <v>141</v>
      </c>
      <c r="X127" s="4" t="s">
        <v>248</v>
      </c>
      <c r="Y127" s="110">
        <v>1</v>
      </c>
      <c r="Z127" s="110">
        <v>107.9</v>
      </c>
      <c r="AA127" s="232" t="str">
        <f t="shared" si="28"/>
        <v/>
      </c>
      <c r="AB127" s="233" t="str">
        <f t="shared" si="29"/>
        <v/>
      </c>
      <c r="AC127" s="233" t="str">
        <f t="shared" si="30"/>
        <v>mol/s</v>
      </c>
      <c r="AD127" s="231" t="str">
        <f t="shared" si="31"/>
        <v/>
      </c>
      <c r="AE127" s="231" t="s">
        <v>283</v>
      </c>
      <c r="AF127" s="232" t="str">
        <f t="shared" si="32"/>
        <v/>
      </c>
      <c r="AG127" s="236" t="s">
        <v>284</v>
      </c>
      <c r="AH127" s="110"/>
      <c r="AI127" s="110" t="s">
        <v>142</v>
      </c>
      <c r="AJ127" s="4" t="s">
        <v>20</v>
      </c>
      <c r="AK127" s="110">
        <v>2</v>
      </c>
      <c r="AL127" s="110">
        <v>2</v>
      </c>
      <c r="AM127" s="232" t="str">
        <f t="shared" si="33"/>
        <v/>
      </c>
      <c r="AN127" s="233" t="str">
        <f t="shared" si="34"/>
        <v/>
      </c>
      <c r="AO127" s="4" t="str">
        <f t="shared" si="35"/>
        <v>mol/s</v>
      </c>
      <c r="AP127" s="4"/>
      <c r="AQ127" s="4"/>
      <c r="AR127" s="4"/>
      <c r="AS127" s="4" t="s">
        <v>120</v>
      </c>
      <c r="AT127" s="110">
        <v>1</v>
      </c>
      <c r="AU127" s="5" t="s">
        <v>55</v>
      </c>
      <c r="AV127" s="248" t="str">
        <f t="shared" si="36"/>
        <v/>
      </c>
      <c r="AW127" s="248"/>
      <c r="AX127" s="4" t="str">
        <f t="shared" si="37"/>
        <v>M</v>
      </c>
      <c r="AY127" s="248" t="str">
        <f t="shared" si="38"/>
        <v/>
      </c>
      <c r="AZ127" s="232"/>
      <c r="BA127" s="110">
        <v>125</v>
      </c>
      <c r="BB127" s="104" t="s">
        <v>47</v>
      </c>
      <c r="BC127" s="104"/>
      <c r="BD127" s="104" t="s">
        <v>77</v>
      </c>
      <c r="BE127" s="104" t="s">
        <v>48</v>
      </c>
      <c r="BF127" s="104" t="s">
        <v>49</v>
      </c>
      <c r="BG127" s="104"/>
      <c r="BH127" s="188" t="s">
        <v>44</v>
      </c>
      <c r="BI127" s="188" t="s">
        <v>160</v>
      </c>
      <c r="BJ127" s="188" t="s">
        <v>146</v>
      </c>
      <c r="BK127" s="188" t="s">
        <v>164</v>
      </c>
      <c r="BL127" s="105"/>
      <c r="BM127" s="189">
        <f t="shared" si="39"/>
        <v>1</v>
      </c>
      <c r="BN127" s="225" t="s">
        <v>304</v>
      </c>
      <c r="BO127" s="225" t="s">
        <v>307</v>
      </c>
      <c r="BP127" s="225" t="s">
        <v>258</v>
      </c>
      <c r="BQ127" s="225" t="s">
        <v>259</v>
      </c>
      <c r="BR127" s="225" t="s">
        <v>318</v>
      </c>
      <c r="BS127" s="225" t="s">
        <v>328</v>
      </c>
      <c r="BT127" s="225" t="s">
        <v>273</v>
      </c>
      <c r="BU127" s="225" t="s">
        <v>260</v>
      </c>
      <c r="BV127" s="2"/>
      <c r="BW127" s="259" t="s">
        <v>329</v>
      </c>
      <c r="BX127" s="259" t="s">
        <v>330</v>
      </c>
      <c r="BY127" s="259" t="s">
        <v>341</v>
      </c>
      <c r="BZ127" s="259" t="s">
        <v>342</v>
      </c>
      <c r="CA127" s="107"/>
      <c r="CB127" s="249"/>
      <c r="CC127" s="107"/>
      <c r="CD127" s="249"/>
      <c r="CE127" s="107"/>
      <c r="CF127" s="225" t="str">
        <f t="shared" si="40"/>
        <v/>
      </c>
      <c r="CG127" s="225" t="str">
        <f t="shared" si="41"/>
        <v/>
      </c>
      <c r="CH127" s="225" t="str">
        <f t="shared" si="42"/>
        <v/>
      </c>
      <c r="CI127" s="225" t="str">
        <f t="shared" si="43"/>
        <v/>
      </c>
      <c r="CJ127" s="225" t="str">
        <f t="shared" si="44"/>
        <v/>
      </c>
      <c r="CK127" s="225" t="str">
        <f t="shared" si="45"/>
        <v/>
      </c>
      <c r="CL127" s="225" t="str">
        <f t="shared" si="46"/>
        <v/>
      </c>
      <c r="CM127" s="225" t="str">
        <f t="shared" si="47"/>
        <v/>
      </c>
      <c r="CN127" s="225" t="str">
        <f t="shared" si="48"/>
        <v/>
      </c>
      <c r="CO127" s="225" t="str">
        <f t="shared" si="49"/>
        <v/>
      </c>
      <c r="CP127" s="250"/>
      <c r="CQ127" s="250" t="str">
        <f t="shared" si="50"/>
        <v/>
      </c>
      <c r="CR127" s="5">
        <v>125</v>
      </c>
      <c r="CU1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7" s="373" t="str">
        <f t="shared" si="51"/>
        <v/>
      </c>
      <c r="CW127" s="2"/>
      <c r="CX127" s="104"/>
    </row>
    <row r="128" spans="1:102" ht="18.95" customHeight="1" x14ac:dyDescent="0.35">
      <c r="B128" s="4">
        <v>126</v>
      </c>
      <c r="C128" s="4" t="s">
        <v>72</v>
      </c>
      <c r="E128" s="382" t="s">
        <v>644</v>
      </c>
      <c r="F128" s="69" t="s">
        <v>75</v>
      </c>
      <c r="H128" s="69" t="s">
        <v>424</v>
      </c>
      <c r="I128" s="69" t="s">
        <v>570</v>
      </c>
      <c r="J128" s="69" t="s">
        <v>423</v>
      </c>
      <c r="K128" s="160" t="s">
        <v>572</v>
      </c>
      <c r="L128" s="2"/>
      <c r="M128" s="166" t="s">
        <v>821</v>
      </c>
      <c r="N128" s="2"/>
      <c r="O128" s="230" t="str">
        <f>IF($A$2=B128,Elektro!$Q$11,"")</f>
        <v/>
      </c>
      <c r="P128" s="230" t="str">
        <f>IF($A$2=B128,Elektro!$Q$12,"")</f>
        <v/>
      </c>
      <c r="Q128" s="236" t="str">
        <f>IF($A$2=B128,Elektro!$Q$13,"")</f>
        <v/>
      </c>
      <c r="R128" s="231" t="str">
        <f>IF($A$2=B128,Elektro!$Q$14,"")</f>
        <v/>
      </c>
      <c r="S128" s="231" t="str">
        <f>IF($A$2=B128,Elektro!$Q$15,"")</f>
        <v/>
      </c>
      <c r="T128" s="230" t="str">
        <f>IF($A$2=B128,Elektro!$Q$16,"")</f>
        <v/>
      </c>
      <c r="U128" s="353" t="str">
        <f t="shared" si="26"/>
        <v/>
      </c>
      <c r="V128" s="353" t="str">
        <f t="shared" si="27"/>
        <v/>
      </c>
      <c r="W128" s="4" t="s">
        <v>141</v>
      </c>
      <c r="X128" s="4" t="s">
        <v>248</v>
      </c>
      <c r="Y128" s="4">
        <v>1</v>
      </c>
      <c r="Z128" s="4">
        <v>107.9</v>
      </c>
      <c r="AA128" s="232" t="str">
        <f t="shared" si="28"/>
        <v/>
      </c>
      <c r="AB128" s="233" t="str">
        <f t="shared" si="29"/>
        <v/>
      </c>
      <c r="AC128" s="233" t="str">
        <f t="shared" si="30"/>
        <v>mol/s</v>
      </c>
      <c r="AD128" s="231" t="str">
        <f t="shared" si="31"/>
        <v/>
      </c>
      <c r="AE128" s="231" t="s">
        <v>283</v>
      </c>
      <c r="AF128" s="232" t="str">
        <f t="shared" si="32"/>
        <v/>
      </c>
      <c r="AG128" s="236" t="s">
        <v>284</v>
      </c>
      <c r="AH128" s="4"/>
      <c r="AI128" s="4" t="s">
        <v>142</v>
      </c>
      <c r="AJ128" s="4" t="s">
        <v>20</v>
      </c>
      <c r="AK128" s="4">
        <v>2</v>
      </c>
      <c r="AL128" s="4">
        <v>2</v>
      </c>
      <c r="AM128" s="232" t="str">
        <f t="shared" si="33"/>
        <v/>
      </c>
      <c r="AN128" s="233" t="str">
        <f t="shared" si="34"/>
        <v/>
      </c>
      <c r="AO128" s="4" t="str">
        <f t="shared" si="35"/>
        <v>mol/s</v>
      </c>
      <c r="AP128" s="4"/>
      <c r="AQ128" s="4"/>
      <c r="AR128" s="4"/>
      <c r="AS128" s="128" t="s">
        <v>368</v>
      </c>
      <c r="AT128" s="4">
        <v>0</v>
      </c>
      <c r="AV128" s="248" t="str">
        <f t="shared" si="36"/>
        <v/>
      </c>
      <c r="AW128" s="248"/>
      <c r="AX128" s="4" t="str">
        <f t="shared" si="37"/>
        <v>M</v>
      </c>
      <c r="AY128" s="248" t="str">
        <f t="shared" si="38"/>
        <v/>
      </c>
      <c r="AZ128" s="232"/>
      <c r="BA128" s="4">
        <v>126</v>
      </c>
      <c r="BB128" s="2" t="s">
        <v>47</v>
      </c>
      <c r="BC128" s="2" t="s">
        <v>73</v>
      </c>
      <c r="BD128" s="2" t="s">
        <v>77</v>
      </c>
      <c r="BE128" s="2" t="s">
        <v>48</v>
      </c>
      <c r="BF128" s="2" t="s">
        <v>74</v>
      </c>
      <c r="BG128" s="2"/>
      <c r="BH128" s="185" t="s">
        <v>44</v>
      </c>
      <c r="BI128" s="185" t="s">
        <v>160</v>
      </c>
      <c r="BJ128" s="185" t="s">
        <v>148</v>
      </c>
      <c r="BK128" s="185" t="s">
        <v>164</v>
      </c>
      <c r="BL128" s="100"/>
      <c r="BM128" s="97">
        <f t="shared" si="39"/>
        <v>0</v>
      </c>
      <c r="BN128" s="225" t="s">
        <v>304</v>
      </c>
      <c r="BO128" s="225" t="s">
        <v>307</v>
      </c>
      <c r="BP128" s="225" t="s">
        <v>258</v>
      </c>
      <c r="BQ128" s="225" t="s">
        <v>259</v>
      </c>
      <c r="BR128" s="225" t="s">
        <v>318</v>
      </c>
      <c r="BS128" s="225" t="s">
        <v>328</v>
      </c>
      <c r="BT128" s="225" t="s">
        <v>275</v>
      </c>
      <c r="BU128" s="225" t="s">
        <v>260</v>
      </c>
      <c r="BV128" s="2"/>
      <c r="BW128" s="259" t="s">
        <v>329</v>
      </c>
      <c r="BX128" s="259" t="s">
        <v>330</v>
      </c>
      <c r="BY128" s="259" t="s">
        <v>341</v>
      </c>
      <c r="BZ128" s="259" t="s">
        <v>342</v>
      </c>
      <c r="CA128" s="107"/>
      <c r="CB128" s="249"/>
      <c r="CC128" s="107"/>
      <c r="CD128" s="249"/>
      <c r="CE128" s="107"/>
      <c r="CF128" s="225" t="str">
        <f t="shared" si="40"/>
        <v/>
      </c>
      <c r="CG128" s="225" t="str">
        <f t="shared" si="41"/>
        <v/>
      </c>
      <c r="CH128" s="225" t="str">
        <f t="shared" si="42"/>
        <v/>
      </c>
      <c r="CI128" s="225" t="str">
        <f t="shared" si="43"/>
        <v/>
      </c>
      <c r="CJ128" s="225" t="str">
        <f t="shared" si="44"/>
        <v/>
      </c>
      <c r="CK128" s="225" t="str">
        <f t="shared" si="45"/>
        <v/>
      </c>
      <c r="CL128" s="225" t="str">
        <f t="shared" si="46"/>
        <v/>
      </c>
      <c r="CM128" s="225" t="str">
        <f t="shared" si="47"/>
        <v/>
      </c>
      <c r="CN128" s="225" t="str">
        <f t="shared" si="48"/>
        <v/>
      </c>
      <c r="CO128" s="225" t="str">
        <f t="shared" si="49"/>
        <v/>
      </c>
      <c r="CP128" s="250"/>
      <c r="CQ128" s="250" t="str">
        <f t="shared" si="50"/>
        <v/>
      </c>
      <c r="CR128" s="5">
        <v>126</v>
      </c>
      <c r="CU1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8" s="373" t="str">
        <f t="shared" si="51"/>
        <v/>
      </c>
      <c r="CW128" s="2"/>
      <c r="CX128" s="104"/>
    </row>
    <row r="129" spans="2:102" ht="18.95" customHeight="1" x14ac:dyDescent="0.35">
      <c r="B129" s="4">
        <v>127</v>
      </c>
      <c r="C129" s="4" t="s">
        <v>103</v>
      </c>
      <c r="E129" s="382" t="s">
        <v>607</v>
      </c>
      <c r="F129" s="69" t="s">
        <v>75</v>
      </c>
      <c r="H129" s="69" t="s">
        <v>493</v>
      </c>
      <c r="I129" s="69" t="s">
        <v>570</v>
      </c>
      <c r="J129" s="69" t="s">
        <v>423</v>
      </c>
      <c r="K129" s="160" t="s">
        <v>572</v>
      </c>
      <c r="L129" s="2"/>
      <c r="M129" s="166" t="s">
        <v>822</v>
      </c>
      <c r="N129" s="2"/>
      <c r="O129" s="230" t="str">
        <f>IF($A$2=B129,Elektro!$Q$11,"")</f>
        <v/>
      </c>
      <c r="P129" s="230" t="str">
        <f>IF($A$2=B129,Elektro!$Q$12,"")</f>
        <v/>
      </c>
      <c r="Q129" s="236" t="str">
        <f>IF($A$2=B129,Elektro!$Q$13,"")</f>
        <v/>
      </c>
      <c r="R129" s="231" t="str">
        <f>IF($A$2=B129,Elektro!$Q$14,"")</f>
        <v/>
      </c>
      <c r="S129" s="231" t="str">
        <f>IF($A$2=B129,Elektro!$Q$15,"")</f>
        <v/>
      </c>
      <c r="T129" s="230" t="str">
        <f>IF($A$2=B129,Elektro!$Q$16,"")</f>
        <v/>
      </c>
      <c r="U129" s="353" t="str">
        <f t="shared" si="26"/>
        <v/>
      </c>
      <c r="V129" s="353" t="str">
        <f t="shared" si="27"/>
        <v/>
      </c>
      <c r="W129" s="4" t="s">
        <v>141</v>
      </c>
      <c r="X129" s="4" t="s">
        <v>248</v>
      </c>
      <c r="Y129" s="4">
        <v>1</v>
      </c>
      <c r="Z129" s="4">
        <v>107.9</v>
      </c>
      <c r="AA129" s="232" t="str">
        <f t="shared" si="28"/>
        <v/>
      </c>
      <c r="AB129" s="233" t="str">
        <f t="shared" si="29"/>
        <v/>
      </c>
      <c r="AC129" s="233" t="str">
        <f t="shared" si="30"/>
        <v>mol/s</v>
      </c>
      <c r="AD129" s="231" t="str">
        <f t="shared" si="31"/>
        <v/>
      </c>
      <c r="AE129" s="231" t="s">
        <v>283</v>
      </c>
      <c r="AF129" s="232" t="str">
        <f t="shared" si="32"/>
        <v/>
      </c>
      <c r="AG129" s="236" t="s">
        <v>284</v>
      </c>
      <c r="AH129" s="4"/>
      <c r="AI129" s="4" t="s">
        <v>142</v>
      </c>
      <c r="AJ129" s="4" t="s">
        <v>20</v>
      </c>
      <c r="AK129" s="4">
        <v>2</v>
      </c>
      <c r="AL129" s="4">
        <v>2</v>
      </c>
      <c r="AM129" s="232" t="str">
        <f t="shared" si="33"/>
        <v/>
      </c>
      <c r="AN129" s="233" t="str">
        <f t="shared" si="34"/>
        <v/>
      </c>
      <c r="AO129" s="4" t="str">
        <f t="shared" si="35"/>
        <v>mol/s</v>
      </c>
      <c r="AP129" s="4"/>
      <c r="AQ129" s="4"/>
      <c r="AR129" s="4"/>
      <c r="AS129" s="128" t="s">
        <v>368</v>
      </c>
      <c r="AT129" s="4">
        <v>0</v>
      </c>
      <c r="AV129" s="248" t="str">
        <f t="shared" si="36"/>
        <v/>
      </c>
      <c r="AW129" s="248"/>
      <c r="AX129" s="4" t="str">
        <f t="shared" si="37"/>
        <v>M</v>
      </c>
      <c r="AY129" s="248" t="str">
        <f t="shared" si="38"/>
        <v/>
      </c>
      <c r="AZ129" s="232"/>
      <c r="BA129" s="4">
        <v>127</v>
      </c>
      <c r="BB129" s="2" t="s">
        <v>47</v>
      </c>
      <c r="BC129" s="2" t="s">
        <v>52</v>
      </c>
      <c r="BD129" s="2" t="s">
        <v>77</v>
      </c>
      <c r="BE129" s="2" t="s">
        <v>48</v>
      </c>
      <c r="BF129" s="2" t="s">
        <v>74</v>
      </c>
      <c r="BG129" s="2"/>
      <c r="BH129" s="185" t="s">
        <v>44</v>
      </c>
      <c r="BI129" s="185" t="s">
        <v>160</v>
      </c>
      <c r="BJ129" s="185" t="s">
        <v>148</v>
      </c>
      <c r="BK129" s="185" t="s">
        <v>164</v>
      </c>
      <c r="BL129" s="100"/>
      <c r="BM129" s="97">
        <f t="shared" si="39"/>
        <v>0</v>
      </c>
      <c r="BN129" s="225" t="s">
        <v>304</v>
      </c>
      <c r="BO129" s="225" t="s">
        <v>307</v>
      </c>
      <c r="BP129" s="225" t="s">
        <v>258</v>
      </c>
      <c r="BQ129" s="225" t="s">
        <v>259</v>
      </c>
      <c r="BR129" s="225" t="s">
        <v>318</v>
      </c>
      <c r="BS129" s="225" t="s">
        <v>328</v>
      </c>
      <c r="BT129" s="225" t="s">
        <v>275</v>
      </c>
      <c r="BU129" s="225" t="s">
        <v>260</v>
      </c>
      <c r="BV129" s="2"/>
      <c r="BW129" s="259" t="s">
        <v>329</v>
      </c>
      <c r="BX129" s="259" t="s">
        <v>330</v>
      </c>
      <c r="BY129" s="259" t="s">
        <v>341</v>
      </c>
      <c r="BZ129" s="259" t="s">
        <v>342</v>
      </c>
      <c r="CA129" s="107"/>
      <c r="CB129" s="249"/>
      <c r="CC129" s="107"/>
      <c r="CD129" s="249"/>
      <c r="CE129" s="107"/>
      <c r="CF129" s="225" t="str">
        <f t="shared" si="40"/>
        <v/>
      </c>
      <c r="CG129" s="225" t="str">
        <f t="shared" si="41"/>
        <v/>
      </c>
      <c r="CH129" s="225" t="str">
        <f t="shared" si="42"/>
        <v/>
      </c>
      <c r="CI129" s="225" t="str">
        <f t="shared" si="43"/>
        <v/>
      </c>
      <c r="CJ129" s="225" t="str">
        <f t="shared" si="44"/>
        <v/>
      </c>
      <c r="CK129" s="225" t="str">
        <f t="shared" si="45"/>
        <v/>
      </c>
      <c r="CL129" s="225" t="str">
        <f t="shared" si="46"/>
        <v/>
      </c>
      <c r="CM129" s="225" t="str">
        <f t="shared" si="47"/>
        <v/>
      </c>
      <c r="CN129" s="225" t="str">
        <f t="shared" si="48"/>
        <v/>
      </c>
      <c r="CO129" s="225" t="str">
        <f t="shared" si="49"/>
        <v/>
      </c>
      <c r="CP129" s="250"/>
      <c r="CQ129" s="250" t="str">
        <f t="shared" si="50"/>
        <v/>
      </c>
      <c r="CR129" s="5">
        <v>127</v>
      </c>
      <c r="CU1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9" s="373" t="str">
        <f t="shared" si="51"/>
        <v/>
      </c>
      <c r="CW129" s="2"/>
      <c r="CX129" s="104"/>
    </row>
    <row r="130" spans="2:102" ht="18.95" customHeight="1" x14ac:dyDescent="0.35">
      <c r="B130" s="4">
        <v>128</v>
      </c>
      <c r="C130" s="128" t="s">
        <v>131</v>
      </c>
      <c r="E130" s="382" t="s">
        <v>608</v>
      </c>
      <c r="F130" s="69" t="s">
        <v>75</v>
      </c>
      <c r="H130" s="69" t="s">
        <v>495</v>
      </c>
      <c r="I130" s="69" t="s">
        <v>570</v>
      </c>
      <c r="J130" s="69" t="s">
        <v>423</v>
      </c>
      <c r="K130" s="160" t="s">
        <v>572</v>
      </c>
      <c r="L130" s="2"/>
      <c r="M130" s="166" t="s">
        <v>823</v>
      </c>
      <c r="N130" s="2"/>
      <c r="O130" s="230" t="str">
        <f>IF($A$2=B130,Elektro!$Q$11,"")</f>
        <v/>
      </c>
      <c r="P130" s="230" t="str">
        <f>IF($A$2=B130,Elektro!$Q$12,"")</f>
        <v/>
      </c>
      <c r="Q130" s="236" t="str">
        <f>IF($A$2=B130,Elektro!$Q$13,"")</f>
        <v/>
      </c>
      <c r="R130" s="231" t="str">
        <f>IF($A$2=B130,Elektro!$Q$14,"")</f>
        <v/>
      </c>
      <c r="S130" s="231" t="str">
        <f>IF($A$2=B130,Elektro!$Q$15,"")</f>
        <v/>
      </c>
      <c r="T130" s="230" t="str">
        <f>IF($A$2=B130,Elektro!$Q$16,"")</f>
        <v/>
      </c>
      <c r="U130" s="353" t="str">
        <f t="shared" si="26"/>
        <v/>
      </c>
      <c r="V130" s="353" t="str">
        <f t="shared" si="27"/>
        <v/>
      </c>
      <c r="W130" s="4" t="s">
        <v>141</v>
      </c>
      <c r="X130" s="4" t="s">
        <v>248</v>
      </c>
      <c r="Y130" s="4">
        <v>1</v>
      </c>
      <c r="Z130" s="4">
        <v>107.9</v>
      </c>
      <c r="AA130" s="232" t="str">
        <f t="shared" si="28"/>
        <v/>
      </c>
      <c r="AB130" s="233" t="str">
        <f t="shared" si="29"/>
        <v/>
      </c>
      <c r="AC130" s="233" t="str">
        <f t="shared" si="30"/>
        <v>mol/s</v>
      </c>
      <c r="AD130" s="231" t="str">
        <f t="shared" si="31"/>
        <v/>
      </c>
      <c r="AE130" s="231" t="s">
        <v>283</v>
      </c>
      <c r="AF130" s="232" t="str">
        <f t="shared" si="32"/>
        <v/>
      </c>
      <c r="AG130" s="236" t="s">
        <v>284</v>
      </c>
      <c r="AH130" s="4"/>
      <c r="AI130" s="4" t="s">
        <v>142</v>
      </c>
      <c r="AJ130" s="4" t="s">
        <v>20</v>
      </c>
      <c r="AK130" s="4">
        <v>2</v>
      </c>
      <c r="AL130" s="4">
        <v>2</v>
      </c>
      <c r="AM130" s="232" t="str">
        <f t="shared" si="33"/>
        <v/>
      </c>
      <c r="AN130" s="233" t="str">
        <f t="shared" si="34"/>
        <v/>
      </c>
      <c r="AO130" s="4" t="str">
        <f t="shared" si="35"/>
        <v>mol/s</v>
      </c>
      <c r="AP130" s="4"/>
      <c r="AQ130" s="4"/>
      <c r="AR130" s="4"/>
      <c r="AS130" s="128" t="s">
        <v>368</v>
      </c>
      <c r="AT130" s="4">
        <v>0</v>
      </c>
      <c r="AV130" s="248" t="str">
        <f t="shared" si="36"/>
        <v/>
      </c>
      <c r="AW130" s="248"/>
      <c r="AX130" s="4" t="str">
        <f t="shared" si="37"/>
        <v>M</v>
      </c>
      <c r="AY130" s="248" t="str">
        <f t="shared" si="38"/>
        <v/>
      </c>
      <c r="AZ130" s="232"/>
      <c r="BA130" s="4">
        <v>128</v>
      </c>
      <c r="BB130" s="2" t="s">
        <v>47</v>
      </c>
      <c r="BC130" s="2" t="s">
        <v>78</v>
      </c>
      <c r="BD130" s="2" t="s">
        <v>77</v>
      </c>
      <c r="BE130" s="2" t="s">
        <v>48</v>
      </c>
      <c r="BF130" s="2" t="s">
        <v>50</v>
      </c>
      <c r="BG130" s="2"/>
      <c r="BH130" s="185" t="s">
        <v>44</v>
      </c>
      <c r="BI130" s="185" t="s">
        <v>160</v>
      </c>
      <c r="BJ130" s="185" t="s">
        <v>148</v>
      </c>
      <c r="BK130" s="185" t="s">
        <v>164</v>
      </c>
      <c r="BL130" s="100"/>
      <c r="BM130" s="97">
        <f t="shared" si="39"/>
        <v>0</v>
      </c>
      <c r="BN130" s="225" t="s">
        <v>304</v>
      </c>
      <c r="BO130" s="225" t="s">
        <v>307</v>
      </c>
      <c r="BP130" s="225" t="s">
        <v>258</v>
      </c>
      <c r="BQ130" s="225" t="s">
        <v>259</v>
      </c>
      <c r="BR130" s="225" t="s">
        <v>318</v>
      </c>
      <c r="BS130" s="225" t="s">
        <v>328</v>
      </c>
      <c r="BT130" s="225" t="s">
        <v>275</v>
      </c>
      <c r="BU130" s="225" t="s">
        <v>260</v>
      </c>
      <c r="BV130" s="2"/>
      <c r="BW130" s="259" t="s">
        <v>329</v>
      </c>
      <c r="BX130" s="259" t="s">
        <v>330</v>
      </c>
      <c r="BY130" s="259" t="s">
        <v>341</v>
      </c>
      <c r="BZ130" s="259" t="s">
        <v>342</v>
      </c>
      <c r="CA130" s="107"/>
      <c r="CB130" s="249"/>
      <c r="CC130" s="107"/>
      <c r="CD130" s="249"/>
      <c r="CE130" s="107"/>
      <c r="CF130" s="225" t="str">
        <f t="shared" si="40"/>
        <v/>
      </c>
      <c r="CG130" s="225" t="str">
        <f t="shared" si="41"/>
        <v/>
      </c>
      <c r="CH130" s="225" t="str">
        <f t="shared" si="42"/>
        <v/>
      </c>
      <c r="CI130" s="225" t="str">
        <f t="shared" si="43"/>
        <v/>
      </c>
      <c r="CJ130" s="225" t="str">
        <f t="shared" si="44"/>
        <v/>
      </c>
      <c r="CK130" s="225" t="str">
        <f t="shared" si="45"/>
        <v/>
      </c>
      <c r="CL130" s="225" t="str">
        <f t="shared" si="46"/>
        <v/>
      </c>
      <c r="CM130" s="225" t="str">
        <f t="shared" si="47"/>
        <v/>
      </c>
      <c r="CN130" s="225" t="str">
        <f t="shared" si="48"/>
        <v/>
      </c>
      <c r="CO130" s="225" t="str">
        <f t="shared" si="49"/>
        <v/>
      </c>
      <c r="CP130" s="250"/>
      <c r="CQ130" s="250" t="str">
        <f t="shared" si="50"/>
        <v/>
      </c>
      <c r="CR130" s="5">
        <v>128</v>
      </c>
      <c r="CU1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0" s="373" t="str">
        <f t="shared" si="51"/>
        <v/>
      </c>
      <c r="CW130" s="2"/>
      <c r="CX130" s="104"/>
    </row>
    <row r="131" spans="2:102" ht="18.95" customHeight="1" x14ac:dyDescent="0.35">
      <c r="B131" s="4">
        <v>129</v>
      </c>
      <c r="C131" s="4" t="s">
        <v>8</v>
      </c>
      <c r="E131" s="382" t="s">
        <v>609</v>
      </c>
      <c r="F131" s="69" t="s">
        <v>75</v>
      </c>
      <c r="H131" s="69" t="s">
        <v>497</v>
      </c>
      <c r="I131" s="69" t="s">
        <v>570</v>
      </c>
      <c r="J131" s="69" t="s">
        <v>423</v>
      </c>
      <c r="K131" s="160" t="s">
        <v>572</v>
      </c>
      <c r="L131" s="2"/>
      <c r="M131" s="166" t="s">
        <v>824</v>
      </c>
      <c r="N131" s="2"/>
      <c r="O131" s="230" t="str">
        <f>IF($A$2=B131,Elektro!$Q$11,"")</f>
        <v/>
      </c>
      <c r="P131" s="230" t="str">
        <f>IF($A$2=B131,Elektro!$Q$12,"")</f>
        <v/>
      </c>
      <c r="Q131" s="236" t="str">
        <f>IF($A$2=B131,Elektro!$Q$13,"")</f>
        <v/>
      </c>
      <c r="R131" s="231" t="str">
        <f>IF($A$2=B131,Elektro!$Q$14,"")</f>
        <v/>
      </c>
      <c r="S131" s="231" t="str">
        <f>IF($A$2=B131,Elektro!$Q$15,"")</f>
        <v/>
      </c>
      <c r="T131" s="230" t="str">
        <f>IF($A$2=B131,Elektro!$Q$16,"")</f>
        <v/>
      </c>
      <c r="U131" s="353" t="str">
        <f t="shared" si="26"/>
        <v/>
      </c>
      <c r="V131" s="353" t="str">
        <f t="shared" si="27"/>
        <v/>
      </c>
      <c r="W131" s="4" t="s">
        <v>141</v>
      </c>
      <c r="X131" s="4" t="s">
        <v>248</v>
      </c>
      <c r="Y131" s="4">
        <v>1</v>
      </c>
      <c r="Z131" s="4">
        <v>107.9</v>
      </c>
      <c r="AA131" s="232" t="str">
        <f t="shared" si="28"/>
        <v/>
      </c>
      <c r="AB131" s="233" t="str">
        <f t="shared" si="29"/>
        <v/>
      </c>
      <c r="AC131" s="233" t="str">
        <f t="shared" si="30"/>
        <v>mol/s</v>
      </c>
      <c r="AD131" s="231" t="str">
        <f t="shared" si="31"/>
        <v/>
      </c>
      <c r="AE131" s="231" t="s">
        <v>283</v>
      </c>
      <c r="AF131" s="232" t="str">
        <f t="shared" si="32"/>
        <v/>
      </c>
      <c r="AG131" s="236" t="s">
        <v>284</v>
      </c>
      <c r="AH131" s="4"/>
      <c r="AI131" s="4" t="s">
        <v>142</v>
      </c>
      <c r="AJ131" s="4" t="s">
        <v>20</v>
      </c>
      <c r="AK131" s="4">
        <v>2</v>
      </c>
      <c r="AL131" s="4">
        <v>2</v>
      </c>
      <c r="AM131" s="232" t="str">
        <f t="shared" si="33"/>
        <v/>
      </c>
      <c r="AN131" s="233" t="str">
        <f t="shared" si="34"/>
        <v/>
      </c>
      <c r="AO131" s="4" t="str">
        <f t="shared" si="35"/>
        <v>mol/s</v>
      </c>
      <c r="AP131" s="4"/>
      <c r="AQ131" s="4"/>
      <c r="AR131" s="4"/>
      <c r="AS131" s="128" t="s">
        <v>368</v>
      </c>
      <c r="AT131" s="4">
        <v>0</v>
      </c>
      <c r="AV131" s="248" t="str">
        <f t="shared" si="36"/>
        <v/>
      </c>
      <c r="AW131" s="248"/>
      <c r="AX131" s="4" t="str">
        <f t="shared" si="37"/>
        <v>M</v>
      </c>
      <c r="AY131" s="248" t="str">
        <f t="shared" si="38"/>
        <v/>
      </c>
      <c r="AZ131" s="232"/>
      <c r="BA131" s="4">
        <v>129</v>
      </c>
      <c r="BB131" s="2" t="s">
        <v>47</v>
      </c>
      <c r="BC131" s="2" t="s">
        <v>52</v>
      </c>
      <c r="BD131" s="2" t="s">
        <v>77</v>
      </c>
      <c r="BE131" s="2" t="s">
        <v>48</v>
      </c>
      <c r="BF131" s="2" t="s">
        <v>50</v>
      </c>
      <c r="BG131" s="2"/>
      <c r="BH131" s="185" t="s">
        <v>44</v>
      </c>
      <c r="BI131" s="185" t="s">
        <v>160</v>
      </c>
      <c r="BJ131" s="185" t="s">
        <v>148</v>
      </c>
      <c r="BK131" s="185" t="s">
        <v>164</v>
      </c>
      <c r="BL131" s="100"/>
      <c r="BM131" s="97">
        <f t="shared" si="39"/>
        <v>0</v>
      </c>
      <c r="BN131" s="225" t="s">
        <v>304</v>
      </c>
      <c r="BO131" s="225" t="s">
        <v>307</v>
      </c>
      <c r="BP131" s="225" t="s">
        <v>258</v>
      </c>
      <c r="BQ131" s="225" t="s">
        <v>259</v>
      </c>
      <c r="BR131" s="225" t="s">
        <v>318</v>
      </c>
      <c r="BS131" s="225" t="s">
        <v>328</v>
      </c>
      <c r="BT131" s="225" t="s">
        <v>275</v>
      </c>
      <c r="BU131" s="225" t="s">
        <v>260</v>
      </c>
      <c r="BV131" s="2"/>
      <c r="BW131" s="259" t="s">
        <v>329</v>
      </c>
      <c r="BX131" s="259" t="s">
        <v>330</v>
      </c>
      <c r="BY131" s="259" t="s">
        <v>341</v>
      </c>
      <c r="BZ131" s="259" t="s">
        <v>342</v>
      </c>
      <c r="CA131" s="107"/>
      <c r="CB131" s="249"/>
      <c r="CC131" s="107"/>
      <c r="CD131" s="249"/>
      <c r="CE131" s="107"/>
      <c r="CF131" s="225" t="str">
        <f t="shared" si="40"/>
        <v/>
      </c>
      <c r="CG131" s="225" t="str">
        <f t="shared" si="41"/>
        <v/>
      </c>
      <c r="CH131" s="225" t="str">
        <f t="shared" si="42"/>
        <v/>
      </c>
      <c r="CI131" s="225" t="str">
        <f t="shared" si="43"/>
        <v/>
      </c>
      <c r="CJ131" s="225" t="str">
        <f t="shared" si="44"/>
        <v/>
      </c>
      <c r="CK131" s="225" t="str">
        <f t="shared" si="45"/>
        <v/>
      </c>
      <c r="CL131" s="225" t="str">
        <f t="shared" si="46"/>
        <v/>
      </c>
      <c r="CM131" s="225" t="str">
        <f t="shared" si="47"/>
        <v/>
      </c>
      <c r="CN131" s="225" t="str">
        <f t="shared" si="48"/>
        <v/>
      </c>
      <c r="CO131" s="225" t="str">
        <f t="shared" si="49"/>
        <v/>
      </c>
      <c r="CP131" s="250"/>
      <c r="CQ131" s="250" t="str">
        <f t="shared" si="50"/>
        <v/>
      </c>
      <c r="CR131" s="5">
        <v>129</v>
      </c>
      <c r="CU1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1" s="373" t="str">
        <f t="shared" si="51"/>
        <v/>
      </c>
      <c r="CW131" s="2"/>
      <c r="CX131" s="104"/>
    </row>
    <row r="132" spans="2:102" ht="18.95" customHeight="1" x14ac:dyDescent="0.35">
      <c r="B132" s="4">
        <v>130</v>
      </c>
      <c r="C132" s="4" t="s">
        <v>866</v>
      </c>
      <c r="E132" s="382" t="s">
        <v>610</v>
      </c>
      <c r="F132" s="69" t="s">
        <v>75</v>
      </c>
      <c r="H132" s="69" t="s">
        <v>498</v>
      </c>
      <c r="I132" s="69" t="s">
        <v>570</v>
      </c>
      <c r="J132" s="69" t="s">
        <v>423</v>
      </c>
      <c r="K132" s="160" t="s">
        <v>572</v>
      </c>
      <c r="L132" s="2"/>
      <c r="M132" s="166" t="s">
        <v>825</v>
      </c>
      <c r="N132" s="2"/>
      <c r="O132" s="230" t="str">
        <f>IF($A$2=B132,Elektro!$Q$11,"")</f>
        <v/>
      </c>
      <c r="P132" s="230" t="str">
        <f>IF($A$2=B132,Elektro!$Q$12,"")</f>
        <v/>
      </c>
      <c r="Q132" s="236" t="str">
        <f>IF($A$2=B132,Elektro!$Q$13,"")</f>
        <v/>
      </c>
      <c r="R132" s="231" t="str">
        <f>IF($A$2=B132,Elektro!$Q$14,"")</f>
        <v/>
      </c>
      <c r="S132" s="231" t="str">
        <f>IF($A$2=B132,Elektro!$Q$15,"")</f>
        <v/>
      </c>
      <c r="T132" s="230" t="str">
        <f>IF($A$2=B132,Elektro!$Q$16,"")</f>
        <v/>
      </c>
      <c r="U132" s="353" t="str">
        <f t="shared" ref="U132:U173" si="52">IF($A$2=B132,40*60*60/96500,"")</f>
        <v/>
      </c>
      <c r="V132" s="353" t="str">
        <f t="shared" ref="V132:V173" si="53">IF($A$2=B132,(Q132*R132/96500),"")</f>
        <v/>
      </c>
      <c r="W132" s="4" t="s">
        <v>141</v>
      </c>
      <c r="X132" s="4" t="s">
        <v>248</v>
      </c>
      <c r="Y132" s="4">
        <v>1</v>
      </c>
      <c r="Z132" s="4">
        <v>107.9</v>
      </c>
      <c r="AA132" s="232" t="str">
        <f t="shared" ref="AA132:AA173" si="54">IF($A$2=B132,IF(X132="L",(Q132*R132/96500)*(0.08205*S132)/(Y132*T132),IF(X132="g",(Z132/Y132)*(Q132*R132/96500),IF(X132="M",(Q132*R132/96500*Y132*O132)))),"")</f>
        <v/>
      </c>
      <c r="AB132" s="233" t="str">
        <f t="shared" ref="AB132:AB173" si="55">IF($A$2=B132,IF(OR(X132="L",X132="M"),Q132/(Y132*96500),IF(X132="g",(Z132/Y132)*(Q132/96500))),"")</f>
        <v/>
      </c>
      <c r="AC132" s="233" t="str">
        <f t="shared" ref="AC132:AC171" si="56">IF(OR(X132="L",X132="M"),"mol/s",IF(X132="g","g/s"))</f>
        <v>mol/s</v>
      </c>
      <c r="AD132" s="231" t="str">
        <f t="shared" ref="AD132:AD173" si="57">IF($A$2=B132,O132*P132*AK132*96500/Q132,"")</f>
        <v/>
      </c>
      <c r="AE132" s="231" t="s">
        <v>283</v>
      </c>
      <c r="AF132" s="232" t="str">
        <f t="shared" ref="AF132:AF173" si="58">IF($A$2=B132,(R132/AD132)*100,"")</f>
        <v/>
      </c>
      <c r="AG132" s="236" t="s">
        <v>284</v>
      </c>
      <c r="AH132" s="4"/>
      <c r="AI132" s="4" t="s">
        <v>142</v>
      </c>
      <c r="AJ132" s="4" t="s">
        <v>20</v>
      </c>
      <c r="AK132" s="4">
        <v>2</v>
      </c>
      <c r="AL132" s="4">
        <v>2</v>
      </c>
      <c r="AM132" s="232" t="str">
        <f t="shared" ref="AM132:AM173" si="59">IF($A$2=B132,IF(AJ132="L",(Q132*R132/96500)*(0.082*S132)/(AK132*T132),IF(AJ132="g",(AL132/AK132)*(Q132*R132/96500),IF(AJ132="M",(Q132*R132/96500*Y132*O132)))),"")</f>
        <v/>
      </c>
      <c r="AN132" s="233" t="str">
        <f t="shared" ref="AN132:AN173" si="60">IF($A$2=B132,IF(OR(AJ132="L",X132="M"),Q132/(AK132*96500),IF(AJ132="g",(AL132/AK132)*(Q132/96500))),"")</f>
        <v/>
      </c>
      <c r="AO132" s="4" t="str">
        <f t="shared" ref="AO132:AO173" si="61">IF(OR(AJ132="L",AJ132="M"),"mol/s",IF(AJ132="g","g/s"))</f>
        <v>mol/s</v>
      </c>
      <c r="AP132" s="4"/>
      <c r="AQ132" s="4"/>
      <c r="AR132" s="4"/>
      <c r="AS132" s="128" t="s">
        <v>368</v>
      </c>
      <c r="AT132" s="4">
        <v>0</v>
      </c>
      <c r="AV132" s="248" t="str">
        <f t="shared" ref="AV132:AV173" si="62">IF($A$2=B132,IF(OR($A$2=1,$A$2=2,$A$2=19,$A$2=20,$A$2=37,$A$2=38,$A$2=39,$A$2=40,$A$2=41,$A$2=78,$A$2=79,$A$2=80,$A$2=81,$A$2=119,$A$2=120,$A$2=121,$A$2=122,$A$2=123,$A$2=124,$A$2=169,$A$2=170),(O132*P132-(Q132*R132/96500))/O132,IF(OR($A$2=0,$A$2=0),(Q132*R132/96500)/O132,IF(OR($A$2=6,$A$2=24,$A$2=54,$A$2=55,$A$2=56,$A$2=57,$A$2=58,$A$2=59,$A$2=95,$A$2=96,$A$2=97,$A$2=98,$A$2=99,$A$2=100,$A$2=140,$A$2=141,$A$2=142,$A$2=143,$A$2=144,$A$2=145,$A$2=146),(O132*P132-(Q132*R132/96500))/O132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132*R132/96500)/O132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132*P132-(Q132*R132/96500)/AK132)/O132,"X")))))),"")</f>
        <v/>
      </c>
      <c r="AW132" s="248"/>
      <c r="AX132" s="4" t="str">
        <f t="shared" ref="AX132:AX173" si="63">IF(AV132=0.00000000000001,"","M")</f>
        <v>M</v>
      </c>
      <c r="AY132" s="248" t="str">
        <f t="shared" ref="AY132:AY173" si="64">IF($A$2=B132,IF(OR($A$2=1,$A$2=2,$A$2=19,$A$2=20,$A$2=37,$A$2=38,$A$2=39,$A$2=40,$A$2=41,$A$2=78,$A$2=79,$A$2=80,$A$2=81,$A$2=119,$A$2=120,$A$2=121,$A$2=122,$A$2=123,$A$2=124,$A$2=169,$A$2=170),-LOG((O132*P132-(Q132*R132/96500))/O132),IF(OR($A$2=8,$A$2=66,$A$2=67,$A$2=68,$A$2=69,$A$2=70,$A$2=71),-LOG((Q132*R132/96500)/O132)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132*P132-(Q132*R132/96500))/O132)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132*R132/96500)/O132)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132" s="232"/>
      <c r="BA132" s="4">
        <v>130</v>
      </c>
      <c r="BB132" s="2" t="s">
        <v>47</v>
      </c>
      <c r="BC132" s="2" t="s">
        <v>52</v>
      </c>
      <c r="BD132" s="2" t="s">
        <v>77</v>
      </c>
      <c r="BE132" s="2" t="s">
        <v>48</v>
      </c>
      <c r="BF132" s="2" t="s">
        <v>80</v>
      </c>
      <c r="BG132" s="2"/>
      <c r="BH132" s="185" t="s">
        <v>44</v>
      </c>
      <c r="BI132" s="185" t="s">
        <v>160</v>
      </c>
      <c r="BJ132" s="185" t="s">
        <v>148</v>
      </c>
      <c r="BK132" s="185" t="s">
        <v>164</v>
      </c>
      <c r="BL132" s="100"/>
      <c r="BM132" s="97">
        <f t="shared" ref="BM132:BM173" si="65">AT132</f>
        <v>0</v>
      </c>
      <c r="BN132" s="225" t="s">
        <v>304</v>
      </c>
      <c r="BO132" s="225" t="s">
        <v>307</v>
      </c>
      <c r="BP132" s="225" t="s">
        <v>258</v>
      </c>
      <c r="BQ132" s="225" t="s">
        <v>259</v>
      </c>
      <c r="BR132" s="225" t="s">
        <v>318</v>
      </c>
      <c r="BS132" s="225" t="s">
        <v>328</v>
      </c>
      <c r="BT132" s="225" t="s">
        <v>275</v>
      </c>
      <c r="BU132" s="225" t="s">
        <v>260</v>
      </c>
      <c r="BV132" s="2"/>
      <c r="BW132" s="259" t="s">
        <v>329</v>
      </c>
      <c r="BX132" s="259" t="s">
        <v>330</v>
      </c>
      <c r="BY132" s="259" t="s">
        <v>341</v>
      </c>
      <c r="BZ132" s="259" t="s">
        <v>342</v>
      </c>
      <c r="CA132" s="107"/>
      <c r="CB132" s="249"/>
      <c r="CC132" s="107"/>
      <c r="CD132" s="249"/>
      <c r="CE132" s="107"/>
      <c r="CF132" s="225" t="str">
        <f t="shared" ref="CF132:CF172" si="66">IF($A$2=B132,"Volume"&amp;" "&amp;"="&amp;" "&amp;O132&amp;" "&amp;"L","")</f>
        <v/>
      </c>
      <c r="CG132" s="225" t="str">
        <f t="shared" ref="CG132:CG172" si="67">IF($A$2=B132,"Molar"&amp;" "&amp;"="&amp;" "&amp;P132&amp;" "&amp;"M","")</f>
        <v/>
      </c>
      <c r="CH132" s="225" t="str">
        <f t="shared" ref="CH132:CH172" si="68">IF($A$2=B132,"Arus"&amp;" "&amp;"="&amp;" "&amp;Q132&amp;" "&amp;"A","")</f>
        <v/>
      </c>
      <c r="CI132" s="225" t="str">
        <f t="shared" ref="CI132:CI172" si="69">IF($A$2=B132,"Waktu"&amp;" "&amp;"="&amp;" "&amp;R132&amp;" "&amp;"s","")</f>
        <v/>
      </c>
      <c r="CJ132" s="225" t="str">
        <f t="shared" ref="CJ132:CJ172" si="70">IF($A$2=B132,"Suhu"&amp;" "&amp;"="&amp;" "&amp;S132&amp;" "&amp;"K","")</f>
        <v/>
      </c>
      <c r="CK132" s="225" t="str">
        <f t="shared" ref="CK132:CK172" si="71">IF($A$2=B132,"Tekanan"&amp;" "&amp;"="&amp;" "&amp;T132&amp;" "&amp;"atm","")</f>
        <v/>
      </c>
      <c r="CL132" s="225" t="str">
        <f t="shared" ref="CL132:CL172" si="72">IF($A$2=B132,"Muatan"&amp;" "&amp;"="&amp;" "&amp;Q132*R132/96500&amp;" "&amp;"F","")</f>
        <v/>
      </c>
      <c r="CM132" s="225" t="str">
        <f t="shared" ref="CM132:CM173" si="73">IF($A$2=B132,"ACCU"&amp;" "&amp;"="&amp;" "&amp;1492&amp;" "&amp;"F","")</f>
        <v/>
      </c>
      <c r="CN132" s="225" t="str">
        <f t="shared" ref="CN132:CN172" si="74">IF($A$2=B132,"Muatan"&amp;" "&amp;"="&amp;" "&amp;Q132*R132&amp;" "&amp;"C","")</f>
        <v/>
      </c>
      <c r="CO132" s="225" t="str">
        <f t="shared" ref="CO132:CO172" si="75">IF($A$2=B132,"Kons."&amp;" "&amp;"="&amp;" "&amp;O132*P132&amp;" "&amp;"mol","")</f>
        <v/>
      </c>
      <c r="CP132" s="250"/>
      <c r="CQ132" s="250" t="str">
        <f t="shared" ref="CQ132:CQ172" si="76">IF($A$2=B132,IF(AND((Q132*R132/96500)&lt;1492,(Q132*R132/96500)&gt;O132*P132),"Elektrolit habis",IF(AND((Q132*R132/96500)&gt;1492,(Q132*R132/96500)&lt;O132*P132),"Daya habis","")),"")</f>
        <v/>
      </c>
      <c r="CR132" s="5">
        <v>130</v>
      </c>
      <c r="CU1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2" s="373" t="str">
        <f t="shared" ref="CV132:CV172" si="77">IF($A$2=B132,IF(AND(O132*P132&lt;(Q132*R132/96500),AF132&gt;=100),"Info: Elektrolit Sudah Habis",IF(P132&lt;0.1,"Info: Konsentrasi Terlalu Encer",IF((Q132*R132/96500)&gt;1492,"Info: Aki Kurang Strum",""))),"")</f>
        <v/>
      </c>
      <c r="CW132" s="2"/>
      <c r="CX132" s="104"/>
    </row>
    <row r="133" spans="2:102" ht="18.95" customHeight="1" x14ac:dyDescent="0.35">
      <c r="B133" s="4">
        <v>131</v>
      </c>
      <c r="C133" s="4" t="s">
        <v>695</v>
      </c>
      <c r="E133" s="382" t="s">
        <v>611</v>
      </c>
      <c r="F133" s="69" t="s">
        <v>75</v>
      </c>
      <c r="H133" s="69" t="s">
        <v>499</v>
      </c>
      <c r="I133" s="69" t="s">
        <v>570</v>
      </c>
      <c r="J133" s="69" t="s">
        <v>423</v>
      </c>
      <c r="K133" s="160" t="s">
        <v>572</v>
      </c>
      <c r="L133" s="2"/>
      <c r="M133" s="166" t="s">
        <v>826</v>
      </c>
      <c r="N133" s="2"/>
      <c r="O133" s="230" t="str">
        <f>IF($A$2=B133,Elektro!$Q$11,"")</f>
        <v/>
      </c>
      <c r="P133" s="230" t="str">
        <f>IF($A$2=B133,Elektro!$Q$12,"")</f>
        <v/>
      </c>
      <c r="Q133" s="236" t="str">
        <f>IF($A$2=B133,Elektro!$Q$13,"")</f>
        <v/>
      </c>
      <c r="R133" s="231" t="str">
        <f>IF($A$2=B133,Elektro!$Q$14,"")</f>
        <v/>
      </c>
      <c r="S133" s="231" t="str">
        <f>IF($A$2=B133,Elektro!$Q$15,"")</f>
        <v/>
      </c>
      <c r="T133" s="230" t="str">
        <f>IF($A$2=B133,Elektro!$Q$16,"")</f>
        <v/>
      </c>
      <c r="U133" s="353" t="str">
        <f t="shared" si="52"/>
        <v/>
      </c>
      <c r="V133" s="353" t="str">
        <f t="shared" si="53"/>
        <v/>
      </c>
      <c r="W133" s="4" t="s">
        <v>141</v>
      </c>
      <c r="X133" s="4" t="s">
        <v>248</v>
      </c>
      <c r="Y133" s="4">
        <v>1</v>
      </c>
      <c r="Z133" s="4">
        <v>107.9</v>
      </c>
      <c r="AA133" s="232" t="str">
        <f t="shared" si="54"/>
        <v/>
      </c>
      <c r="AB133" s="233" t="str">
        <f t="shared" si="55"/>
        <v/>
      </c>
      <c r="AC133" s="233" t="str">
        <f t="shared" si="56"/>
        <v>mol/s</v>
      </c>
      <c r="AD133" s="231" t="str">
        <f t="shared" si="57"/>
        <v/>
      </c>
      <c r="AE133" s="231" t="s">
        <v>283</v>
      </c>
      <c r="AF133" s="232" t="str">
        <f t="shared" si="58"/>
        <v/>
      </c>
      <c r="AG133" s="236" t="s">
        <v>284</v>
      </c>
      <c r="AH133" s="4"/>
      <c r="AI133" s="4" t="s">
        <v>142</v>
      </c>
      <c r="AJ133" s="4" t="s">
        <v>20</v>
      </c>
      <c r="AK133" s="4">
        <v>2</v>
      </c>
      <c r="AL133" s="4">
        <v>2</v>
      </c>
      <c r="AM133" s="232" t="str">
        <f t="shared" si="59"/>
        <v/>
      </c>
      <c r="AN133" s="233" t="str">
        <f t="shared" si="60"/>
        <v/>
      </c>
      <c r="AO133" s="4" t="str">
        <f t="shared" si="61"/>
        <v>mol/s</v>
      </c>
      <c r="AP133" s="4"/>
      <c r="AQ133" s="4"/>
      <c r="AR133" s="4"/>
      <c r="AS133" s="128" t="s">
        <v>368</v>
      </c>
      <c r="AT133" s="4">
        <v>0</v>
      </c>
      <c r="AV133" s="248" t="str">
        <f t="shared" si="62"/>
        <v/>
      </c>
      <c r="AW133" s="248"/>
      <c r="AX133" s="4" t="str">
        <f t="shared" si="63"/>
        <v>M</v>
      </c>
      <c r="AY133" s="248" t="str">
        <f t="shared" si="64"/>
        <v/>
      </c>
      <c r="AZ133" s="232"/>
      <c r="BA133" s="4">
        <v>131</v>
      </c>
      <c r="BB133" s="2" t="s">
        <v>47</v>
      </c>
      <c r="BC133" s="2" t="s">
        <v>52</v>
      </c>
      <c r="BD133" s="2" t="s">
        <v>77</v>
      </c>
      <c r="BE133" s="2" t="s">
        <v>48</v>
      </c>
      <c r="BF133" s="2" t="s">
        <v>81</v>
      </c>
      <c r="BG133" s="2"/>
      <c r="BH133" s="185" t="s">
        <v>44</v>
      </c>
      <c r="BI133" s="185" t="s">
        <v>160</v>
      </c>
      <c r="BJ133" s="185" t="s">
        <v>148</v>
      </c>
      <c r="BK133" s="185" t="s">
        <v>164</v>
      </c>
      <c r="BL133" s="100"/>
      <c r="BM133" s="97">
        <f t="shared" si="65"/>
        <v>0</v>
      </c>
      <c r="BN133" s="225" t="s">
        <v>304</v>
      </c>
      <c r="BO133" s="225" t="s">
        <v>307</v>
      </c>
      <c r="BP133" s="225" t="s">
        <v>258</v>
      </c>
      <c r="BQ133" s="225" t="s">
        <v>259</v>
      </c>
      <c r="BR133" s="225" t="s">
        <v>318</v>
      </c>
      <c r="BS133" s="225" t="s">
        <v>328</v>
      </c>
      <c r="BT133" s="225" t="s">
        <v>275</v>
      </c>
      <c r="BU133" s="225" t="s">
        <v>260</v>
      </c>
      <c r="BV133" s="2"/>
      <c r="BW133" s="259" t="s">
        <v>329</v>
      </c>
      <c r="BX133" s="259" t="s">
        <v>330</v>
      </c>
      <c r="BY133" s="259" t="s">
        <v>341</v>
      </c>
      <c r="BZ133" s="259" t="s">
        <v>342</v>
      </c>
      <c r="CA133" s="107"/>
      <c r="CB133" s="249"/>
      <c r="CC133" s="107"/>
      <c r="CD133" s="249"/>
      <c r="CE133" s="107"/>
      <c r="CF133" s="225" t="str">
        <f t="shared" si="66"/>
        <v/>
      </c>
      <c r="CG133" s="225" t="str">
        <f t="shared" si="67"/>
        <v/>
      </c>
      <c r="CH133" s="225" t="str">
        <f t="shared" si="68"/>
        <v/>
      </c>
      <c r="CI133" s="225" t="str">
        <f t="shared" si="69"/>
        <v/>
      </c>
      <c r="CJ133" s="225" t="str">
        <f t="shared" si="70"/>
        <v/>
      </c>
      <c r="CK133" s="225" t="str">
        <f t="shared" si="71"/>
        <v/>
      </c>
      <c r="CL133" s="225" t="str">
        <f t="shared" si="72"/>
        <v/>
      </c>
      <c r="CM133" s="225" t="str">
        <f t="shared" si="73"/>
        <v/>
      </c>
      <c r="CN133" s="225" t="str">
        <f t="shared" si="74"/>
        <v/>
      </c>
      <c r="CO133" s="225" t="str">
        <f t="shared" si="75"/>
        <v/>
      </c>
      <c r="CP133" s="250"/>
      <c r="CQ133" s="250" t="str">
        <f t="shared" si="76"/>
        <v/>
      </c>
      <c r="CR133" s="5">
        <v>131</v>
      </c>
      <c r="CU1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3" s="373" t="str">
        <f t="shared" si="77"/>
        <v/>
      </c>
      <c r="CW133" s="2"/>
      <c r="CX133" s="104"/>
    </row>
    <row r="134" spans="2:102" ht="18.95" customHeight="1" x14ac:dyDescent="0.35">
      <c r="B134" s="4">
        <v>132</v>
      </c>
      <c r="C134" s="4" t="s">
        <v>867</v>
      </c>
      <c r="E134" s="382" t="s">
        <v>612</v>
      </c>
      <c r="F134" s="69" t="s">
        <v>75</v>
      </c>
      <c r="H134" s="69" t="s">
        <v>500</v>
      </c>
      <c r="I134" s="69" t="s">
        <v>570</v>
      </c>
      <c r="J134" s="69" t="s">
        <v>423</v>
      </c>
      <c r="K134" s="160" t="s">
        <v>572</v>
      </c>
      <c r="L134" s="2"/>
      <c r="M134" s="166" t="s">
        <v>827</v>
      </c>
      <c r="N134" s="2"/>
      <c r="O134" s="230" t="str">
        <f>IF($A$2=B134,Elektro!$Q$11,"")</f>
        <v/>
      </c>
      <c r="P134" s="230" t="str">
        <f>IF($A$2=B134,Elektro!$Q$12,"")</f>
        <v/>
      </c>
      <c r="Q134" s="236" t="str">
        <f>IF($A$2=B134,Elektro!$Q$13,"")</f>
        <v/>
      </c>
      <c r="R134" s="231" t="str">
        <f>IF($A$2=B134,Elektro!$Q$14,"")</f>
        <v/>
      </c>
      <c r="S134" s="231" t="str">
        <f>IF($A$2=B134,Elektro!$Q$15,"")</f>
        <v/>
      </c>
      <c r="T134" s="230" t="str">
        <f>IF($A$2=B134,Elektro!$Q$16,"")</f>
        <v/>
      </c>
      <c r="U134" s="353" t="str">
        <f t="shared" si="52"/>
        <v/>
      </c>
      <c r="V134" s="353" t="str">
        <f t="shared" si="53"/>
        <v/>
      </c>
      <c r="W134" s="4" t="s">
        <v>141</v>
      </c>
      <c r="X134" s="4" t="s">
        <v>248</v>
      </c>
      <c r="Y134" s="4">
        <v>1</v>
      </c>
      <c r="Z134" s="4">
        <v>107.9</v>
      </c>
      <c r="AA134" s="232" t="str">
        <f t="shared" si="54"/>
        <v/>
      </c>
      <c r="AB134" s="233" t="str">
        <f t="shared" si="55"/>
        <v/>
      </c>
      <c r="AC134" s="233" t="str">
        <f t="shared" si="56"/>
        <v>mol/s</v>
      </c>
      <c r="AD134" s="231" t="str">
        <f t="shared" si="57"/>
        <v/>
      </c>
      <c r="AE134" s="231" t="s">
        <v>283</v>
      </c>
      <c r="AF134" s="232" t="str">
        <f t="shared" si="58"/>
        <v/>
      </c>
      <c r="AG134" s="236" t="s">
        <v>284</v>
      </c>
      <c r="AH134" s="4"/>
      <c r="AI134" s="4" t="s">
        <v>142</v>
      </c>
      <c r="AJ134" s="4" t="s">
        <v>20</v>
      </c>
      <c r="AK134" s="4">
        <v>2</v>
      </c>
      <c r="AL134" s="4">
        <v>2</v>
      </c>
      <c r="AM134" s="232" t="str">
        <f t="shared" si="59"/>
        <v/>
      </c>
      <c r="AN134" s="233" t="str">
        <f t="shared" si="60"/>
        <v/>
      </c>
      <c r="AO134" s="4" t="str">
        <f t="shared" si="61"/>
        <v>mol/s</v>
      </c>
      <c r="AP134" s="4"/>
      <c r="AQ134" s="4"/>
      <c r="AR134" s="4"/>
      <c r="AS134" s="128" t="s">
        <v>368</v>
      </c>
      <c r="AT134" s="4">
        <v>0</v>
      </c>
      <c r="AV134" s="248" t="str">
        <f t="shared" si="62"/>
        <v/>
      </c>
      <c r="AW134" s="248"/>
      <c r="AX134" s="4" t="str">
        <f t="shared" si="63"/>
        <v>M</v>
      </c>
      <c r="AY134" s="248" t="str">
        <f t="shared" si="64"/>
        <v/>
      </c>
      <c r="AZ134" s="232"/>
      <c r="BA134" s="4">
        <v>132</v>
      </c>
      <c r="BB134" s="2" t="s">
        <v>47</v>
      </c>
      <c r="BC134" s="2" t="s">
        <v>52</v>
      </c>
      <c r="BD134" s="2" t="s">
        <v>77</v>
      </c>
      <c r="BE134" s="2" t="s">
        <v>48</v>
      </c>
      <c r="BF134" s="2" t="s">
        <v>82</v>
      </c>
      <c r="BG134" s="2"/>
      <c r="BH134" s="185" t="s">
        <v>44</v>
      </c>
      <c r="BI134" s="185" t="s">
        <v>160</v>
      </c>
      <c r="BJ134" s="185" t="s">
        <v>148</v>
      </c>
      <c r="BK134" s="185" t="s">
        <v>164</v>
      </c>
      <c r="BL134" s="100"/>
      <c r="BM134" s="97">
        <f t="shared" si="65"/>
        <v>0</v>
      </c>
      <c r="BN134" s="225" t="s">
        <v>304</v>
      </c>
      <c r="BO134" s="225" t="s">
        <v>307</v>
      </c>
      <c r="BP134" s="225" t="s">
        <v>258</v>
      </c>
      <c r="BQ134" s="225" t="s">
        <v>259</v>
      </c>
      <c r="BR134" s="225" t="s">
        <v>318</v>
      </c>
      <c r="BS134" s="225" t="s">
        <v>328</v>
      </c>
      <c r="BT134" s="225" t="s">
        <v>275</v>
      </c>
      <c r="BU134" s="225" t="s">
        <v>260</v>
      </c>
      <c r="BV134" s="2"/>
      <c r="BW134" s="259" t="s">
        <v>329</v>
      </c>
      <c r="BX134" s="259" t="s">
        <v>330</v>
      </c>
      <c r="BY134" s="259" t="s">
        <v>341</v>
      </c>
      <c r="BZ134" s="259" t="s">
        <v>342</v>
      </c>
      <c r="CA134" s="107"/>
      <c r="CB134" s="249"/>
      <c r="CC134" s="107"/>
      <c r="CD134" s="249"/>
      <c r="CE134" s="107"/>
      <c r="CF134" s="225" t="str">
        <f t="shared" si="66"/>
        <v/>
      </c>
      <c r="CG134" s="225" t="str">
        <f t="shared" si="67"/>
        <v/>
      </c>
      <c r="CH134" s="225" t="str">
        <f t="shared" si="68"/>
        <v/>
      </c>
      <c r="CI134" s="225" t="str">
        <f t="shared" si="69"/>
        <v/>
      </c>
      <c r="CJ134" s="225" t="str">
        <f t="shared" si="70"/>
        <v/>
      </c>
      <c r="CK134" s="225" t="str">
        <f t="shared" si="71"/>
        <v/>
      </c>
      <c r="CL134" s="225" t="str">
        <f t="shared" si="72"/>
        <v/>
      </c>
      <c r="CM134" s="225" t="str">
        <f t="shared" si="73"/>
        <v/>
      </c>
      <c r="CN134" s="225" t="str">
        <f t="shared" si="74"/>
        <v/>
      </c>
      <c r="CO134" s="225" t="str">
        <f t="shared" si="75"/>
        <v/>
      </c>
      <c r="CP134" s="250"/>
      <c r="CQ134" s="250" t="str">
        <f t="shared" si="76"/>
        <v/>
      </c>
      <c r="CR134" s="5">
        <v>132</v>
      </c>
      <c r="CU1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4" s="373" t="str">
        <f t="shared" si="77"/>
        <v/>
      </c>
      <c r="CW134" s="2"/>
      <c r="CX134" s="104"/>
    </row>
    <row r="135" spans="2:102" ht="18.95" customHeight="1" x14ac:dyDescent="0.35">
      <c r="B135" s="4">
        <v>133</v>
      </c>
      <c r="C135" s="4" t="s">
        <v>688</v>
      </c>
      <c r="E135" s="382" t="s">
        <v>645</v>
      </c>
      <c r="F135" s="69" t="s">
        <v>75</v>
      </c>
      <c r="H135" s="69" t="s">
        <v>467</v>
      </c>
      <c r="I135" s="69" t="s">
        <v>570</v>
      </c>
      <c r="J135" s="69" t="s">
        <v>423</v>
      </c>
      <c r="K135" s="160" t="s">
        <v>572</v>
      </c>
      <c r="L135" s="2"/>
      <c r="M135" s="166" t="s">
        <v>828</v>
      </c>
      <c r="N135" s="2"/>
      <c r="O135" s="230" t="str">
        <f>IF($A$2=B135,Elektro!$Q$11,"")</f>
        <v/>
      </c>
      <c r="P135" s="230" t="str">
        <f>IF($A$2=B135,Elektro!$Q$12,"")</f>
        <v/>
      </c>
      <c r="Q135" s="236" t="str">
        <f>IF($A$2=B135,Elektro!$Q$13,"")</f>
        <v/>
      </c>
      <c r="R135" s="231" t="str">
        <f>IF($A$2=B135,Elektro!$Q$14,"")</f>
        <v/>
      </c>
      <c r="S135" s="231" t="str">
        <f>IF($A$2=B135,Elektro!$Q$15,"")</f>
        <v/>
      </c>
      <c r="T135" s="230" t="str">
        <f>IF($A$2=B135,Elektro!$Q$16,"")</f>
        <v/>
      </c>
      <c r="U135" s="353" t="str">
        <f t="shared" si="52"/>
        <v/>
      </c>
      <c r="V135" s="353" t="str">
        <f t="shared" si="53"/>
        <v/>
      </c>
      <c r="W135" s="4" t="s">
        <v>141</v>
      </c>
      <c r="X135" s="4" t="s">
        <v>248</v>
      </c>
      <c r="Y135" s="4">
        <v>1</v>
      </c>
      <c r="Z135" s="4">
        <v>107.9</v>
      </c>
      <c r="AA135" s="232" t="str">
        <f t="shared" si="54"/>
        <v/>
      </c>
      <c r="AB135" s="233" t="str">
        <f t="shared" si="55"/>
        <v/>
      </c>
      <c r="AC135" s="233" t="str">
        <f t="shared" si="56"/>
        <v>mol/s</v>
      </c>
      <c r="AD135" s="231" t="str">
        <f t="shared" si="57"/>
        <v/>
      </c>
      <c r="AE135" s="231" t="s">
        <v>283</v>
      </c>
      <c r="AF135" s="232" t="str">
        <f t="shared" si="58"/>
        <v/>
      </c>
      <c r="AG135" s="236" t="s">
        <v>284</v>
      </c>
      <c r="AH135" s="4"/>
      <c r="AI135" s="4" t="s">
        <v>142</v>
      </c>
      <c r="AJ135" s="4" t="s">
        <v>20</v>
      </c>
      <c r="AK135" s="4">
        <v>2</v>
      </c>
      <c r="AL135" s="4">
        <v>2</v>
      </c>
      <c r="AM135" s="232" t="str">
        <f t="shared" si="59"/>
        <v/>
      </c>
      <c r="AN135" s="233" t="str">
        <f t="shared" si="60"/>
        <v/>
      </c>
      <c r="AO135" s="4" t="str">
        <f t="shared" si="61"/>
        <v>mol/s</v>
      </c>
      <c r="AP135" s="4"/>
      <c r="AQ135" s="4"/>
      <c r="AR135" s="4"/>
      <c r="AS135" s="4" t="s">
        <v>368</v>
      </c>
      <c r="AT135" s="4">
        <v>0</v>
      </c>
      <c r="AV135" s="248" t="str">
        <f t="shared" si="62"/>
        <v/>
      </c>
      <c r="AW135" s="248"/>
      <c r="AX135" s="4" t="str">
        <f t="shared" si="63"/>
        <v>M</v>
      </c>
      <c r="AY135" s="248" t="str">
        <f t="shared" si="64"/>
        <v/>
      </c>
      <c r="AZ135" s="232"/>
      <c r="BA135" s="4">
        <v>133</v>
      </c>
      <c r="BB135" s="2" t="s">
        <v>47</v>
      </c>
      <c r="BC135" s="2" t="s">
        <v>234</v>
      </c>
      <c r="BD135" s="2" t="s">
        <v>77</v>
      </c>
      <c r="BE135" s="2" t="s">
        <v>48</v>
      </c>
      <c r="BF135" s="2" t="s">
        <v>50</v>
      </c>
      <c r="BG135" s="2"/>
      <c r="BH135" s="185" t="s">
        <v>44</v>
      </c>
      <c r="BI135" s="185" t="s">
        <v>160</v>
      </c>
      <c r="BJ135" s="185" t="s">
        <v>148</v>
      </c>
      <c r="BK135" s="185" t="s">
        <v>164</v>
      </c>
      <c r="BL135" s="100"/>
      <c r="BM135" s="97">
        <f t="shared" si="65"/>
        <v>0</v>
      </c>
      <c r="BN135" s="225" t="s">
        <v>304</v>
      </c>
      <c r="BO135" s="225" t="s">
        <v>307</v>
      </c>
      <c r="BP135" s="225" t="s">
        <v>258</v>
      </c>
      <c r="BQ135" s="225" t="s">
        <v>259</v>
      </c>
      <c r="BR135" s="225" t="s">
        <v>318</v>
      </c>
      <c r="BS135" s="225" t="s">
        <v>328</v>
      </c>
      <c r="BT135" s="225" t="s">
        <v>275</v>
      </c>
      <c r="BU135" s="225" t="s">
        <v>260</v>
      </c>
      <c r="BV135" s="2"/>
      <c r="BW135" s="259" t="s">
        <v>329</v>
      </c>
      <c r="BX135" s="259" t="s">
        <v>330</v>
      </c>
      <c r="BY135" s="259" t="s">
        <v>341</v>
      </c>
      <c r="BZ135" s="259" t="s">
        <v>342</v>
      </c>
      <c r="CA135" s="107"/>
      <c r="CB135" s="249"/>
      <c r="CC135" s="107"/>
      <c r="CD135" s="249"/>
      <c r="CE135" s="107"/>
      <c r="CF135" s="225" t="str">
        <f t="shared" si="66"/>
        <v/>
      </c>
      <c r="CG135" s="225" t="str">
        <f t="shared" si="67"/>
        <v/>
      </c>
      <c r="CH135" s="225" t="str">
        <f t="shared" si="68"/>
        <v/>
      </c>
      <c r="CI135" s="225" t="str">
        <f t="shared" si="69"/>
        <v/>
      </c>
      <c r="CJ135" s="225" t="str">
        <f t="shared" si="70"/>
        <v/>
      </c>
      <c r="CK135" s="225" t="str">
        <f t="shared" si="71"/>
        <v/>
      </c>
      <c r="CL135" s="225" t="str">
        <f t="shared" si="72"/>
        <v/>
      </c>
      <c r="CM135" s="225" t="str">
        <f t="shared" si="73"/>
        <v/>
      </c>
      <c r="CN135" s="225" t="str">
        <f t="shared" si="74"/>
        <v/>
      </c>
      <c r="CO135" s="225" t="str">
        <f t="shared" si="75"/>
        <v/>
      </c>
      <c r="CP135" s="250"/>
      <c r="CQ135" s="250" t="str">
        <f t="shared" si="76"/>
        <v/>
      </c>
      <c r="CR135" s="5">
        <v>133</v>
      </c>
      <c r="CU1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5" s="373" t="str">
        <f t="shared" si="77"/>
        <v/>
      </c>
      <c r="CW135" s="2"/>
      <c r="CX135" s="104"/>
    </row>
    <row r="136" spans="2:102" ht="18.95" customHeight="1" x14ac:dyDescent="0.35">
      <c r="B136" s="4">
        <v>134</v>
      </c>
      <c r="C136" s="4" t="s">
        <v>696</v>
      </c>
      <c r="E136" s="382" t="s">
        <v>613</v>
      </c>
      <c r="F136" s="69" t="s">
        <v>75</v>
      </c>
      <c r="H136" s="69" t="s">
        <v>501</v>
      </c>
      <c r="I136" s="69" t="s">
        <v>570</v>
      </c>
      <c r="J136" s="69" t="s">
        <v>423</v>
      </c>
      <c r="K136" s="160" t="s">
        <v>572</v>
      </c>
      <c r="L136" s="2"/>
      <c r="M136" s="166" t="s">
        <v>829</v>
      </c>
      <c r="N136" s="2"/>
      <c r="O136" s="230" t="str">
        <f>IF($A$2=B136,Elektro!$Q$11,"")</f>
        <v/>
      </c>
      <c r="P136" s="230" t="str">
        <f>IF($A$2=B136,Elektro!$Q$12,"")</f>
        <v/>
      </c>
      <c r="Q136" s="236" t="str">
        <f>IF($A$2=B136,Elektro!$Q$13,"")</f>
        <v/>
      </c>
      <c r="R136" s="231" t="str">
        <f>IF($A$2=B136,Elektro!$Q$14,"")</f>
        <v/>
      </c>
      <c r="S136" s="231" t="str">
        <f>IF($A$2=B136,Elektro!$Q$15,"")</f>
        <v/>
      </c>
      <c r="T136" s="230" t="str">
        <f>IF($A$2=B136,Elektro!$Q$16,"")</f>
        <v/>
      </c>
      <c r="U136" s="353" t="str">
        <f t="shared" si="52"/>
        <v/>
      </c>
      <c r="V136" s="353" t="str">
        <f t="shared" si="53"/>
        <v/>
      </c>
      <c r="W136" s="4" t="s">
        <v>141</v>
      </c>
      <c r="X136" s="4" t="s">
        <v>248</v>
      </c>
      <c r="Y136" s="4">
        <v>1</v>
      </c>
      <c r="Z136" s="4">
        <v>107.9</v>
      </c>
      <c r="AA136" s="232" t="str">
        <f t="shared" si="54"/>
        <v/>
      </c>
      <c r="AB136" s="233" t="str">
        <f t="shared" si="55"/>
        <v/>
      </c>
      <c r="AC136" s="233" t="str">
        <f t="shared" si="56"/>
        <v>mol/s</v>
      </c>
      <c r="AD136" s="231" t="str">
        <f t="shared" si="57"/>
        <v/>
      </c>
      <c r="AE136" s="231" t="s">
        <v>283</v>
      </c>
      <c r="AF136" s="232" t="str">
        <f t="shared" si="58"/>
        <v/>
      </c>
      <c r="AG136" s="236" t="s">
        <v>284</v>
      </c>
      <c r="AH136" s="4"/>
      <c r="AI136" s="4" t="s">
        <v>142</v>
      </c>
      <c r="AJ136" s="4" t="s">
        <v>20</v>
      </c>
      <c r="AK136" s="4">
        <v>2</v>
      </c>
      <c r="AL136" s="4">
        <v>2</v>
      </c>
      <c r="AM136" s="232" t="str">
        <f t="shared" si="59"/>
        <v/>
      </c>
      <c r="AN136" s="233" t="str">
        <f t="shared" si="60"/>
        <v/>
      </c>
      <c r="AO136" s="4" t="str">
        <f t="shared" si="61"/>
        <v>mol/s</v>
      </c>
      <c r="AP136" s="4"/>
      <c r="AQ136" s="4"/>
      <c r="AR136" s="4"/>
      <c r="AS136" s="4" t="s">
        <v>368</v>
      </c>
      <c r="AT136" s="4">
        <v>0</v>
      </c>
      <c r="AV136" s="248" t="str">
        <f t="shared" si="62"/>
        <v/>
      </c>
      <c r="AW136" s="248"/>
      <c r="AX136" s="4" t="str">
        <f t="shared" si="63"/>
        <v>M</v>
      </c>
      <c r="AY136" s="248" t="str">
        <f t="shared" si="64"/>
        <v/>
      </c>
      <c r="AZ136" s="232"/>
      <c r="BA136" s="4">
        <v>134</v>
      </c>
      <c r="BB136" s="2" t="s">
        <v>47</v>
      </c>
      <c r="BC136" s="2" t="s">
        <v>235</v>
      </c>
      <c r="BD136" s="2" t="s">
        <v>77</v>
      </c>
      <c r="BE136" s="2" t="s">
        <v>48</v>
      </c>
      <c r="BF136" s="2" t="s">
        <v>83</v>
      </c>
      <c r="BG136" s="2"/>
      <c r="BH136" s="185" t="s">
        <v>44</v>
      </c>
      <c r="BI136" s="185" t="s">
        <v>160</v>
      </c>
      <c r="BJ136" s="185" t="s">
        <v>148</v>
      </c>
      <c r="BK136" s="185" t="s">
        <v>164</v>
      </c>
      <c r="BL136" s="100"/>
      <c r="BM136" s="97">
        <f t="shared" si="65"/>
        <v>0</v>
      </c>
      <c r="BN136" s="225" t="s">
        <v>304</v>
      </c>
      <c r="BO136" s="225" t="s">
        <v>307</v>
      </c>
      <c r="BP136" s="225" t="s">
        <v>258</v>
      </c>
      <c r="BQ136" s="225" t="s">
        <v>259</v>
      </c>
      <c r="BR136" s="225" t="s">
        <v>318</v>
      </c>
      <c r="BS136" s="225" t="s">
        <v>328</v>
      </c>
      <c r="BT136" s="225" t="s">
        <v>275</v>
      </c>
      <c r="BU136" s="225" t="s">
        <v>260</v>
      </c>
      <c r="BV136" s="2"/>
      <c r="BW136" s="259" t="s">
        <v>329</v>
      </c>
      <c r="BX136" s="259" t="s">
        <v>330</v>
      </c>
      <c r="BY136" s="259" t="s">
        <v>341</v>
      </c>
      <c r="BZ136" s="259" t="s">
        <v>342</v>
      </c>
      <c r="CA136" s="107"/>
      <c r="CB136" s="249"/>
      <c r="CC136" s="107"/>
      <c r="CD136" s="249"/>
      <c r="CE136" s="107"/>
      <c r="CF136" s="225" t="str">
        <f t="shared" si="66"/>
        <v/>
      </c>
      <c r="CG136" s="225" t="str">
        <f t="shared" si="67"/>
        <v/>
      </c>
      <c r="CH136" s="225" t="str">
        <f t="shared" si="68"/>
        <v/>
      </c>
      <c r="CI136" s="225" t="str">
        <f t="shared" si="69"/>
        <v/>
      </c>
      <c r="CJ136" s="225" t="str">
        <f t="shared" si="70"/>
        <v/>
      </c>
      <c r="CK136" s="225" t="str">
        <f t="shared" si="71"/>
        <v/>
      </c>
      <c r="CL136" s="225" t="str">
        <f t="shared" si="72"/>
        <v/>
      </c>
      <c r="CM136" s="225" t="str">
        <f t="shared" si="73"/>
        <v/>
      </c>
      <c r="CN136" s="225" t="str">
        <f t="shared" si="74"/>
        <v/>
      </c>
      <c r="CO136" s="225" t="str">
        <f t="shared" si="75"/>
        <v/>
      </c>
      <c r="CP136" s="250"/>
      <c r="CQ136" s="250" t="str">
        <f t="shared" si="76"/>
        <v/>
      </c>
      <c r="CR136" s="5">
        <v>134</v>
      </c>
      <c r="CU1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6" s="373" t="str">
        <f t="shared" si="77"/>
        <v/>
      </c>
      <c r="CW136" s="2"/>
      <c r="CX136" s="104"/>
    </row>
    <row r="137" spans="2:102" ht="18.95" customHeight="1" x14ac:dyDescent="0.35">
      <c r="B137" s="4">
        <v>135</v>
      </c>
      <c r="C137" s="4" t="s">
        <v>689</v>
      </c>
      <c r="E137" s="382" t="s">
        <v>614</v>
      </c>
      <c r="F137" s="69" t="s">
        <v>75</v>
      </c>
      <c r="H137" s="69" t="s">
        <v>502</v>
      </c>
      <c r="I137" s="69" t="s">
        <v>570</v>
      </c>
      <c r="J137" s="69" t="s">
        <v>423</v>
      </c>
      <c r="K137" s="160" t="s">
        <v>572</v>
      </c>
      <c r="L137" s="2"/>
      <c r="M137" s="161" t="s">
        <v>830</v>
      </c>
      <c r="N137" s="2"/>
      <c r="O137" s="230" t="str">
        <f>IF($A$2=B137,Elektro!$Q$11,"")</f>
        <v/>
      </c>
      <c r="P137" s="230" t="str">
        <f>IF($A$2=B137,Elektro!$Q$12,"")</f>
        <v/>
      </c>
      <c r="Q137" s="236" t="str">
        <f>IF($A$2=B137,Elektro!$Q$13,"")</f>
        <v/>
      </c>
      <c r="R137" s="231" t="str">
        <f>IF($A$2=B137,Elektro!$Q$14,"")</f>
        <v/>
      </c>
      <c r="S137" s="231" t="str">
        <f>IF($A$2=B137,Elektro!$Q$15,"")</f>
        <v/>
      </c>
      <c r="T137" s="230" t="str">
        <f>IF($A$2=B137,Elektro!$Q$16,"")</f>
        <v/>
      </c>
      <c r="U137" s="353" t="str">
        <f t="shared" si="52"/>
        <v/>
      </c>
      <c r="V137" s="353" t="str">
        <f t="shared" si="53"/>
        <v/>
      </c>
      <c r="W137" s="4" t="s">
        <v>141</v>
      </c>
      <c r="X137" s="4" t="s">
        <v>248</v>
      </c>
      <c r="Y137" s="4">
        <v>1</v>
      </c>
      <c r="Z137" s="4">
        <v>107.9</v>
      </c>
      <c r="AA137" s="232" t="str">
        <f t="shared" si="54"/>
        <v/>
      </c>
      <c r="AB137" s="233" t="str">
        <f t="shared" si="55"/>
        <v/>
      </c>
      <c r="AC137" s="233" t="str">
        <f t="shared" si="56"/>
        <v>mol/s</v>
      </c>
      <c r="AD137" s="231" t="str">
        <f t="shared" si="57"/>
        <v/>
      </c>
      <c r="AE137" s="231" t="s">
        <v>283</v>
      </c>
      <c r="AF137" s="232" t="str">
        <f t="shared" si="58"/>
        <v/>
      </c>
      <c r="AG137" s="236" t="s">
        <v>284</v>
      </c>
      <c r="AH137" s="4"/>
      <c r="AI137" s="4" t="s">
        <v>142</v>
      </c>
      <c r="AJ137" s="4" t="s">
        <v>20</v>
      </c>
      <c r="AK137" s="4">
        <v>2</v>
      </c>
      <c r="AL137" s="4">
        <v>2</v>
      </c>
      <c r="AM137" s="232" t="str">
        <f t="shared" si="59"/>
        <v/>
      </c>
      <c r="AN137" s="233" t="str">
        <f t="shared" si="60"/>
        <v/>
      </c>
      <c r="AO137" s="4" t="str">
        <f t="shared" si="61"/>
        <v>mol/s</v>
      </c>
      <c r="AP137" s="4"/>
      <c r="AQ137" s="4"/>
      <c r="AR137" s="4"/>
      <c r="AS137" s="4" t="s">
        <v>368</v>
      </c>
      <c r="AT137" s="4">
        <v>0</v>
      </c>
      <c r="AV137" s="248" t="str">
        <f t="shared" si="62"/>
        <v/>
      </c>
      <c r="AW137" s="248"/>
      <c r="AX137" s="4" t="str">
        <f t="shared" si="63"/>
        <v>M</v>
      </c>
      <c r="AY137" s="248" t="str">
        <f t="shared" si="64"/>
        <v/>
      </c>
      <c r="AZ137" s="232"/>
      <c r="BA137" s="4">
        <v>135</v>
      </c>
      <c r="BB137" s="2" t="s">
        <v>47</v>
      </c>
      <c r="BC137" s="2" t="s">
        <v>236</v>
      </c>
      <c r="BD137" s="2" t="s">
        <v>77</v>
      </c>
      <c r="BE137" s="2" t="s">
        <v>48</v>
      </c>
      <c r="BF137" s="2" t="s">
        <v>50</v>
      </c>
      <c r="BG137" s="2"/>
      <c r="BH137" s="185" t="s">
        <v>44</v>
      </c>
      <c r="BI137" s="185" t="s">
        <v>160</v>
      </c>
      <c r="BJ137" s="185" t="s">
        <v>148</v>
      </c>
      <c r="BK137" s="185" t="s">
        <v>164</v>
      </c>
      <c r="BL137" s="100"/>
      <c r="BM137" s="97">
        <f t="shared" si="65"/>
        <v>0</v>
      </c>
      <c r="BN137" s="225" t="s">
        <v>304</v>
      </c>
      <c r="BO137" s="225" t="s">
        <v>307</v>
      </c>
      <c r="BP137" s="225" t="s">
        <v>258</v>
      </c>
      <c r="BQ137" s="225" t="s">
        <v>259</v>
      </c>
      <c r="BR137" s="225" t="s">
        <v>318</v>
      </c>
      <c r="BS137" s="225" t="s">
        <v>328</v>
      </c>
      <c r="BT137" s="225" t="s">
        <v>275</v>
      </c>
      <c r="BU137" s="225" t="s">
        <v>260</v>
      </c>
      <c r="BV137" s="2"/>
      <c r="BW137" s="259" t="s">
        <v>329</v>
      </c>
      <c r="BX137" s="259" t="s">
        <v>330</v>
      </c>
      <c r="BY137" s="259" t="s">
        <v>341</v>
      </c>
      <c r="BZ137" s="259" t="s">
        <v>342</v>
      </c>
      <c r="CA137" s="107"/>
      <c r="CB137" s="249"/>
      <c r="CC137" s="107"/>
      <c r="CD137" s="249"/>
      <c r="CE137" s="107"/>
      <c r="CF137" s="225" t="str">
        <f t="shared" si="66"/>
        <v/>
      </c>
      <c r="CG137" s="225" t="str">
        <f t="shared" si="67"/>
        <v/>
      </c>
      <c r="CH137" s="225" t="str">
        <f t="shared" si="68"/>
        <v/>
      </c>
      <c r="CI137" s="225" t="str">
        <f t="shared" si="69"/>
        <v/>
      </c>
      <c r="CJ137" s="225" t="str">
        <f t="shared" si="70"/>
        <v/>
      </c>
      <c r="CK137" s="225" t="str">
        <f t="shared" si="71"/>
        <v/>
      </c>
      <c r="CL137" s="225" t="str">
        <f t="shared" si="72"/>
        <v/>
      </c>
      <c r="CM137" s="225" t="str">
        <f t="shared" si="73"/>
        <v/>
      </c>
      <c r="CN137" s="225" t="str">
        <f t="shared" si="74"/>
        <v/>
      </c>
      <c r="CO137" s="225" t="str">
        <f t="shared" si="75"/>
        <v/>
      </c>
      <c r="CP137" s="250"/>
      <c r="CQ137" s="250" t="str">
        <f t="shared" si="76"/>
        <v/>
      </c>
      <c r="CR137" s="5">
        <v>135</v>
      </c>
      <c r="CU1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7" s="373" t="str">
        <f t="shared" si="77"/>
        <v/>
      </c>
      <c r="CW137" s="2"/>
      <c r="CX137" s="104"/>
    </row>
    <row r="138" spans="2:102" ht="18.95" customHeight="1" x14ac:dyDescent="0.35">
      <c r="B138" s="4">
        <v>136</v>
      </c>
      <c r="C138" s="4" t="s">
        <v>868</v>
      </c>
      <c r="E138" s="382" t="s">
        <v>615</v>
      </c>
      <c r="F138" s="69" t="s">
        <v>75</v>
      </c>
      <c r="H138" s="69" t="s">
        <v>503</v>
      </c>
      <c r="I138" s="69" t="s">
        <v>570</v>
      </c>
      <c r="J138" s="69" t="s">
        <v>423</v>
      </c>
      <c r="K138" s="160" t="s">
        <v>572</v>
      </c>
      <c r="L138" s="2"/>
      <c r="M138" s="161" t="s">
        <v>831</v>
      </c>
      <c r="N138" s="2"/>
      <c r="O138" s="230" t="str">
        <f>IF($A$2=B138,Elektro!$Q$11,"")</f>
        <v/>
      </c>
      <c r="P138" s="230" t="str">
        <f>IF($A$2=B138,Elektro!$Q$12,"")</f>
        <v/>
      </c>
      <c r="Q138" s="236" t="str">
        <f>IF($A$2=B138,Elektro!$Q$13,"")</f>
        <v/>
      </c>
      <c r="R138" s="231" t="str">
        <f>IF($A$2=B138,Elektro!$Q$14,"")</f>
        <v/>
      </c>
      <c r="S138" s="231" t="str">
        <f>IF($A$2=B138,Elektro!$Q$15,"")</f>
        <v/>
      </c>
      <c r="T138" s="230" t="str">
        <f>IF($A$2=B138,Elektro!$Q$16,"")</f>
        <v/>
      </c>
      <c r="U138" s="353" t="str">
        <f t="shared" si="52"/>
        <v/>
      </c>
      <c r="V138" s="353" t="str">
        <f t="shared" si="53"/>
        <v/>
      </c>
      <c r="W138" s="4" t="s">
        <v>141</v>
      </c>
      <c r="X138" s="4" t="s">
        <v>248</v>
      </c>
      <c r="Y138" s="4">
        <v>1</v>
      </c>
      <c r="Z138" s="4">
        <v>107.9</v>
      </c>
      <c r="AA138" s="232" t="str">
        <f t="shared" si="54"/>
        <v/>
      </c>
      <c r="AB138" s="233" t="str">
        <f t="shared" si="55"/>
        <v/>
      </c>
      <c r="AC138" s="233" t="str">
        <f t="shared" si="56"/>
        <v>mol/s</v>
      </c>
      <c r="AD138" s="231" t="str">
        <f t="shared" si="57"/>
        <v/>
      </c>
      <c r="AE138" s="231" t="s">
        <v>283</v>
      </c>
      <c r="AF138" s="232" t="str">
        <f t="shared" si="58"/>
        <v/>
      </c>
      <c r="AG138" s="236" t="s">
        <v>284</v>
      </c>
      <c r="AH138" s="4"/>
      <c r="AI138" s="4" t="s">
        <v>142</v>
      </c>
      <c r="AJ138" s="4" t="s">
        <v>20</v>
      </c>
      <c r="AK138" s="4">
        <v>2</v>
      </c>
      <c r="AL138" s="4">
        <v>2</v>
      </c>
      <c r="AM138" s="232" t="str">
        <f t="shared" si="59"/>
        <v/>
      </c>
      <c r="AN138" s="233" t="str">
        <f t="shared" si="60"/>
        <v/>
      </c>
      <c r="AO138" s="4" t="str">
        <f t="shared" si="61"/>
        <v>mol/s</v>
      </c>
      <c r="AP138" s="4"/>
      <c r="AQ138" s="4"/>
      <c r="AR138" s="4"/>
      <c r="AS138" s="4" t="s">
        <v>368</v>
      </c>
      <c r="AT138" s="4">
        <v>0</v>
      </c>
      <c r="AV138" s="248" t="str">
        <f t="shared" si="62"/>
        <v/>
      </c>
      <c r="AW138" s="248"/>
      <c r="AX138" s="4" t="str">
        <f t="shared" si="63"/>
        <v>M</v>
      </c>
      <c r="AY138" s="248" t="str">
        <f t="shared" si="64"/>
        <v/>
      </c>
      <c r="AZ138" s="232"/>
      <c r="BA138" s="4">
        <v>136</v>
      </c>
      <c r="BB138" s="2" t="s">
        <v>47</v>
      </c>
      <c r="BC138" s="2" t="s">
        <v>235</v>
      </c>
      <c r="BD138" s="2" t="s">
        <v>77</v>
      </c>
      <c r="BE138" s="2" t="s">
        <v>48</v>
      </c>
      <c r="BF138" s="2" t="s">
        <v>80</v>
      </c>
      <c r="BG138" s="2"/>
      <c r="BH138" s="185" t="s">
        <v>44</v>
      </c>
      <c r="BI138" s="185" t="s">
        <v>160</v>
      </c>
      <c r="BJ138" s="185" t="s">
        <v>148</v>
      </c>
      <c r="BK138" s="185" t="s">
        <v>164</v>
      </c>
      <c r="BL138" s="100"/>
      <c r="BM138" s="97">
        <f t="shared" si="65"/>
        <v>0</v>
      </c>
      <c r="BN138" s="225" t="s">
        <v>304</v>
      </c>
      <c r="BO138" s="225" t="s">
        <v>307</v>
      </c>
      <c r="BP138" s="225" t="s">
        <v>258</v>
      </c>
      <c r="BQ138" s="225" t="s">
        <v>259</v>
      </c>
      <c r="BR138" s="225" t="s">
        <v>318</v>
      </c>
      <c r="BS138" s="225" t="s">
        <v>328</v>
      </c>
      <c r="BT138" s="225" t="s">
        <v>275</v>
      </c>
      <c r="BU138" s="225" t="s">
        <v>260</v>
      </c>
      <c r="BV138" s="2"/>
      <c r="BW138" s="259" t="s">
        <v>329</v>
      </c>
      <c r="BX138" s="259" t="s">
        <v>330</v>
      </c>
      <c r="BY138" s="259" t="s">
        <v>341</v>
      </c>
      <c r="BZ138" s="259" t="s">
        <v>342</v>
      </c>
      <c r="CA138" s="107"/>
      <c r="CB138" s="249"/>
      <c r="CC138" s="107"/>
      <c r="CD138" s="249"/>
      <c r="CE138" s="107"/>
      <c r="CF138" s="225" t="str">
        <f t="shared" si="66"/>
        <v/>
      </c>
      <c r="CG138" s="225" t="str">
        <f t="shared" si="67"/>
        <v/>
      </c>
      <c r="CH138" s="225" t="str">
        <f t="shared" si="68"/>
        <v/>
      </c>
      <c r="CI138" s="225" t="str">
        <f t="shared" si="69"/>
        <v/>
      </c>
      <c r="CJ138" s="225" t="str">
        <f t="shared" si="70"/>
        <v/>
      </c>
      <c r="CK138" s="225" t="str">
        <f t="shared" si="71"/>
        <v/>
      </c>
      <c r="CL138" s="225" t="str">
        <f t="shared" si="72"/>
        <v/>
      </c>
      <c r="CM138" s="225" t="str">
        <f t="shared" si="73"/>
        <v/>
      </c>
      <c r="CN138" s="225" t="str">
        <f t="shared" si="74"/>
        <v/>
      </c>
      <c r="CO138" s="225" t="str">
        <f t="shared" si="75"/>
        <v/>
      </c>
      <c r="CP138" s="250"/>
      <c r="CQ138" s="250" t="str">
        <f t="shared" si="76"/>
        <v/>
      </c>
      <c r="CR138" s="5">
        <v>136</v>
      </c>
      <c r="CU1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8" s="373" t="str">
        <f t="shared" si="77"/>
        <v/>
      </c>
      <c r="CW138" s="2"/>
      <c r="CX138" s="104"/>
    </row>
    <row r="139" spans="2:102" ht="18.95" customHeight="1" x14ac:dyDescent="0.35">
      <c r="B139" s="4">
        <v>137</v>
      </c>
      <c r="C139" s="4" t="s">
        <v>690</v>
      </c>
      <c r="E139" s="382" t="s">
        <v>616</v>
      </c>
      <c r="F139" s="69" t="s">
        <v>75</v>
      </c>
      <c r="H139" s="69" t="s">
        <v>504</v>
      </c>
      <c r="I139" s="69" t="s">
        <v>570</v>
      </c>
      <c r="J139" s="69" t="s">
        <v>423</v>
      </c>
      <c r="K139" s="160" t="s">
        <v>572</v>
      </c>
      <c r="L139" s="2"/>
      <c r="M139" s="161" t="s">
        <v>832</v>
      </c>
      <c r="N139" s="2"/>
      <c r="O139" s="230" t="str">
        <f>IF($A$2=B139,Elektro!$Q$11,"")</f>
        <v/>
      </c>
      <c r="P139" s="230" t="str">
        <f>IF($A$2=B139,Elektro!$Q$12,"")</f>
        <v/>
      </c>
      <c r="Q139" s="236" t="str">
        <f>IF($A$2=B139,Elektro!$Q$13,"")</f>
        <v/>
      </c>
      <c r="R139" s="231" t="str">
        <f>IF($A$2=B139,Elektro!$Q$14,"")</f>
        <v/>
      </c>
      <c r="S139" s="231" t="str">
        <f>IF($A$2=B139,Elektro!$Q$15,"")</f>
        <v/>
      </c>
      <c r="T139" s="230" t="str">
        <f>IF($A$2=B139,Elektro!$Q$16,"")</f>
        <v/>
      </c>
      <c r="U139" s="353" t="str">
        <f t="shared" si="52"/>
        <v/>
      </c>
      <c r="V139" s="353" t="str">
        <f t="shared" si="53"/>
        <v/>
      </c>
      <c r="W139" s="4" t="s">
        <v>141</v>
      </c>
      <c r="X139" s="4" t="s">
        <v>248</v>
      </c>
      <c r="Y139" s="4">
        <v>1</v>
      </c>
      <c r="Z139" s="4">
        <v>107.9</v>
      </c>
      <c r="AA139" s="232" t="str">
        <f t="shared" si="54"/>
        <v/>
      </c>
      <c r="AB139" s="233" t="str">
        <f t="shared" si="55"/>
        <v/>
      </c>
      <c r="AC139" s="233" t="str">
        <f t="shared" si="56"/>
        <v>mol/s</v>
      </c>
      <c r="AD139" s="231" t="str">
        <f t="shared" si="57"/>
        <v/>
      </c>
      <c r="AE139" s="231" t="s">
        <v>283</v>
      </c>
      <c r="AF139" s="232" t="str">
        <f t="shared" si="58"/>
        <v/>
      </c>
      <c r="AG139" s="236" t="s">
        <v>284</v>
      </c>
      <c r="AH139" s="4"/>
      <c r="AI139" s="4" t="s">
        <v>142</v>
      </c>
      <c r="AJ139" s="4" t="s">
        <v>20</v>
      </c>
      <c r="AK139" s="4">
        <v>2</v>
      </c>
      <c r="AL139" s="4">
        <v>2</v>
      </c>
      <c r="AM139" s="232" t="str">
        <f t="shared" si="59"/>
        <v/>
      </c>
      <c r="AN139" s="233" t="str">
        <f t="shared" si="60"/>
        <v/>
      </c>
      <c r="AO139" s="4" t="str">
        <f t="shared" si="61"/>
        <v>mol/s</v>
      </c>
      <c r="AP139" s="4"/>
      <c r="AQ139" s="4"/>
      <c r="AR139" s="4"/>
      <c r="AS139" s="4" t="s">
        <v>368</v>
      </c>
      <c r="AT139" s="4">
        <v>0</v>
      </c>
      <c r="AV139" s="248" t="str">
        <f t="shared" si="62"/>
        <v/>
      </c>
      <c r="AW139" s="248"/>
      <c r="AX139" s="4" t="str">
        <f t="shared" si="63"/>
        <v>M</v>
      </c>
      <c r="AY139" s="248" t="str">
        <f t="shared" si="64"/>
        <v/>
      </c>
      <c r="AZ139" s="232"/>
      <c r="BA139" s="4">
        <v>137</v>
      </c>
      <c r="BB139" s="2" t="s">
        <v>47</v>
      </c>
      <c r="BC139" s="2" t="s">
        <v>234</v>
      </c>
      <c r="BD139" s="2" t="s">
        <v>77</v>
      </c>
      <c r="BE139" s="2" t="s">
        <v>48</v>
      </c>
      <c r="BF139" s="2" t="s">
        <v>80</v>
      </c>
      <c r="BG139" s="2"/>
      <c r="BH139" s="185" t="s">
        <v>44</v>
      </c>
      <c r="BI139" s="185" t="s">
        <v>160</v>
      </c>
      <c r="BJ139" s="185" t="s">
        <v>148</v>
      </c>
      <c r="BK139" s="185" t="s">
        <v>164</v>
      </c>
      <c r="BL139" s="100"/>
      <c r="BM139" s="97">
        <f t="shared" si="65"/>
        <v>0</v>
      </c>
      <c r="BN139" s="225" t="s">
        <v>304</v>
      </c>
      <c r="BO139" s="225" t="s">
        <v>307</v>
      </c>
      <c r="BP139" s="225" t="s">
        <v>258</v>
      </c>
      <c r="BQ139" s="225" t="s">
        <v>259</v>
      </c>
      <c r="BR139" s="225" t="s">
        <v>318</v>
      </c>
      <c r="BS139" s="225" t="s">
        <v>328</v>
      </c>
      <c r="BT139" s="225" t="s">
        <v>275</v>
      </c>
      <c r="BU139" s="225" t="s">
        <v>260</v>
      </c>
      <c r="BV139" s="2"/>
      <c r="BW139" s="259" t="s">
        <v>329</v>
      </c>
      <c r="BX139" s="259" t="s">
        <v>330</v>
      </c>
      <c r="BY139" s="259" t="s">
        <v>341</v>
      </c>
      <c r="BZ139" s="259" t="s">
        <v>342</v>
      </c>
      <c r="CA139" s="107"/>
      <c r="CB139" s="249"/>
      <c r="CC139" s="107"/>
      <c r="CD139" s="249"/>
      <c r="CE139" s="107"/>
      <c r="CF139" s="225" t="str">
        <f t="shared" si="66"/>
        <v/>
      </c>
      <c r="CG139" s="225" t="str">
        <f t="shared" si="67"/>
        <v/>
      </c>
      <c r="CH139" s="225" t="str">
        <f t="shared" si="68"/>
        <v/>
      </c>
      <c r="CI139" s="225" t="str">
        <f t="shared" si="69"/>
        <v/>
      </c>
      <c r="CJ139" s="225" t="str">
        <f t="shared" si="70"/>
        <v/>
      </c>
      <c r="CK139" s="225" t="str">
        <f t="shared" si="71"/>
        <v/>
      </c>
      <c r="CL139" s="225" t="str">
        <f t="shared" si="72"/>
        <v/>
      </c>
      <c r="CM139" s="225" t="str">
        <f t="shared" si="73"/>
        <v/>
      </c>
      <c r="CN139" s="225" t="str">
        <f t="shared" si="74"/>
        <v/>
      </c>
      <c r="CO139" s="225" t="str">
        <f t="shared" si="75"/>
        <v/>
      </c>
      <c r="CP139" s="250"/>
      <c r="CQ139" s="250" t="str">
        <f t="shared" si="76"/>
        <v/>
      </c>
      <c r="CR139" s="5">
        <v>137</v>
      </c>
      <c r="CU1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9" s="373" t="str">
        <f t="shared" si="77"/>
        <v/>
      </c>
      <c r="CW139" s="2"/>
      <c r="CX139" s="104"/>
    </row>
    <row r="140" spans="2:102" ht="18.95" customHeight="1" x14ac:dyDescent="0.35">
      <c r="B140" s="4">
        <v>138</v>
      </c>
      <c r="C140" s="4" t="s">
        <v>691</v>
      </c>
      <c r="E140" s="382" t="s">
        <v>617</v>
      </c>
      <c r="F140" s="69" t="s">
        <v>75</v>
      </c>
      <c r="H140" s="69" t="s">
        <v>505</v>
      </c>
      <c r="I140" s="69" t="s">
        <v>570</v>
      </c>
      <c r="J140" s="69" t="s">
        <v>423</v>
      </c>
      <c r="K140" s="160" t="s">
        <v>572</v>
      </c>
      <c r="L140" s="2"/>
      <c r="M140" s="161" t="s">
        <v>833</v>
      </c>
      <c r="N140" s="2"/>
      <c r="O140" s="230" t="str">
        <f>IF($A$2=B140,Elektro!$Q$11,"")</f>
        <v/>
      </c>
      <c r="P140" s="230" t="str">
        <f>IF($A$2=B140,Elektro!$Q$12,"")</f>
        <v/>
      </c>
      <c r="Q140" s="236" t="str">
        <f>IF($A$2=B140,Elektro!$Q$13,"")</f>
        <v/>
      </c>
      <c r="R140" s="231" t="str">
        <f>IF($A$2=B140,Elektro!$Q$14,"")</f>
        <v/>
      </c>
      <c r="S140" s="231" t="str">
        <f>IF($A$2=B140,Elektro!$Q$15,"")</f>
        <v/>
      </c>
      <c r="T140" s="230" t="str">
        <f>IF($A$2=B140,Elektro!$Q$16,"")</f>
        <v/>
      </c>
      <c r="U140" s="353" t="str">
        <f t="shared" si="52"/>
        <v/>
      </c>
      <c r="V140" s="353" t="str">
        <f t="shared" si="53"/>
        <v/>
      </c>
      <c r="W140" s="4" t="s">
        <v>141</v>
      </c>
      <c r="X140" s="4" t="s">
        <v>248</v>
      </c>
      <c r="Y140" s="4">
        <v>1</v>
      </c>
      <c r="Z140" s="4">
        <v>107.9</v>
      </c>
      <c r="AA140" s="232" t="str">
        <f t="shared" si="54"/>
        <v/>
      </c>
      <c r="AB140" s="233" t="str">
        <f t="shared" si="55"/>
        <v/>
      </c>
      <c r="AC140" s="233" t="str">
        <f t="shared" si="56"/>
        <v>mol/s</v>
      </c>
      <c r="AD140" s="231" t="str">
        <f t="shared" si="57"/>
        <v/>
      </c>
      <c r="AE140" s="231" t="s">
        <v>283</v>
      </c>
      <c r="AF140" s="232" t="str">
        <f t="shared" si="58"/>
        <v/>
      </c>
      <c r="AG140" s="236" t="s">
        <v>284</v>
      </c>
      <c r="AH140" s="4"/>
      <c r="AI140" s="4" t="s">
        <v>142</v>
      </c>
      <c r="AJ140" s="4" t="s">
        <v>20</v>
      </c>
      <c r="AK140" s="4">
        <v>2</v>
      </c>
      <c r="AL140" s="4">
        <v>2</v>
      </c>
      <c r="AM140" s="232" t="str">
        <f t="shared" si="59"/>
        <v/>
      </c>
      <c r="AN140" s="233" t="str">
        <f t="shared" si="60"/>
        <v/>
      </c>
      <c r="AO140" s="4" t="str">
        <f t="shared" si="61"/>
        <v>mol/s</v>
      </c>
      <c r="AP140" s="4"/>
      <c r="AQ140" s="4"/>
      <c r="AR140" s="4"/>
      <c r="AS140" s="4" t="s">
        <v>368</v>
      </c>
      <c r="AT140" s="4">
        <v>0</v>
      </c>
      <c r="AV140" s="248" t="str">
        <f t="shared" si="62"/>
        <v/>
      </c>
      <c r="AW140" s="248"/>
      <c r="AX140" s="4" t="str">
        <f t="shared" si="63"/>
        <v>M</v>
      </c>
      <c r="AY140" s="248" t="str">
        <f t="shared" si="64"/>
        <v/>
      </c>
      <c r="AZ140" s="232"/>
      <c r="BA140" s="4">
        <v>138</v>
      </c>
      <c r="BB140" s="2" t="s">
        <v>47</v>
      </c>
      <c r="BC140" s="2" t="s">
        <v>236</v>
      </c>
      <c r="BD140" s="2" t="s">
        <v>77</v>
      </c>
      <c r="BE140" s="2" t="s">
        <v>48</v>
      </c>
      <c r="BF140" s="2" t="s">
        <v>81</v>
      </c>
      <c r="BG140" s="2"/>
      <c r="BH140" s="185" t="s">
        <v>44</v>
      </c>
      <c r="BI140" s="185" t="s">
        <v>160</v>
      </c>
      <c r="BJ140" s="185" t="s">
        <v>148</v>
      </c>
      <c r="BK140" s="185" t="s">
        <v>164</v>
      </c>
      <c r="BL140" s="100"/>
      <c r="BM140" s="97">
        <f t="shared" si="65"/>
        <v>0</v>
      </c>
      <c r="BN140" s="225" t="s">
        <v>304</v>
      </c>
      <c r="BO140" s="225" t="s">
        <v>307</v>
      </c>
      <c r="BP140" s="225" t="s">
        <v>258</v>
      </c>
      <c r="BQ140" s="225" t="s">
        <v>259</v>
      </c>
      <c r="BR140" s="225" t="s">
        <v>318</v>
      </c>
      <c r="BS140" s="225" t="s">
        <v>328</v>
      </c>
      <c r="BT140" s="225" t="s">
        <v>275</v>
      </c>
      <c r="BU140" s="225" t="s">
        <v>260</v>
      </c>
      <c r="BV140" s="2"/>
      <c r="BW140" s="259" t="s">
        <v>329</v>
      </c>
      <c r="BX140" s="259" t="s">
        <v>330</v>
      </c>
      <c r="BY140" s="259" t="s">
        <v>341</v>
      </c>
      <c r="BZ140" s="259" t="s">
        <v>342</v>
      </c>
      <c r="CA140" s="107"/>
      <c r="CB140" s="249"/>
      <c r="CC140" s="107"/>
      <c r="CD140" s="249"/>
      <c r="CE140" s="107"/>
      <c r="CF140" s="225" t="str">
        <f t="shared" si="66"/>
        <v/>
      </c>
      <c r="CG140" s="225" t="str">
        <f t="shared" si="67"/>
        <v/>
      </c>
      <c r="CH140" s="225" t="str">
        <f t="shared" si="68"/>
        <v/>
      </c>
      <c r="CI140" s="225" t="str">
        <f t="shared" si="69"/>
        <v/>
      </c>
      <c r="CJ140" s="225" t="str">
        <f t="shared" si="70"/>
        <v/>
      </c>
      <c r="CK140" s="225" t="str">
        <f t="shared" si="71"/>
        <v/>
      </c>
      <c r="CL140" s="225" t="str">
        <f t="shared" si="72"/>
        <v/>
      </c>
      <c r="CM140" s="225" t="str">
        <f t="shared" si="73"/>
        <v/>
      </c>
      <c r="CN140" s="225" t="str">
        <f t="shared" si="74"/>
        <v/>
      </c>
      <c r="CO140" s="225" t="str">
        <f t="shared" si="75"/>
        <v/>
      </c>
      <c r="CP140" s="250"/>
      <c r="CQ140" s="250" t="str">
        <f t="shared" si="76"/>
        <v/>
      </c>
      <c r="CR140" s="5">
        <v>138</v>
      </c>
      <c r="CU1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0" s="373" t="str">
        <f t="shared" si="77"/>
        <v/>
      </c>
      <c r="CW140" s="2"/>
      <c r="CX140" s="104"/>
    </row>
    <row r="141" spans="2:102" ht="18.95" customHeight="1" x14ac:dyDescent="0.35">
      <c r="B141" s="4">
        <v>139</v>
      </c>
      <c r="C141" s="4" t="s">
        <v>692</v>
      </c>
      <c r="E141" s="382" t="s">
        <v>618</v>
      </c>
      <c r="F141" s="69" t="s">
        <v>75</v>
      </c>
      <c r="H141" s="69" t="s">
        <v>506</v>
      </c>
      <c r="I141" s="69" t="s">
        <v>570</v>
      </c>
      <c r="J141" s="69" t="s">
        <v>423</v>
      </c>
      <c r="K141" s="160" t="s">
        <v>572</v>
      </c>
      <c r="L141" s="2"/>
      <c r="M141" s="161" t="s">
        <v>834</v>
      </c>
      <c r="N141" s="2"/>
      <c r="O141" s="230" t="str">
        <f>IF($A$2=B141,Elektro!$Q$11,"")</f>
        <v/>
      </c>
      <c r="P141" s="230" t="str">
        <f>IF($A$2=B141,Elektro!$Q$12,"")</f>
        <v/>
      </c>
      <c r="Q141" s="236" t="str">
        <f>IF($A$2=B141,Elektro!$Q$13,"")</f>
        <v/>
      </c>
      <c r="R141" s="231" t="str">
        <f>IF($A$2=B141,Elektro!$Q$14,"")</f>
        <v/>
      </c>
      <c r="S141" s="231" t="str">
        <f>IF($A$2=B141,Elektro!$Q$15,"")</f>
        <v/>
      </c>
      <c r="T141" s="230" t="str">
        <f>IF($A$2=B141,Elektro!$Q$16,"")</f>
        <v/>
      </c>
      <c r="U141" s="353" t="str">
        <f t="shared" si="52"/>
        <v/>
      </c>
      <c r="V141" s="353" t="str">
        <f t="shared" si="53"/>
        <v/>
      </c>
      <c r="W141" s="4" t="s">
        <v>141</v>
      </c>
      <c r="X141" s="4" t="s">
        <v>248</v>
      </c>
      <c r="Y141" s="4">
        <v>1</v>
      </c>
      <c r="Z141" s="4">
        <v>107.9</v>
      </c>
      <c r="AA141" s="232" t="str">
        <f t="shared" si="54"/>
        <v/>
      </c>
      <c r="AB141" s="233" t="str">
        <f t="shared" si="55"/>
        <v/>
      </c>
      <c r="AC141" s="233" t="str">
        <f t="shared" si="56"/>
        <v>mol/s</v>
      </c>
      <c r="AD141" s="231" t="str">
        <f t="shared" si="57"/>
        <v/>
      </c>
      <c r="AE141" s="231" t="s">
        <v>283</v>
      </c>
      <c r="AF141" s="232" t="str">
        <f t="shared" si="58"/>
        <v/>
      </c>
      <c r="AG141" s="236" t="s">
        <v>284</v>
      </c>
      <c r="AH141" s="4"/>
      <c r="AI141" s="4" t="s">
        <v>142</v>
      </c>
      <c r="AJ141" s="4" t="s">
        <v>20</v>
      </c>
      <c r="AK141" s="4">
        <v>2</v>
      </c>
      <c r="AL141" s="4">
        <v>2</v>
      </c>
      <c r="AM141" s="232" t="str">
        <f t="shared" si="59"/>
        <v/>
      </c>
      <c r="AN141" s="233" t="str">
        <f t="shared" si="60"/>
        <v/>
      </c>
      <c r="AO141" s="4" t="str">
        <f t="shared" si="61"/>
        <v>mol/s</v>
      </c>
      <c r="AP141" s="4"/>
      <c r="AQ141" s="4"/>
      <c r="AR141" s="4"/>
      <c r="AS141" s="4" t="s">
        <v>368</v>
      </c>
      <c r="AT141" s="4">
        <v>0</v>
      </c>
      <c r="AV141" s="248" t="str">
        <f t="shared" si="62"/>
        <v/>
      </c>
      <c r="AW141" s="248"/>
      <c r="AX141" s="4" t="str">
        <f t="shared" si="63"/>
        <v>M</v>
      </c>
      <c r="AY141" s="248" t="str">
        <f t="shared" si="64"/>
        <v/>
      </c>
      <c r="AZ141" s="232"/>
      <c r="BA141" s="4">
        <v>139</v>
      </c>
      <c r="BB141" s="2" t="s">
        <v>47</v>
      </c>
      <c r="BC141" s="2" t="s">
        <v>234</v>
      </c>
      <c r="BD141" s="2" t="s">
        <v>77</v>
      </c>
      <c r="BE141" s="2" t="s">
        <v>48</v>
      </c>
      <c r="BF141" s="2" t="s">
        <v>82</v>
      </c>
      <c r="BG141" s="2"/>
      <c r="BH141" s="185" t="s">
        <v>44</v>
      </c>
      <c r="BI141" s="185" t="s">
        <v>160</v>
      </c>
      <c r="BJ141" s="185" t="s">
        <v>148</v>
      </c>
      <c r="BK141" s="185" t="s">
        <v>164</v>
      </c>
      <c r="BL141" s="100"/>
      <c r="BM141" s="97">
        <f t="shared" si="65"/>
        <v>0</v>
      </c>
      <c r="BN141" s="225" t="s">
        <v>304</v>
      </c>
      <c r="BO141" s="225" t="s">
        <v>307</v>
      </c>
      <c r="BP141" s="225" t="s">
        <v>258</v>
      </c>
      <c r="BQ141" s="225" t="s">
        <v>259</v>
      </c>
      <c r="BR141" s="225" t="s">
        <v>318</v>
      </c>
      <c r="BS141" s="225" t="s">
        <v>328</v>
      </c>
      <c r="BT141" s="225" t="s">
        <v>275</v>
      </c>
      <c r="BU141" s="225" t="s">
        <v>260</v>
      </c>
      <c r="BV141" s="2"/>
      <c r="BW141" s="259" t="s">
        <v>329</v>
      </c>
      <c r="BX141" s="259" t="s">
        <v>330</v>
      </c>
      <c r="BY141" s="259" t="s">
        <v>341</v>
      </c>
      <c r="BZ141" s="259" t="s">
        <v>342</v>
      </c>
      <c r="CA141" s="107"/>
      <c r="CB141" s="249"/>
      <c r="CC141" s="107"/>
      <c r="CD141" s="249"/>
      <c r="CE141" s="107"/>
      <c r="CF141" s="225" t="str">
        <f t="shared" si="66"/>
        <v/>
      </c>
      <c r="CG141" s="225" t="str">
        <f t="shared" si="67"/>
        <v/>
      </c>
      <c r="CH141" s="225" t="str">
        <f t="shared" si="68"/>
        <v/>
      </c>
      <c r="CI141" s="225" t="str">
        <f t="shared" si="69"/>
        <v/>
      </c>
      <c r="CJ141" s="225" t="str">
        <f t="shared" si="70"/>
        <v/>
      </c>
      <c r="CK141" s="225" t="str">
        <f t="shared" si="71"/>
        <v/>
      </c>
      <c r="CL141" s="225" t="str">
        <f t="shared" si="72"/>
        <v/>
      </c>
      <c r="CM141" s="225" t="str">
        <f t="shared" si="73"/>
        <v/>
      </c>
      <c r="CN141" s="225" t="str">
        <f t="shared" si="74"/>
        <v/>
      </c>
      <c r="CO141" s="225" t="str">
        <f t="shared" si="75"/>
        <v/>
      </c>
      <c r="CP141" s="250"/>
      <c r="CQ141" s="250" t="str">
        <f t="shared" si="76"/>
        <v/>
      </c>
      <c r="CR141" s="5">
        <v>139</v>
      </c>
      <c r="CU1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1" s="373" t="str">
        <f t="shared" si="77"/>
        <v/>
      </c>
      <c r="CW141" s="2"/>
      <c r="CX141" s="104"/>
    </row>
    <row r="142" spans="2:102" ht="18.95" customHeight="1" x14ac:dyDescent="0.35">
      <c r="B142" s="4">
        <v>140</v>
      </c>
      <c r="C142" s="4" t="s">
        <v>7</v>
      </c>
      <c r="E142" s="382" t="s">
        <v>646</v>
      </c>
      <c r="F142" s="69" t="s">
        <v>75</v>
      </c>
      <c r="H142" s="69" t="s">
        <v>428</v>
      </c>
      <c r="I142" s="69" t="s">
        <v>570</v>
      </c>
      <c r="J142" s="69" t="s">
        <v>423</v>
      </c>
      <c r="K142" s="160" t="s">
        <v>572</v>
      </c>
      <c r="L142" s="2"/>
      <c r="M142" s="162" t="s">
        <v>835</v>
      </c>
      <c r="N142" s="2"/>
      <c r="O142" s="230" t="str">
        <f>IF($A$2=B142,Elektro!$Q$11,"")</f>
        <v/>
      </c>
      <c r="P142" s="230" t="str">
        <f>IF($A$2=B142,Elektro!$Q$12,"")</f>
        <v/>
      </c>
      <c r="Q142" s="236" t="str">
        <f>IF($A$2=B142,Elektro!$Q$13,"")</f>
        <v/>
      </c>
      <c r="R142" s="231" t="str">
        <f>IF($A$2=B142,Elektro!$Q$14,"")</f>
        <v/>
      </c>
      <c r="S142" s="231" t="str">
        <f>IF($A$2=B142,Elektro!$Q$15,"")</f>
        <v/>
      </c>
      <c r="T142" s="230" t="str">
        <f>IF($A$2=B142,Elektro!$Q$16,"")</f>
        <v/>
      </c>
      <c r="U142" s="353" t="str">
        <f t="shared" si="52"/>
        <v/>
      </c>
      <c r="V142" s="353" t="str">
        <f t="shared" si="53"/>
        <v/>
      </c>
      <c r="W142" s="4" t="s">
        <v>141</v>
      </c>
      <c r="X142" s="4" t="s">
        <v>248</v>
      </c>
      <c r="Y142" s="4">
        <v>1</v>
      </c>
      <c r="Z142" s="4">
        <v>107.9</v>
      </c>
      <c r="AA142" s="232" t="str">
        <f t="shared" si="54"/>
        <v/>
      </c>
      <c r="AB142" s="233" t="str">
        <f t="shared" si="55"/>
        <v/>
      </c>
      <c r="AC142" s="233" t="str">
        <f t="shared" si="56"/>
        <v>mol/s</v>
      </c>
      <c r="AD142" s="231" t="str">
        <f t="shared" si="57"/>
        <v/>
      </c>
      <c r="AE142" s="231" t="s">
        <v>283</v>
      </c>
      <c r="AF142" s="232" t="str">
        <f t="shared" si="58"/>
        <v/>
      </c>
      <c r="AG142" s="236" t="s">
        <v>284</v>
      </c>
      <c r="AH142" s="4"/>
      <c r="AI142" s="4" t="s">
        <v>142</v>
      </c>
      <c r="AJ142" s="4" t="s">
        <v>20</v>
      </c>
      <c r="AK142" s="4">
        <v>2</v>
      </c>
      <c r="AL142" s="4">
        <v>2</v>
      </c>
      <c r="AM142" s="232" t="str">
        <f t="shared" si="59"/>
        <v/>
      </c>
      <c r="AN142" s="233" t="str">
        <f t="shared" si="60"/>
        <v/>
      </c>
      <c r="AO142" s="4" t="str">
        <f t="shared" si="61"/>
        <v>mol/s</v>
      </c>
      <c r="AP142" s="4"/>
      <c r="AQ142" s="4"/>
      <c r="AR142" s="4"/>
      <c r="AS142" s="4" t="s">
        <v>121</v>
      </c>
      <c r="AT142" s="4">
        <v>2</v>
      </c>
      <c r="AU142" s="5" t="s">
        <v>65</v>
      </c>
      <c r="AV142" s="248" t="str">
        <f t="shared" si="62"/>
        <v/>
      </c>
      <c r="AW142" s="248"/>
      <c r="AX142" s="4" t="str">
        <f t="shared" si="63"/>
        <v>M</v>
      </c>
      <c r="AY142" s="248" t="str">
        <f t="shared" si="64"/>
        <v/>
      </c>
      <c r="AZ142" s="232"/>
      <c r="BA142" s="4">
        <v>140</v>
      </c>
      <c r="BB142" s="2" t="s">
        <v>47</v>
      </c>
      <c r="BC142" s="2" t="s">
        <v>51</v>
      </c>
      <c r="BD142" s="2" t="s">
        <v>77</v>
      </c>
      <c r="BE142" s="2" t="s">
        <v>48</v>
      </c>
      <c r="BF142" s="2" t="s">
        <v>50</v>
      </c>
      <c r="BG142" s="2"/>
      <c r="BH142" s="185" t="s">
        <v>44</v>
      </c>
      <c r="BI142" s="185" t="s">
        <v>160</v>
      </c>
      <c r="BJ142" s="185" t="s">
        <v>148</v>
      </c>
      <c r="BK142" s="185" t="s">
        <v>164</v>
      </c>
      <c r="BL142" s="100"/>
      <c r="BM142" s="97">
        <f t="shared" si="65"/>
        <v>2</v>
      </c>
      <c r="BN142" s="225" t="s">
        <v>304</v>
      </c>
      <c r="BO142" s="225" t="s">
        <v>307</v>
      </c>
      <c r="BP142" s="225" t="s">
        <v>258</v>
      </c>
      <c r="BQ142" s="225" t="s">
        <v>259</v>
      </c>
      <c r="BR142" s="225" t="s">
        <v>318</v>
      </c>
      <c r="BS142" s="225" t="s">
        <v>328</v>
      </c>
      <c r="BT142" s="225" t="s">
        <v>275</v>
      </c>
      <c r="BU142" s="225" t="s">
        <v>260</v>
      </c>
      <c r="BV142" s="2"/>
      <c r="BW142" s="259" t="s">
        <v>329</v>
      </c>
      <c r="BX142" s="259" t="s">
        <v>330</v>
      </c>
      <c r="BY142" s="259" t="s">
        <v>341</v>
      </c>
      <c r="BZ142" s="259" t="s">
        <v>342</v>
      </c>
      <c r="CA142" s="107"/>
      <c r="CB142" s="249"/>
      <c r="CC142" s="107"/>
      <c r="CD142" s="249"/>
      <c r="CE142" s="107"/>
      <c r="CF142" s="225" t="str">
        <f t="shared" si="66"/>
        <v/>
      </c>
      <c r="CG142" s="225" t="str">
        <f t="shared" si="67"/>
        <v/>
      </c>
      <c r="CH142" s="225" t="str">
        <f t="shared" si="68"/>
        <v/>
      </c>
      <c r="CI142" s="225" t="str">
        <f t="shared" si="69"/>
        <v/>
      </c>
      <c r="CJ142" s="225" t="str">
        <f t="shared" si="70"/>
        <v/>
      </c>
      <c r="CK142" s="225" t="str">
        <f t="shared" si="71"/>
        <v/>
      </c>
      <c r="CL142" s="225" t="str">
        <f t="shared" si="72"/>
        <v/>
      </c>
      <c r="CM142" s="225" t="str">
        <f t="shared" si="73"/>
        <v/>
      </c>
      <c r="CN142" s="225" t="str">
        <f t="shared" si="74"/>
        <v/>
      </c>
      <c r="CO142" s="225" t="str">
        <f t="shared" si="75"/>
        <v/>
      </c>
      <c r="CP142" s="250"/>
      <c r="CQ142" s="250" t="str">
        <f t="shared" si="76"/>
        <v/>
      </c>
      <c r="CR142" s="5">
        <v>140</v>
      </c>
      <c r="CU1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2" s="373" t="str">
        <f t="shared" si="77"/>
        <v/>
      </c>
      <c r="CW142" s="2"/>
      <c r="CX142" s="104"/>
    </row>
    <row r="143" spans="2:102" ht="18.95" customHeight="1" x14ac:dyDescent="0.35">
      <c r="B143" s="4">
        <v>141</v>
      </c>
      <c r="C143" s="4" t="s">
        <v>105</v>
      </c>
      <c r="E143" s="382" t="s">
        <v>619</v>
      </c>
      <c r="F143" s="69" t="s">
        <v>75</v>
      </c>
      <c r="H143" s="69" t="s">
        <v>507</v>
      </c>
      <c r="I143" s="69" t="s">
        <v>570</v>
      </c>
      <c r="J143" s="69" t="s">
        <v>423</v>
      </c>
      <c r="K143" s="160" t="s">
        <v>572</v>
      </c>
      <c r="L143" s="2"/>
      <c r="M143" s="167" t="s">
        <v>836</v>
      </c>
      <c r="N143" s="2"/>
      <c r="O143" s="230" t="str">
        <f>IF($A$2=B143,Elektro!$Q$11,"")</f>
        <v/>
      </c>
      <c r="P143" s="230" t="str">
        <f>IF($A$2=B143,Elektro!$Q$12,"")</f>
        <v/>
      </c>
      <c r="Q143" s="236" t="str">
        <f>IF($A$2=B143,Elektro!$Q$13,"")</f>
        <v/>
      </c>
      <c r="R143" s="231" t="str">
        <f>IF($A$2=B143,Elektro!$Q$14,"")</f>
        <v/>
      </c>
      <c r="S143" s="231" t="str">
        <f>IF($A$2=B143,Elektro!$Q$15,"")</f>
        <v/>
      </c>
      <c r="T143" s="230" t="str">
        <f>IF($A$2=B143,Elektro!$Q$16,"")</f>
        <v/>
      </c>
      <c r="U143" s="353" t="str">
        <f t="shared" si="52"/>
        <v/>
      </c>
      <c r="V143" s="353" t="str">
        <f t="shared" si="53"/>
        <v/>
      </c>
      <c r="W143" s="4" t="s">
        <v>141</v>
      </c>
      <c r="X143" s="4" t="s">
        <v>248</v>
      </c>
      <c r="Y143" s="4">
        <v>1</v>
      </c>
      <c r="Z143" s="4">
        <v>107.9</v>
      </c>
      <c r="AA143" s="232" t="str">
        <f t="shared" si="54"/>
        <v/>
      </c>
      <c r="AB143" s="233" t="str">
        <f t="shared" si="55"/>
        <v/>
      </c>
      <c r="AC143" s="233" t="str">
        <f t="shared" si="56"/>
        <v>mol/s</v>
      </c>
      <c r="AD143" s="231" t="str">
        <f t="shared" si="57"/>
        <v/>
      </c>
      <c r="AE143" s="231" t="s">
        <v>283</v>
      </c>
      <c r="AF143" s="232" t="str">
        <f t="shared" si="58"/>
        <v/>
      </c>
      <c r="AG143" s="236" t="s">
        <v>284</v>
      </c>
      <c r="AH143" s="4"/>
      <c r="AI143" s="4" t="s">
        <v>142</v>
      </c>
      <c r="AJ143" s="4" t="s">
        <v>20</v>
      </c>
      <c r="AK143" s="4">
        <v>2</v>
      </c>
      <c r="AL143" s="4">
        <v>2</v>
      </c>
      <c r="AM143" s="232" t="str">
        <f t="shared" si="59"/>
        <v/>
      </c>
      <c r="AN143" s="233" t="str">
        <f t="shared" si="60"/>
        <v/>
      </c>
      <c r="AO143" s="4" t="str">
        <f t="shared" si="61"/>
        <v>mol/s</v>
      </c>
      <c r="AP143" s="4"/>
      <c r="AQ143" s="4"/>
      <c r="AR143" s="4"/>
      <c r="AS143" s="4" t="s">
        <v>121</v>
      </c>
      <c r="AT143" s="4">
        <v>2</v>
      </c>
      <c r="AU143" s="5" t="s">
        <v>65</v>
      </c>
      <c r="AV143" s="248" t="str">
        <f t="shared" si="62"/>
        <v/>
      </c>
      <c r="AW143" s="248"/>
      <c r="AX143" s="4" t="str">
        <f t="shared" si="63"/>
        <v>M</v>
      </c>
      <c r="AY143" s="248" t="str">
        <f t="shared" si="64"/>
        <v/>
      </c>
      <c r="AZ143" s="232"/>
      <c r="BA143" s="4">
        <v>141</v>
      </c>
      <c r="BB143" s="2" t="s">
        <v>47</v>
      </c>
      <c r="BC143" s="2" t="s">
        <v>51</v>
      </c>
      <c r="BD143" s="2" t="s">
        <v>77</v>
      </c>
      <c r="BE143" s="2" t="s">
        <v>48</v>
      </c>
      <c r="BF143" s="2" t="s">
        <v>83</v>
      </c>
      <c r="BG143" s="2"/>
      <c r="BH143" s="185" t="s">
        <v>44</v>
      </c>
      <c r="BI143" s="185" t="s">
        <v>160</v>
      </c>
      <c r="BJ143" s="185" t="s">
        <v>148</v>
      </c>
      <c r="BK143" s="185" t="s">
        <v>164</v>
      </c>
      <c r="BL143" s="100"/>
      <c r="BM143" s="97">
        <f t="shared" si="65"/>
        <v>2</v>
      </c>
      <c r="BN143" s="225" t="s">
        <v>304</v>
      </c>
      <c r="BO143" s="225" t="s">
        <v>307</v>
      </c>
      <c r="BP143" s="225" t="s">
        <v>258</v>
      </c>
      <c r="BQ143" s="225" t="s">
        <v>259</v>
      </c>
      <c r="BR143" s="225" t="s">
        <v>318</v>
      </c>
      <c r="BS143" s="225" t="s">
        <v>328</v>
      </c>
      <c r="BT143" s="225" t="s">
        <v>275</v>
      </c>
      <c r="BU143" s="225" t="s">
        <v>260</v>
      </c>
      <c r="BV143" s="2"/>
      <c r="BW143" s="259" t="s">
        <v>329</v>
      </c>
      <c r="BX143" s="259" t="s">
        <v>330</v>
      </c>
      <c r="BY143" s="259" t="s">
        <v>341</v>
      </c>
      <c r="BZ143" s="259" t="s">
        <v>342</v>
      </c>
      <c r="CA143" s="107"/>
      <c r="CB143" s="249"/>
      <c r="CC143" s="107"/>
      <c r="CD143" s="249"/>
      <c r="CE143" s="107"/>
      <c r="CF143" s="225" t="str">
        <f t="shared" si="66"/>
        <v/>
      </c>
      <c r="CG143" s="225" t="str">
        <f t="shared" si="67"/>
        <v/>
      </c>
      <c r="CH143" s="225" t="str">
        <f t="shared" si="68"/>
        <v/>
      </c>
      <c r="CI143" s="225" t="str">
        <f t="shared" si="69"/>
        <v/>
      </c>
      <c r="CJ143" s="225" t="str">
        <f t="shared" si="70"/>
        <v/>
      </c>
      <c r="CK143" s="225" t="str">
        <f t="shared" si="71"/>
        <v/>
      </c>
      <c r="CL143" s="225" t="str">
        <f t="shared" si="72"/>
        <v/>
      </c>
      <c r="CM143" s="225" t="str">
        <f t="shared" si="73"/>
        <v/>
      </c>
      <c r="CN143" s="225" t="str">
        <f t="shared" si="74"/>
        <v/>
      </c>
      <c r="CO143" s="225" t="str">
        <f t="shared" si="75"/>
        <v/>
      </c>
      <c r="CP143" s="250"/>
      <c r="CQ143" s="250" t="str">
        <f t="shared" si="76"/>
        <v/>
      </c>
      <c r="CR143" s="5">
        <v>141</v>
      </c>
      <c r="CU1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3" s="373" t="str">
        <f t="shared" si="77"/>
        <v/>
      </c>
      <c r="CW143" s="2"/>
      <c r="CX143" s="104"/>
    </row>
    <row r="144" spans="2:102" ht="18.95" customHeight="1" x14ac:dyDescent="0.35">
      <c r="B144" s="4">
        <v>142</v>
      </c>
      <c r="C144" s="4" t="s">
        <v>869</v>
      </c>
      <c r="E144" s="382" t="s">
        <v>620</v>
      </c>
      <c r="F144" s="69" t="s">
        <v>75</v>
      </c>
      <c r="H144" s="69" t="s">
        <v>508</v>
      </c>
      <c r="I144" s="69" t="s">
        <v>570</v>
      </c>
      <c r="J144" s="69" t="s">
        <v>423</v>
      </c>
      <c r="K144" s="160" t="s">
        <v>572</v>
      </c>
      <c r="L144" s="2"/>
      <c r="M144" s="167" t="s">
        <v>837</v>
      </c>
      <c r="N144" s="2"/>
      <c r="O144" s="230" t="str">
        <f>IF($A$2=B144,Elektro!$Q$11,"")</f>
        <v/>
      </c>
      <c r="P144" s="230" t="str">
        <f>IF($A$2=B144,Elektro!$Q$12,"")</f>
        <v/>
      </c>
      <c r="Q144" s="236" t="str">
        <f>IF($A$2=B144,Elektro!$Q$13,"")</f>
        <v/>
      </c>
      <c r="R144" s="231" t="str">
        <f>IF($A$2=B144,Elektro!$Q$14,"")</f>
        <v/>
      </c>
      <c r="S144" s="231" t="str">
        <f>IF($A$2=B144,Elektro!$Q$15,"")</f>
        <v/>
      </c>
      <c r="T144" s="230" t="str">
        <f>IF($A$2=B144,Elektro!$Q$16,"")</f>
        <v/>
      </c>
      <c r="U144" s="353" t="str">
        <f t="shared" si="52"/>
        <v/>
      </c>
      <c r="V144" s="353" t="str">
        <f t="shared" si="53"/>
        <v/>
      </c>
      <c r="W144" s="4" t="s">
        <v>141</v>
      </c>
      <c r="X144" s="4" t="s">
        <v>248</v>
      </c>
      <c r="Y144" s="4">
        <v>1</v>
      </c>
      <c r="Z144" s="4">
        <v>107.9</v>
      </c>
      <c r="AA144" s="232" t="str">
        <f t="shared" si="54"/>
        <v/>
      </c>
      <c r="AB144" s="233" t="str">
        <f t="shared" si="55"/>
        <v/>
      </c>
      <c r="AC144" s="233" t="str">
        <f t="shared" si="56"/>
        <v>mol/s</v>
      </c>
      <c r="AD144" s="231" t="str">
        <f t="shared" si="57"/>
        <v/>
      </c>
      <c r="AE144" s="231" t="s">
        <v>283</v>
      </c>
      <c r="AF144" s="232" t="str">
        <f t="shared" si="58"/>
        <v/>
      </c>
      <c r="AG144" s="236" t="s">
        <v>284</v>
      </c>
      <c r="AH144" s="4"/>
      <c r="AI144" s="4" t="s">
        <v>142</v>
      </c>
      <c r="AJ144" s="4" t="s">
        <v>20</v>
      </c>
      <c r="AK144" s="4">
        <v>2</v>
      </c>
      <c r="AL144" s="4">
        <v>2</v>
      </c>
      <c r="AM144" s="232" t="str">
        <f t="shared" si="59"/>
        <v/>
      </c>
      <c r="AN144" s="233" t="str">
        <f t="shared" si="60"/>
        <v/>
      </c>
      <c r="AO144" s="4" t="str">
        <f t="shared" si="61"/>
        <v>mol/s</v>
      </c>
      <c r="AP144" s="4"/>
      <c r="AQ144" s="4"/>
      <c r="AR144" s="4"/>
      <c r="AS144" s="4" t="s">
        <v>121</v>
      </c>
      <c r="AT144" s="4">
        <v>2</v>
      </c>
      <c r="AU144" s="5" t="s">
        <v>65</v>
      </c>
      <c r="AV144" s="248" t="str">
        <f t="shared" si="62"/>
        <v/>
      </c>
      <c r="AW144" s="248"/>
      <c r="AX144" s="4" t="str">
        <f t="shared" si="63"/>
        <v>M</v>
      </c>
      <c r="AY144" s="248" t="str">
        <f t="shared" si="64"/>
        <v/>
      </c>
      <c r="AZ144" s="232"/>
      <c r="BA144" s="4">
        <v>142</v>
      </c>
      <c r="BB144" s="2" t="s">
        <v>47</v>
      </c>
      <c r="BC144" s="2" t="s">
        <v>51</v>
      </c>
      <c r="BD144" s="2" t="s">
        <v>77</v>
      </c>
      <c r="BE144" s="2" t="s">
        <v>48</v>
      </c>
      <c r="BF144" s="2" t="s">
        <v>80</v>
      </c>
      <c r="BG144" s="2"/>
      <c r="BH144" s="185" t="s">
        <v>44</v>
      </c>
      <c r="BI144" s="185" t="s">
        <v>160</v>
      </c>
      <c r="BJ144" s="185" t="s">
        <v>148</v>
      </c>
      <c r="BK144" s="185" t="s">
        <v>164</v>
      </c>
      <c r="BL144" s="100"/>
      <c r="BM144" s="97">
        <f t="shared" si="65"/>
        <v>2</v>
      </c>
      <c r="BN144" s="225" t="s">
        <v>304</v>
      </c>
      <c r="BO144" s="225" t="s">
        <v>307</v>
      </c>
      <c r="BP144" s="225" t="s">
        <v>258</v>
      </c>
      <c r="BQ144" s="225" t="s">
        <v>259</v>
      </c>
      <c r="BR144" s="225" t="s">
        <v>318</v>
      </c>
      <c r="BS144" s="225" t="s">
        <v>328</v>
      </c>
      <c r="BT144" s="225" t="s">
        <v>275</v>
      </c>
      <c r="BU144" s="225" t="s">
        <v>260</v>
      </c>
      <c r="BV144" s="2"/>
      <c r="BW144" s="259" t="s">
        <v>329</v>
      </c>
      <c r="BX144" s="259" t="s">
        <v>330</v>
      </c>
      <c r="BY144" s="259" t="s">
        <v>341</v>
      </c>
      <c r="BZ144" s="259" t="s">
        <v>342</v>
      </c>
      <c r="CA144" s="107"/>
      <c r="CB144" s="249"/>
      <c r="CC144" s="107"/>
      <c r="CD144" s="249"/>
      <c r="CE144" s="107"/>
      <c r="CF144" s="225" t="str">
        <f t="shared" si="66"/>
        <v/>
      </c>
      <c r="CG144" s="225" t="str">
        <f t="shared" si="67"/>
        <v/>
      </c>
      <c r="CH144" s="225" t="str">
        <f t="shared" si="68"/>
        <v/>
      </c>
      <c r="CI144" s="225" t="str">
        <f t="shared" si="69"/>
        <v/>
      </c>
      <c r="CJ144" s="225" t="str">
        <f t="shared" si="70"/>
        <v/>
      </c>
      <c r="CK144" s="225" t="str">
        <f t="shared" si="71"/>
        <v/>
      </c>
      <c r="CL144" s="225" t="str">
        <f t="shared" si="72"/>
        <v/>
      </c>
      <c r="CM144" s="225" t="str">
        <f t="shared" si="73"/>
        <v/>
      </c>
      <c r="CN144" s="225" t="str">
        <f t="shared" si="74"/>
        <v/>
      </c>
      <c r="CO144" s="225" t="str">
        <f t="shared" si="75"/>
        <v/>
      </c>
      <c r="CP144" s="250"/>
      <c r="CQ144" s="250" t="str">
        <f t="shared" si="76"/>
        <v/>
      </c>
      <c r="CR144" s="5">
        <v>142</v>
      </c>
      <c r="CU1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4" s="373" t="str">
        <f t="shared" si="77"/>
        <v/>
      </c>
      <c r="CW144" s="2"/>
      <c r="CX144" s="104"/>
    </row>
    <row r="145" spans="2:102" ht="18.95" customHeight="1" x14ac:dyDescent="0.35">
      <c r="B145" s="4">
        <v>143</v>
      </c>
      <c r="C145" s="4" t="s">
        <v>870</v>
      </c>
      <c r="E145" s="382" t="s">
        <v>621</v>
      </c>
      <c r="F145" s="69" t="s">
        <v>75</v>
      </c>
      <c r="H145" s="69" t="s">
        <v>509</v>
      </c>
      <c r="I145" s="69" t="s">
        <v>570</v>
      </c>
      <c r="J145" s="69" t="s">
        <v>423</v>
      </c>
      <c r="K145" s="160" t="s">
        <v>572</v>
      </c>
      <c r="L145" s="2"/>
      <c r="M145" s="167" t="s">
        <v>838</v>
      </c>
      <c r="N145" s="2"/>
      <c r="O145" s="230" t="str">
        <f>IF($A$2=B145,Elektro!$Q$11,"")</f>
        <v/>
      </c>
      <c r="P145" s="230" t="str">
        <f>IF($A$2=B145,Elektro!$Q$12,"")</f>
        <v/>
      </c>
      <c r="Q145" s="236" t="str">
        <f>IF($A$2=B145,Elektro!$Q$13,"")</f>
        <v/>
      </c>
      <c r="R145" s="231" t="str">
        <f>IF($A$2=B145,Elektro!$Q$14,"")</f>
        <v/>
      </c>
      <c r="S145" s="231" t="str">
        <f>IF($A$2=B145,Elektro!$Q$15,"")</f>
        <v/>
      </c>
      <c r="T145" s="230" t="str">
        <f>IF($A$2=B145,Elektro!$Q$16,"")</f>
        <v/>
      </c>
      <c r="U145" s="353" t="str">
        <f t="shared" si="52"/>
        <v/>
      </c>
      <c r="V145" s="353" t="str">
        <f t="shared" si="53"/>
        <v/>
      </c>
      <c r="W145" s="4" t="s">
        <v>141</v>
      </c>
      <c r="X145" s="4" t="s">
        <v>248</v>
      </c>
      <c r="Y145" s="4">
        <v>1</v>
      </c>
      <c r="Z145" s="4">
        <v>107.9</v>
      </c>
      <c r="AA145" s="232" t="str">
        <f t="shared" si="54"/>
        <v/>
      </c>
      <c r="AB145" s="233" t="str">
        <f t="shared" si="55"/>
        <v/>
      </c>
      <c r="AC145" s="233" t="str">
        <f t="shared" si="56"/>
        <v>mol/s</v>
      </c>
      <c r="AD145" s="231" t="str">
        <f t="shared" si="57"/>
        <v/>
      </c>
      <c r="AE145" s="231" t="s">
        <v>283</v>
      </c>
      <c r="AF145" s="232" t="str">
        <f t="shared" si="58"/>
        <v/>
      </c>
      <c r="AG145" s="236" t="s">
        <v>284</v>
      </c>
      <c r="AH145" s="4"/>
      <c r="AI145" s="4" t="s">
        <v>142</v>
      </c>
      <c r="AJ145" s="4" t="s">
        <v>20</v>
      </c>
      <c r="AK145" s="4">
        <v>2</v>
      </c>
      <c r="AL145" s="4">
        <v>2</v>
      </c>
      <c r="AM145" s="232" t="str">
        <f t="shared" si="59"/>
        <v/>
      </c>
      <c r="AN145" s="233" t="str">
        <f t="shared" si="60"/>
        <v/>
      </c>
      <c r="AO145" s="4" t="str">
        <f t="shared" si="61"/>
        <v>mol/s</v>
      </c>
      <c r="AP145" s="4"/>
      <c r="AQ145" s="4"/>
      <c r="AR145" s="4"/>
      <c r="AS145" s="4" t="s">
        <v>121</v>
      </c>
      <c r="AT145" s="4">
        <v>2</v>
      </c>
      <c r="AU145" s="5" t="s">
        <v>65</v>
      </c>
      <c r="AV145" s="248" t="str">
        <f t="shared" si="62"/>
        <v/>
      </c>
      <c r="AW145" s="248"/>
      <c r="AX145" s="4" t="str">
        <f t="shared" si="63"/>
        <v>M</v>
      </c>
      <c r="AY145" s="248" t="str">
        <f t="shared" si="64"/>
        <v/>
      </c>
      <c r="AZ145" s="232"/>
      <c r="BA145" s="4">
        <v>143</v>
      </c>
      <c r="BB145" s="2" t="s">
        <v>47</v>
      </c>
      <c r="BC145" s="2" t="s">
        <v>51</v>
      </c>
      <c r="BD145" s="2" t="s">
        <v>77</v>
      </c>
      <c r="BE145" s="2" t="s">
        <v>48</v>
      </c>
      <c r="BF145" s="2" t="s">
        <v>85</v>
      </c>
      <c r="BG145" s="2"/>
      <c r="BH145" s="185" t="s">
        <v>44</v>
      </c>
      <c r="BI145" s="185" t="s">
        <v>160</v>
      </c>
      <c r="BJ145" s="185" t="s">
        <v>148</v>
      </c>
      <c r="BK145" s="185" t="s">
        <v>164</v>
      </c>
      <c r="BL145" s="100"/>
      <c r="BM145" s="97">
        <f t="shared" si="65"/>
        <v>2</v>
      </c>
      <c r="BN145" s="225" t="s">
        <v>304</v>
      </c>
      <c r="BO145" s="225" t="s">
        <v>307</v>
      </c>
      <c r="BP145" s="225" t="s">
        <v>258</v>
      </c>
      <c r="BQ145" s="225" t="s">
        <v>259</v>
      </c>
      <c r="BR145" s="225" t="s">
        <v>318</v>
      </c>
      <c r="BS145" s="225" t="s">
        <v>328</v>
      </c>
      <c r="BT145" s="225" t="s">
        <v>275</v>
      </c>
      <c r="BU145" s="225" t="s">
        <v>260</v>
      </c>
      <c r="BV145" s="2"/>
      <c r="BW145" s="259" t="s">
        <v>329</v>
      </c>
      <c r="BX145" s="259" t="s">
        <v>330</v>
      </c>
      <c r="BY145" s="259" t="s">
        <v>341</v>
      </c>
      <c r="BZ145" s="259" t="s">
        <v>342</v>
      </c>
      <c r="CA145" s="107"/>
      <c r="CB145" s="249"/>
      <c r="CC145" s="107"/>
      <c r="CD145" s="249"/>
      <c r="CE145" s="107"/>
      <c r="CF145" s="225" t="str">
        <f t="shared" si="66"/>
        <v/>
      </c>
      <c r="CG145" s="225" t="str">
        <f t="shared" si="67"/>
        <v/>
      </c>
      <c r="CH145" s="225" t="str">
        <f t="shared" si="68"/>
        <v/>
      </c>
      <c r="CI145" s="225" t="str">
        <f t="shared" si="69"/>
        <v/>
      </c>
      <c r="CJ145" s="225" t="str">
        <f t="shared" si="70"/>
        <v/>
      </c>
      <c r="CK145" s="225" t="str">
        <f t="shared" si="71"/>
        <v/>
      </c>
      <c r="CL145" s="225" t="str">
        <f t="shared" si="72"/>
        <v/>
      </c>
      <c r="CM145" s="225" t="str">
        <f t="shared" si="73"/>
        <v/>
      </c>
      <c r="CN145" s="225" t="str">
        <f t="shared" si="74"/>
        <v/>
      </c>
      <c r="CO145" s="225" t="str">
        <f t="shared" si="75"/>
        <v/>
      </c>
      <c r="CP145" s="250"/>
      <c r="CQ145" s="250" t="str">
        <f t="shared" si="76"/>
        <v/>
      </c>
      <c r="CR145" s="5">
        <v>143</v>
      </c>
      <c r="CU1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5" s="373" t="str">
        <f t="shared" si="77"/>
        <v/>
      </c>
      <c r="CW145" s="2"/>
      <c r="CX145" s="104"/>
    </row>
    <row r="146" spans="2:102" ht="18.95" customHeight="1" x14ac:dyDescent="0.35">
      <c r="B146" s="4">
        <v>144</v>
      </c>
      <c r="C146" s="4" t="s">
        <v>871</v>
      </c>
      <c r="E146" s="382" t="s">
        <v>622</v>
      </c>
      <c r="F146" s="69" t="s">
        <v>75</v>
      </c>
      <c r="H146" s="69" t="s">
        <v>510</v>
      </c>
      <c r="I146" s="69" t="s">
        <v>570</v>
      </c>
      <c r="J146" s="69" t="s">
        <v>423</v>
      </c>
      <c r="K146" s="160" t="s">
        <v>572</v>
      </c>
      <c r="L146" s="2"/>
      <c r="M146" s="167" t="s">
        <v>839</v>
      </c>
      <c r="N146" s="2"/>
      <c r="O146" s="230" t="str">
        <f>IF($A$2=B146,Elektro!$Q$11,"")</f>
        <v/>
      </c>
      <c r="P146" s="230" t="str">
        <f>IF($A$2=B146,Elektro!$Q$12,"")</f>
        <v/>
      </c>
      <c r="Q146" s="236" t="str">
        <f>IF($A$2=B146,Elektro!$Q$13,"")</f>
        <v/>
      </c>
      <c r="R146" s="231" t="str">
        <f>IF($A$2=B146,Elektro!$Q$14,"")</f>
        <v/>
      </c>
      <c r="S146" s="231" t="str">
        <f>IF($A$2=B146,Elektro!$Q$15,"")</f>
        <v/>
      </c>
      <c r="T146" s="230" t="str">
        <f>IF($A$2=B146,Elektro!$Q$16,"")</f>
        <v/>
      </c>
      <c r="U146" s="353" t="str">
        <f t="shared" si="52"/>
        <v/>
      </c>
      <c r="V146" s="353" t="str">
        <f t="shared" si="53"/>
        <v/>
      </c>
      <c r="W146" s="4" t="s">
        <v>141</v>
      </c>
      <c r="X146" s="4" t="s">
        <v>248</v>
      </c>
      <c r="Y146" s="4">
        <v>1</v>
      </c>
      <c r="Z146" s="4">
        <v>107.9</v>
      </c>
      <c r="AA146" s="232" t="str">
        <f t="shared" si="54"/>
        <v/>
      </c>
      <c r="AB146" s="233" t="str">
        <f t="shared" si="55"/>
        <v/>
      </c>
      <c r="AC146" s="233" t="str">
        <f t="shared" si="56"/>
        <v>mol/s</v>
      </c>
      <c r="AD146" s="231" t="str">
        <f t="shared" si="57"/>
        <v/>
      </c>
      <c r="AE146" s="231" t="s">
        <v>283</v>
      </c>
      <c r="AF146" s="232" t="str">
        <f t="shared" si="58"/>
        <v/>
      </c>
      <c r="AG146" s="236" t="s">
        <v>284</v>
      </c>
      <c r="AH146" s="4"/>
      <c r="AI146" s="4" t="s">
        <v>142</v>
      </c>
      <c r="AJ146" s="4" t="s">
        <v>20</v>
      </c>
      <c r="AK146" s="4">
        <v>2</v>
      </c>
      <c r="AL146" s="4">
        <v>2</v>
      </c>
      <c r="AM146" s="232" t="str">
        <f t="shared" si="59"/>
        <v/>
      </c>
      <c r="AN146" s="233" t="str">
        <f t="shared" si="60"/>
        <v/>
      </c>
      <c r="AO146" s="4" t="str">
        <f t="shared" si="61"/>
        <v>mol/s</v>
      </c>
      <c r="AP146" s="4"/>
      <c r="AQ146" s="4"/>
      <c r="AR146" s="4"/>
      <c r="AS146" s="4" t="s">
        <v>121</v>
      </c>
      <c r="AT146" s="4">
        <v>2</v>
      </c>
      <c r="AU146" s="5" t="s">
        <v>65</v>
      </c>
      <c r="AV146" s="248" t="str">
        <f t="shared" si="62"/>
        <v/>
      </c>
      <c r="AW146" s="248"/>
      <c r="AX146" s="4" t="str">
        <f t="shared" si="63"/>
        <v>M</v>
      </c>
      <c r="AY146" s="248" t="str">
        <f t="shared" si="64"/>
        <v/>
      </c>
      <c r="AZ146" s="232"/>
      <c r="BA146" s="4">
        <v>144</v>
      </c>
      <c r="BB146" s="2" t="s">
        <v>47</v>
      </c>
      <c r="BC146" s="2" t="s">
        <v>51</v>
      </c>
      <c r="BD146" s="2" t="s">
        <v>77</v>
      </c>
      <c r="BE146" s="2" t="s">
        <v>48</v>
      </c>
      <c r="BF146" s="2" t="s">
        <v>84</v>
      </c>
      <c r="BG146" s="2"/>
      <c r="BH146" s="185" t="s">
        <v>44</v>
      </c>
      <c r="BI146" s="185" t="s">
        <v>160</v>
      </c>
      <c r="BJ146" s="185" t="s">
        <v>148</v>
      </c>
      <c r="BK146" s="185" t="s">
        <v>164</v>
      </c>
      <c r="BL146" s="100"/>
      <c r="BM146" s="97">
        <f t="shared" si="65"/>
        <v>2</v>
      </c>
      <c r="BN146" s="225" t="s">
        <v>304</v>
      </c>
      <c r="BO146" s="225" t="s">
        <v>307</v>
      </c>
      <c r="BP146" s="225" t="s">
        <v>258</v>
      </c>
      <c r="BQ146" s="225" t="s">
        <v>259</v>
      </c>
      <c r="BR146" s="225" t="s">
        <v>318</v>
      </c>
      <c r="BS146" s="225" t="s">
        <v>328</v>
      </c>
      <c r="BT146" s="225" t="s">
        <v>275</v>
      </c>
      <c r="BU146" s="225" t="s">
        <v>260</v>
      </c>
      <c r="BV146" s="2"/>
      <c r="BW146" s="259" t="s">
        <v>329</v>
      </c>
      <c r="BX146" s="259" t="s">
        <v>330</v>
      </c>
      <c r="BY146" s="259" t="s">
        <v>341</v>
      </c>
      <c r="BZ146" s="259" t="s">
        <v>342</v>
      </c>
      <c r="CA146" s="107"/>
      <c r="CB146" s="249"/>
      <c r="CC146" s="107"/>
      <c r="CD146" s="249"/>
      <c r="CE146" s="107"/>
      <c r="CF146" s="225" t="str">
        <f t="shared" si="66"/>
        <v/>
      </c>
      <c r="CG146" s="225" t="str">
        <f t="shared" si="67"/>
        <v/>
      </c>
      <c r="CH146" s="225" t="str">
        <f t="shared" si="68"/>
        <v/>
      </c>
      <c r="CI146" s="225" t="str">
        <f t="shared" si="69"/>
        <v/>
      </c>
      <c r="CJ146" s="225" t="str">
        <f t="shared" si="70"/>
        <v/>
      </c>
      <c r="CK146" s="225" t="str">
        <f t="shared" si="71"/>
        <v/>
      </c>
      <c r="CL146" s="225" t="str">
        <f t="shared" si="72"/>
        <v/>
      </c>
      <c r="CM146" s="225" t="str">
        <f t="shared" si="73"/>
        <v/>
      </c>
      <c r="CN146" s="225" t="str">
        <f t="shared" si="74"/>
        <v/>
      </c>
      <c r="CO146" s="225" t="str">
        <f t="shared" si="75"/>
        <v/>
      </c>
      <c r="CP146" s="250"/>
      <c r="CQ146" s="250" t="str">
        <f t="shared" si="76"/>
        <v/>
      </c>
      <c r="CR146" s="5">
        <v>144</v>
      </c>
      <c r="CU1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6" s="373" t="str">
        <f t="shared" si="77"/>
        <v/>
      </c>
      <c r="CW146" s="2"/>
      <c r="CX146" s="104"/>
    </row>
    <row r="147" spans="2:102" ht="18.95" customHeight="1" x14ac:dyDescent="0.35">
      <c r="B147" s="4">
        <v>145</v>
      </c>
      <c r="C147" s="4" t="s">
        <v>882</v>
      </c>
      <c r="E147" s="382" t="s">
        <v>623</v>
      </c>
      <c r="F147" s="69" t="s">
        <v>75</v>
      </c>
      <c r="H147" s="69" t="s">
        <v>511</v>
      </c>
      <c r="I147" s="69" t="s">
        <v>570</v>
      </c>
      <c r="J147" s="69" t="s">
        <v>423</v>
      </c>
      <c r="K147" s="160" t="s">
        <v>572</v>
      </c>
      <c r="L147" s="2"/>
      <c r="M147" s="167" t="s">
        <v>840</v>
      </c>
      <c r="N147" s="2"/>
      <c r="O147" s="230" t="str">
        <f>IF($A$2=B147,Elektro!$Q$11,"")</f>
        <v/>
      </c>
      <c r="P147" s="230" t="str">
        <f>IF($A$2=B147,Elektro!$Q$12,"")</f>
        <v/>
      </c>
      <c r="Q147" s="236" t="str">
        <f>IF($A$2=B147,Elektro!$Q$13,"")</f>
        <v/>
      </c>
      <c r="R147" s="231" t="str">
        <f>IF($A$2=B147,Elektro!$Q$14,"")</f>
        <v/>
      </c>
      <c r="S147" s="231" t="str">
        <f>IF($A$2=B147,Elektro!$Q$15,"")</f>
        <v/>
      </c>
      <c r="T147" s="230" t="str">
        <f>IF($A$2=B147,Elektro!$Q$16,"")</f>
        <v/>
      </c>
      <c r="U147" s="353" t="str">
        <f t="shared" si="52"/>
        <v/>
      </c>
      <c r="V147" s="353" t="str">
        <f t="shared" si="53"/>
        <v/>
      </c>
      <c r="W147" s="4" t="s">
        <v>141</v>
      </c>
      <c r="X147" s="4" t="s">
        <v>248</v>
      </c>
      <c r="Y147" s="4">
        <v>1</v>
      </c>
      <c r="Z147" s="4">
        <v>107.9</v>
      </c>
      <c r="AA147" s="232" t="str">
        <f t="shared" si="54"/>
        <v/>
      </c>
      <c r="AB147" s="233" t="str">
        <f t="shared" si="55"/>
        <v/>
      </c>
      <c r="AC147" s="233" t="str">
        <f t="shared" si="56"/>
        <v>mol/s</v>
      </c>
      <c r="AD147" s="231" t="str">
        <f t="shared" si="57"/>
        <v/>
      </c>
      <c r="AE147" s="231" t="s">
        <v>283</v>
      </c>
      <c r="AF147" s="232" t="str">
        <f t="shared" si="58"/>
        <v/>
      </c>
      <c r="AG147" s="236" t="s">
        <v>284</v>
      </c>
      <c r="AH147" s="4"/>
      <c r="AI147" s="4" t="s">
        <v>142</v>
      </c>
      <c r="AJ147" s="4" t="s">
        <v>20</v>
      </c>
      <c r="AK147" s="4">
        <v>2</v>
      </c>
      <c r="AL147" s="4">
        <v>2</v>
      </c>
      <c r="AM147" s="232" t="str">
        <f t="shared" si="59"/>
        <v/>
      </c>
      <c r="AN147" s="233" t="str">
        <f t="shared" si="60"/>
        <v/>
      </c>
      <c r="AO147" s="4" t="str">
        <f t="shared" si="61"/>
        <v>mol/s</v>
      </c>
      <c r="AP147" s="4"/>
      <c r="AQ147" s="4"/>
      <c r="AR147" s="4"/>
      <c r="AS147" s="4" t="s">
        <v>121</v>
      </c>
      <c r="AT147" s="4">
        <v>2</v>
      </c>
      <c r="AU147" s="5" t="s">
        <v>65</v>
      </c>
      <c r="AV147" s="248" t="str">
        <f t="shared" si="62"/>
        <v/>
      </c>
      <c r="AW147" s="248"/>
      <c r="AX147" s="4" t="str">
        <f t="shared" si="63"/>
        <v>M</v>
      </c>
      <c r="AY147" s="248" t="str">
        <f t="shared" si="64"/>
        <v/>
      </c>
      <c r="AZ147" s="232"/>
      <c r="BA147" s="4">
        <v>145</v>
      </c>
      <c r="BB147" s="2" t="s">
        <v>47</v>
      </c>
      <c r="BC147" s="2" t="s">
        <v>51</v>
      </c>
      <c r="BD147" s="2" t="s">
        <v>77</v>
      </c>
      <c r="BE147" s="2" t="s">
        <v>48</v>
      </c>
      <c r="BF147" s="2" t="s">
        <v>81</v>
      </c>
      <c r="BG147" s="2"/>
      <c r="BH147" s="185" t="s">
        <v>44</v>
      </c>
      <c r="BI147" s="185" t="s">
        <v>160</v>
      </c>
      <c r="BJ147" s="185" t="s">
        <v>148</v>
      </c>
      <c r="BK147" s="185" t="s">
        <v>164</v>
      </c>
      <c r="BL147" s="100"/>
      <c r="BM147" s="97">
        <f t="shared" si="65"/>
        <v>2</v>
      </c>
      <c r="BN147" s="225" t="s">
        <v>304</v>
      </c>
      <c r="BO147" s="225" t="s">
        <v>307</v>
      </c>
      <c r="BP147" s="225" t="s">
        <v>258</v>
      </c>
      <c r="BQ147" s="225" t="s">
        <v>259</v>
      </c>
      <c r="BR147" s="225" t="s">
        <v>318</v>
      </c>
      <c r="BS147" s="225" t="s">
        <v>328</v>
      </c>
      <c r="BT147" s="225" t="s">
        <v>275</v>
      </c>
      <c r="BU147" s="225" t="s">
        <v>260</v>
      </c>
      <c r="BV147" s="2"/>
      <c r="BW147" s="259" t="s">
        <v>329</v>
      </c>
      <c r="BX147" s="259" t="s">
        <v>330</v>
      </c>
      <c r="BY147" s="259" t="s">
        <v>341</v>
      </c>
      <c r="BZ147" s="259" t="s">
        <v>342</v>
      </c>
      <c r="CA147" s="107"/>
      <c r="CB147" s="249"/>
      <c r="CC147" s="107"/>
      <c r="CD147" s="249"/>
      <c r="CE147" s="107"/>
      <c r="CF147" s="225" t="str">
        <f t="shared" si="66"/>
        <v/>
      </c>
      <c r="CG147" s="225" t="str">
        <f t="shared" si="67"/>
        <v/>
      </c>
      <c r="CH147" s="225" t="str">
        <f t="shared" si="68"/>
        <v/>
      </c>
      <c r="CI147" s="225" t="str">
        <f t="shared" si="69"/>
        <v/>
      </c>
      <c r="CJ147" s="225" t="str">
        <f t="shared" si="70"/>
        <v/>
      </c>
      <c r="CK147" s="225" t="str">
        <f t="shared" si="71"/>
        <v/>
      </c>
      <c r="CL147" s="225" t="str">
        <f t="shared" si="72"/>
        <v/>
      </c>
      <c r="CM147" s="225" t="str">
        <f t="shared" si="73"/>
        <v/>
      </c>
      <c r="CN147" s="225" t="str">
        <f t="shared" si="74"/>
        <v/>
      </c>
      <c r="CO147" s="225" t="str">
        <f t="shared" si="75"/>
        <v/>
      </c>
      <c r="CP147" s="250"/>
      <c r="CQ147" s="250" t="str">
        <f t="shared" si="76"/>
        <v/>
      </c>
      <c r="CR147" s="5">
        <v>145</v>
      </c>
      <c r="CU1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7" s="373" t="str">
        <f t="shared" si="77"/>
        <v/>
      </c>
      <c r="CW147" s="2"/>
      <c r="CX147" s="104"/>
    </row>
    <row r="148" spans="2:102" ht="18.95" customHeight="1" x14ac:dyDescent="0.35">
      <c r="B148" s="4">
        <v>146</v>
      </c>
      <c r="C148" s="4" t="s">
        <v>872</v>
      </c>
      <c r="E148" s="382" t="s">
        <v>624</v>
      </c>
      <c r="F148" s="69" t="s">
        <v>75</v>
      </c>
      <c r="H148" s="69" t="s">
        <v>512</v>
      </c>
      <c r="I148" s="69" t="s">
        <v>570</v>
      </c>
      <c r="J148" s="69" t="s">
        <v>423</v>
      </c>
      <c r="K148" s="160" t="s">
        <v>572</v>
      </c>
      <c r="L148" s="2"/>
      <c r="M148" s="167" t="s">
        <v>841</v>
      </c>
      <c r="N148" s="2"/>
      <c r="O148" s="230" t="str">
        <f>IF($A$2=B148,Elektro!$Q$11,"")</f>
        <v/>
      </c>
      <c r="P148" s="230" t="str">
        <f>IF($A$2=B148,Elektro!$Q$12,"")</f>
        <v/>
      </c>
      <c r="Q148" s="236" t="str">
        <f>IF($A$2=B148,Elektro!$Q$13,"")</f>
        <v/>
      </c>
      <c r="R148" s="231" t="str">
        <f>IF($A$2=B148,Elektro!$Q$14,"")</f>
        <v/>
      </c>
      <c r="S148" s="231" t="str">
        <f>IF($A$2=B148,Elektro!$Q$15,"")</f>
        <v/>
      </c>
      <c r="T148" s="230" t="str">
        <f>IF($A$2=B148,Elektro!$Q$16,"")</f>
        <v/>
      </c>
      <c r="U148" s="353" t="str">
        <f t="shared" si="52"/>
        <v/>
      </c>
      <c r="V148" s="353" t="str">
        <f t="shared" si="53"/>
        <v/>
      </c>
      <c r="W148" s="4" t="s">
        <v>141</v>
      </c>
      <c r="X148" s="4" t="s">
        <v>248</v>
      </c>
      <c r="Y148" s="4">
        <v>1</v>
      </c>
      <c r="Z148" s="4">
        <v>107.9</v>
      </c>
      <c r="AA148" s="232" t="str">
        <f t="shared" si="54"/>
        <v/>
      </c>
      <c r="AB148" s="233" t="str">
        <f t="shared" si="55"/>
        <v/>
      </c>
      <c r="AC148" s="233" t="str">
        <f t="shared" si="56"/>
        <v>mol/s</v>
      </c>
      <c r="AD148" s="231" t="str">
        <f t="shared" si="57"/>
        <v/>
      </c>
      <c r="AE148" s="231" t="s">
        <v>283</v>
      </c>
      <c r="AF148" s="232" t="str">
        <f t="shared" si="58"/>
        <v/>
      </c>
      <c r="AG148" s="236" t="s">
        <v>284</v>
      </c>
      <c r="AH148" s="4"/>
      <c r="AI148" s="4" t="s">
        <v>142</v>
      </c>
      <c r="AJ148" s="4" t="s">
        <v>20</v>
      </c>
      <c r="AK148" s="4">
        <v>2</v>
      </c>
      <c r="AL148" s="4">
        <v>2</v>
      </c>
      <c r="AM148" s="232" t="str">
        <f t="shared" si="59"/>
        <v/>
      </c>
      <c r="AN148" s="233" t="str">
        <f t="shared" si="60"/>
        <v/>
      </c>
      <c r="AO148" s="4" t="str">
        <f t="shared" si="61"/>
        <v>mol/s</v>
      </c>
      <c r="AP148" s="4"/>
      <c r="AQ148" s="4"/>
      <c r="AR148" s="4"/>
      <c r="AS148" s="4" t="s">
        <v>121</v>
      </c>
      <c r="AT148" s="4">
        <v>2</v>
      </c>
      <c r="AU148" s="5" t="s">
        <v>65</v>
      </c>
      <c r="AV148" s="248" t="str">
        <f t="shared" si="62"/>
        <v/>
      </c>
      <c r="AW148" s="248"/>
      <c r="AX148" s="4" t="str">
        <f t="shared" si="63"/>
        <v>M</v>
      </c>
      <c r="AY148" s="248" t="str">
        <f t="shared" si="64"/>
        <v/>
      </c>
      <c r="AZ148" s="232"/>
      <c r="BA148" s="4">
        <v>146</v>
      </c>
      <c r="BB148" s="2" t="s">
        <v>47</v>
      </c>
      <c r="BC148" s="2" t="s">
        <v>51</v>
      </c>
      <c r="BD148" s="2" t="s">
        <v>77</v>
      </c>
      <c r="BE148" s="2" t="s">
        <v>48</v>
      </c>
      <c r="BF148" s="2" t="s">
        <v>82</v>
      </c>
      <c r="BG148" s="2"/>
      <c r="BH148" s="185" t="s">
        <v>44</v>
      </c>
      <c r="BI148" s="185" t="s">
        <v>160</v>
      </c>
      <c r="BJ148" s="185" t="s">
        <v>148</v>
      </c>
      <c r="BK148" s="185" t="s">
        <v>164</v>
      </c>
      <c r="BL148" s="100"/>
      <c r="BM148" s="97">
        <f t="shared" si="65"/>
        <v>2</v>
      </c>
      <c r="BN148" s="225" t="s">
        <v>304</v>
      </c>
      <c r="BO148" s="225" t="s">
        <v>307</v>
      </c>
      <c r="BP148" s="225" t="s">
        <v>258</v>
      </c>
      <c r="BQ148" s="225" t="s">
        <v>259</v>
      </c>
      <c r="BR148" s="225" t="s">
        <v>318</v>
      </c>
      <c r="BS148" s="225" t="s">
        <v>328</v>
      </c>
      <c r="BT148" s="225" t="s">
        <v>275</v>
      </c>
      <c r="BU148" s="225" t="s">
        <v>260</v>
      </c>
      <c r="BV148" s="2"/>
      <c r="BW148" s="259" t="s">
        <v>329</v>
      </c>
      <c r="BX148" s="259" t="s">
        <v>330</v>
      </c>
      <c r="BY148" s="259" t="s">
        <v>341</v>
      </c>
      <c r="BZ148" s="259" t="s">
        <v>342</v>
      </c>
      <c r="CA148" s="107"/>
      <c r="CB148" s="249"/>
      <c r="CC148" s="107"/>
      <c r="CD148" s="249"/>
      <c r="CE148" s="107"/>
      <c r="CF148" s="225" t="str">
        <f t="shared" si="66"/>
        <v/>
      </c>
      <c r="CG148" s="225" t="str">
        <f t="shared" si="67"/>
        <v/>
      </c>
      <c r="CH148" s="225" t="str">
        <f t="shared" si="68"/>
        <v/>
      </c>
      <c r="CI148" s="225" t="str">
        <f t="shared" si="69"/>
        <v/>
      </c>
      <c r="CJ148" s="225" t="str">
        <f t="shared" si="70"/>
        <v/>
      </c>
      <c r="CK148" s="225" t="str">
        <f t="shared" si="71"/>
        <v/>
      </c>
      <c r="CL148" s="225" t="str">
        <f t="shared" si="72"/>
        <v/>
      </c>
      <c r="CM148" s="225" t="str">
        <f t="shared" si="73"/>
        <v/>
      </c>
      <c r="CN148" s="225" t="str">
        <f t="shared" si="74"/>
        <v/>
      </c>
      <c r="CO148" s="225" t="str">
        <f t="shared" si="75"/>
        <v/>
      </c>
      <c r="CP148" s="250"/>
      <c r="CQ148" s="250" t="str">
        <f t="shared" si="76"/>
        <v/>
      </c>
      <c r="CR148" s="5">
        <v>146</v>
      </c>
      <c r="CU1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8" s="373" t="str">
        <f t="shared" si="77"/>
        <v/>
      </c>
      <c r="CW148" s="2"/>
      <c r="CX148" s="104"/>
    </row>
    <row r="149" spans="2:102" ht="18.95" customHeight="1" x14ac:dyDescent="0.35">
      <c r="B149" s="4">
        <v>147</v>
      </c>
      <c r="C149" s="4" t="s">
        <v>684</v>
      </c>
      <c r="E149" s="382" t="s">
        <v>647</v>
      </c>
      <c r="F149" s="69"/>
      <c r="H149" s="69" t="s">
        <v>468</v>
      </c>
      <c r="I149" s="69" t="s">
        <v>570</v>
      </c>
      <c r="J149" s="69" t="s">
        <v>262</v>
      </c>
      <c r="K149" s="160" t="s">
        <v>573</v>
      </c>
      <c r="L149" s="2"/>
      <c r="M149" s="69" t="s">
        <v>842</v>
      </c>
      <c r="N149" s="2"/>
      <c r="O149" s="230" t="str">
        <f>IF($A$2=B149,Elektro!$Q$11,"")</f>
        <v/>
      </c>
      <c r="P149" s="230" t="str">
        <f>IF($A$2=B149,Elektro!$Q$12,"")</f>
        <v/>
      </c>
      <c r="Q149" s="236" t="str">
        <f>IF($A$2=B149,Elektro!$Q$13,"")</f>
        <v/>
      </c>
      <c r="R149" s="231" t="str">
        <f>IF($A$2=B149,Elektro!$Q$14,"")</f>
        <v/>
      </c>
      <c r="S149" s="231" t="str">
        <f>IF($A$2=B149,Elektro!$Q$15,"")</f>
        <v/>
      </c>
      <c r="T149" s="230" t="str">
        <f>IF($A$2=B149,Elektro!$Q$16,"")</f>
        <v/>
      </c>
      <c r="U149" s="353" t="str">
        <f t="shared" si="52"/>
        <v/>
      </c>
      <c r="V149" s="353" t="str">
        <f t="shared" si="53"/>
        <v/>
      </c>
      <c r="W149" s="4" t="s">
        <v>141</v>
      </c>
      <c r="X149" s="4" t="s">
        <v>248</v>
      </c>
      <c r="Y149" s="4">
        <v>1</v>
      </c>
      <c r="Z149" s="4">
        <v>107.9</v>
      </c>
      <c r="AA149" s="232" t="str">
        <f t="shared" si="54"/>
        <v/>
      </c>
      <c r="AB149" s="233" t="str">
        <f t="shared" si="55"/>
        <v/>
      </c>
      <c r="AC149" s="233" t="str">
        <f t="shared" si="56"/>
        <v>mol/s</v>
      </c>
      <c r="AD149" s="231" t="str">
        <f t="shared" si="57"/>
        <v/>
      </c>
      <c r="AE149" s="231" t="s">
        <v>283</v>
      </c>
      <c r="AF149" s="232" t="str">
        <f t="shared" si="58"/>
        <v/>
      </c>
      <c r="AG149" s="236" t="s">
        <v>284</v>
      </c>
      <c r="AH149" s="4"/>
      <c r="AI149" s="4" t="s">
        <v>107</v>
      </c>
      <c r="AJ149" s="4" t="s">
        <v>282</v>
      </c>
      <c r="AK149" s="4">
        <v>2</v>
      </c>
      <c r="AL149" s="4">
        <v>63.55</v>
      </c>
      <c r="AM149" s="232" t="str">
        <f t="shared" si="59"/>
        <v/>
      </c>
      <c r="AN149" s="233" t="str">
        <f t="shared" si="60"/>
        <v/>
      </c>
      <c r="AO149" s="4" t="str">
        <f t="shared" si="61"/>
        <v>g/s</v>
      </c>
      <c r="AP149" s="4"/>
      <c r="AQ149" s="4"/>
      <c r="AR149" s="4"/>
      <c r="AS149" s="4" t="s">
        <v>368</v>
      </c>
      <c r="AT149" s="4">
        <v>0</v>
      </c>
      <c r="AV149" s="248" t="str">
        <f t="shared" si="62"/>
        <v/>
      </c>
      <c r="AW149" s="248"/>
      <c r="AX149" s="4" t="str">
        <f t="shared" si="63"/>
        <v>M</v>
      </c>
      <c r="AY149" s="248" t="str">
        <f t="shared" si="64"/>
        <v/>
      </c>
      <c r="AZ149" s="232"/>
      <c r="BA149" s="4">
        <v>147</v>
      </c>
      <c r="BB149" s="2" t="s">
        <v>47</v>
      </c>
      <c r="BC149" s="2" t="s">
        <v>52</v>
      </c>
      <c r="BD149" s="2" t="s">
        <v>77</v>
      </c>
      <c r="BE149" s="2" t="s">
        <v>48</v>
      </c>
      <c r="BF149" s="2" t="s">
        <v>53</v>
      </c>
      <c r="BG149" s="2"/>
      <c r="BH149" s="185" t="s">
        <v>44</v>
      </c>
      <c r="BI149" s="185" t="s">
        <v>160</v>
      </c>
      <c r="BJ149" s="185" t="s">
        <v>151</v>
      </c>
      <c r="BK149" s="185" t="s">
        <v>3</v>
      </c>
      <c r="BL149" s="100"/>
      <c r="BM149" s="97">
        <f t="shared" si="65"/>
        <v>0</v>
      </c>
      <c r="BN149" s="225" t="s">
        <v>296</v>
      </c>
      <c r="BO149" s="225" t="s">
        <v>307</v>
      </c>
      <c r="BP149" s="225" t="s">
        <v>258</v>
      </c>
      <c r="BQ149" s="225" t="s">
        <v>259</v>
      </c>
      <c r="BR149" s="225" t="s">
        <v>384</v>
      </c>
      <c r="BS149" s="225" t="s">
        <v>328</v>
      </c>
      <c r="BT149" s="225" t="s">
        <v>375</v>
      </c>
      <c r="BU149" s="225" t="s">
        <v>260</v>
      </c>
      <c r="BV149" s="2"/>
      <c r="BW149" s="259" t="s">
        <v>270</v>
      </c>
      <c r="BX149" s="259" t="s">
        <v>349</v>
      </c>
      <c r="BY149" s="259" t="s">
        <v>341</v>
      </c>
      <c r="BZ149" s="259" t="s">
        <v>342</v>
      </c>
      <c r="CA149" s="107"/>
      <c r="CB149" s="249"/>
      <c r="CC149" s="107"/>
      <c r="CD149" s="249"/>
      <c r="CE149" s="107"/>
      <c r="CF149" s="225" t="str">
        <f t="shared" si="66"/>
        <v/>
      </c>
      <c r="CG149" s="225" t="str">
        <f t="shared" si="67"/>
        <v/>
      </c>
      <c r="CH149" s="225" t="str">
        <f t="shared" si="68"/>
        <v/>
      </c>
      <c r="CI149" s="225" t="str">
        <f t="shared" si="69"/>
        <v/>
      </c>
      <c r="CJ149" s="225" t="str">
        <f t="shared" si="70"/>
        <v/>
      </c>
      <c r="CK149" s="225" t="str">
        <f t="shared" si="71"/>
        <v/>
      </c>
      <c r="CL149" s="225" t="str">
        <f t="shared" si="72"/>
        <v/>
      </c>
      <c r="CM149" s="225" t="str">
        <f t="shared" si="73"/>
        <v/>
      </c>
      <c r="CN149" s="225" t="str">
        <f t="shared" si="74"/>
        <v/>
      </c>
      <c r="CO149" s="225" t="str">
        <f t="shared" si="75"/>
        <v/>
      </c>
      <c r="CP149" s="250"/>
      <c r="CQ149" s="250" t="str">
        <f t="shared" si="76"/>
        <v/>
      </c>
      <c r="CR149" s="5">
        <v>147</v>
      </c>
      <c r="CU1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9" s="373" t="str">
        <f t="shared" si="77"/>
        <v/>
      </c>
      <c r="CW149" s="2"/>
      <c r="CX149" s="104"/>
    </row>
    <row r="150" spans="2:102" ht="18.95" customHeight="1" x14ac:dyDescent="0.35">
      <c r="B150" s="4">
        <v>148</v>
      </c>
      <c r="C150" s="4" t="s">
        <v>106</v>
      </c>
      <c r="E150" s="382" t="s">
        <v>625</v>
      </c>
      <c r="F150" s="69"/>
      <c r="H150" s="69" t="s">
        <v>513</v>
      </c>
      <c r="I150" s="69" t="s">
        <v>570</v>
      </c>
      <c r="J150" s="69" t="s">
        <v>514</v>
      </c>
      <c r="K150" s="160" t="s">
        <v>574</v>
      </c>
      <c r="L150" s="2"/>
      <c r="M150" s="69" t="s">
        <v>843</v>
      </c>
      <c r="N150" s="2"/>
      <c r="O150" s="230" t="str">
        <f>IF($A$2=B150,Elektro!$Q$11,"")</f>
        <v/>
      </c>
      <c r="P150" s="230" t="str">
        <f>IF($A$2=B150,Elektro!$Q$12,"")</f>
        <v/>
      </c>
      <c r="Q150" s="236" t="str">
        <f>IF($A$2=B150,Elektro!$Q$13,"")</f>
        <v/>
      </c>
      <c r="R150" s="231" t="str">
        <f>IF($A$2=B150,Elektro!$Q$14,"")</f>
        <v/>
      </c>
      <c r="S150" s="231" t="str">
        <f>IF($A$2=B150,Elektro!$Q$15,"")</f>
        <v/>
      </c>
      <c r="T150" s="230" t="str">
        <f>IF($A$2=B150,Elektro!$Q$16,"")</f>
        <v/>
      </c>
      <c r="U150" s="353" t="str">
        <f t="shared" si="52"/>
        <v/>
      </c>
      <c r="V150" s="353" t="str">
        <f t="shared" si="53"/>
        <v/>
      </c>
      <c r="W150" s="4" t="s">
        <v>141</v>
      </c>
      <c r="X150" s="4" t="s">
        <v>248</v>
      </c>
      <c r="Y150" s="4">
        <v>1</v>
      </c>
      <c r="Z150" s="4">
        <v>107.9</v>
      </c>
      <c r="AA150" s="232" t="str">
        <f t="shared" si="54"/>
        <v/>
      </c>
      <c r="AB150" s="233" t="str">
        <f t="shared" si="55"/>
        <v/>
      </c>
      <c r="AC150" s="233" t="str">
        <f t="shared" si="56"/>
        <v>mol/s</v>
      </c>
      <c r="AD150" s="231" t="str">
        <f t="shared" si="57"/>
        <v/>
      </c>
      <c r="AE150" s="231" t="s">
        <v>283</v>
      </c>
      <c r="AF150" s="232" t="str">
        <f t="shared" si="58"/>
        <v/>
      </c>
      <c r="AG150" s="236" t="s">
        <v>284</v>
      </c>
      <c r="AH150" s="4"/>
      <c r="AI150" s="4" t="s">
        <v>112</v>
      </c>
      <c r="AJ150" s="4" t="s">
        <v>282</v>
      </c>
      <c r="AK150" s="4">
        <v>1</v>
      </c>
      <c r="AL150" s="4">
        <v>107.9</v>
      </c>
      <c r="AM150" s="232" t="str">
        <f t="shared" si="59"/>
        <v/>
      </c>
      <c r="AN150" s="233" t="str">
        <f t="shared" si="60"/>
        <v/>
      </c>
      <c r="AO150" s="4" t="str">
        <f t="shared" si="61"/>
        <v>g/s</v>
      </c>
      <c r="AP150" s="4"/>
      <c r="AQ150" s="4"/>
      <c r="AR150" s="4"/>
      <c r="AS150" s="4" t="s">
        <v>368</v>
      </c>
      <c r="AT150" s="4">
        <v>0</v>
      </c>
      <c r="AV150" s="248" t="str">
        <f t="shared" si="62"/>
        <v/>
      </c>
      <c r="AW150" s="248"/>
      <c r="AX150" s="4" t="str">
        <f t="shared" si="63"/>
        <v>M</v>
      </c>
      <c r="AY150" s="248" t="str">
        <f t="shared" si="64"/>
        <v/>
      </c>
      <c r="AZ150" s="232"/>
      <c r="BA150" s="4">
        <v>148</v>
      </c>
      <c r="BB150" s="2" t="s">
        <v>47</v>
      </c>
      <c r="BC150" s="2" t="s">
        <v>52</v>
      </c>
      <c r="BD150" s="2" t="s">
        <v>77</v>
      </c>
      <c r="BE150" s="2" t="s">
        <v>48</v>
      </c>
      <c r="BF150" s="2" t="s">
        <v>86</v>
      </c>
      <c r="BG150" s="2"/>
      <c r="BH150" s="185" t="s">
        <v>44</v>
      </c>
      <c r="BI150" s="185" t="s">
        <v>160</v>
      </c>
      <c r="BJ150" s="185" t="s">
        <v>160</v>
      </c>
      <c r="BK150" s="185" t="s">
        <v>44</v>
      </c>
      <c r="BL150" s="100"/>
      <c r="BM150" s="97">
        <f t="shared" si="65"/>
        <v>0</v>
      </c>
      <c r="BN150" s="225" t="s">
        <v>301</v>
      </c>
      <c r="BO150" s="225" t="s">
        <v>307</v>
      </c>
      <c r="BP150" s="225" t="s">
        <v>258</v>
      </c>
      <c r="BQ150" s="225" t="s">
        <v>259</v>
      </c>
      <c r="BR150" s="225" t="s">
        <v>320</v>
      </c>
      <c r="BS150" s="225" t="s">
        <v>328</v>
      </c>
      <c r="BT150" s="225" t="s">
        <v>377</v>
      </c>
      <c r="BU150" s="225" t="s">
        <v>260</v>
      </c>
      <c r="BV150" s="2"/>
      <c r="BW150" s="259" t="s">
        <v>354</v>
      </c>
      <c r="BX150" s="259" t="s">
        <v>358</v>
      </c>
      <c r="BY150" s="259" t="s">
        <v>341</v>
      </c>
      <c r="BZ150" s="259" t="s">
        <v>342</v>
      </c>
      <c r="CA150" s="107"/>
      <c r="CB150" s="249"/>
      <c r="CC150" s="107"/>
      <c r="CD150" s="249"/>
      <c r="CE150" s="107"/>
      <c r="CF150" s="225" t="str">
        <f t="shared" si="66"/>
        <v/>
      </c>
      <c r="CG150" s="225" t="str">
        <f t="shared" si="67"/>
        <v/>
      </c>
      <c r="CH150" s="225" t="str">
        <f t="shared" si="68"/>
        <v/>
      </c>
      <c r="CI150" s="225" t="str">
        <f t="shared" si="69"/>
        <v/>
      </c>
      <c r="CJ150" s="225" t="str">
        <f t="shared" si="70"/>
        <v/>
      </c>
      <c r="CK150" s="225" t="str">
        <f t="shared" si="71"/>
        <v/>
      </c>
      <c r="CL150" s="225" t="str">
        <f t="shared" si="72"/>
        <v/>
      </c>
      <c r="CM150" s="225" t="str">
        <f t="shared" si="73"/>
        <v/>
      </c>
      <c r="CN150" s="225" t="str">
        <f t="shared" si="74"/>
        <v/>
      </c>
      <c r="CO150" s="225" t="str">
        <f t="shared" si="75"/>
        <v/>
      </c>
      <c r="CP150" s="250"/>
      <c r="CQ150" s="250" t="str">
        <f t="shared" si="76"/>
        <v/>
      </c>
      <c r="CR150" s="5">
        <v>148</v>
      </c>
      <c r="CU1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0" s="373" t="str">
        <f t="shared" si="77"/>
        <v/>
      </c>
      <c r="CW150" s="2"/>
      <c r="CX150" s="104"/>
    </row>
    <row r="151" spans="2:102" ht="18.95" customHeight="1" x14ac:dyDescent="0.35">
      <c r="B151" s="4">
        <v>149</v>
      </c>
      <c r="C151" s="4" t="s">
        <v>683</v>
      </c>
      <c r="E151" s="382" t="s">
        <v>626</v>
      </c>
      <c r="F151" s="69"/>
      <c r="H151" s="69" t="s">
        <v>516</v>
      </c>
      <c r="I151" s="69" t="s">
        <v>570</v>
      </c>
      <c r="J151" s="69" t="s">
        <v>517</v>
      </c>
      <c r="K151" s="160" t="s">
        <v>575</v>
      </c>
      <c r="L151" s="2"/>
      <c r="M151" s="69" t="s">
        <v>844</v>
      </c>
      <c r="N151" s="2"/>
      <c r="O151" s="230" t="str">
        <f>IF($A$2=B151,Elektro!$Q$11,"")</f>
        <v/>
      </c>
      <c r="P151" s="230" t="str">
        <f>IF($A$2=B151,Elektro!$Q$12,"")</f>
        <v/>
      </c>
      <c r="Q151" s="236" t="str">
        <f>IF($A$2=B151,Elektro!$Q$13,"")</f>
        <v/>
      </c>
      <c r="R151" s="231" t="str">
        <f>IF($A$2=B151,Elektro!$Q$14,"")</f>
        <v/>
      </c>
      <c r="S151" s="231" t="str">
        <f>IF($A$2=B151,Elektro!$Q$15,"")</f>
        <v/>
      </c>
      <c r="T151" s="230" t="str">
        <f>IF($A$2=B151,Elektro!$Q$16,"")</f>
        <v/>
      </c>
      <c r="U151" s="353" t="str">
        <f t="shared" si="52"/>
        <v/>
      </c>
      <c r="V151" s="353" t="str">
        <f t="shared" si="53"/>
        <v/>
      </c>
      <c r="W151" s="4" t="s">
        <v>141</v>
      </c>
      <c r="X151" s="4" t="s">
        <v>248</v>
      </c>
      <c r="Y151" s="4">
        <v>1</v>
      </c>
      <c r="Z151" s="4">
        <v>107.9</v>
      </c>
      <c r="AA151" s="232" t="str">
        <f t="shared" si="54"/>
        <v/>
      </c>
      <c r="AB151" s="233" t="str">
        <f t="shared" si="55"/>
        <v/>
      </c>
      <c r="AC151" s="233" t="str">
        <f t="shared" si="56"/>
        <v>mol/s</v>
      </c>
      <c r="AD151" s="231" t="str">
        <f t="shared" si="57"/>
        <v/>
      </c>
      <c r="AE151" s="231" t="s">
        <v>283</v>
      </c>
      <c r="AF151" s="232" t="str">
        <f t="shared" si="58"/>
        <v/>
      </c>
      <c r="AG151" s="236" t="s">
        <v>284</v>
      </c>
      <c r="AH151" s="4"/>
      <c r="AI151" s="4" t="s">
        <v>115</v>
      </c>
      <c r="AJ151" s="4" t="s">
        <v>282</v>
      </c>
      <c r="AK151" s="4">
        <v>2</v>
      </c>
      <c r="AL151" s="4">
        <v>58.69</v>
      </c>
      <c r="AM151" s="232" t="str">
        <f t="shared" si="59"/>
        <v/>
      </c>
      <c r="AN151" s="233" t="str">
        <f t="shared" si="60"/>
        <v/>
      </c>
      <c r="AO151" s="4" t="str">
        <f t="shared" si="61"/>
        <v>g/s</v>
      </c>
      <c r="AP151" s="4"/>
      <c r="AQ151" s="4"/>
      <c r="AR151" s="4"/>
      <c r="AS151" s="4" t="s">
        <v>368</v>
      </c>
      <c r="AT151" s="4">
        <v>0</v>
      </c>
      <c r="AV151" s="248" t="str">
        <f t="shared" si="62"/>
        <v/>
      </c>
      <c r="AW151" s="248"/>
      <c r="AX151" s="4" t="str">
        <f t="shared" si="63"/>
        <v>M</v>
      </c>
      <c r="AY151" s="248" t="str">
        <f t="shared" si="64"/>
        <v/>
      </c>
      <c r="AZ151" s="232"/>
      <c r="BA151" s="4">
        <v>149</v>
      </c>
      <c r="BB151" s="2" t="s">
        <v>47</v>
      </c>
      <c r="BC151" s="2" t="s">
        <v>78</v>
      </c>
      <c r="BD151" s="2" t="s">
        <v>77</v>
      </c>
      <c r="BE151" s="2" t="s">
        <v>48</v>
      </c>
      <c r="BF151" s="2" t="s">
        <v>87</v>
      </c>
      <c r="BG151" s="2"/>
      <c r="BH151" s="185" t="s">
        <v>44</v>
      </c>
      <c r="BI151" s="185" t="s">
        <v>160</v>
      </c>
      <c r="BJ151" s="185" t="s">
        <v>166</v>
      </c>
      <c r="BK151" s="185" t="s">
        <v>60</v>
      </c>
      <c r="BL151" s="100"/>
      <c r="BM151" s="97">
        <f t="shared" si="65"/>
        <v>0</v>
      </c>
      <c r="BN151" s="225" t="s">
        <v>305</v>
      </c>
      <c r="BO151" s="225" t="s">
        <v>307</v>
      </c>
      <c r="BP151" s="225" t="s">
        <v>258</v>
      </c>
      <c r="BQ151" s="225" t="s">
        <v>259</v>
      </c>
      <c r="BR151" s="225" t="s">
        <v>392</v>
      </c>
      <c r="BS151" s="225" t="s">
        <v>328</v>
      </c>
      <c r="BT151" s="225" t="s">
        <v>372</v>
      </c>
      <c r="BU151" s="225" t="s">
        <v>260</v>
      </c>
      <c r="BV151" s="2"/>
      <c r="BW151" s="259" t="s">
        <v>359</v>
      </c>
      <c r="BX151" s="259" t="s">
        <v>360</v>
      </c>
      <c r="BY151" s="259" t="s">
        <v>341</v>
      </c>
      <c r="BZ151" s="259" t="s">
        <v>342</v>
      </c>
      <c r="CA151" s="107"/>
      <c r="CB151" s="249"/>
      <c r="CC151" s="107"/>
      <c r="CD151" s="249"/>
      <c r="CE151" s="107"/>
      <c r="CF151" s="225" t="str">
        <f t="shared" si="66"/>
        <v/>
      </c>
      <c r="CG151" s="225" t="str">
        <f t="shared" si="67"/>
        <v/>
      </c>
      <c r="CH151" s="225" t="str">
        <f t="shared" si="68"/>
        <v/>
      </c>
      <c r="CI151" s="225" t="str">
        <f t="shared" si="69"/>
        <v/>
      </c>
      <c r="CJ151" s="225" t="str">
        <f t="shared" si="70"/>
        <v/>
      </c>
      <c r="CK151" s="225" t="str">
        <f t="shared" si="71"/>
        <v/>
      </c>
      <c r="CL151" s="225" t="str">
        <f t="shared" si="72"/>
        <v/>
      </c>
      <c r="CM151" s="225" t="str">
        <f t="shared" si="73"/>
        <v/>
      </c>
      <c r="CN151" s="225" t="str">
        <f t="shared" si="74"/>
        <v/>
      </c>
      <c r="CO151" s="225" t="str">
        <f t="shared" si="75"/>
        <v/>
      </c>
      <c r="CP151" s="250"/>
      <c r="CQ151" s="250" t="str">
        <f t="shared" si="76"/>
        <v/>
      </c>
      <c r="CR151" s="5">
        <v>149</v>
      </c>
      <c r="CU1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1" s="373" t="str">
        <f t="shared" si="77"/>
        <v/>
      </c>
      <c r="CW151" s="2"/>
      <c r="CX151" s="104"/>
    </row>
    <row r="152" spans="2:102" ht="18.95" customHeight="1" x14ac:dyDescent="0.35">
      <c r="B152" s="4">
        <v>150</v>
      </c>
      <c r="C152" s="4" t="s">
        <v>873</v>
      </c>
      <c r="E152" s="382" t="s">
        <v>627</v>
      </c>
      <c r="F152" s="69"/>
      <c r="H152" s="69" t="s">
        <v>519</v>
      </c>
      <c r="I152" s="69" t="s">
        <v>570</v>
      </c>
      <c r="J152" s="69" t="s">
        <v>262</v>
      </c>
      <c r="K152" s="160" t="s">
        <v>573</v>
      </c>
      <c r="L152" s="2"/>
      <c r="M152" s="69" t="s">
        <v>845</v>
      </c>
      <c r="N152" s="2"/>
      <c r="O152" s="230" t="str">
        <f>IF($A$2=B152,Elektro!$Q$11,"")</f>
        <v/>
      </c>
      <c r="P152" s="230" t="str">
        <f>IF($A$2=B152,Elektro!$Q$12,"")</f>
        <v/>
      </c>
      <c r="Q152" s="236" t="str">
        <f>IF($A$2=B152,Elektro!$Q$13,"")</f>
        <v/>
      </c>
      <c r="R152" s="231" t="str">
        <f>IF($A$2=B152,Elektro!$Q$14,"")</f>
        <v/>
      </c>
      <c r="S152" s="231" t="str">
        <f>IF($A$2=B152,Elektro!$Q$15,"")</f>
        <v/>
      </c>
      <c r="T152" s="230" t="str">
        <f>IF($A$2=B152,Elektro!$Q$16,"")</f>
        <v/>
      </c>
      <c r="U152" s="353" t="str">
        <f t="shared" si="52"/>
        <v/>
      </c>
      <c r="V152" s="353" t="str">
        <f t="shared" si="53"/>
        <v/>
      </c>
      <c r="W152" s="4" t="s">
        <v>141</v>
      </c>
      <c r="X152" s="4" t="s">
        <v>248</v>
      </c>
      <c r="Y152" s="4">
        <v>1</v>
      </c>
      <c r="Z152" s="4">
        <v>107.9</v>
      </c>
      <c r="AA152" s="232" t="str">
        <f t="shared" si="54"/>
        <v/>
      </c>
      <c r="AB152" s="233" t="str">
        <f t="shared" si="55"/>
        <v/>
      </c>
      <c r="AC152" s="233" t="str">
        <f t="shared" si="56"/>
        <v>mol/s</v>
      </c>
      <c r="AD152" s="231" t="str">
        <f t="shared" si="57"/>
        <v/>
      </c>
      <c r="AE152" s="231" t="s">
        <v>283</v>
      </c>
      <c r="AF152" s="232" t="str">
        <f t="shared" si="58"/>
        <v/>
      </c>
      <c r="AG152" s="236" t="s">
        <v>284</v>
      </c>
      <c r="AH152" s="4"/>
      <c r="AI152" s="4" t="s">
        <v>107</v>
      </c>
      <c r="AJ152" s="4" t="s">
        <v>282</v>
      </c>
      <c r="AK152" s="4">
        <v>2</v>
      </c>
      <c r="AL152" s="4">
        <v>63.55</v>
      </c>
      <c r="AM152" s="232" t="str">
        <f t="shared" si="59"/>
        <v/>
      </c>
      <c r="AN152" s="233" t="str">
        <f t="shared" si="60"/>
        <v/>
      </c>
      <c r="AO152" s="4" t="str">
        <f t="shared" si="61"/>
        <v>g/s</v>
      </c>
      <c r="AP152" s="4"/>
      <c r="AQ152" s="4"/>
      <c r="AR152" s="4"/>
      <c r="AS152" s="4" t="s">
        <v>368</v>
      </c>
      <c r="AT152" s="4">
        <v>0</v>
      </c>
      <c r="AV152" s="248" t="str">
        <f t="shared" si="62"/>
        <v/>
      </c>
      <c r="AW152" s="248"/>
      <c r="AX152" s="4" t="str">
        <f t="shared" si="63"/>
        <v>M</v>
      </c>
      <c r="AY152" s="248" t="str">
        <f t="shared" si="64"/>
        <v/>
      </c>
      <c r="AZ152" s="232"/>
      <c r="BA152" s="4">
        <v>150</v>
      </c>
      <c r="BB152" s="2" t="s">
        <v>47</v>
      </c>
      <c r="BC152" s="2" t="s">
        <v>73</v>
      </c>
      <c r="BD152" s="2" t="s">
        <v>77</v>
      </c>
      <c r="BE152" s="2" t="s">
        <v>48</v>
      </c>
      <c r="BF152" s="2" t="s">
        <v>53</v>
      </c>
      <c r="BG152" s="2"/>
      <c r="BH152" s="185" t="s">
        <v>44</v>
      </c>
      <c r="BI152" s="185" t="s">
        <v>160</v>
      </c>
      <c r="BJ152" s="185" t="s">
        <v>151</v>
      </c>
      <c r="BK152" s="185" t="s">
        <v>3</v>
      </c>
      <c r="BL152" s="100"/>
      <c r="BM152" s="97">
        <f t="shared" si="65"/>
        <v>0</v>
      </c>
      <c r="BN152" s="225" t="s">
        <v>296</v>
      </c>
      <c r="BO152" s="225" t="s">
        <v>307</v>
      </c>
      <c r="BP152" s="225" t="s">
        <v>258</v>
      </c>
      <c r="BQ152" s="225" t="s">
        <v>259</v>
      </c>
      <c r="BR152" s="225" t="s">
        <v>319</v>
      </c>
      <c r="BS152" s="225" t="s">
        <v>328</v>
      </c>
      <c r="BT152" s="225" t="s">
        <v>375</v>
      </c>
      <c r="BU152" s="225" t="s">
        <v>260</v>
      </c>
      <c r="BV152" s="2"/>
      <c r="BW152" s="259" t="s">
        <v>270</v>
      </c>
      <c r="BX152" s="259" t="s">
        <v>349</v>
      </c>
      <c r="BY152" s="259" t="s">
        <v>341</v>
      </c>
      <c r="BZ152" s="259" t="s">
        <v>342</v>
      </c>
      <c r="CA152" s="107"/>
      <c r="CB152" s="249"/>
      <c r="CC152" s="107"/>
      <c r="CD152" s="249"/>
      <c r="CE152" s="107"/>
      <c r="CF152" s="225" t="str">
        <f t="shared" si="66"/>
        <v/>
      </c>
      <c r="CG152" s="225" t="str">
        <f t="shared" si="67"/>
        <v/>
      </c>
      <c r="CH152" s="225" t="str">
        <f t="shared" si="68"/>
        <v/>
      </c>
      <c r="CI152" s="225" t="str">
        <f t="shared" si="69"/>
        <v/>
      </c>
      <c r="CJ152" s="225" t="str">
        <f t="shared" si="70"/>
        <v/>
      </c>
      <c r="CK152" s="225" t="str">
        <f t="shared" si="71"/>
        <v/>
      </c>
      <c r="CL152" s="225" t="str">
        <f t="shared" si="72"/>
        <v/>
      </c>
      <c r="CM152" s="225" t="str">
        <f t="shared" si="73"/>
        <v/>
      </c>
      <c r="CN152" s="225" t="str">
        <f t="shared" si="74"/>
        <v/>
      </c>
      <c r="CO152" s="225" t="str">
        <f t="shared" si="75"/>
        <v/>
      </c>
      <c r="CP152" s="250"/>
      <c r="CQ152" s="250" t="str">
        <f t="shared" si="76"/>
        <v/>
      </c>
      <c r="CR152" s="5">
        <v>150</v>
      </c>
      <c r="CU1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2" s="373" t="str">
        <f t="shared" si="77"/>
        <v/>
      </c>
      <c r="CW152" s="2"/>
      <c r="CX152" s="104"/>
    </row>
    <row r="153" spans="2:102" ht="18.95" customHeight="1" x14ac:dyDescent="0.35">
      <c r="B153" s="4">
        <v>151</v>
      </c>
      <c r="C153" s="4" t="s">
        <v>679</v>
      </c>
      <c r="E153" s="382" t="s">
        <v>628</v>
      </c>
      <c r="F153" s="69"/>
      <c r="H153" s="69" t="s">
        <v>521</v>
      </c>
      <c r="I153" s="69" t="s">
        <v>570</v>
      </c>
      <c r="J153" s="69" t="s">
        <v>522</v>
      </c>
      <c r="K153" s="160" t="s">
        <v>576</v>
      </c>
      <c r="L153" s="2"/>
      <c r="M153" s="69" t="s">
        <v>846</v>
      </c>
      <c r="N153" s="2"/>
      <c r="O153" s="230" t="str">
        <f>IF($A$2=B153,Elektro!$Q$11,"")</f>
        <v/>
      </c>
      <c r="P153" s="230" t="str">
        <f>IF($A$2=B153,Elektro!$Q$12,"")</f>
        <v/>
      </c>
      <c r="Q153" s="236" t="str">
        <f>IF($A$2=B153,Elektro!$Q$13,"")</f>
        <v/>
      </c>
      <c r="R153" s="231" t="str">
        <f>IF($A$2=B153,Elektro!$Q$14,"")</f>
        <v/>
      </c>
      <c r="S153" s="231" t="str">
        <f>IF($A$2=B153,Elektro!$Q$15,"")</f>
        <v/>
      </c>
      <c r="T153" s="230" t="str">
        <f>IF($A$2=B153,Elektro!$Q$16,"")</f>
        <v/>
      </c>
      <c r="U153" s="353" t="str">
        <f t="shared" si="52"/>
        <v/>
      </c>
      <c r="V153" s="353" t="str">
        <f t="shared" si="53"/>
        <v/>
      </c>
      <c r="W153" s="4" t="s">
        <v>141</v>
      </c>
      <c r="X153" s="4" t="s">
        <v>248</v>
      </c>
      <c r="Y153" s="4">
        <v>1</v>
      </c>
      <c r="Z153" s="4">
        <v>107.9</v>
      </c>
      <c r="AA153" s="232" t="str">
        <f t="shared" si="54"/>
        <v/>
      </c>
      <c r="AB153" s="233" t="str">
        <f t="shared" si="55"/>
        <v/>
      </c>
      <c r="AC153" s="233" t="str">
        <f t="shared" si="56"/>
        <v>mol/s</v>
      </c>
      <c r="AD153" s="231" t="str">
        <f t="shared" si="57"/>
        <v/>
      </c>
      <c r="AE153" s="231" t="s">
        <v>283</v>
      </c>
      <c r="AF153" s="232" t="str">
        <f t="shared" si="58"/>
        <v/>
      </c>
      <c r="AG153" s="236" t="s">
        <v>284</v>
      </c>
      <c r="AH153" s="4"/>
      <c r="AI153" s="4" t="s">
        <v>111</v>
      </c>
      <c r="AJ153" s="4" t="s">
        <v>282</v>
      </c>
      <c r="AK153" s="4">
        <v>2</v>
      </c>
      <c r="AL153" s="4">
        <v>65.39</v>
      </c>
      <c r="AM153" s="232" t="str">
        <f t="shared" si="59"/>
        <v/>
      </c>
      <c r="AN153" s="233" t="str">
        <f t="shared" si="60"/>
        <v/>
      </c>
      <c r="AO153" s="4" t="str">
        <f t="shared" si="61"/>
        <v>g/s</v>
      </c>
      <c r="AP153" s="4"/>
      <c r="AQ153" s="4"/>
      <c r="AR153" s="4"/>
      <c r="AS153" s="4" t="s">
        <v>368</v>
      </c>
      <c r="AT153" s="4">
        <v>0</v>
      </c>
      <c r="AV153" s="248" t="str">
        <f t="shared" si="62"/>
        <v/>
      </c>
      <c r="AW153" s="248"/>
      <c r="AX153" s="4" t="str">
        <f t="shared" si="63"/>
        <v>M</v>
      </c>
      <c r="AY153" s="248" t="str">
        <f t="shared" si="64"/>
        <v/>
      </c>
      <c r="AZ153" s="232"/>
      <c r="BA153" s="4">
        <v>151</v>
      </c>
      <c r="BB153" s="2" t="s">
        <v>47</v>
      </c>
      <c r="BC153" s="2" t="s">
        <v>52</v>
      </c>
      <c r="BD153" s="2" t="s">
        <v>77</v>
      </c>
      <c r="BE153" s="2" t="s">
        <v>48</v>
      </c>
      <c r="BF153" s="2" t="s">
        <v>88</v>
      </c>
      <c r="BG153" s="2"/>
      <c r="BH153" s="185" t="s">
        <v>44</v>
      </c>
      <c r="BI153" s="185" t="s">
        <v>160</v>
      </c>
      <c r="BJ153" s="185" t="s">
        <v>158</v>
      </c>
      <c r="BK153" s="185" t="s">
        <v>30</v>
      </c>
      <c r="BL153" s="100"/>
      <c r="BM153" s="97">
        <f t="shared" si="65"/>
        <v>0</v>
      </c>
      <c r="BN153" s="225" t="s">
        <v>300</v>
      </c>
      <c r="BO153" s="225" t="s">
        <v>307</v>
      </c>
      <c r="BP153" s="225" t="s">
        <v>258</v>
      </c>
      <c r="BQ153" s="225" t="s">
        <v>259</v>
      </c>
      <c r="BR153" s="225" t="s">
        <v>393</v>
      </c>
      <c r="BS153" s="225" t="s">
        <v>328</v>
      </c>
      <c r="BT153" s="225" t="s">
        <v>369</v>
      </c>
      <c r="BU153" s="225" t="s">
        <v>260</v>
      </c>
      <c r="BV153" s="2"/>
      <c r="BW153" s="259" t="s">
        <v>345</v>
      </c>
      <c r="BX153" s="259" t="s">
        <v>346</v>
      </c>
      <c r="BY153" s="259" t="s">
        <v>341</v>
      </c>
      <c r="BZ153" s="259" t="s">
        <v>342</v>
      </c>
      <c r="CA153" s="107"/>
      <c r="CB153" s="249"/>
      <c r="CC153" s="107"/>
      <c r="CD153" s="249"/>
      <c r="CE153" s="107"/>
      <c r="CF153" s="225" t="str">
        <f t="shared" si="66"/>
        <v/>
      </c>
      <c r="CG153" s="225" t="str">
        <f t="shared" si="67"/>
        <v/>
      </c>
      <c r="CH153" s="225" t="str">
        <f t="shared" si="68"/>
        <v/>
      </c>
      <c r="CI153" s="225" t="str">
        <f t="shared" si="69"/>
        <v/>
      </c>
      <c r="CJ153" s="225" t="str">
        <f t="shared" si="70"/>
        <v/>
      </c>
      <c r="CK153" s="225" t="str">
        <f t="shared" si="71"/>
        <v/>
      </c>
      <c r="CL153" s="225" t="str">
        <f t="shared" si="72"/>
        <v/>
      </c>
      <c r="CM153" s="225" t="str">
        <f t="shared" si="73"/>
        <v/>
      </c>
      <c r="CN153" s="225" t="str">
        <f t="shared" si="74"/>
        <v/>
      </c>
      <c r="CO153" s="225" t="str">
        <f t="shared" si="75"/>
        <v/>
      </c>
      <c r="CP153" s="250"/>
      <c r="CQ153" s="250" t="str">
        <f t="shared" si="76"/>
        <v/>
      </c>
      <c r="CR153" s="5">
        <v>151</v>
      </c>
      <c r="CU1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3" s="373" t="str">
        <f t="shared" si="77"/>
        <v/>
      </c>
      <c r="CW153" s="2"/>
      <c r="CX153" s="104"/>
    </row>
    <row r="154" spans="2:102" ht="18.95" customHeight="1" x14ac:dyDescent="0.35">
      <c r="B154" s="4">
        <v>152</v>
      </c>
      <c r="C154" s="4" t="s">
        <v>681</v>
      </c>
      <c r="E154" s="382" t="s">
        <v>648</v>
      </c>
      <c r="F154" s="69"/>
      <c r="H154" s="69" t="s">
        <v>524</v>
      </c>
      <c r="I154" s="69" t="s">
        <v>570</v>
      </c>
      <c r="J154" s="69" t="s">
        <v>443</v>
      </c>
      <c r="K154" s="160" t="s">
        <v>577</v>
      </c>
      <c r="L154" s="2"/>
      <c r="M154" s="69" t="s">
        <v>847</v>
      </c>
      <c r="N154" s="2"/>
      <c r="O154" s="230" t="str">
        <f>IF($A$2=B154,Elektro!$Q$11,"")</f>
        <v/>
      </c>
      <c r="P154" s="230" t="str">
        <f>IF($A$2=B154,Elektro!$Q$12,"")</f>
        <v/>
      </c>
      <c r="Q154" s="236" t="str">
        <f>IF($A$2=B154,Elektro!$Q$13,"")</f>
        <v/>
      </c>
      <c r="R154" s="231" t="str">
        <f>IF($A$2=B154,Elektro!$Q$14,"")</f>
        <v/>
      </c>
      <c r="S154" s="231" t="str">
        <f>IF($A$2=B154,Elektro!$Q$15,"")</f>
        <v/>
      </c>
      <c r="T154" s="230" t="str">
        <f>IF($A$2=B154,Elektro!$Q$16,"")</f>
        <v/>
      </c>
      <c r="U154" s="353" t="str">
        <f t="shared" si="52"/>
        <v/>
      </c>
      <c r="V154" s="353" t="str">
        <f t="shared" si="53"/>
        <v/>
      </c>
      <c r="W154" s="4" t="s">
        <v>141</v>
      </c>
      <c r="X154" s="4" t="s">
        <v>248</v>
      </c>
      <c r="Y154" s="4">
        <v>1</v>
      </c>
      <c r="Z154" s="4">
        <v>107.9</v>
      </c>
      <c r="AA154" s="232" t="str">
        <f t="shared" si="54"/>
        <v/>
      </c>
      <c r="AB154" s="233" t="str">
        <f t="shared" si="55"/>
        <v/>
      </c>
      <c r="AC154" s="233" t="str">
        <f t="shared" si="56"/>
        <v>mol/s</v>
      </c>
      <c r="AD154" s="231" t="str">
        <f t="shared" si="57"/>
        <v/>
      </c>
      <c r="AE154" s="231" t="s">
        <v>283</v>
      </c>
      <c r="AF154" s="232" t="str">
        <f t="shared" si="58"/>
        <v/>
      </c>
      <c r="AG154" s="236" t="s">
        <v>284</v>
      </c>
      <c r="AH154" s="4"/>
      <c r="AI154" s="4" t="s">
        <v>110</v>
      </c>
      <c r="AJ154" s="4" t="s">
        <v>282</v>
      </c>
      <c r="AK154" s="4">
        <v>3</v>
      </c>
      <c r="AL154" s="4">
        <v>52</v>
      </c>
      <c r="AM154" s="232" t="str">
        <f t="shared" si="59"/>
        <v/>
      </c>
      <c r="AN154" s="233" t="str">
        <f t="shared" si="60"/>
        <v/>
      </c>
      <c r="AO154" s="4" t="str">
        <f t="shared" si="61"/>
        <v>g/s</v>
      </c>
      <c r="AP154" s="4"/>
      <c r="AQ154" s="4"/>
      <c r="AR154" s="4"/>
      <c r="AS154" s="4" t="s">
        <v>368</v>
      </c>
      <c r="AT154" s="4">
        <v>0</v>
      </c>
      <c r="AV154" s="248" t="str">
        <f t="shared" si="62"/>
        <v/>
      </c>
      <c r="AW154" s="248"/>
      <c r="AX154" s="4" t="str">
        <f t="shared" si="63"/>
        <v>M</v>
      </c>
      <c r="AY154" s="248" t="str">
        <f t="shared" si="64"/>
        <v/>
      </c>
      <c r="AZ154" s="232"/>
      <c r="BA154" s="4">
        <v>152</v>
      </c>
      <c r="BB154" s="2" t="s">
        <v>133</v>
      </c>
      <c r="BC154" s="2" t="s">
        <v>134</v>
      </c>
      <c r="BD154" s="2" t="s">
        <v>77</v>
      </c>
      <c r="BE154" s="2" t="s">
        <v>135</v>
      </c>
      <c r="BF154" s="2" t="s">
        <v>136</v>
      </c>
      <c r="BG154" s="2"/>
      <c r="BH154" s="185" t="s">
        <v>44</v>
      </c>
      <c r="BI154" s="185" t="s">
        <v>160</v>
      </c>
      <c r="BJ154" s="185" t="s">
        <v>154</v>
      </c>
      <c r="BK154" s="185" t="s">
        <v>29</v>
      </c>
      <c r="BL154" s="100"/>
      <c r="BM154" s="97">
        <f t="shared" si="65"/>
        <v>0</v>
      </c>
      <c r="BN154" s="225" t="s">
        <v>299</v>
      </c>
      <c r="BO154" s="225" t="s">
        <v>307</v>
      </c>
      <c r="BP154" s="225" t="s">
        <v>258</v>
      </c>
      <c r="BQ154" s="225" t="s">
        <v>259</v>
      </c>
      <c r="BR154" s="225" t="s">
        <v>394</v>
      </c>
      <c r="BS154" s="225" t="s">
        <v>328</v>
      </c>
      <c r="BT154" s="225" t="s">
        <v>378</v>
      </c>
      <c r="BU154" s="225" t="s">
        <v>260</v>
      </c>
      <c r="BV154" s="2"/>
      <c r="BW154" s="259" t="s">
        <v>352</v>
      </c>
      <c r="BX154" s="259" t="s">
        <v>353</v>
      </c>
      <c r="BY154" s="259" t="s">
        <v>341</v>
      </c>
      <c r="BZ154" s="259" t="s">
        <v>342</v>
      </c>
      <c r="CA154" s="107"/>
      <c r="CB154" s="249"/>
      <c r="CC154" s="107"/>
      <c r="CD154" s="249"/>
      <c r="CE154" s="107"/>
      <c r="CF154" s="225" t="str">
        <f t="shared" si="66"/>
        <v/>
      </c>
      <c r="CG154" s="225" t="str">
        <f t="shared" si="67"/>
        <v/>
      </c>
      <c r="CH154" s="225" t="str">
        <f t="shared" si="68"/>
        <v/>
      </c>
      <c r="CI154" s="225" t="str">
        <f t="shared" si="69"/>
        <v/>
      </c>
      <c r="CJ154" s="225" t="str">
        <f t="shared" si="70"/>
        <v/>
      </c>
      <c r="CK154" s="225" t="str">
        <f t="shared" si="71"/>
        <v/>
      </c>
      <c r="CL154" s="225" t="str">
        <f t="shared" si="72"/>
        <v/>
      </c>
      <c r="CM154" s="225" t="str">
        <f t="shared" si="73"/>
        <v/>
      </c>
      <c r="CN154" s="225" t="str">
        <f t="shared" si="74"/>
        <v/>
      </c>
      <c r="CO154" s="225" t="str">
        <f t="shared" si="75"/>
        <v/>
      </c>
      <c r="CP154" s="250"/>
      <c r="CQ154" s="250" t="str">
        <f t="shared" si="76"/>
        <v/>
      </c>
      <c r="CR154" s="5">
        <v>152</v>
      </c>
      <c r="CU1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4" s="373" t="str">
        <f t="shared" si="77"/>
        <v/>
      </c>
      <c r="CW154" s="2"/>
      <c r="CX154" s="104"/>
    </row>
    <row r="155" spans="2:102" ht="18.95" customHeight="1" x14ac:dyDescent="0.35">
      <c r="B155" s="4">
        <v>153</v>
      </c>
      <c r="C155" s="4" t="s">
        <v>874</v>
      </c>
      <c r="E155" s="382" t="s">
        <v>630</v>
      </c>
      <c r="F155" s="69"/>
      <c r="H155" s="69" t="s">
        <v>526</v>
      </c>
      <c r="I155" s="69" t="s">
        <v>570</v>
      </c>
      <c r="J155" s="69" t="s">
        <v>527</v>
      </c>
      <c r="K155" s="160" t="s">
        <v>578</v>
      </c>
      <c r="L155" s="2"/>
      <c r="M155" s="69" t="s">
        <v>848</v>
      </c>
      <c r="N155" s="2"/>
      <c r="O155" s="230" t="str">
        <f>IF($A$2=B155,Elektro!$Q$11,"")</f>
        <v/>
      </c>
      <c r="P155" s="230" t="str">
        <f>IF($A$2=B155,Elektro!$Q$12,"")</f>
        <v/>
      </c>
      <c r="Q155" s="236" t="str">
        <f>IF($A$2=B155,Elektro!$Q$13,"")</f>
        <v/>
      </c>
      <c r="R155" s="231" t="str">
        <f>IF($A$2=B155,Elektro!$Q$14,"")</f>
        <v/>
      </c>
      <c r="S155" s="231" t="str">
        <f>IF($A$2=B155,Elektro!$Q$15,"")</f>
        <v/>
      </c>
      <c r="T155" s="230" t="str">
        <f>IF($A$2=B155,Elektro!$Q$16,"")</f>
        <v/>
      </c>
      <c r="U155" s="353" t="str">
        <f t="shared" si="52"/>
        <v/>
      </c>
      <c r="V155" s="353" t="str">
        <f t="shared" si="53"/>
        <v/>
      </c>
      <c r="W155" s="4" t="s">
        <v>141</v>
      </c>
      <c r="X155" s="4" t="s">
        <v>248</v>
      </c>
      <c r="Y155" s="4">
        <v>1</v>
      </c>
      <c r="Z155" s="4">
        <v>107.9</v>
      </c>
      <c r="AA155" s="232" t="str">
        <f t="shared" si="54"/>
        <v/>
      </c>
      <c r="AB155" s="233" t="str">
        <f t="shared" si="55"/>
        <v/>
      </c>
      <c r="AC155" s="233" t="str">
        <f t="shared" si="56"/>
        <v>mol/s</v>
      </c>
      <c r="AD155" s="231" t="str">
        <f t="shared" si="57"/>
        <v/>
      </c>
      <c r="AE155" s="231" t="s">
        <v>283</v>
      </c>
      <c r="AF155" s="232" t="str">
        <f t="shared" si="58"/>
        <v/>
      </c>
      <c r="AG155" s="236" t="s">
        <v>284</v>
      </c>
      <c r="AH155" s="4"/>
      <c r="AI155" s="4" t="s">
        <v>117</v>
      </c>
      <c r="AJ155" s="4" t="s">
        <v>282</v>
      </c>
      <c r="AK155" s="4">
        <v>2</v>
      </c>
      <c r="AL155" s="4">
        <v>118.7</v>
      </c>
      <c r="AM155" s="232" t="str">
        <f t="shared" si="59"/>
        <v/>
      </c>
      <c r="AN155" s="233" t="str">
        <f t="shared" si="60"/>
        <v/>
      </c>
      <c r="AO155" s="4" t="str">
        <f t="shared" si="61"/>
        <v>g/s</v>
      </c>
      <c r="AP155" s="4"/>
      <c r="AQ155" s="4"/>
      <c r="AR155" s="4"/>
      <c r="AS155" s="4" t="s">
        <v>368</v>
      </c>
      <c r="AT155" s="4">
        <v>0</v>
      </c>
      <c r="AV155" s="248" t="str">
        <f t="shared" si="62"/>
        <v/>
      </c>
      <c r="AW155" s="248"/>
      <c r="AX155" s="4" t="str">
        <f t="shared" si="63"/>
        <v>M</v>
      </c>
      <c r="AY155" s="248" t="str">
        <f t="shared" si="64"/>
        <v/>
      </c>
      <c r="AZ155" s="232"/>
      <c r="BA155" s="4">
        <v>153</v>
      </c>
      <c r="BB155" s="2" t="s">
        <v>47</v>
      </c>
      <c r="BC155" s="2" t="s">
        <v>52</v>
      </c>
      <c r="BD155" s="2" t="s">
        <v>77</v>
      </c>
      <c r="BE155" s="2" t="s">
        <v>48</v>
      </c>
      <c r="BF155" s="2" t="s">
        <v>90</v>
      </c>
      <c r="BG155" s="2"/>
      <c r="BH155" s="185" t="s">
        <v>44</v>
      </c>
      <c r="BI155" s="185" t="s">
        <v>160</v>
      </c>
      <c r="BJ155" s="185" t="s">
        <v>167</v>
      </c>
      <c r="BK155" s="185" t="s">
        <v>130</v>
      </c>
      <c r="BL155" s="100"/>
      <c r="BM155" s="97">
        <f t="shared" si="65"/>
        <v>0</v>
      </c>
      <c r="BN155" s="225" t="s">
        <v>312</v>
      </c>
      <c r="BO155" s="225" t="s">
        <v>307</v>
      </c>
      <c r="BP155" s="225" t="s">
        <v>258</v>
      </c>
      <c r="BQ155" s="225" t="s">
        <v>259</v>
      </c>
      <c r="BR155" s="225" t="s">
        <v>395</v>
      </c>
      <c r="BS155" s="225" t="s">
        <v>328</v>
      </c>
      <c r="BT155" s="225" t="s">
        <v>370</v>
      </c>
      <c r="BU155" s="225" t="s">
        <v>260</v>
      </c>
      <c r="BV155" s="2"/>
      <c r="BW155" s="259" t="s">
        <v>347</v>
      </c>
      <c r="BX155" s="259" t="s">
        <v>348</v>
      </c>
      <c r="BY155" s="259" t="s">
        <v>341</v>
      </c>
      <c r="BZ155" s="259" t="s">
        <v>342</v>
      </c>
      <c r="CA155" s="107"/>
      <c r="CB155" s="249"/>
      <c r="CC155" s="107"/>
      <c r="CD155" s="249"/>
      <c r="CE155" s="107"/>
      <c r="CF155" s="225" t="str">
        <f t="shared" si="66"/>
        <v/>
      </c>
      <c r="CG155" s="225" t="str">
        <f t="shared" si="67"/>
        <v/>
      </c>
      <c r="CH155" s="225" t="str">
        <f t="shared" si="68"/>
        <v/>
      </c>
      <c r="CI155" s="225" t="str">
        <f t="shared" si="69"/>
        <v/>
      </c>
      <c r="CJ155" s="225" t="str">
        <f t="shared" si="70"/>
        <v/>
      </c>
      <c r="CK155" s="225" t="str">
        <f t="shared" si="71"/>
        <v/>
      </c>
      <c r="CL155" s="225" t="str">
        <f t="shared" si="72"/>
        <v/>
      </c>
      <c r="CM155" s="225" t="str">
        <f t="shared" si="73"/>
        <v/>
      </c>
      <c r="CN155" s="225" t="str">
        <f t="shared" si="74"/>
        <v/>
      </c>
      <c r="CO155" s="225" t="str">
        <f t="shared" si="75"/>
        <v/>
      </c>
      <c r="CP155" s="250"/>
      <c r="CQ155" s="250" t="str">
        <f t="shared" si="76"/>
        <v/>
      </c>
      <c r="CR155" s="5">
        <v>153</v>
      </c>
      <c r="CU1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5" s="373" t="str">
        <f t="shared" si="77"/>
        <v/>
      </c>
      <c r="CW155" s="2"/>
      <c r="CX155" s="104"/>
    </row>
    <row r="156" spans="2:102" ht="18.95" customHeight="1" x14ac:dyDescent="0.35">
      <c r="B156" s="4">
        <v>154</v>
      </c>
      <c r="C156" s="4" t="s">
        <v>693</v>
      </c>
      <c r="E156" s="382" t="s">
        <v>649</v>
      </c>
      <c r="F156" s="69"/>
      <c r="H156" s="69" t="s">
        <v>470</v>
      </c>
      <c r="I156" s="69" t="s">
        <v>570</v>
      </c>
      <c r="J156" s="69" t="s">
        <v>262</v>
      </c>
      <c r="K156" s="160" t="s">
        <v>573</v>
      </c>
      <c r="L156" s="2"/>
      <c r="M156" s="69" t="s">
        <v>849</v>
      </c>
      <c r="N156" s="2"/>
      <c r="O156" s="230" t="str">
        <f>IF($A$2=B156,Elektro!$Q$11,"")</f>
        <v/>
      </c>
      <c r="P156" s="230" t="str">
        <f>IF($A$2=B156,Elektro!$Q$12,"")</f>
        <v/>
      </c>
      <c r="Q156" s="236" t="str">
        <f>IF($A$2=B156,Elektro!$Q$13,"")</f>
        <v/>
      </c>
      <c r="R156" s="231" t="str">
        <f>IF($A$2=B156,Elektro!$Q$14,"")</f>
        <v/>
      </c>
      <c r="S156" s="231" t="str">
        <f>IF($A$2=B156,Elektro!$Q$15,"")</f>
        <v/>
      </c>
      <c r="T156" s="230" t="str">
        <f>IF($A$2=B156,Elektro!$Q$16,"")</f>
        <v/>
      </c>
      <c r="U156" s="353" t="str">
        <f t="shared" si="52"/>
        <v/>
      </c>
      <c r="V156" s="353" t="str">
        <f t="shared" si="53"/>
        <v/>
      </c>
      <c r="W156" s="4" t="s">
        <v>141</v>
      </c>
      <c r="X156" s="4" t="s">
        <v>248</v>
      </c>
      <c r="Y156" s="4">
        <v>1</v>
      </c>
      <c r="Z156" s="4">
        <v>107.9</v>
      </c>
      <c r="AA156" s="232" t="str">
        <f t="shared" si="54"/>
        <v/>
      </c>
      <c r="AB156" s="233" t="str">
        <f t="shared" si="55"/>
        <v/>
      </c>
      <c r="AC156" s="233" t="str">
        <f t="shared" si="56"/>
        <v>mol/s</v>
      </c>
      <c r="AD156" s="231" t="str">
        <f t="shared" si="57"/>
        <v/>
      </c>
      <c r="AE156" s="231" t="s">
        <v>283</v>
      </c>
      <c r="AF156" s="232" t="str">
        <f t="shared" si="58"/>
        <v/>
      </c>
      <c r="AG156" s="236" t="s">
        <v>284</v>
      </c>
      <c r="AH156" s="4"/>
      <c r="AI156" s="4" t="s">
        <v>107</v>
      </c>
      <c r="AJ156" s="4" t="s">
        <v>282</v>
      </c>
      <c r="AK156" s="4">
        <v>2</v>
      </c>
      <c r="AL156" s="4">
        <v>63.55</v>
      </c>
      <c r="AM156" s="232" t="str">
        <f t="shared" si="59"/>
        <v/>
      </c>
      <c r="AN156" s="233" t="str">
        <f t="shared" si="60"/>
        <v/>
      </c>
      <c r="AO156" s="4" t="str">
        <f t="shared" si="61"/>
        <v>g/s</v>
      </c>
      <c r="AP156" s="4"/>
      <c r="AQ156" s="4"/>
      <c r="AR156" s="4"/>
      <c r="AS156" s="4" t="s">
        <v>368</v>
      </c>
      <c r="AT156" s="4">
        <v>0</v>
      </c>
      <c r="AV156" s="248" t="str">
        <f t="shared" si="62"/>
        <v/>
      </c>
      <c r="AW156" s="248"/>
      <c r="AX156" s="4" t="str">
        <f t="shared" si="63"/>
        <v>M</v>
      </c>
      <c r="AY156" s="248" t="str">
        <f t="shared" si="64"/>
        <v/>
      </c>
      <c r="AZ156" s="232"/>
      <c r="BA156" s="4">
        <v>154</v>
      </c>
      <c r="BB156" s="2" t="s">
        <v>47</v>
      </c>
      <c r="BC156" s="2" t="s">
        <v>234</v>
      </c>
      <c r="BD156" s="2" t="s">
        <v>77</v>
      </c>
      <c r="BE156" s="2" t="s">
        <v>48</v>
      </c>
      <c r="BF156" s="2" t="s">
        <v>53</v>
      </c>
      <c r="BG156" s="2"/>
      <c r="BH156" s="185" t="s">
        <v>44</v>
      </c>
      <c r="BI156" s="185" t="s">
        <v>160</v>
      </c>
      <c r="BJ156" s="185" t="s">
        <v>151</v>
      </c>
      <c r="BK156" s="185" t="s">
        <v>3</v>
      </c>
      <c r="BL156" s="100"/>
      <c r="BM156" s="97">
        <f t="shared" si="65"/>
        <v>0</v>
      </c>
      <c r="BN156" s="225" t="s">
        <v>296</v>
      </c>
      <c r="BO156" s="225" t="s">
        <v>307</v>
      </c>
      <c r="BP156" s="225" t="s">
        <v>258</v>
      </c>
      <c r="BQ156" s="225" t="s">
        <v>259</v>
      </c>
      <c r="BR156" s="225" t="s">
        <v>319</v>
      </c>
      <c r="BS156" s="225" t="s">
        <v>328</v>
      </c>
      <c r="BT156" s="225" t="s">
        <v>375</v>
      </c>
      <c r="BU156" s="225" t="s">
        <v>260</v>
      </c>
      <c r="BV156" s="2"/>
      <c r="BW156" s="259" t="s">
        <v>270</v>
      </c>
      <c r="BX156" s="259" t="s">
        <v>349</v>
      </c>
      <c r="BY156" s="259" t="s">
        <v>341</v>
      </c>
      <c r="BZ156" s="259" t="s">
        <v>342</v>
      </c>
      <c r="CA156" s="107"/>
      <c r="CB156" s="249"/>
      <c r="CC156" s="107"/>
      <c r="CD156" s="249"/>
      <c r="CE156" s="107"/>
      <c r="CF156" s="225" t="str">
        <f t="shared" si="66"/>
        <v/>
      </c>
      <c r="CG156" s="225" t="str">
        <f t="shared" si="67"/>
        <v/>
      </c>
      <c r="CH156" s="225" t="str">
        <f t="shared" si="68"/>
        <v/>
      </c>
      <c r="CI156" s="225" t="str">
        <f t="shared" si="69"/>
        <v/>
      </c>
      <c r="CJ156" s="225" t="str">
        <f t="shared" si="70"/>
        <v/>
      </c>
      <c r="CK156" s="225" t="str">
        <f t="shared" si="71"/>
        <v/>
      </c>
      <c r="CL156" s="225" t="str">
        <f t="shared" si="72"/>
        <v/>
      </c>
      <c r="CM156" s="225" t="str">
        <f t="shared" si="73"/>
        <v/>
      </c>
      <c r="CN156" s="225" t="str">
        <f t="shared" si="74"/>
        <v/>
      </c>
      <c r="CO156" s="225" t="str">
        <f t="shared" si="75"/>
        <v/>
      </c>
      <c r="CP156" s="250"/>
      <c r="CQ156" s="250" t="str">
        <f t="shared" si="76"/>
        <v/>
      </c>
      <c r="CR156" s="5">
        <v>154</v>
      </c>
      <c r="CU1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6" s="373" t="str">
        <f t="shared" si="77"/>
        <v/>
      </c>
      <c r="CW156" s="2"/>
      <c r="CX156" s="104"/>
    </row>
    <row r="157" spans="2:102" ht="18.95" customHeight="1" x14ac:dyDescent="0.35">
      <c r="B157" s="4">
        <v>155</v>
      </c>
      <c r="C157" s="4" t="s">
        <v>883</v>
      </c>
      <c r="E157" s="382" t="s">
        <v>631</v>
      </c>
      <c r="F157" s="69"/>
      <c r="H157" s="69" t="s">
        <v>529</v>
      </c>
      <c r="I157" s="69" t="s">
        <v>570</v>
      </c>
      <c r="J157" s="69" t="s">
        <v>514</v>
      </c>
      <c r="K157" s="160" t="s">
        <v>579</v>
      </c>
      <c r="L157" s="2"/>
      <c r="M157" s="69" t="s">
        <v>850</v>
      </c>
      <c r="N157" s="2"/>
      <c r="O157" s="230" t="str">
        <f>IF($A$2=B157,Elektro!$Q$11,"")</f>
        <v/>
      </c>
      <c r="P157" s="230" t="str">
        <f>IF($A$2=B157,Elektro!$Q$12,"")</f>
        <v/>
      </c>
      <c r="Q157" s="236" t="str">
        <f>IF($A$2=B157,Elektro!$Q$13,"")</f>
        <v/>
      </c>
      <c r="R157" s="231" t="str">
        <f>IF($A$2=B157,Elektro!$Q$14,"")</f>
        <v/>
      </c>
      <c r="S157" s="231" t="str">
        <f>IF($A$2=B157,Elektro!$Q$15,"")</f>
        <v/>
      </c>
      <c r="T157" s="230" t="str">
        <f>IF($A$2=B157,Elektro!$Q$16,"")</f>
        <v/>
      </c>
      <c r="U157" s="353" t="str">
        <f t="shared" si="52"/>
        <v/>
      </c>
      <c r="V157" s="353" t="str">
        <f t="shared" si="53"/>
        <v/>
      </c>
      <c r="W157" s="4" t="s">
        <v>141</v>
      </c>
      <c r="X157" s="4" t="s">
        <v>248</v>
      </c>
      <c r="Y157" s="4">
        <v>1</v>
      </c>
      <c r="Z157" s="4">
        <v>107.9</v>
      </c>
      <c r="AA157" s="232" t="str">
        <f t="shared" si="54"/>
        <v/>
      </c>
      <c r="AB157" s="233" t="str">
        <f t="shared" si="55"/>
        <v/>
      </c>
      <c r="AC157" s="233" t="str">
        <f t="shared" si="56"/>
        <v>mol/s</v>
      </c>
      <c r="AD157" s="231" t="str">
        <f t="shared" si="57"/>
        <v/>
      </c>
      <c r="AE157" s="231" t="s">
        <v>283</v>
      </c>
      <c r="AF157" s="232" t="str">
        <f t="shared" si="58"/>
        <v/>
      </c>
      <c r="AG157" s="236" t="s">
        <v>284</v>
      </c>
      <c r="AH157" s="4"/>
      <c r="AI157" s="4" t="s">
        <v>112</v>
      </c>
      <c r="AJ157" s="4" t="s">
        <v>282</v>
      </c>
      <c r="AK157" s="4">
        <v>1</v>
      </c>
      <c r="AL157" s="4">
        <v>107.9</v>
      </c>
      <c r="AM157" s="232" t="str">
        <f t="shared" si="59"/>
        <v/>
      </c>
      <c r="AN157" s="233" t="str">
        <f t="shared" si="60"/>
        <v/>
      </c>
      <c r="AO157" s="4" t="str">
        <f t="shared" si="61"/>
        <v>g/s</v>
      </c>
      <c r="AP157" s="4"/>
      <c r="AQ157" s="4"/>
      <c r="AR157" s="4"/>
      <c r="AS157" s="4" t="s">
        <v>368</v>
      </c>
      <c r="AT157" s="4">
        <v>0</v>
      </c>
      <c r="AV157" s="248" t="str">
        <f t="shared" si="62"/>
        <v/>
      </c>
      <c r="AW157" s="248"/>
      <c r="AX157" s="4" t="str">
        <f t="shared" si="63"/>
        <v>M</v>
      </c>
      <c r="AY157" s="248" t="str">
        <f t="shared" si="64"/>
        <v/>
      </c>
      <c r="AZ157" s="232"/>
      <c r="BA157" s="4">
        <v>155</v>
      </c>
      <c r="BB157" s="2" t="s">
        <v>47</v>
      </c>
      <c r="BC157" s="2" t="s">
        <v>235</v>
      </c>
      <c r="BD157" s="2" t="s">
        <v>77</v>
      </c>
      <c r="BE157" s="2" t="s">
        <v>48</v>
      </c>
      <c r="BF157" s="2" t="s">
        <v>86</v>
      </c>
      <c r="BG157" s="2"/>
      <c r="BH157" s="185" t="s">
        <v>44</v>
      </c>
      <c r="BI157" s="185" t="s">
        <v>160</v>
      </c>
      <c r="BJ157" s="185" t="s">
        <v>160</v>
      </c>
      <c r="BK157" s="185" t="s">
        <v>44</v>
      </c>
      <c r="BL157" s="100"/>
      <c r="BM157" s="97">
        <f t="shared" si="65"/>
        <v>0</v>
      </c>
      <c r="BN157" s="225" t="s">
        <v>301</v>
      </c>
      <c r="BO157" s="225" t="s">
        <v>307</v>
      </c>
      <c r="BP157" s="225" t="s">
        <v>258</v>
      </c>
      <c r="BQ157" s="225" t="s">
        <v>259</v>
      </c>
      <c r="BR157" s="225" t="s">
        <v>321</v>
      </c>
      <c r="BS157" s="225" t="s">
        <v>328</v>
      </c>
      <c r="BT157" s="225" t="s">
        <v>377</v>
      </c>
      <c r="BU157" s="225" t="s">
        <v>260</v>
      </c>
      <c r="BV157" s="2"/>
      <c r="BW157" s="259" t="s">
        <v>354</v>
      </c>
      <c r="BX157" s="259" t="s">
        <v>355</v>
      </c>
      <c r="BY157" s="259" t="s">
        <v>341</v>
      </c>
      <c r="BZ157" s="259" t="s">
        <v>342</v>
      </c>
      <c r="CA157" s="107"/>
      <c r="CB157" s="249"/>
      <c r="CC157" s="107"/>
      <c r="CD157" s="249"/>
      <c r="CE157" s="107"/>
      <c r="CF157" s="225" t="str">
        <f t="shared" si="66"/>
        <v/>
      </c>
      <c r="CG157" s="225" t="str">
        <f t="shared" si="67"/>
        <v/>
      </c>
      <c r="CH157" s="225" t="str">
        <f t="shared" si="68"/>
        <v/>
      </c>
      <c r="CI157" s="225" t="str">
        <f t="shared" si="69"/>
        <v/>
      </c>
      <c r="CJ157" s="225" t="str">
        <f t="shared" si="70"/>
        <v/>
      </c>
      <c r="CK157" s="225" t="str">
        <f t="shared" si="71"/>
        <v/>
      </c>
      <c r="CL157" s="225" t="str">
        <f t="shared" si="72"/>
        <v/>
      </c>
      <c r="CM157" s="225" t="str">
        <f t="shared" si="73"/>
        <v/>
      </c>
      <c r="CN157" s="225" t="str">
        <f t="shared" si="74"/>
        <v/>
      </c>
      <c r="CO157" s="225" t="str">
        <f t="shared" si="75"/>
        <v/>
      </c>
      <c r="CP157" s="250"/>
      <c r="CQ157" s="250" t="str">
        <f t="shared" si="76"/>
        <v/>
      </c>
      <c r="CR157" s="5">
        <v>155</v>
      </c>
      <c r="CU1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7" s="373" t="str">
        <f t="shared" si="77"/>
        <v/>
      </c>
      <c r="CW157" s="2"/>
      <c r="CX157" s="104"/>
    </row>
    <row r="158" spans="2:102" ht="18.95" customHeight="1" x14ac:dyDescent="0.35">
      <c r="B158" s="4">
        <v>156</v>
      </c>
      <c r="C158" s="4" t="s">
        <v>888</v>
      </c>
      <c r="E158" s="382" t="s">
        <v>632</v>
      </c>
      <c r="F158" s="69"/>
      <c r="H158" s="69" t="s">
        <v>531</v>
      </c>
      <c r="I158" s="69" t="s">
        <v>570</v>
      </c>
      <c r="J158" s="69" t="s">
        <v>532</v>
      </c>
      <c r="K158" s="160" t="s">
        <v>580</v>
      </c>
      <c r="L158" s="2"/>
      <c r="M158" s="69" t="s">
        <v>851</v>
      </c>
      <c r="N158" s="2"/>
      <c r="O158" s="230" t="str">
        <f>IF($A$2=B158,Elektro!$Q$11,"")</f>
        <v/>
      </c>
      <c r="P158" s="230" t="str">
        <f>IF($A$2=B158,Elektro!$Q$12,"")</f>
        <v/>
      </c>
      <c r="Q158" s="236" t="str">
        <f>IF($A$2=B158,Elektro!$Q$13,"")</f>
        <v/>
      </c>
      <c r="R158" s="231" t="str">
        <f>IF($A$2=B158,Elektro!$Q$14,"")</f>
        <v/>
      </c>
      <c r="S158" s="231" t="str">
        <f>IF($A$2=B158,Elektro!$Q$15,"")</f>
        <v/>
      </c>
      <c r="T158" s="230" t="str">
        <f>IF($A$2=B158,Elektro!$Q$16,"")</f>
        <v/>
      </c>
      <c r="U158" s="353" t="str">
        <f t="shared" si="52"/>
        <v/>
      </c>
      <c r="V158" s="353" t="str">
        <f t="shared" si="53"/>
        <v/>
      </c>
      <c r="W158" s="4" t="s">
        <v>141</v>
      </c>
      <c r="X158" s="4" t="s">
        <v>248</v>
      </c>
      <c r="Y158" s="4">
        <v>1</v>
      </c>
      <c r="Z158" s="4">
        <v>107.9</v>
      </c>
      <c r="AA158" s="232" t="str">
        <f t="shared" si="54"/>
        <v/>
      </c>
      <c r="AB158" s="233" t="str">
        <f t="shared" si="55"/>
        <v/>
      </c>
      <c r="AC158" s="233" t="str">
        <f t="shared" si="56"/>
        <v>mol/s</v>
      </c>
      <c r="AD158" s="231" t="str">
        <f t="shared" si="57"/>
        <v/>
      </c>
      <c r="AE158" s="231" t="s">
        <v>283</v>
      </c>
      <c r="AF158" s="232" t="str">
        <f t="shared" si="58"/>
        <v/>
      </c>
      <c r="AG158" s="236" t="s">
        <v>284</v>
      </c>
      <c r="AH158" s="4"/>
      <c r="AI158" s="4" t="s">
        <v>118</v>
      </c>
      <c r="AJ158" s="4" t="s">
        <v>282</v>
      </c>
      <c r="AK158" s="4">
        <v>3</v>
      </c>
      <c r="AL158" s="4">
        <v>55.85</v>
      </c>
      <c r="AM158" s="232" t="str">
        <f t="shared" si="59"/>
        <v/>
      </c>
      <c r="AN158" s="233" t="str">
        <f t="shared" si="60"/>
        <v/>
      </c>
      <c r="AO158" s="4" t="str">
        <f t="shared" si="61"/>
        <v>g/s</v>
      </c>
      <c r="AP158" s="4"/>
      <c r="AQ158" s="4"/>
      <c r="AR158" s="4"/>
      <c r="AS158" s="4" t="s">
        <v>368</v>
      </c>
      <c r="AT158" s="4">
        <v>0</v>
      </c>
      <c r="AV158" s="248" t="str">
        <f t="shared" si="62"/>
        <v/>
      </c>
      <c r="AW158" s="248"/>
      <c r="AX158" s="4" t="str">
        <f t="shared" si="63"/>
        <v>M</v>
      </c>
      <c r="AY158" s="248" t="str">
        <f t="shared" si="64"/>
        <v/>
      </c>
      <c r="AZ158" s="232"/>
      <c r="BA158" s="4">
        <v>156</v>
      </c>
      <c r="BB158" s="2" t="s">
        <v>47</v>
      </c>
      <c r="BC158" s="2" t="s">
        <v>236</v>
      </c>
      <c r="BD158" s="2" t="s">
        <v>77</v>
      </c>
      <c r="BE158" s="2" t="s">
        <v>48</v>
      </c>
      <c r="BF158" s="2" t="s">
        <v>96</v>
      </c>
      <c r="BG158" s="2"/>
      <c r="BH158" s="185" t="s">
        <v>44</v>
      </c>
      <c r="BI158" s="185" t="s">
        <v>160</v>
      </c>
      <c r="BJ158" s="185" t="s">
        <v>168</v>
      </c>
      <c r="BK158" s="185" t="s">
        <v>128</v>
      </c>
      <c r="BL158" s="100"/>
      <c r="BM158" s="97">
        <f t="shared" si="65"/>
        <v>0</v>
      </c>
      <c r="BN158" s="225" t="s">
        <v>313</v>
      </c>
      <c r="BO158" s="225" t="s">
        <v>307</v>
      </c>
      <c r="BP158" s="225" t="s">
        <v>258</v>
      </c>
      <c r="BQ158" s="225" t="s">
        <v>259</v>
      </c>
      <c r="BR158" s="225" t="s">
        <v>398</v>
      </c>
      <c r="BS158" s="225" t="s">
        <v>328</v>
      </c>
      <c r="BT158" s="225" t="s">
        <v>413</v>
      </c>
      <c r="BU158" s="225" t="s">
        <v>260</v>
      </c>
      <c r="BV158" s="2"/>
      <c r="BW158" s="259" t="s">
        <v>361</v>
      </c>
      <c r="BX158" s="259" t="s">
        <v>362</v>
      </c>
      <c r="BY158" s="259" t="s">
        <v>341</v>
      </c>
      <c r="BZ158" s="259" t="s">
        <v>342</v>
      </c>
      <c r="CA158" s="107"/>
      <c r="CB158" s="249"/>
      <c r="CC158" s="107"/>
      <c r="CD158" s="249"/>
      <c r="CE158" s="107"/>
      <c r="CF158" s="225" t="str">
        <f t="shared" si="66"/>
        <v/>
      </c>
      <c r="CG158" s="225" t="str">
        <f t="shared" si="67"/>
        <v/>
      </c>
      <c r="CH158" s="225" t="str">
        <f t="shared" si="68"/>
        <v/>
      </c>
      <c r="CI158" s="225" t="str">
        <f t="shared" si="69"/>
        <v/>
      </c>
      <c r="CJ158" s="225" t="str">
        <f t="shared" si="70"/>
        <v/>
      </c>
      <c r="CK158" s="225" t="str">
        <f t="shared" si="71"/>
        <v/>
      </c>
      <c r="CL158" s="225" t="str">
        <f t="shared" si="72"/>
        <v/>
      </c>
      <c r="CM158" s="225" t="str">
        <f t="shared" si="73"/>
        <v/>
      </c>
      <c r="CN158" s="225" t="str">
        <f t="shared" si="74"/>
        <v/>
      </c>
      <c r="CO158" s="225" t="str">
        <f t="shared" si="75"/>
        <v/>
      </c>
      <c r="CP158" s="250"/>
      <c r="CQ158" s="250" t="str">
        <f t="shared" si="76"/>
        <v/>
      </c>
      <c r="CR158" s="5">
        <v>156</v>
      </c>
      <c r="CU1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8" s="373" t="str">
        <f t="shared" si="77"/>
        <v/>
      </c>
      <c r="CW158" s="2"/>
      <c r="CX158" s="104"/>
    </row>
    <row r="159" spans="2:102" ht="18.95" customHeight="1" x14ac:dyDescent="0.35">
      <c r="B159" s="4">
        <v>157</v>
      </c>
      <c r="C159" s="4" t="s">
        <v>884</v>
      </c>
      <c r="E159" s="382" t="s">
        <v>633</v>
      </c>
      <c r="F159" s="69"/>
      <c r="H159" s="69" t="s">
        <v>534</v>
      </c>
      <c r="I159" s="69" t="s">
        <v>570</v>
      </c>
      <c r="J159" s="69" t="s">
        <v>535</v>
      </c>
      <c r="K159" s="160" t="s">
        <v>581</v>
      </c>
      <c r="L159" s="2"/>
      <c r="M159" s="69" t="s">
        <v>852</v>
      </c>
      <c r="N159" s="2"/>
      <c r="O159" s="230" t="str">
        <f>IF($A$2=B159,Elektro!$Q$11,"")</f>
        <v/>
      </c>
      <c r="P159" s="230" t="str">
        <f>IF($A$2=B159,Elektro!$Q$12,"")</f>
        <v/>
      </c>
      <c r="Q159" s="236" t="str">
        <f>IF($A$2=B159,Elektro!$Q$13,"")</f>
        <v/>
      </c>
      <c r="R159" s="231" t="str">
        <f>IF($A$2=B159,Elektro!$Q$14,"")</f>
        <v/>
      </c>
      <c r="S159" s="231" t="str">
        <f>IF($A$2=B159,Elektro!$Q$15,"")</f>
        <v/>
      </c>
      <c r="T159" s="230" t="str">
        <f>IF($A$2=B159,Elektro!$Q$16,"")</f>
        <v/>
      </c>
      <c r="U159" s="353" t="str">
        <f t="shared" si="52"/>
        <v/>
      </c>
      <c r="V159" s="353" t="str">
        <f t="shared" si="53"/>
        <v/>
      </c>
      <c r="W159" s="4" t="s">
        <v>141</v>
      </c>
      <c r="X159" s="4" t="s">
        <v>248</v>
      </c>
      <c r="Y159" s="4">
        <v>1</v>
      </c>
      <c r="Z159" s="4">
        <v>107.9</v>
      </c>
      <c r="AA159" s="232" t="str">
        <f t="shared" si="54"/>
        <v/>
      </c>
      <c r="AB159" s="233" t="str">
        <f t="shared" si="55"/>
        <v/>
      </c>
      <c r="AC159" s="233" t="str">
        <f t="shared" si="56"/>
        <v>mol/s</v>
      </c>
      <c r="AD159" s="231" t="str">
        <f t="shared" si="57"/>
        <v/>
      </c>
      <c r="AE159" s="231" t="s">
        <v>283</v>
      </c>
      <c r="AF159" s="232" t="str">
        <f t="shared" si="58"/>
        <v/>
      </c>
      <c r="AG159" s="236" t="s">
        <v>284</v>
      </c>
      <c r="AH159" s="4"/>
      <c r="AI159" s="4" t="s">
        <v>119</v>
      </c>
      <c r="AJ159" s="4" t="s">
        <v>282</v>
      </c>
      <c r="AK159" s="4">
        <v>2</v>
      </c>
      <c r="AL159" s="4">
        <v>58.93</v>
      </c>
      <c r="AM159" s="232" t="str">
        <f t="shared" si="59"/>
        <v/>
      </c>
      <c r="AN159" s="233" t="str">
        <f t="shared" si="60"/>
        <v/>
      </c>
      <c r="AO159" s="4" t="str">
        <f t="shared" si="61"/>
        <v>g/s</v>
      </c>
      <c r="AP159" s="4"/>
      <c r="AQ159" s="4"/>
      <c r="AR159" s="4"/>
      <c r="AS159" s="4" t="s">
        <v>368</v>
      </c>
      <c r="AT159" s="4">
        <v>0</v>
      </c>
      <c r="AV159" s="248" t="str">
        <f t="shared" si="62"/>
        <v/>
      </c>
      <c r="AW159" s="248"/>
      <c r="AX159" s="4" t="str">
        <f t="shared" si="63"/>
        <v>M</v>
      </c>
      <c r="AY159" s="248" t="str">
        <f t="shared" si="64"/>
        <v/>
      </c>
      <c r="AZ159" s="232"/>
      <c r="BA159" s="4">
        <v>157</v>
      </c>
      <c r="BB159" s="2" t="s">
        <v>47</v>
      </c>
      <c r="BC159" s="2" t="s">
        <v>235</v>
      </c>
      <c r="BD159" s="2" t="s">
        <v>77</v>
      </c>
      <c r="BE159" s="2" t="s">
        <v>48</v>
      </c>
      <c r="BF159" s="2" t="s">
        <v>97</v>
      </c>
      <c r="BG159" s="2"/>
      <c r="BH159" s="185" t="s">
        <v>44</v>
      </c>
      <c r="BI159" s="185" t="s">
        <v>160</v>
      </c>
      <c r="BJ159" s="185" t="s">
        <v>169</v>
      </c>
      <c r="BK159" s="185" t="s">
        <v>68</v>
      </c>
      <c r="BL159" s="100"/>
      <c r="BM159" s="97">
        <f t="shared" si="65"/>
        <v>0</v>
      </c>
      <c r="BN159" s="225" t="s">
        <v>314</v>
      </c>
      <c r="BO159" s="225" t="s">
        <v>307</v>
      </c>
      <c r="BP159" s="225" t="s">
        <v>258</v>
      </c>
      <c r="BQ159" s="225" t="s">
        <v>259</v>
      </c>
      <c r="BR159" s="225" t="s">
        <v>399</v>
      </c>
      <c r="BS159" s="225" t="s">
        <v>328</v>
      </c>
      <c r="BT159" s="225" t="s">
        <v>371</v>
      </c>
      <c r="BU159" s="225" t="s">
        <v>260</v>
      </c>
      <c r="BV159" s="2"/>
      <c r="BW159" s="259" t="s">
        <v>363</v>
      </c>
      <c r="BX159" s="259" t="s">
        <v>364</v>
      </c>
      <c r="BY159" s="259" t="s">
        <v>341</v>
      </c>
      <c r="BZ159" s="259" t="s">
        <v>342</v>
      </c>
      <c r="CA159" s="107"/>
      <c r="CB159" s="249"/>
      <c r="CC159" s="107"/>
      <c r="CD159" s="249"/>
      <c r="CE159" s="107"/>
      <c r="CF159" s="225" t="str">
        <f t="shared" si="66"/>
        <v/>
      </c>
      <c r="CG159" s="225" t="str">
        <f t="shared" si="67"/>
        <v/>
      </c>
      <c r="CH159" s="225" t="str">
        <f t="shared" si="68"/>
        <v/>
      </c>
      <c r="CI159" s="225" t="str">
        <f t="shared" si="69"/>
        <v/>
      </c>
      <c r="CJ159" s="225" t="str">
        <f t="shared" si="70"/>
        <v/>
      </c>
      <c r="CK159" s="225" t="str">
        <f t="shared" si="71"/>
        <v/>
      </c>
      <c r="CL159" s="225" t="str">
        <f t="shared" si="72"/>
        <v/>
      </c>
      <c r="CM159" s="225" t="str">
        <f t="shared" si="73"/>
        <v/>
      </c>
      <c r="CN159" s="225" t="str">
        <f t="shared" si="74"/>
        <v/>
      </c>
      <c r="CO159" s="225" t="str">
        <f t="shared" si="75"/>
        <v/>
      </c>
      <c r="CP159" s="250"/>
      <c r="CQ159" s="250" t="str">
        <f t="shared" si="76"/>
        <v/>
      </c>
      <c r="CR159" s="5">
        <v>157</v>
      </c>
      <c r="CU1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9" s="373" t="str">
        <f t="shared" si="77"/>
        <v/>
      </c>
      <c r="CW159" s="2"/>
      <c r="CX159" s="104"/>
    </row>
    <row r="160" spans="2:102" ht="18.95" customHeight="1" x14ac:dyDescent="0.35">
      <c r="B160" s="4">
        <v>158</v>
      </c>
      <c r="C160" s="4" t="s">
        <v>889</v>
      </c>
      <c r="E160" s="382" t="s">
        <v>634</v>
      </c>
      <c r="F160" s="69"/>
      <c r="H160" s="69" t="s">
        <v>537</v>
      </c>
      <c r="I160" s="69" t="s">
        <v>570</v>
      </c>
      <c r="J160" s="69" t="s">
        <v>517</v>
      </c>
      <c r="K160" s="160" t="s">
        <v>575</v>
      </c>
      <c r="L160" s="2"/>
      <c r="M160" s="69" t="s">
        <v>853</v>
      </c>
      <c r="N160" s="2"/>
      <c r="O160" s="230" t="str">
        <f>IF($A$2=B160,Elektro!$Q$11,"")</f>
        <v/>
      </c>
      <c r="P160" s="230" t="str">
        <f>IF($A$2=B160,Elektro!$Q$12,"")</f>
        <v/>
      </c>
      <c r="Q160" s="236" t="str">
        <f>IF($A$2=B160,Elektro!$Q$13,"")</f>
        <v/>
      </c>
      <c r="R160" s="231" t="str">
        <f>IF($A$2=B160,Elektro!$Q$14,"")</f>
        <v/>
      </c>
      <c r="S160" s="231" t="str">
        <f>IF($A$2=B160,Elektro!$Q$15,"")</f>
        <v/>
      </c>
      <c r="T160" s="230" t="str">
        <f>IF($A$2=B160,Elektro!$Q$16,"")</f>
        <v/>
      </c>
      <c r="U160" s="353" t="str">
        <f t="shared" si="52"/>
        <v/>
      </c>
      <c r="V160" s="353" t="str">
        <f t="shared" si="53"/>
        <v/>
      </c>
      <c r="W160" s="4" t="s">
        <v>141</v>
      </c>
      <c r="X160" s="4" t="s">
        <v>248</v>
      </c>
      <c r="Y160" s="4">
        <v>1</v>
      </c>
      <c r="Z160" s="4">
        <v>107.9</v>
      </c>
      <c r="AA160" s="232" t="str">
        <f t="shared" si="54"/>
        <v/>
      </c>
      <c r="AB160" s="233" t="str">
        <f t="shared" si="55"/>
        <v/>
      </c>
      <c r="AC160" s="233" t="str">
        <f t="shared" si="56"/>
        <v>mol/s</v>
      </c>
      <c r="AD160" s="231" t="str">
        <f t="shared" si="57"/>
        <v/>
      </c>
      <c r="AE160" s="231" t="s">
        <v>283</v>
      </c>
      <c r="AF160" s="232" t="str">
        <f t="shared" si="58"/>
        <v/>
      </c>
      <c r="AG160" s="236" t="s">
        <v>284</v>
      </c>
      <c r="AH160" s="4"/>
      <c r="AI160" s="4" t="s">
        <v>115</v>
      </c>
      <c r="AJ160" s="4" t="s">
        <v>282</v>
      </c>
      <c r="AK160" s="4">
        <v>2</v>
      </c>
      <c r="AL160" s="4">
        <v>58.69</v>
      </c>
      <c r="AM160" s="232" t="str">
        <f t="shared" si="59"/>
        <v/>
      </c>
      <c r="AN160" s="233" t="str">
        <f t="shared" si="60"/>
        <v/>
      </c>
      <c r="AO160" s="4" t="str">
        <f t="shared" si="61"/>
        <v>g/s</v>
      </c>
      <c r="AP160" s="4"/>
      <c r="AQ160" s="4"/>
      <c r="AR160" s="4"/>
      <c r="AS160" s="4" t="s">
        <v>368</v>
      </c>
      <c r="AT160" s="4">
        <v>0</v>
      </c>
      <c r="AV160" s="248" t="str">
        <f t="shared" si="62"/>
        <v/>
      </c>
      <c r="AW160" s="248"/>
      <c r="AX160" s="4" t="str">
        <f t="shared" si="63"/>
        <v>M</v>
      </c>
      <c r="AY160" s="248" t="str">
        <f t="shared" si="64"/>
        <v/>
      </c>
      <c r="AZ160" s="232"/>
      <c r="BA160" s="4">
        <v>158</v>
      </c>
      <c r="BB160" s="2" t="s">
        <v>47</v>
      </c>
      <c r="BC160" s="2" t="s">
        <v>234</v>
      </c>
      <c r="BD160" s="2" t="s">
        <v>77</v>
      </c>
      <c r="BE160" s="2" t="s">
        <v>48</v>
      </c>
      <c r="BF160" s="2" t="s">
        <v>87</v>
      </c>
      <c r="BG160" s="2"/>
      <c r="BH160" s="185" t="s">
        <v>44</v>
      </c>
      <c r="BI160" s="185" t="s">
        <v>160</v>
      </c>
      <c r="BJ160" s="185" t="s">
        <v>166</v>
      </c>
      <c r="BK160" s="185" t="s">
        <v>60</v>
      </c>
      <c r="BL160" s="100"/>
      <c r="BM160" s="97">
        <f t="shared" si="65"/>
        <v>0</v>
      </c>
      <c r="BN160" s="225" t="s">
        <v>305</v>
      </c>
      <c r="BO160" s="225" t="s">
        <v>307</v>
      </c>
      <c r="BP160" s="225" t="s">
        <v>258</v>
      </c>
      <c r="BQ160" s="225" t="s">
        <v>259</v>
      </c>
      <c r="BR160" s="225" t="s">
        <v>392</v>
      </c>
      <c r="BS160" s="225" t="s">
        <v>328</v>
      </c>
      <c r="BT160" s="225" t="s">
        <v>372</v>
      </c>
      <c r="BU160" s="225" t="s">
        <v>260</v>
      </c>
      <c r="BV160" s="2"/>
      <c r="BW160" s="259" t="s">
        <v>359</v>
      </c>
      <c r="BX160" s="259" t="s">
        <v>360</v>
      </c>
      <c r="BY160" s="259" t="s">
        <v>341</v>
      </c>
      <c r="BZ160" s="259" t="s">
        <v>342</v>
      </c>
      <c r="CA160" s="107"/>
      <c r="CB160" s="249"/>
      <c r="CC160" s="107"/>
      <c r="CD160" s="249"/>
      <c r="CE160" s="107"/>
      <c r="CF160" s="225" t="str">
        <f t="shared" si="66"/>
        <v/>
      </c>
      <c r="CG160" s="225" t="str">
        <f t="shared" si="67"/>
        <v/>
      </c>
      <c r="CH160" s="225" t="str">
        <f t="shared" si="68"/>
        <v/>
      </c>
      <c r="CI160" s="225" t="str">
        <f t="shared" si="69"/>
        <v/>
      </c>
      <c r="CJ160" s="225" t="str">
        <f t="shared" si="70"/>
        <v/>
      </c>
      <c r="CK160" s="225" t="str">
        <f t="shared" si="71"/>
        <v/>
      </c>
      <c r="CL160" s="225" t="str">
        <f t="shared" si="72"/>
        <v/>
      </c>
      <c r="CM160" s="225" t="str">
        <f t="shared" si="73"/>
        <v/>
      </c>
      <c r="CN160" s="225" t="str">
        <f t="shared" si="74"/>
        <v/>
      </c>
      <c r="CO160" s="225" t="str">
        <f t="shared" si="75"/>
        <v/>
      </c>
      <c r="CP160" s="250"/>
      <c r="CQ160" s="250" t="str">
        <f t="shared" si="76"/>
        <v/>
      </c>
      <c r="CR160" s="5">
        <v>158</v>
      </c>
      <c r="CU1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0" s="373" t="str">
        <f t="shared" si="77"/>
        <v/>
      </c>
      <c r="CW160" s="2"/>
      <c r="CX160" s="104"/>
    </row>
    <row r="161" spans="1:102" ht="18.95" customHeight="1" x14ac:dyDescent="0.35">
      <c r="B161" s="4">
        <v>159</v>
      </c>
      <c r="C161" s="4" t="s">
        <v>890</v>
      </c>
      <c r="E161" s="382" t="s">
        <v>650</v>
      </c>
      <c r="F161" s="69" t="s">
        <v>12</v>
      </c>
      <c r="H161" s="69" t="s">
        <v>539</v>
      </c>
      <c r="I161" s="69" t="s">
        <v>570</v>
      </c>
      <c r="J161" s="69" t="s">
        <v>522</v>
      </c>
      <c r="K161" s="160" t="s">
        <v>576</v>
      </c>
      <c r="L161" s="2"/>
      <c r="M161" s="69" t="s">
        <v>854</v>
      </c>
      <c r="N161" s="2"/>
      <c r="O161" s="230" t="str">
        <f>IF($A$2=B161,Elektro!$Q$11,"")</f>
        <v/>
      </c>
      <c r="P161" s="230" t="str">
        <f>IF($A$2=B161,Elektro!$Q$12,"")</f>
        <v/>
      </c>
      <c r="Q161" s="236" t="str">
        <f>IF($A$2=B161,Elektro!$Q$13,"")</f>
        <v/>
      </c>
      <c r="R161" s="231" t="str">
        <f>IF($A$2=B161,Elektro!$Q$14,"")</f>
        <v/>
      </c>
      <c r="S161" s="231" t="str">
        <f>IF($A$2=B161,Elektro!$Q$15,"")</f>
        <v/>
      </c>
      <c r="T161" s="230" t="str">
        <f>IF($A$2=B161,Elektro!$Q$16,"")</f>
        <v/>
      </c>
      <c r="U161" s="353" t="str">
        <f t="shared" si="52"/>
        <v/>
      </c>
      <c r="V161" s="353" t="str">
        <f t="shared" si="53"/>
        <v/>
      </c>
      <c r="W161" s="4" t="s">
        <v>141</v>
      </c>
      <c r="X161" s="4" t="s">
        <v>248</v>
      </c>
      <c r="Y161" s="4">
        <v>1</v>
      </c>
      <c r="Z161" s="4">
        <v>107.9</v>
      </c>
      <c r="AA161" s="232" t="str">
        <f t="shared" si="54"/>
        <v/>
      </c>
      <c r="AB161" s="233" t="str">
        <f t="shared" si="55"/>
        <v/>
      </c>
      <c r="AC161" s="233" t="str">
        <f t="shared" si="56"/>
        <v>mol/s</v>
      </c>
      <c r="AD161" s="231" t="str">
        <f t="shared" si="57"/>
        <v/>
      </c>
      <c r="AE161" s="231" t="s">
        <v>283</v>
      </c>
      <c r="AF161" s="232" t="str">
        <f t="shared" si="58"/>
        <v/>
      </c>
      <c r="AG161" s="236" t="s">
        <v>284</v>
      </c>
      <c r="AH161" s="4"/>
      <c r="AI161" s="4" t="s">
        <v>111</v>
      </c>
      <c r="AJ161" s="4" t="s">
        <v>282</v>
      </c>
      <c r="AK161" s="4">
        <v>2</v>
      </c>
      <c r="AL161" s="4">
        <v>65.39</v>
      </c>
      <c r="AM161" s="232" t="str">
        <f t="shared" si="59"/>
        <v/>
      </c>
      <c r="AN161" s="233" t="str">
        <f t="shared" si="60"/>
        <v/>
      </c>
      <c r="AO161" s="4" t="str">
        <f t="shared" si="61"/>
        <v>g/s</v>
      </c>
      <c r="AP161" s="4"/>
      <c r="AQ161" s="4"/>
      <c r="AR161" s="4"/>
      <c r="AS161" s="4" t="s">
        <v>368</v>
      </c>
      <c r="AT161" s="4">
        <v>0</v>
      </c>
      <c r="AV161" s="248" t="str">
        <f t="shared" si="62"/>
        <v/>
      </c>
      <c r="AW161" s="248"/>
      <c r="AX161" s="4" t="str">
        <f t="shared" si="63"/>
        <v>M</v>
      </c>
      <c r="AY161" s="248" t="str">
        <f t="shared" si="64"/>
        <v/>
      </c>
      <c r="AZ161" s="232"/>
      <c r="BA161" s="4">
        <v>159</v>
      </c>
      <c r="BB161" s="2" t="s">
        <v>47</v>
      </c>
      <c r="BC161" s="2" t="s">
        <v>234</v>
      </c>
      <c r="BD161" s="2" t="s">
        <v>77</v>
      </c>
      <c r="BE161" s="2" t="s">
        <v>48</v>
      </c>
      <c r="BF161" s="2" t="s">
        <v>88</v>
      </c>
      <c r="BG161" s="2"/>
      <c r="BH161" s="185" t="s">
        <v>44</v>
      </c>
      <c r="BI161" s="185" t="s">
        <v>160</v>
      </c>
      <c r="BJ161" s="185" t="s">
        <v>158</v>
      </c>
      <c r="BK161" s="185" t="s">
        <v>30</v>
      </c>
      <c r="BL161" s="100"/>
      <c r="BM161" s="97">
        <f t="shared" si="65"/>
        <v>0</v>
      </c>
      <c r="BN161" s="225" t="s">
        <v>300</v>
      </c>
      <c r="BO161" s="225" t="s">
        <v>307</v>
      </c>
      <c r="BP161" s="225" t="s">
        <v>258</v>
      </c>
      <c r="BQ161" s="225" t="s">
        <v>259</v>
      </c>
      <c r="BR161" s="225" t="s">
        <v>393</v>
      </c>
      <c r="BS161" s="225" t="s">
        <v>328</v>
      </c>
      <c r="BT161" s="225" t="s">
        <v>369</v>
      </c>
      <c r="BU161" s="225" t="s">
        <v>260</v>
      </c>
      <c r="BV161" s="2"/>
      <c r="BW161" s="259" t="s">
        <v>345</v>
      </c>
      <c r="BX161" s="259" t="s">
        <v>346</v>
      </c>
      <c r="BY161" s="259" t="s">
        <v>341</v>
      </c>
      <c r="BZ161" s="259" t="s">
        <v>342</v>
      </c>
      <c r="CA161" s="107"/>
      <c r="CB161" s="249"/>
      <c r="CC161" s="107"/>
      <c r="CD161" s="249"/>
      <c r="CE161" s="107"/>
      <c r="CF161" s="225" t="str">
        <f t="shared" si="66"/>
        <v/>
      </c>
      <c r="CG161" s="225" t="str">
        <f t="shared" si="67"/>
        <v/>
      </c>
      <c r="CH161" s="225" t="str">
        <f t="shared" si="68"/>
        <v/>
      </c>
      <c r="CI161" s="225" t="str">
        <f t="shared" si="69"/>
        <v/>
      </c>
      <c r="CJ161" s="225" t="str">
        <f t="shared" si="70"/>
        <v/>
      </c>
      <c r="CK161" s="225" t="str">
        <f t="shared" si="71"/>
        <v/>
      </c>
      <c r="CL161" s="225" t="str">
        <f t="shared" si="72"/>
        <v/>
      </c>
      <c r="CM161" s="225" t="str">
        <f t="shared" si="73"/>
        <v/>
      </c>
      <c r="CN161" s="225" t="str">
        <f t="shared" si="74"/>
        <v/>
      </c>
      <c r="CO161" s="225" t="str">
        <f t="shared" si="75"/>
        <v/>
      </c>
      <c r="CP161" s="250"/>
      <c r="CQ161" s="250" t="str">
        <f t="shared" si="76"/>
        <v/>
      </c>
      <c r="CR161" s="5">
        <v>159</v>
      </c>
      <c r="CU1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1" s="373" t="str">
        <f t="shared" si="77"/>
        <v/>
      </c>
      <c r="CW161" s="2"/>
      <c r="CX161" s="104"/>
    </row>
    <row r="162" spans="1:102" ht="18.95" customHeight="1" x14ac:dyDescent="0.35">
      <c r="B162" s="4">
        <v>160</v>
      </c>
      <c r="C162" s="4" t="s">
        <v>885</v>
      </c>
      <c r="E162" s="382" t="s">
        <v>636</v>
      </c>
      <c r="F162" s="69"/>
      <c r="H162" s="69" t="s">
        <v>541</v>
      </c>
      <c r="I162" s="69" t="s">
        <v>570</v>
      </c>
      <c r="J162" s="69" t="s">
        <v>527</v>
      </c>
      <c r="K162" s="160" t="s">
        <v>578</v>
      </c>
      <c r="L162" s="2"/>
      <c r="M162" s="69" t="s">
        <v>855</v>
      </c>
      <c r="N162" s="2"/>
      <c r="O162" s="230" t="str">
        <f>IF($A$2=B162,Elektro!$Q$11,"")</f>
        <v/>
      </c>
      <c r="P162" s="230" t="str">
        <f>IF($A$2=B162,Elektro!$Q$12,"")</f>
        <v/>
      </c>
      <c r="Q162" s="236" t="str">
        <f>IF($A$2=B162,Elektro!$Q$13,"")</f>
        <v/>
      </c>
      <c r="R162" s="231" t="str">
        <f>IF($A$2=B162,Elektro!$Q$14,"")</f>
        <v/>
      </c>
      <c r="S162" s="231" t="str">
        <f>IF($A$2=B162,Elektro!$Q$15,"")</f>
        <v/>
      </c>
      <c r="T162" s="230" t="str">
        <f>IF($A$2=B162,Elektro!$Q$16,"")</f>
        <v/>
      </c>
      <c r="U162" s="353" t="str">
        <f t="shared" si="52"/>
        <v/>
      </c>
      <c r="V162" s="353" t="str">
        <f t="shared" si="53"/>
        <v/>
      </c>
      <c r="W162" s="4" t="s">
        <v>141</v>
      </c>
      <c r="X162" s="4" t="s">
        <v>248</v>
      </c>
      <c r="Y162" s="4">
        <v>1</v>
      </c>
      <c r="Z162" s="4">
        <v>107.9</v>
      </c>
      <c r="AA162" s="232" t="str">
        <f t="shared" si="54"/>
        <v/>
      </c>
      <c r="AB162" s="233" t="str">
        <f t="shared" si="55"/>
        <v/>
      </c>
      <c r="AC162" s="233" t="str">
        <f t="shared" si="56"/>
        <v>mol/s</v>
      </c>
      <c r="AD162" s="231" t="str">
        <f t="shared" si="57"/>
        <v/>
      </c>
      <c r="AE162" s="231" t="s">
        <v>283</v>
      </c>
      <c r="AF162" s="232" t="str">
        <f t="shared" si="58"/>
        <v/>
      </c>
      <c r="AG162" s="236" t="s">
        <v>284</v>
      </c>
      <c r="AH162" s="4"/>
      <c r="AI162" s="4" t="s">
        <v>117</v>
      </c>
      <c r="AJ162" s="4" t="s">
        <v>282</v>
      </c>
      <c r="AK162" s="4">
        <v>2</v>
      </c>
      <c r="AL162" s="4">
        <v>118.7</v>
      </c>
      <c r="AM162" s="232" t="str">
        <f t="shared" si="59"/>
        <v/>
      </c>
      <c r="AN162" s="233" t="str">
        <f t="shared" si="60"/>
        <v/>
      </c>
      <c r="AO162" s="4" t="str">
        <f t="shared" si="61"/>
        <v>g/s</v>
      </c>
      <c r="AP162" s="4"/>
      <c r="AQ162" s="4"/>
      <c r="AR162" s="4"/>
      <c r="AS162" s="4" t="s">
        <v>368</v>
      </c>
      <c r="AT162" s="4">
        <v>0</v>
      </c>
      <c r="AV162" s="248" t="str">
        <f t="shared" si="62"/>
        <v/>
      </c>
      <c r="AW162" s="248"/>
      <c r="AX162" s="4" t="str">
        <f t="shared" si="63"/>
        <v>M</v>
      </c>
      <c r="AY162" s="248" t="str">
        <f t="shared" si="64"/>
        <v/>
      </c>
      <c r="AZ162" s="232"/>
      <c r="BA162" s="4">
        <v>160</v>
      </c>
      <c r="BB162" s="2" t="s">
        <v>47</v>
      </c>
      <c r="BC162" s="2" t="s">
        <v>235</v>
      </c>
      <c r="BD162" s="2" t="s">
        <v>77</v>
      </c>
      <c r="BE162" s="2" t="s">
        <v>48</v>
      </c>
      <c r="BF162" s="2" t="s">
        <v>90</v>
      </c>
      <c r="BG162" s="2"/>
      <c r="BH162" s="185" t="s">
        <v>44</v>
      </c>
      <c r="BI162" s="185" t="s">
        <v>160</v>
      </c>
      <c r="BJ162" s="185" t="s">
        <v>167</v>
      </c>
      <c r="BK162" s="185" t="s">
        <v>130</v>
      </c>
      <c r="BL162" s="100"/>
      <c r="BM162" s="97">
        <f t="shared" si="65"/>
        <v>0</v>
      </c>
      <c r="BN162" s="225" t="s">
        <v>312</v>
      </c>
      <c r="BO162" s="225" t="s">
        <v>307</v>
      </c>
      <c r="BP162" s="225" t="s">
        <v>258</v>
      </c>
      <c r="BQ162" s="225" t="s">
        <v>259</v>
      </c>
      <c r="BR162" s="225" t="s">
        <v>395</v>
      </c>
      <c r="BS162" s="225" t="s">
        <v>328</v>
      </c>
      <c r="BT162" s="225" t="s">
        <v>370</v>
      </c>
      <c r="BU162" s="225" t="s">
        <v>260</v>
      </c>
      <c r="BV162" s="2"/>
      <c r="BW162" s="259" t="s">
        <v>347</v>
      </c>
      <c r="BX162" s="259" t="s">
        <v>348</v>
      </c>
      <c r="BY162" s="259" t="s">
        <v>341</v>
      </c>
      <c r="BZ162" s="259" t="s">
        <v>342</v>
      </c>
      <c r="CA162" s="107"/>
      <c r="CB162" s="249"/>
      <c r="CC162" s="107"/>
      <c r="CD162" s="249"/>
      <c r="CE162" s="107"/>
      <c r="CF162" s="225" t="str">
        <f t="shared" si="66"/>
        <v/>
      </c>
      <c r="CG162" s="225" t="str">
        <f t="shared" si="67"/>
        <v/>
      </c>
      <c r="CH162" s="225" t="str">
        <f t="shared" si="68"/>
        <v/>
      </c>
      <c r="CI162" s="225" t="str">
        <f t="shared" si="69"/>
        <v/>
      </c>
      <c r="CJ162" s="225" t="str">
        <f t="shared" si="70"/>
        <v/>
      </c>
      <c r="CK162" s="225" t="str">
        <f t="shared" si="71"/>
        <v/>
      </c>
      <c r="CL162" s="225" t="str">
        <f t="shared" si="72"/>
        <v/>
      </c>
      <c r="CM162" s="225" t="str">
        <f t="shared" si="73"/>
        <v/>
      </c>
      <c r="CN162" s="225" t="str">
        <f t="shared" si="74"/>
        <v/>
      </c>
      <c r="CO162" s="225" t="str">
        <f t="shared" si="75"/>
        <v/>
      </c>
      <c r="CP162" s="250"/>
      <c r="CQ162" s="250" t="str">
        <f t="shared" si="76"/>
        <v/>
      </c>
      <c r="CR162" s="5">
        <v>160</v>
      </c>
      <c r="CU1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2" s="373" t="str">
        <f t="shared" si="77"/>
        <v/>
      </c>
      <c r="CW162" s="2"/>
      <c r="CX162" s="104"/>
    </row>
    <row r="163" spans="1:102" ht="18.95" customHeight="1" x14ac:dyDescent="0.35">
      <c r="B163" s="4">
        <v>161</v>
      </c>
      <c r="C163" s="4" t="s">
        <v>685</v>
      </c>
      <c r="E163" s="382" t="s">
        <v>651</v>
      </c>
      <c r="F163" s="69"/>
      <c r="H163" s="69" t="s">
        <v>471</v>
      </c>
      <c r="I163" s="69" t="s">
        <v>570</v>
      </c>
      <c r="J163" s="69" t="s">
        <v>262</v>
      </c>
      <c r="K163" s="160" t="s">
        <v>573</v>
      </c>
      <c r="L163" s="2"/>
      <c r="M163" s="69" t="s">
        <v>856</v>
      </c>
      <c r="N163" s="2"/>
      <c r="O163" s="230" t="str">
        <f>IF($A$2=B163,Elektro!$Q$11,"")</f>
        <v/>
      </c>
      <c r="P163" s="230" t="str">
        <f>IF($A$2=B163,Elektro!$Q$12,"")</f>
        <v/>
      </c>
      <c r="Q163" s="236" t="str">
        <f>IF($A$2=B163,Elektro!$Q$13,"")</f>
        <v/>
      </c>
      <c r="R163" s="231" t="str">
        <f>IF($A$2=B163,Elektro!$Q$14,"")</f>
        <v/>
      </c>
      <c r="S163" s="231" t="str">
        <f>IF($A$2=B163,Elektro!$Q$15,"")</f>
        <v/>
      </c>
      <c r="T163" s="230" t="str">
        <f>IF($A$2=B163,Elektro!$Q$16,"")</f>
        <v/>
      </c>
      <c r="U163" s="353" t="str">
        <f t="shared" si="52"/>
        <v/>
      </c>
      <c r="V163" s="353" t="str">
        <f t="shared" si="53"/>
        <v/>
      </c>
      <c r="W163" s="4" t="s">
        <v>141</v>
      </c>
      <c r="X163" s="4" t="s">
        <v>248</v>
      </c>
      <c r="Y163" s="4">
        <v>1</v>
      </c>
      <c r="Z163" s="4">
        <v>107.9</v>
      </c>
      <c r="AA163" s="232" t="str">
        <f t="shared" si="54"/>
        <v/>
      </c>
      <c r="AB163" s="233" t="str">
        <f t="shared" si="55"/>
        <v/>
      </c>
      <c r="AC163" s="233" t="str">
        <f t="shared" si="56"/>
        <v>mol/s</v>
      </c>
      <c r="AD163" s="231" t="str">
        <f t="shared" si="57"/>
        <v/>
      </c>
      <c r="AE163" s="231" t="s">
        <v>283</v>
      </c>
      <c r="AF163" s="232" t="str">
        <f t="shared" si="58"/>
        <v/>
      </c>
      <c r="AG163" s="236" t="s">
        <v>284</v>
      </c>
      <c r="AH163" s="4"/>
      <c r="AI163" s="4" t="s">
        <v>107</v>
      </c>
      <c r="AJ163" s="4" t="s">
        <v>282</v>
      </c>
      <c r="AK163" s="4">
        <v>2</v>
      </c>
      <c r="AL163" s="4">
        <v>63.55</v>
      </c>
      <c r="AM163" s="232" t="str">
        <f t="shared" si="59"/>
        <v/>
      </c>
      <c r="AN163" s="233" t="str">
        <f t="shared" si="60"/>
        <v/>
      </c>
      <c r="AO163" s="4" t="str">
        <f t="shared" si="61"/>
        <v>g/s</v>
      </c>
      <c r="AP163" s="4"/>
      <c r="AQ163" s="4"/>
      <c r="AR163" s="4"/>
      <c r="AS163" s="4" t="s">
        <v>121</v>
      </c>
      <c r="AT163" s="4">
        <v>2</v>
      </c>
      <c r="AU163" s="5" t="s">
        <v>65</v>
      </c>
      <c r="AV163" s="248" t="str">
        <f t="shared" si="62"/>
        <v/>
      </c>
      <c r="AW163" s="248"/>
      <c r="AX163" s="4" t="str">
        <f t="shared" si="63"/>
        <v>M</v>
      </c>
      <c r="AY163" s="248" t="str">
        <f t="shared" si="64"/>
        <v/>
      </c>
      <c r="AZ163" s="232"/>
      <c r="BA163" s="4">
        <v>161</v>
      </c>
      <c r="BB163" s="2" t="s">
        <v>47</v>
      </c>
      <c r="BC163" s="2" t="s">
        <v>51</v>
      </c>
      <c r="BD163" s="2" t="s">
        <v>77</v>
      </c>
      <c r="BE163" s="2" t="s">
        <v>48</v>
      </c>
      <c r="BF163" s="2" t="s">
        <v>53</v>
      </c>
      <c r="BG163" s="2"/>
      <c r="BH163" s="185" t="s">
        <v>44</v>
      </c>
      <c r="BI163" s="185" t="s">
        <v>160</v>
      </c>
      <c r="BJ163" s="185" t="s">
        <v>151</v>
      </c>
      <c r="BK163" s="185" t="s">
        <v>3</v>
      </c>
      <c r="BL163" s="100"/>
      <c r="BM163" s="97">
        <f t="shared" si="65"/>
        <v>2</v>
      </c>
      <c r="BN163" s="225" t="s">
        <v>296</v>
      </c>
      <c r="BO163" s="225" t="s">
        <v>307</v>
      </c>
      <c r="BP163" s="225" t="s">
        <v>258</v>
      </c>
      <c r="BQ163" s="225" t="s">
        <v>259</v>
      </c>
      <c r="BR163" s="225" t="s">
        <v>319</v>
      </c>
      <c r="BS163" s="225" t="s">
        <v>328</v>
      </c>
      <c r="BT163" s="225" t="s">
        <v>375</v>
      </c>
      <c r="BU163" s="225" t="s">
        <v>260</v>
      </c>
      <c r="BV163" s="2"/>
      <c r="BW163" s="259" t="s">
        <v>270</v>
      </c>
      <c r="BX163" s="259" t="s">
        <v>349</v>
      </c>
      <c r="BY163" s="259" t="s">
        <v>341</v>
      </c>
      <c r="BZ163" s="259" t="s">
        <v>342</v>
      </c>
      <c r="CA163" s="107"/>
      <c r="CB163" s="249"/>
      <c r="CC163" s="107"/>
      <c r="CD163" s="249"/>
      <c r="CE163" s="107"/>
      <c r="CF163" s="225" t="str">
        <f t="shared" si="66"/>
        <v/>
      </c>
      <c r="CG163" s="225" t="str">
        <f t="shared" si="67"/>
        <v/>
      </c>
      <c r="CH163" s="225" t="str">
        <f t="shared" si="68"/>
        <v/>
      </c>
      <c r="CI163" s="225" t="str">
        <f t="shared" si="69"/>
        <v/>
      </c>
      <c r="CJ163" s="225" t="str">
        <f t="shared" si="70"/>
        <v/>
      </c>
      <c r="CK163" s="225" t="str">
        <f t="shared" si="71"/>
        <v/>
      </c>
      <c r="CL163" s="225" t="str">
        <f t="shared" si="72"/>
        <v/>
      </c>
      <c r="CM163" s="225" t="str">
        <f t="shared" si="73"/>
        <v/>
      </c>
      <c r="CN163" s="225" t="str">
        <f t="shared" si="74"/>
        <v/>
      </c>
      <c r="CO163" s="225" t="str">
        <f t="shared" si="75"/>
        <v/>
      </c>
      <c r="CP163" s="250"/>
      <c r="CQ163" s="250" t="str">
        <f t="shared" si="76"/>
        <v/>
      </c>
      <c r="CR163" s="5">
        <v>161</v>
      </c>
      <c r="CU1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3" s="373" t="str">
        <f t="shared" si="77"/>
        <v/>
      </c>
      <c r="CW163" s="2"/>
      <c r="CX163" s="104"/>
    </row>
    <row r="164" spans="1:102" ht="18.95" customHeight="1" x14ac:dyDescent="0.35">
      <c r="B164" s="4">
        <v>162</v>
      </c>
      <c r="C164" s="4" t="s">
        <v>875</v>
      </c>
      <c r="E164" s="382" t="s">
        <v>637</v>
      </c>
      <c r="F164" s="69"/>
      <c r="H164" s="69" t="s">
        <v>543</v>
      </c>
      <c r="I164" s="69" t="s">
        <v>570</v>
      </c>
      <c r="J164" s="69" t="s">
        <v>535</v>
      </c>
      <c r="K164" s="160" t="s">
        <v>581</v>
      </c>
      <c r="L164" s="2"/>
      <c r="M164" s="69" t="s">
        <v>857</v>
      </c>
      <c r="N164" s="2"/>
      <c r="O164" s="230" t="str">
        <f>IF($A$2=B164,Elektro!$Q$11,"")</f>
        <v/>
      </c>
      <c r="P164" s="230" t="str">
        <f>IF($A$2=B164,Elektro!$Q$12,"")</f>
        <v/>
      </c>
      <c r="Q164" s="236" t="str">
        <f>IF($A$2=B164,Elektro!$Q$13,"")</f>
        <v/>
      </c>
      <c r="R164" s="231" t="str">
        <f>IF($A$2=B164,Elektro!$Q$14,"")</f>
        <v/>
      </c>
      <c r="S164" s="231" t="str">
        <f>IF($A$2=B164,Elektro!$Q$15,"")</f>
        <v/>
      </c>
      <c r="T164" s="230" t="str">
        <f>IF($A$2=B164,Elektro!$Q$16,"")</f>
        <v/>
      </c>
      <c r="U164" s="353" t="str">
        <f t="shared" si="52"/>
        <v/>
      </c>
      <c r="V164" s="353" t="str">
        <f t="shared" si="53"/>
        <v/>
      </c>
      <c r="W164" s="4" t="s">
        <v>141</v>
      </c>
      <c r="X164" s="4" t="s">
        <v>248</v>
      </c>
      <c r="Y164" s="4">
        <v>1</v>
      </c>
      <c r="Z164" s="4">
        <v>107.9</v>
      </c>
      <c r="AA164" s="232" t="str">
        <f t="shared" si="54"/>
        <v/>
      </c>
      <c r="AB164" s="233" t="str">
        <f t="shared" si="55"/>
        <v/>
      </c>
      <c r="AC164" s="233" t="str">
        <f t="shared" si="56"/>
        <v>mol/s</v>
      </c>
      <c r="AD164" s="231" t="str">
        <f t="shared" si="57"/>
        <v/>
      </c>
      <c r="AE164" s="231" t="s">
        <v>283</v>
      </c>
      <c r="AF164" s="232" t="str">
        <f t="shared" si="58"/>
        <v/>
      </c>
      <c r="AG164" s="236" t="s">
        <v>284</v>
      </c>
      <c r="AH164" s="4"/>
      <c r="AI164" s="4" t="s">
        <v>119</v>
      </c>
      <c r="AJ164" s="4" t="s">
        <v>282</v>
      </c>
      <c r="AK164" s="4">
        <v>2</v>
      </c>
      <c r="AL164" s="4">
        <v>58.93</v>
      </c>
      <c r="AM164" s="232" t="str">
        <f t="shared" si="59"/>
        <v/>
      </c>
      <c r="AN164" s="233" t="str">
        <f t="shared" si="60"/>
        <v/>
      </c>
      <c r="AO164" s="4" t="str">
        <f t="shared" si="61"/>
        <v>g/s</v>
      </c>
      <c r="AP164" s="4"/>
      <c r="AQ164" s="4"/>
      <c r="AR164" s="4"/>
      <c r="AS164" s="4" t="s">
        <v>121</v>
      </c>
      <c r="AT164" s="4">
        <v>2</v>
      </c>
      <c r="AU164" s="5" t="s">
        <v>65</v>
      </c>
      <c r="AV164" s="248" t="str">
        <f t="shared" si="62"/>
        <v/>
      </c>
      <c r="AW164" s="248"/>
      <c r="AX164" s="4" t="str">
        <f t="shared" si="63"/>
        <v>M</v>
      </c>
      <c r="AY164" s="248" t="str">
        <f t="shared" si="64"/>
        <v/>
      </c>
      <c r="AZ164" s="232"/>
      <c r="BA164" s="4">
        <v>162</v>
      </c>
      <c r="BB164" s="2" t="s">
        <v>47</v>
      </c>
      <c r="BC164" s="2" t="s">
        <v>51</v>
      </c>
      <c r="BD164" s="2" t="s">
        <v>77</v>
      </c>
      <c r="BE164" s="2" t="s">
        <v>48</v>
      </c>
      <c r="BF164" s="2" t="s">
        <v>97</v>
      </c>
      <c r="BG164" s="2"/>
      <c r="BH164" s="185" t="s">
        <v>44</v>
      </c>
      <c r="BI164" s="185" t="s">
        <v>160</v>
      </c>
      <c r="BJ164" s="185" t="s">
        <v>169</v>
      </c>
      <c r="BK164" s="185" t="s">
        <v>68</v>
      </c>
      <c r="BL164" s="100"/>
      <c r="BM164" s="97">
        <f t="shared" si="65"/>
        <v>2</v>
      </c>
      <c r="BN164" s="225" t="s">
        <v>314</v>
      </c>
      <c r="BO164" s="225" t="s">
        <v>307</v>
      </c>
      <c r="BP164" s="225" t="s">
        <v>258</v>
      </c>
      <c r="BQ164" s="225" t="s">
        <v>259</v>
      </c>
      <c r="BR164" s="225" t="s">
        <v>399</v>
      </c>
      <c r="BS164" s="225" t="s">
        <v>328</v>
      </c>
      <c r="BT164" s="225" t="s">
        <v>371</v>
      </c>
      <c r="BU164" s="225" t="s">
        <v>260</v>
      </c>
      <c r="BV164" s="2"/>
      <c r="BW164" s="259" t="s">
        <v>363</v>
      </c>
      <c r="BX164" s="259" t="s">
        <v>364</v>
      </c>
      <c r="BY164" s="259" t="s">
        <v>341</v>
      </c>
      <c r="BZ164" s="259" t="s">
        <v>342</v>
      </c>
      <c r="CA164" s="107"/>
      <c r="CB164" s="249"/>
      <c r="CC164" s="107"/>
      <c r="CD164" s="249"/>
      <c r="CE164" s="107"/>
      <c r="CF164" s="225" t="str">
        <f t="shared" si="66"/>
        <v/>
      </c>
      <c r="CG164" s="225" t="str">
        <f t="shared" si="67"/>
        <v/>
      </c>
      <c r="CH164" s="225" t="str">
        <f t="shared" si="68"/>
        <v/>
      </c>
      <c r="CI164" s="225" t="str">
        <f t="shared" si="69"/>
        <v/>
      </c>
      <c r="CJ164" s="225" t="str">
        <f t="shared" si="70"/>
        <v/>
      </c>
      <c r="CK164" s="225" t="str">
        <f t="shared" si="71"/>
        <v/>
      </c>
      <c r="CL164" s="225" t="str">
        <f t="shared" si="72"/>
        <v/>
      </c>
      <c r="CM164" s="225" t="str">
        <f t="shared" si="73"/>
        <v/>
      </c>
      <c r="CN164" s="225" t="str">
        <f t="shared" si="74"/>
        <v/>
      </c>
      <c r="CO164" s="225" t="str">
        <f t="shared" si="75"/>
        <v/>
      </c>
      <c r="CP164" s="250"/>
      <c r="CQ164" s="250" t="str">
        <f t="shared" si="76"/>
        <v/>
      </c>
      <c r="CR164" s="5">
        <v>162</v>
      </c>
      <c r="CU1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4" s="373" t="str">
        <f t="shared" si="77"/>
        <v/>
      </c>
      <c r="CW164" s="2"/>
      <c r="CX164" s="104"/>
    </row>
    <row r="165" spans="1:102" ht="18.95" customHeight="1" x14ac:dyDescent="0.35">
      <c r="B165" s="4">
        <v>163</v>
      </c>
      <c r="C165" s="4" t="s">
        <v>95</v>
      </c>
      <c r="E165" s="382" t="s">
        <v>638</v>
      </c>
      <c r="F165" s="69"/>
      <c r="H165" s="69" t="s">
        <v>545</v>
      </c>
      <c r="I165" s="69" t="s">
        <v>570</v>
      </c>
      <c r="J165" s="69" t="s">
        <v>517</v>
      </c>
      <c r="K165" s="160" t="s">
        <v>575</v>
      </c>
      <c r="L165" s="2"/>
      <c r="M165" s="69" t="s">
        <v>858</v>
      </c>
      <c r="N165" s="2"/>
      <c r="O165" s="230" t="str">
        <f>IF($A$2=B165,Elektro!$Q$11,"")</f>
        <v/>
      </c>
      <c r="P165" s="230" t="str">
        <f>IF($A$2=B165,Elektro!$Q$12,"")</f>
        <v/>
      </c>
      <c r="Q165" s="236" t="str">
        <f>IF($A$2=B165,Elektro!$Q$13,"")</f>
        <v/>
      </c>
      <c r="R165" s="231" t="str">
        <f>IF($A$2=B165,Elektro!$Q$14,"")</f>
        <v/>
      </c>
      <c r="S165" s="231" t="str">
        <f>IF($A$2=B165,Elektro!$Q$15,"")</f>
        <v/>
      </c>
      <c r="T165" s="230" t="str">
        <f>IF($A$2=B165,Elektro!$Q$16,"")</f>
        <v/>
      </c>
      <c r="U165" s="353" t="str">
        <f t="shared" si="52"/>
        <v/>
      </c>
      <c r="V165" s="353" t="str">
        <f t="shared" si="53"/>
        <v/>
      </c>
      <c r="W165" s="4" t="s">
        <v>141</v>
      </c>
      <c r="X165" s="4" t="s">
        <v>248</v>
      </c>
      <c r="Y165" s="4">
        <v>1</v>
      </c>
      <c r="Z165" s="4">
        <v>107.9</v>
      </c>
      <c r="AA165" s="232" t="str">
        <f t="shared" si="54"/>
        <v/>
      </c>
      <c r="AB165" s="233" t="str">
        <f t="shared" si="55"/>
        <v/>
      </c>
      <c r="AC165" s="233" t="str">
        <f t="shared" si="56"/>
        <v>mol/s</v>
      </c>
      <c r="AD165" s="231" t="str">
        <f t="shared" si="57"/>
        <v/>
      </c>
      <c r="AE165" s="231" t="s">
        <v>283</v>
      </c>
      <c r="AF165" s="232" t="str">
        <f t="shared" si="58"/>
        <v/>
      </c>
      <c r="AG165" s="236" t="s">
        <v>284</v>
      </c>
      <c r="AH165" s="4"/>
      <c r="AI165" s="4" t="s">
        <v>115</v>
      </c>
      <c r="AJ165" s="4" t="s">
        <v>282</v>
      </c>
      <c r="AK165" s="4">
        <v>2</v>
      </c>
      <c r="AL165" s="4">
        <v>58.69</v>
      </c>
      <c r="AM165" s="232" t="str">
        <f t="shared" si="59"/>
        <v/>
      </c>
      <c r="AN165" s="233" t="str">
        <f t="shared" si="60"/>
        <v/>
      </c>
      <c r="AO165" s="4" t="str">
        <f t="shared" si="61"/>
        <v>g/s</v>
      </c>
      <c r="AP165" s="4"/>
      <c r="AQ165" s="4"/>
      <c r="AR165" s="4"/>
      <c r="AS165" s="4" t="s">
        <v>121</v>
      </c>
      <c r="AT165" s="4">
        <v>2</v>
      </c>
      <c r="AU165" s="5" t="s">
        <v>65</v>
      </c>
      <c r="AV165" s="248" t="str">
        <f t="shared" si="62"/>
        <v/>
      </c>
      <c r="AW165" s="248"/>
      <c r="AX165" s="4" t="str">
        <f t="shared" si="63"/>
        <v>M</v>
      </c>
      <c r="AY165" s="248" t="str">
        <f t="shared" si="64"/>
        <v/>
      </c>
      <c r="AZ165" s="232"/>
      <c r="BA165" s="4">
        <v>163</v>
      </c>
      <c r="BB165" s="2" t="s">
        <v>47</v>
      </c>
      <c r="BC165" s="2" t="s">
        <v>51</v>
      </c>
      <c r="BD165" s="2" t="s">
        <v>77</v>
      </c>
      <c r="BE165" s="2" t="s">
        <v>48</v>
      </c>
      <c r="BF165" s="2" t="s">
        <v>87</v>
      </c>
      <c r="BG165" s="2"/>
      <c r="BH165" s="185" t="s">
        <v>44</v>
      </c>
      <c r="BI165" s="185" t="s">
        <v>160</v>
      </c>
      <c r="BJ165" s="185" t="s">
        <v>166</v>
      </c>
      <c r="BK165" s="185" t="s">
        <v>60</v>
      </c>
      <c r="BL165" s="100"/>
      <c r="BM165" s="97">
        <f t="shared" si="65"/>
        <v>2</v>
      </c>
      <c r="BN165" s="225" t="s">
        <v>305</v>
      </c>
      <c r="BO165" s="225" t="s">
        <v>307</v>
      </c>
      <c r="BP165" s="225" t="s">
        <v>258</v>
      </c>
      <c r="BQ165" s="225" t="s">
        <v>259</v>
      </c>
      <c r="BR165" s="225" t="s">
        <v>392</v>
      </c>
      <c r="BS165" s="225" t="s">
        <v>328</v>
      </c>
      <c r="BT165" s="225" t="s">
        <v>372</v>
      </c>
      <c r="BU165" s="225" t="s">
        <v>260</v>
      </c>
      <c r="BV165" s="2"/>
      <c r="BW165" s="259" t="s">
        <v>359</v>
      </c>
      <c r="BX165" s="259" t="s">
        <v>360</v>
      </c>
      <c r="BY165" s="259" t="s">
        <v>341</v>
      </c>
      <c r="BZ165" s="259" t="s">
        <v>342</v>
      </c>
      <c r="CA165" s="107"/>
      <c r="CB165" s="249"/>
      <c r="CC165" s="107"/>
      <c r="CD165" s="249"/>
      <c r="CE165" s="107"/>
      <c r="CF165" s="225" t="str">
        <f t="shared" si="66"/>
        <v/>
      </c>
      <c r="CG165" s="225" t="str">
        <f t="shared" si="67"/>
        <v/>
      </c>
      <c r="CH165" s="225" t="str">
        <f t="shared" si="68"/>
        <v/>
      </c>
      <c r="CI165" s="225" t="str">
        <f t="shared" si="69"/>
        <v/>
      </c>
      <c r="CJ165" s="225" t="str">
        <f t="shared" si="70"/>
        <v/>
      </c>
      <c r="CK165" s="225" t="str">
        <f t="shared" si="71"/>
        <v/>
      </c>
      <c r="CL165" s="225" t="str">
        <f t="shared" si="72"/>
        <v/>
      </c>
      <c r="CM165" s="225" t="str">
        <f t="shared" si="73"/>
        <v/>
      </c>
      <c r="CN165" s="225" t="str">
        <f t="shared" si="74"/>
        <v/>
      </c>
      <c r="CO165" s="225" t="str">
        <f t="shared" si="75"/>
        <v/>
      </c>
      <c r="CP165" s="250"/>
      <c r="CQ165" s="250" t="str">
        <f t="shared" si="76"/>
        <v/>
      </c>
      <c r="CR165" s="5">
        <v>163</v>
      </c>
      <c r="CU1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5" s="373" t="str">
        <f t="shared" si="77"/>
        <v/>
      </c>
      <c r="CW165" s="2"/>
      <c r="CX165" s="104"/>
    </row>
    <row r="166" spans="1:102" ht="18.95" customHeight="1" x14ac:dyDescent="0.35">
      <c r="B166" s="4">
        <v>164</v>
      </c>
      <c r="C166" s="4" t="s">
        <v>877</v>
      </c>
      <c r="E166" s="382" t="s">
        <v>639</v>
      </c>
      <c r="F166" s="69"/>
      <c r="H166" s="69" t="s">
        <v>547</v>
      </c>
      <c r="I166" s="69" t="s">
        <v>570</v>
      </c>
      <c r="J166" s="69" t="s">
        <v>522</v>
      </c>
      <c r="K166" s="160" t="s">
        <v>576</v>
      </c>
      <c r="L166" s="2"/>
      <c r="M166" s="69" t="s">
        <v>859</v>
      </c>
      <c r="N166" s="2"/>
      <c r="O166" s="230" t="str">
        <f>IF($A$2=B166,Elektro!$Q$11,"")</f>
        <v/>
      </c>
      <c r="P166" s="230" t="str">
        <f>IF($A$2=B166,Elektro!$Q$12,"")</f>
        <v/>
      </c>
      <c r="Q166" s="236" t="str">
        <f>IF($A$2=B166,Elektro!$Q$13,"")</f>
        <v/>
      </c>
      <c r="R166" s="231" t="str">
        <f>IF($A$2=B166,Elektro!$Q$14,"")</f>
        <v/>
      </c>
      <c r="S166" s="231" t="str">
        <f>IF($A$2=B166,Elektro!$Q$15,"")</f>
        <v/>
      </c>
      <c r="T166" s="230" t="str">
        <f>IF($A$2=B166,Elektro!$Q$16,"")</f>
        <v/>
      </c>
      <c r="U166" s="353" t="str">
        <f t="shared" si="52"/>
        <v/>
      </c>
      <c r="V166" s="353" t="str">
        <f t="shared" si="53"/>
        <v/>
      </c>
      <c r="W166" s="4" t="s">
        <v>141</v>
      </c>
      <c r="X166" s="4" t="s">
        <v>248</v>
      </c>
      <c r="Y166" s="4">
        <v>1</v>
      </c>
      <c r="Z166" s="4">
        <v>107.9</v>
      </c>
      <c r="AA166" s="232" t="str">
        <f t="shared" si="54"/>
        <v/>
      </c>
      <c r="AB166" s="233" t="str">
        <f t="shared" si="55"/>
        <v/>
      </c>
      <c r="AC166" s="233" t="str">
        <f t="shared" si="56"/>
        <v>mol/s</v>
      </c>
      <c r="AD166" s="231" t="str">
        <f t="shared" si="57"/>
        <v/>
      </c>
      <c r="AE166" s="231" t="s">
        <v>283</v>
      </c>
      <c r="AF166" s="232" t="str">
        <f t="shared" si="58"/>
        <v/>
      </c>
      <c r="AG166" s="236" t="s">
        <v>284</v>
      </c>
      <c r="AH166" s="4"/>
      <c r="AI166" s="4" t="s">
        <v>111</v>
      </c>
      <c r="AJ166" s="4" t="s">
        <v>282</v>
      </c>
      <c r="AK166" s="4">
        <v>2</v>
      </c>
      <c r="AL166" s="4">
        <v>65.39</v>
      </c>
      <c r="AM166" s="232" t="str">
        <f t="shared" si="59"/>
        <v/>
      </c>
      <c r="AN166" s="233" t="str">
        <f t="shared" si="60"/>
        <v/>
      </c>
      <c r="AO166" s="4" t="str">
        <f t="shared" si="61"/>
        <v>g/s</v>
      </c>
      <c r="AP166" s="4"/>
      <c r="AQ166" s="4"/>
      <c r="AR166" s="4"/>
      <c r="AS166" s="4" t="s">
        <v>121</v>
      </c>
      <c r="AT166" s="4">
        <v>2</v>
      </c>
      <c r="AU166" s="5" t="s">
        <v>65</v>
      </c>
      <c r="AV166" s="248" t="str">
        <f t="shared" si="62"/>
        <v/>
      </c>
      <c r="AW166" s="248"/>
      <c r="AX166" s="4" t="str">
        <f t="shared" si="63"/>
        <v>M</v>
      </c>
      <c r="AY166" s="248" t="str">
        <f t="shared" si="64"/>
        <v/>
      </c>
      <c r="AZ166" s="232"/>
      <c r="BA166" s="4">
        <v>164</v>
      </c>
      <c r="BB166" s="2" t="s">
        <v>47</v>
      </c>
      <c r="BC166" s="2" t="s">
        <v>51</v>
      </c>
      <c r="BD166" s="2" t="s">
        <v>77</v>
      </c>
      <c r="BE166" s="2" t="s">
        <v>48</v>
      </c>
      <c r="BF166" s="2" t="s">
        <v>88</v>
      </c>
      <c r="BG166" s="2"/>
      <c r="BH166" s="185" t="s">
        <v>44</v>
      </c>
      <c r="BI166" s="185" t="s">
        <v>160</v>
      </c>
      <c r="BJ166" s="185" t="s">
        <v>158</v>
      </c>
      <c r="BK166" s="185" t="s">
        <v>30</v>
      </c>
      <c r="BL166" s="100"/>
      <c r="BM166" s="97">
        <f t="shared" si="65"/>
        <v>2</v>
      </c>
      <c r="BN166" s="225" t="s">
        <v>300</v>
      </c>
      <c r="BO166" s="225" t="s">
        <v>307</v>
      </c>
      <c r="BP166" s="225" t="s">
        <v>258</v>
      </c>
      <c r="BQ166" s="225" t="s">
        <v>259</v>
      </c>
      <c r="BR166" s="225" t="s">
        <v>393</v>
      </c>
      <c r="BS166" s="225" t="s">
        <v>328</v>
      </c>
      <c r="BT166" s="225" t="s">
        <v>369</v>
      </c>
      <c r="BU166" s="225" t="s">
        <v>260</v>
      </c>
      <c r="BV166" s="2"/>
      <c r="BW166" s="259" t="s">
        <v>345</v>
      </c>
      <c r="BX166" s="259" t="s">
        <v>346</v>
      </c>
      <c r="BY166" s="259" t="s">
        <v>341</v>
      </c>
      <c r="BZ166" s="259" t="s">
        <v>342</v>
      </c>
      <c r="CA166" s="107"/>
      <c r="CB166" s="249"/>
      <c r="CC166" s="107"/>
      <c r="CD166" s="249"/>
      <c r="CE166" s="107"/>
      <c r="CF166" s="225" t="str">
        <f t="shared" si="66"/>
        <v/>
      </c>
      <c r="CG166" s="225" t="str">
        <f t="shared" si="67"/>
        <v/>
      </c>
      <c r="CH166" s="225" t="str">
        <f t="shared" si="68"/>
        <v/>
      </c>
      <c r="CI166" s="225" t="str">
        <f t="shared" si="69"/>
        <v/>
      </c>
      <c r="CJ166" s="225" t="str">
        <f t="shared" si="70"/>
        <v/>
      </c>
      <c r="CK166" s="225" t="str">
        <f t="shared" si="71"/>
        <v/>
      </c>
      <c r="CL166" s="225" t="str">
        <f t="shared" si="72"/>
        <v/>
      </c>
      <c r="CM166" s="225" t="str">
        <f t="shared" si="73"/>
        <v/>
      </c>
      <c r="CN166" s="225" t="str">
        <f t="shared" si="74"/>
        <v/>
      </c>
      <c r="CO166" s="225" t="str">
        <f t="shared" si="75"/>
        <v/>
      </c>
      <c r="CP166" s="250"/>
      <c r="CQ166" s="250" t="str">
        <f t="shared" si="76"/>
        <v/>
      </c>
      <c r="CR166" s="5">
        <v>164</v>
      </c>
      <c r="CU1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6" s="373" t="str">
        <f t="shared" si="77"/>
        <v/>
      </c>
      <c r="CW166" s="2"/>
      <c r="CX166" s="104"/>
    </row>
    <row r="167" spans="1:102" ht="18.95" customHeight="1" x14ac:dyDescent="0.35">
      <c r="B167" s="4">
        <v>165</v>
      </c>
      <c r="C167" s="4" t="s">
        <v>878</v>
      </c>
      <c r="E167" s="382" t="s">
        <v>640</v>
      </c>
      <c r="F167" s="69"/>
      <c r="H167" s="69" t="s">
        <v>549</v>
      </c>
      <c r="I167" s="69" t="s">
        <v>570</v>
      </c>
      <c r="J167" s="69" t="s">
        <v>527</v>
      </c>
      <c r="K167" s="160" t="s">
        <v>578</v>
      </c>
      <c r="L167" s="2"/>
      <c r="M167" s="69" t="s">
        <v>860</v>
      </c>
      <c r="N167" s="2"/>
      <c r="O167" s="230" t="str">
        <f>IF($A$2=B167,Elektro!$Q$11,"")</f>
        <v/>
      </c>
      <c r="P167" s="230" t="str">
        <f>IF($A$2=B167,Elektro!$Q$12,"")</f>
        <v/>
      </c>
      <c r="Q167" s="236" t="str">
        <f>IF($A$2=B167,Elektro!$Q$13,"")</f>
        <v/>
      </c>
      <c r="R167" s="231" t="str">
        <f>IF($A$2=B167,Elektro!$Q$14,"")</f>
        <v/>
      </c>
      <c r="S167" s="231" t="str">
        <f>IF($A$2=B167,Elektro!$Q$15,"")</f>
        <v/>
      </c>
      <c r="T167" s="230" t="str">
        <f>IF($A$2=B167,Elektro!$Q$16,"")</f>
        <v/>
      </c>
      <c r="U167" s="353" t="str">
        <f t="shared" si="52"/>
        <v/>
      </c>
      <c r="V167" s="353" t="str">
        <f t="shared" si="53"/>
        <v/>
      </c>
      <c r="W167" s="4" t="s">
        <v>141</v>
      </c>
      <c r="X167" s="4" t="s">
        <v>248</v>
      </c>
      <c r="Y167" s="4">
        <v>1</v>
      </c>
      <c r="Z167" s="4">
        <v>107.9</v>
      </c>
      <c r="AA167" s="232" t="str">
        <f t="shared" si="54"/>
        <v/>
      </c>
      <c r="AB167" s="233" t="str">
        <f t="shared" si="55"/>
        <v/>
      </c>
      <c r="AC167" s="233" t="str">
        <f t="shared" si="56"/>
        <v>mol/s</v>
      </c>
      <c r="AD167" s="231" t="str">
        <f t="shared" si="57"/>
        <v/>
      </c>
      <c r="AE167" s="231" t="s">
        <v>283</v>
      </c>
      <c r="AF167" s="232" t="str">
        <f t="shared" si="58"/>
        <v/>
      </c>
      <c r="AG167" s="236" t="s">
        <v>284</v>
      </c>
      <c r="AH167" s="4"/>
      <c r="AI167" s="4" t="s">
        <v>117</v>
      </c>
      <c r="AJ167" s="4" t="s">
        <v>282</v>
      </c>
      <c r="AK167" s="4">
        <v>2</v>
      </c>
      <c r="AL167" s="4">
        <v>118.7</v>
      </c>
      <c r="AM167" s="232" t="str">
        <f t="shared" si="59"/>
        <v/>
      </c>
      <c r="AN167" s="233" t="str">
        <f t="shared" si="60"/>
        <v/>
      </c>
      <c r="AO167" s="4" t="str">
        <f t="shared" si="61"/>
        <v>g/s</v>
      </c>
      <c r="AP167" s="4"/>
      <c r="AQ167" s="4"/>
      <c r="AR167" s="4"/>
      <c r="AS167" s="4" t="s">
        <v>121</v>
      </c>
      <c r="AT167" s="4">
        <v>2</v>
      </c>
      <c r="AU167" s="5" t="s">
        <v>65</v>
      </c>
      <c r="AV167" s="248" t="str">
        <f t="shared" si="62"/>
        <v/>
      </c>
      <c r="AW167" s="248"/>
      <c r="AX167" s="4" t="str">
        <f t="shared" si="63"/>
        <v>M</v>
      </c>
      <c r="AY167" s="248" t="str">
        <f t="shared" si="64"/>
        <v/>
      </c>
      <c r="AZ167" s="232"/>
      <c r="BA167" s="4">
        <v>165</v>
      </c>
      <c r="BB167" s="2" t="s">
        <v>47</v>
      </c>
      <c r="BC167" s="2" t="s">
        <v>51</v>
      </c>
      <c r="BD167" s="2" t="s">
        <v>77</v>
      </c>
      <c r="BE167" s="2" t="s">
        <v>48</v>
      </c>
      <c r="BF167" s="2" t="s">
        <v>90</v>
      </c>
      <c r="BG167" s="2"/>
      <c r="BH167" s="185" t="s">
        <v>44</v>
      </c>
      <c r="BI167" s="185" t="s">
        <v>160</v>
      </c>
      <c r="BJ167" s="185" t="s">
        <v>167</v>
      </c>
      <c r="BK167" s="185" t="s">
        <v>130</v>
      </c>
      <c r="BL167" s="100"/>
      <c r="BM167" s="97">
        <f t="shared" si="65"/>
        <v>2</v>
      </c>
      <c r="BN167" s="225" t="s">
        <v>317</v>
      </c>
      <c r="BO167" s="225" t="s">
        <v>307</v>
      </c>
      <c r="BP167" s="225" t="s">
        <v>258</v>
      </c>
      <c r="BQ167" s="225" t="s">
        <v>259</v>
      </c>
      <c r="BR167" s="225" t="s">
        <v>395</v>
      </c>
      <c r="BS167" s="225" t="s">
        <v>328</v>
      </c>
      <c r="BT167" s="225" t="s">
        <v>370</v>
      </c>
      <c r="BU167" s="225" t="s">
        <v>260</v>
      </c>
      <c r="BV167" s="2"/>
      <c r="BW167" s="259" t="s">
        <v>347</v>
      </c>
      <c r="BX167" s="259" t="s">
        <v>348</v>
      </c>
      <c r="BY167" s="259" t="s">
        <v>341</v>
      </c>
      <c r="BZ167" s="259" t="s">
        <v>342</v>
      </c>
      <c r="CA167" s="107"/>
      <c r="CB167" s="249"/>
      <c r="CC167" s="107"/>
      <c r="CD167" s="249"/>
      <c r="CE167" s="107"/>
      <c r="CF167" s="225" t="str">
        <f t="shared" si="66"/>
        <v/>
      </c>
      <c r="CG167" s="225" t="str">
        <f t="shared" si="67"/>
        <v/>
      </c>
      <c r="CH167" s="225" t="str">
        <f t="shared" si="68"/>
        <v/>
      </c>
      <c r="CI167" s="225" t="str">
        <f t="shared" si="69"/>
        <v/>
      </c>
      <c r="CJ167" s="225" t="str">
        <f t="shared" si="70"/>
        <v/>
      </c>
      <c r="CK167" s="225" t="str">
        <f t="shared" si="71"/>
        <v/>
      </c>
      <c r="CL167" s="225" t="str">
        <f t="shared" si="72"/>
        <v/>
      </c>
      <c r="CM167" s="225" t="str">
        <f t="shared" si="73"/>
        <v/>
      </c>
      <c r="CN167" s="225" t="str">
        <f t="shared" si="74"/>
        <v/>
      </c>
      <c r="CO167" s="225" t="str">
        <f t="shared" si="75"/>
        <v/>
      </c>
      <c r="CP167" s="250"/>
      <c r="CQ167" s="250" t="str">
        <f t="shared" si="76"/>
        <v/>
      </c>
      <c r="CR167" s="5">
        <v>165</v>
      </c>
      <c r="CU1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7" s="373" t="str">
        <f t="shared" si="77"/>
        <v/>
      </c>
      <c r="CW167" s="2"/>
      <c r="CX167" s="104"/>
    </row>
    <row r="168" spans="1:102" ht="18.95" customHeight="1" x14ac:dyDescent="0.35">
      <c r="B168" s="4">
        <v>166</v>
      </c>
      <c r="C168" s="4" t="s">
        <v>879</v>
      </c>
      <c r="E168" s="382" t="s">
        <v>641</v>
      </c>
      <c r="F168" s="69"/>
      <c r="H168" s="69" t="s">
        <v>551</v>
      </c>
      <c r="I168" s="69" t="s">
        <v>570</v>
      </c>
      <c r="J168" s="69" t="s">
        <v>552</v>
      </c>
      <c r="K168" s="160" t="s">
        <v>582</v>
      </c>
      <c r="L168" s="2"/>
      <c r="M168" s="69" t="s">
        <v>861</v>
      </c>
      <c r="N168" s="2"/>
      <c r="O168" s="230" t="str">
        <f>IF($A$2=B168,Elektro!$Q$11,"")</f>
        <v/>
      </c>
      <c r="P168" s="230" t="str">
        <f>IF($A$2=B168,Elektro!$Q$12,"")</f>
        <v/>
      </c>
      <c r="Q168" s="236" t="str">
        <f>IF($A$2=B168,Elektro!$Q$13,"")</f>
        <v/>
      </c>
      <c r="R168" s="231" t="str">
        <f>IF($A$2=B168,Elektro!$Q$14,"")</f>
        <v/>
      </c>
      <c r="S168" s="231" t="str">
        <f>IF($A$2=B168,Elektro!$Q$15,"")</f>
        <v/>
      </c>
      <c r="T168" s="230" t="str">
        <f>IF($A$2=B168,Elektro!$Q$16,"")</f>
        <v/>
      </c>
      <c r="U168" s="353" t="str">
        <f t="shared" si="52"/>
        <v/>
      </c>
      <c r="V168" s="353" t="str">
        <f t="shared" si="53"/>
        <v/>
      </c>
      <c r="W168" s="4" t="s">
        <v>141</v>
      </c>
      <c r="X168" s="4" t="s">
        <v>248</v>
      </c>
      <c r="Y168" s="4">
        <v>1</v>
      </c>
      <c r="Z168" s="4">
        <v>107.9</v>
      </c>
      <c r="AA168" s="232" t="str">
        <f t="shared" si="54"/>
        <v/>
      </c>
      <c r="AB168" s="233" t="str">
        <f t="shared" si="55"/>
        <v/>
      </c>
      <c r="AC168" s="233" t="str">
        <f t="shared" si="56"/>
        <v>mol/s</v>
      </c>
      <c r="AD168" s="231" t="str">
        <f t="shared" si="57"/>
        <v/>
      </c>
      <c r="AE168" s="231" t="s">
        <v>283</v>
      </c>
      <c r="AF168" s="232" t="str">
        <f t="shared" si="58"/>
        <v/>
      </c>
      <c r="AG168" s="236" t="s">
        <v>284</v>
      </c>
      <c r="AH168" s="4"/>
      <c r="AI168" s="4" t="s">
        <v>116</v>
      </c>
      <c r="AJ168" s="4" t="s">
        <v>282</v>
      </c>
      <c r="AK168" s="4">
        <v>2</v>
      </c>
      <c r="AL168" s="4">
        <v>207.2</v>
      </c>
      <c r="AM168" s="232" t="str">
        <f t="shared" si="59"/>
        <v/>
      </c>
      <c r="AN168" s="233" t="str">
        <f t="shared" si="60"/>
        <v/>
      </c>
      <c r="AO168" s="4" t="str">
        <f t="shared" si="61"/>
        <v>g/s</v>
      </c>
      <c r="AP168" s="4"/>
      <c r="AQ168" s="4"/>
      <c r="AR168" s="4"/>
      <c r="AS168" s="4" t="s">
        <v>121</v>
      </c>
      <c r="AT168" s="4">
        <v>2</v>
      </c>
      <c r="AU168" s="5" t="s">
        <v>65</v>
      </c>
      <c r="AV168" s="248" t="str">
        <f t="shared" si="62"/>
        <v/>
      </c>
      <c r="AW168" s="248"/>
      <c r="AX168" s="4" t="str">
        <f t="shared" si="63"/>
        <v>M</v>
      </c>
      <c r="AY168" s="248" t="str">
        <f t="shared" si="64"/>
        <v/>
      </c>
      <c r="AZ168" s="232"/>
      <c r="BA168" s="4">
        <v>166</v>
      </c>
      <c r="BB168" s="2" t="s">
        <v>47</v>
      </c>
      <c r="BC168" s="2" t="s">
        <v>51</v>
      </c>
      <c r="BD168" s="2" t="s">
        <v>77</v>
      </c>
      <c r="BE168" s="2" t="s">
        <v>48</v>
      </c>
      <c r="BF168" s="2" t="s">
        <v>89</v>
      </c>
      <c r="BG168" s="2"/>
      <c r="BH168" s="185" t="s">
        <v>44</v>
      </c>
      <c r="BI168" s="185" t="s">
        <v>160</v>
      </c>
      <c r="BJ168" s="185" t="s">
        <v>170</v>
      </c>
      <c r="BK168" s="185" t="s">
        <v>129</v>
      </c>
      <c r="BL168" s="100"/>
      <c r="BM168" s="97">
        <f t="shared" si="65"/>
        <v>2</v>
      </c>
      <c r="BN168" s="225" t="s">
        <v>315</v>
      </c>
      <c r="BO168" s="225" t="s">
        <v>307</v>
      </c>
      <c r="BP168" s="225" t="s">
        <v>258</v>
      </c>
      <c r="BQ168" s="225" t="s">
        <v>259</v>
      </c>
      <c r="BR168" s="225" t="s">
        <v>400</v>
      </c>
      <c r="BS168" s="225" t="s">
        <v>328</v>
      </c>
      <c r="BT168" s="225" t="s">
        <v>373</v>
      </c>
      <c r="BU168" s="225" t="s">
        <v>260</v>
      </c>
      <c r="BV168" s="2"/>
      <c r="BW168" s="259" t="s">
        <v>365</v>
      </c>
      <c r="BX168" s="259" t="s">
        <v>366</v>
      </c>
      <c r="BY168" s="259" t="s">
        <v>341</v>
      </c>
      <c r="BZ168" s="259" t="s">
        <v>342</v>
      </c>
      <c r="CA168" s="107"/>
      <c r="CB168" s="249"/>
      <c r="CC168" s="107"/>
      <c r="CD168" s="249"/>
      <c r="CE168" s="107"/>
      <c r="CF168" s="225" t="str">
        <f t="shared" si="66"/>
        <v/>
      </c>
      <c r="CG168" s="225" t="str">
        <f t="shared" si="67"/>
        <v/>
      </c>
      <c r="CH168" s="225" t="str">
        <f t="shared" si="68"/>
        <v/>
      </c>
      <c r="CI168" s="225" t="str">
        <f t="shared" si="69"/>
        <v/>
      </c>
      <c r="CJ168" s="225" t="str">
        <f t="shared" si="70"/>
        <v/>
      </c>
      <c r="CK168" s="225" t="str">
        <f t="shared" si="71"/>
        <v/>
      </c>
      <c r="CL168" s="225" t="str">
        <f t="shared" si="72"/>
        <v/>
      </c>
      <c r="CM168" s="225" t="str">
        <f t="shared" si="73"/>
        <v/>
      </c>
      <c r="CN168" s="225" t="str">
        <f t="shared" si="74"/>
        <v/>
      </c>
      <c r="CO168" s="225" t="str">
        <f t="shared" si="75"/>
        <v/>
      </c>
      <c r="CP168" s="250"/>
      <c r="CQ168" s="250" t="str">
        <f t="shared" si="76"/>
        <v/>
      </c>
      <c r="CR168" s="5">
        <v>166</v>
      </c>
      <c r="CU1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8" s="373" t="str">
        <f t="shared" si="77"/>
        <v/>
      </c>
      <c r="CW168" s="2"/>
      <c r="CX168" s="104"/>
    </row>
    <row r="169" spans="1:102" ht="18.95" customHeight="1" x14ac:dyDescent="0.35">
      <c r="B169" s="4">
        <v>167</v>
      </c>
      <c r="C169" s="4" t="s">
        <v>880</v>
      </c>
      <c r="E169" s="382" t="s">
        <v>642</v>
      </c>
      <c r="F169" s="69"/>
      <c r="H169" s="69" t="s">
        <v>554</v>
      </c>
      <c r="I169" s="69" t="s">
        <v>570</v>
      </c>
      <c r="J169" s="69" t="s">
        <v>555</v>
      </c>
      <c r="K169" s="160" t="s">
        <v>583</v>
      </c>
      <c r="L169" s="2"/>
      <c r="M169" s="69" t="s">
        <v>862</v>
      </c>
      <c r="N169" s="2"/>
      <c r="O169" s="230" t="str">
        <f>IF($A$2=B169,Elektro!$Q$11,"")</f>
        <v/>
      </c>
      <c r="P169" s="230" t="str">
        <f>IF($A$2=B169,Elektro!$Q$12,"")</f>
        <v/>
      </c>
      <c r="Q169" s="236" t="str">
        <f>IF($A$2=B169,Elektro!$Q$13,"")</f>
        <v/>
      </c>
      <c r="R169" s="231" t="str">
        <f>IF($A$2=B169,Elektro!$Q$14,"")</f>
        <v/>
      </c>
      <c r="S169" s="231" t="str">
        <f>IF($A$2=B169,Elektro!$Q$15,"")</f>
        <v/>
      </c>
      <c r="T169" s="230" t="str">
        <f>IF($A$2=B169,Elektro!$Q$16,"")</f>
        <v/>
      </c>
      <c r="U169" s="353" t="str">
        <f t="shared" si="52"/>
        <v/>
      </c>
      <c r="V169" s="353" t="str">
        <f t="shared" si="53"/>
        <v/>
      </c>
      <c r="W169" s="4" t="s">
        <v>141</v>
      </c>
      <c r="X169" s="4" t="s">
        <v>248</v>
      </c>
      <c r="Y169" s="4">
        <v>1</v>
      </c>
      <c r="Z169" s="4">
        <v>107.9</v>
      </c>
      <c r="AA169" s="232" t="str">
        <f t="shared" si="54"/>
        <v/>
      </c>
      <c r="AB169" s="233" t="str">
        <f t="shared" si="55"/>
        <v/>
      </c>
      <c r="AC169" s="233" t="str">
        <f t="shared" si="56"/>
        <v>mol/s</v>
      </c>
      <c r="AD169" s="231" t="str">
        <f t="shared" si="57"/>
        <v/>
      </c>
      <c r="AE169" s="231" t="s">
        <v>283</v>
      </c>
      <c r="AF169" s="232" t="str">
        <f t="shared" si="58"/>
        <v/>
      </c>
      <c r="AG169" s="236" t="s">
        <v>284</v>
      </c>
      <c r="AH169" s="4"/>
      <c r="AI169" s="4" t="s">
        <v>113</v>
      </c>
      <c r="AJ169" s="4" t="s">
        <v>282</v>
      </c>
      <c r="AK169" s="4">
        <v>2</v>
      </c>
      <c r="AL169" s="4">
        <v>112.4</v>
      </c>
      <c r="AM169" s="232" t="str">
        <f t="shared" si="59"/>
        <v/>
      </c>
      <c r="AN169" s="233" t="str">
        <f t="shared" si="60"/>
        <v/>
      </c>
      <c r="AO169" s="4" t="str">
        <f t="shared" si="61"/>
        <v>g/s</v>
      </c>
      <c r="AP169" s="4"/>
      <c r="AQ169" s="4"/>
      <c r="AR169" s="4"/>
      <c r="AS169" s="4" t="s">
        <v>121</v>
      </c>
      <c r="AT169" s="4">
        <v>2</v>
      </c>
      <c r="AU169" s="5" t="s">
        <v>65</v>
      </c>
      <c r="AV169" s="248" t="str">
        <f t="shared" si="62"/>
        <v/>
      </c>
      <c r="AW169" s="248"/>
      <c r="AX169" s="4" t="str">
        <f t="shared" si="63"/>
        <v>M</v>
      </c>
      <c r="AY169" s="248" t="str">
        <f t="shared" si="64"/>
        <v/>
      </c>
      <c r="AZ169" s="232"/>
      <c r="BA169" s="4">
        <v>167</v>
      </c>
      <c r="BB169" s="2" t="s">
        <v>47</v>
      </c>
      <c r="BC169" s="2" t="s">
        <v>51</v>
      </c>
      <c r="BD169" s="2" t="s">
        <v>77</v>
      </c>
      <c r="BE169" s="2" t="s">
        <v>48</v>
      </c>
      <c r="BF169" s="2" t="s">
        <v>98</v>
      </c>
      <c r="BG169" s="2"/>
      <c r="BH169" s="185" t="s">
        <v>44</v>
      </c>
      <c r="BI169" s="185" t="s">
        <v>160</v>
      </c>
      <c r="BJ169" s="185" t="s">
        <v>159</v>
      </c>
      <c r="BK169" s="185" t="s">
        <v>31</v>
      </c>
      <c r="BL169" s="100"/>
      <c r="BM169" s="97">
        <f t="shared" si="65"/>
        <v>2</v>
      </c>
      <c r="BN169" s="225" t="s">
        <v>316</v>
      </c>
      <c r="BO169" s="225" t="s">
        <v>307</v>
      </c>
      <c r="BP169" s="225" t="s">
        <v>258</v>
      </c>
      <c r="BQ169" s="225" t="s">
        <v>259</v>
      </c>
      <c r="BR169" s="225" t="s">
        <v>401</v>
      </c>
      <c r="BS169" s="225" t="s">
        <v>328</v>
      </c>
      <c r="BT169" s="225" t="s">
        <v>374</v>
      </c>
      <c r="BU169" s="225" t="s">
        <v>260</v>
      </c>
      <c r="BV169" s="2"/>
      <c r="BW169" s="259" t="s">
        <v>350</v>
      </c>
      <c r="BX169" s="259" t="s">
        <v>351</v>
      </c>
      <c r="BY169" s="259" t="s">
        <v>341</v>
      </c>
      <c r="BZ169" s="259" t="s">
        <v>342</v>
      </c>
      <c r="CA169" s="107"/>
      <c r="CB169" s="249"/>
      <c r="CC169" s="107"/>
      <c r="CD169" s="249"/>
      <c r="CE169" s="107"/>
      <c r="CF169" s="225" t="str">
        <f t="shared" si="66"/>
        <v/>
      </c>
      <c r="CG169" s="225" t="str">
        <f t="shared" si="67"/>
        <v/>
      </c>
      <c r="CH169" s="225" t="str">
        <f t="shared" si="68"/>
        <v/>
      </c>
      <c r="CI169" s="225" t="str">
        <f t="shared" si="69"/>
        <v/>
      </c>
      <c r="CJ169" s="225" t="str">
        <f t="shared" si="70"/>
        <v/>
      </c>
      <c r="CK169" s="225" t="str">
        <f t="shared" si="71"/>
        <v/>
      </c>
      <c r="CL169" s="225" t="str">
        <f t="shared" si="72"/>
        <v/>
      </c>
      <c r="CM169" s="225" t="str">
        <f t="shared" si="73"/>
        <v/>
      </c>
      <c r="CN169" s="225" t="str">
        <f t="shared" si="74"/>
        <v/>
      </c>
      <c r="CO169" s="225" t="str">
        <f t="shared" si="75"/>
        <v/>
      </c>
      <c r="CP169" s="250"/>
      <c r="CQ169" s="250" t="str">
        <f t="shared" si="76"/>
        <v/>
      </c>
      <c r="CR169" s="5">
        <v>167</v>
      </c>
      <c r="CU1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9" s="373" t="str">
        <f t="shared" si="77"/>
        <v/>
      </c>
      <c r="CW169" s="2"/>
      <c r="CX169" s="104"/>
    </row>
    <row r="170" spans="1:102" ht="18.95" customHeight="1" x14ac:dyDescent="0.35">
      <c r="B170" s="4">
        <v>168</v>
      </c>
      <c r="C170" s="4" t="s">
        <v>677</v>
      </c>
      <c r="E170" s="382" t="s">
        <v>652</v>
      </c>
      <c r="F170" s="69" t="s">
        <v>75</v>
      </c>
      <c r="H170" s="69" t="s">
        <v>422</v>
      </c>
      <c r="I170" s="69" t="s">
        <v>570</v>
      </c>
      <c r="J170" s="69" t="s">
        <v>423</v>
      </c>
      <c r="K170" s="160" t="s">
        <v>572</v>
      </c>
      <c r="L170" s="2"/>
      <c r="M170" s="160" t="s">
        <v>863</v>
      </c>
      <c r="N170" s="2"/>
      <c r="O170" s="230" t="str">
        <f>IF($A$2=B170,Elektro!$Q$11,"")</f>
        <v/>
      </c>
      <c r="P170" s="230" t="str">
        <f>IF($A$2=B170,Elektro!$Q$12,"")</f>
        <v/>
      </c>
      <c r="Q170" s="236" t="str">
        <f>IF($A$2=B170,Elektro!$Q$13,"")</f>
        <v/>
      </c>
      <c r="R170" s="231" t="str">
        <f>IF($A$2=B170,Elektro!$Q$14,"")</f>
        <v/>
      </c>
      <c r="S170" s="231" t="str">
        <f>IF($A$2=B170,Elektro!$Q$15,"")</f>
        <v/>
      </c>
      <c r="T170" s="230" t="str">
        <f>IF($A$2=B170,Elektro!$Q$16,"")</f>
        <v/>
      </c>
      <c r="U170" s="353" t="str">
        <f t="shared" si="52"/>
        <v/>
      </c>
      <c r="V170" s="353" t="str">
        <f t="shared" si="53"/>
        <v/>
      </c>
      <c r="W170" s="4" t="s">
        <v>141</v>
      </c>
      <c r="X170" s="4" t="s">
        <v>248</v>
      </c>
      <c r="Y170" s="4">
        <v>1</v>
      </c>
      <c r="Z170" s="4">
        <v>107.9</v>
      </c>
      <c r="AA170" s="232" t="str">
        <f t="shared" si="54"/>
        <v/>
      </c>
      <c r="AB170" s="233" t="str">
        <f t="shared" si="55"/>
        <v/>
      </c>
      <c r="AC170" s="233" t="str">
        <f t="shared" si="56"/>
        <v>mol/s</v>
      </c>
      <c r="AD170" s="231" t="str">
        <f t="shared" si="57"/>
        <v/>
      </c>
      <c r="AE170" s="231" t="s">
        <v>283</v>
      </c>
      <c r="AF170" s="232" t="str">
        <f t="shared" si="58"/>
        <v/>
      </c>
      <c r="AG170" s="236" t="s">
        <v>284</v>
      </c>
      <c r="AH170" s="4"/>
      <c r="AI170" s="4" t="s">
        <v>138</v>
      </c>
      <c r="AJ170" s="4" t="s">
        <v>20</v>
      </c>
      <c r="AK170" s="4">
        <v>4</v>
      </c>
      <c r="AL170" s="4">
        <v>32</v>
      </c>
      <c r="AM170" s="232" t="str">
        <f t="shared" si="59"/>
        <v/>
      </c>
      <c r="AN170" s="233" t="str">
        <f t="shared" si="60"/>
        <v/>
      </c>
      <c r="AO170" s="4" t="str">
        <f t="shared" si="61"/>
        <v>mol/s</v>
      </c>
      <c r="AP170" s="4"/>
      <c r="AQ170" s="4"/>
      <c r="AR170" s="4"/>
      <c r="AS170" s="4" t="s">
        <v>121</v>
      </c>
      <c r="AT170" s="4">
        <v>2</v>
      </c>
      <c r="AU170" s="5" t="s">
        <v>65</v>
      </c>
      <c r="AV170" s="248" t="str">
        <f t="shared" si="62"/>
        <v/>
      </c>
      <c r="AW170" s="248"/>
      <c r="AX170" s="4" t="str">
        <f t="shared" si="63"/>
        <v>M</v>
      </c>
      <c r="AY170" s="248" t="str">
        <f t="shared" si="64"/>
        <v/>
      </c>
      <c r="AZ170" s="232"/>
      <c r="BA170" s="4">
        <v>168</v>
      </c>
      <c r="BB170" s="2" t="s">
        <v>47</v>
      </c>
      <c r="BC170" s="2"/>
      <c r="BD170" s="2" t="s">
        <v>77</v>
      </c>
      <c r="BE170" s="2" t="s">
        <v>48</v>
      </c>
      <c r="BF170" s="2"/>
      <c r="BG170" s="2"/>
      <c r="BH170" s="185" t="s">
        <v>44</v>
      </c>
      <c r="BI170" s="185" t="s">
        <v>160</v>
      </c>
      <c r="BJ170" s="185" t="s">
        <v>148</v>
      </c>
      <c r="BK170" s="185" t="s">
        <v>149</v>
      </c>
      <c r="BL170" s="100"/>
      <c r="BM170" s="97">
        <f t="shared" si="65"/>
        <v>2</v>
      </c>
      <c r="BN170" s="225" t="s">
        <v>272</v>
      </c>
      <c r="BO170" s="225" t="s">
        <v>307</v>
      </c>
      <c r="BP170" s="225" t="s">
        <v>258</v>
      </c>
      <c r="BQ170" s="225" t="s">
        <v>259</v>
      </c>
      <c r="BR170" s="225" t="s">
        <v>402</v>
      </c>
      <c r="BS170" s="225" t="s">
        <v>328</v>
      </c>
      <c r="BT170" s="225" t="s">
        <v>275</v>
      </c>
      <c r="BU170" s="225" t="s">
        <v>260</v>
      </c>
      <c r="BV170" s="2"/>
      <c r="BW170" s="259" t="s">
        <v>266</v>
      </c>
      <c r="BX170" s="259" t="s">
        <v>267</v>
      </c>
      <c r="BY170" s="259" t="s">
        <v>341</v>
      </c>
      <c r="BZ170" s="259" t="s">
        <v>342</v>
      </c>
      <c r="CA170" s="107"/>
      <c r="CB170" s="249"/>
      <c r="CC170" s="107"/>
      <c r="CD170" s="249"/>
      <c r="CE170" s="107"/>
      <c r="CF170" s="225" t="str">
        <f t="shared" si="66"/>
        <v/>
      </c>
      <c r="CG170" s="225" t="str">
        <f t="shared" si="67"/>
        <v/>
      </c>
      <c r="CH170" s="225" t="str">
        <f t="shared" si="68"/>
        <v/>
      </c>
      <c r="CI170" s="225" t="str">
        <f t="shared" si="69"/>
        <v/>
      </c>
      <c r="CJ170" s="225" t="str">
        <f t="shared" si="70"/>
        <v/>
      </c>
      <c r="CK170" s="225" t="str">
        <f t="shared" si="71"/>
        <v/>
      </c>
      <c r="CL170" s="225" t="str">
        <f t="shared" si="72"/>
        <v/>
      </c>
      <c r="CM170" s="225" t="str">
        <f t="shared" si="73"/>
        <v/>
      </c>
      <c r="CN170" s="225" t="str">
        <f t="shared" si="74"/>
        <v/>
      </c>
      <c r="CO170" s="225" t="str">
        <f t="shared" si="75"/>
        <v/>
      </c>
      <c r="CP170" s="250"/>
      <c r="CQ170" s="250" t="str">
        <f t="shared" si="76"/>
        <v/>
      </c>
      <c r="CR170" s="5">
        <v>168</v>
      </c>
      <c r="CU1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0" s="373" t="str">
        <f t="shared" si="77"/>
        <v/>
      </c>
      <c r="CW170" s="2"/>
      <c r="CX170" s="104"/>
    </row>
    <row r="171" spans="1:102" ht="18.75" x14ac:dyDescent="0.35">
      <c r="A171" s="5" t="s">
        <v>55</v>
      </c>
      <c r="B171" s="4">
        <v>169</v>
      </c>
      <c r="C171" s="4" t="s">
        <v>100</v>
      </c>
      <c r="E171" s="382" t="s">
        <v>606</v>
      </c>
      <c r="F171" s="69"/>
      <c r="H171" s="69" t="s">
        <v>491</v>
      </c>
      <c r="I171" s="69" t="s">
        <v>570</v>
      </c>
      <c r="J171" s="69" t="s">
        <v>419</v>
      </c>
      <c r="K171" s="160" t="s">
        <v>584</v>
      </c>
      <c r="L171" s="2"/>
      <c r="M171" s="69" t="s">
        <v>864</v>
      </c>
      <c r="N171" s="2"/>
      <c r="O171" s="230" t="str">
        <f>IF($A$2=B171,Elektro!$Q$11,"")</f>
        <v/>
      </c>
      <c r="P171" s="230" t="str">
        <f>IF($A$2=B171,Elektro!$Q$12,"")</f>
        <v/>
      </c>
      <c r="Q171" s="236" t="str">
        <f>IF($A$2=B171,Elektro!$Q$13,"")</f>
        <v/>
      </c>
      <c r="R171" s="231" t="str">
        <f>IF($A$2=B171,Elektro!$Q$14,"")</f>
        <v/>
      </c>
      <c r="S171" s="231" t="str">
        <f>IF($A$2=B171,Elektro!$Q$15,"")</f>
        <v/>
      </c>
      <c r="T171" s="230" t="str">
        <f>IF($A$2=B171,Elektro!$Q$16,"")</f>
        <v/>
      </c>
      <c r="U171" s="353" t="str">
        <f t="shared" si="52"/>
        <v/>
      </c>
      <c r="V171" s="353" t="str">
        <f t="shared" si="53"/>
        <v/>
      </c>
      <c r="W171" s="4" t="s">
        <v>141</v>
      </c>
      <c r="X171" s="4" t="s">
        <v>248</v>
      </c>
      <c r="Y171" s="4">
        <v>1</v>
      </c>
      <c r="Z171" s="4">
        <v>107.9</v>
      </c>
      <c r="AA171" s="232" t="str">
        <f t="shared" si="54"/>
        <v/>
      </c>
      <c r="AB171" s="233" t="str">
        <f t="shared" si="55"/>
        <v/>
      </c>
      <c r="AC171" s="233" t="str">
        <f t="shared" si="56"/>
        <v>mol/s</v>
      </c>
      <c r="AD171" s="231" t="str">
        <f t="shared" si="57"/>
        <v/>
      </c>
      <c r="AE171" s="231" t="s">
        <v>283</v>
      </c>
      <c r="AF171" s="232" t="str">
        <f t="shared" si="58"/>
        <v/>
      </c>
      <c r="AG171" s="236" t="s">
        <v>284</v>
      </c>
      <c r="AH171" s="4"/>
      <c r="AI171" s="4" t="s">
        <v>142</v>
      </c>
      <c r="AJ171" s="4" t="s">
        <v>20</v>
      </c>
      <c r="AK171" s="4">
        <v>2</v>
      </c>
      <c r="AL171" s="4">
        <v>2</v>
      </c>
      <c r="AM171" s="232" t="str">
        <f t="shared" si="59"/>
        <v/>
      </c>
      <c r="AN171" s="233" t="str">
        <f t="shared" si="60"/>
        <v/>
      </c>
      <c r="AO171" s="4" t="str">
        <f t="shared" si="61"/>
        <v>mol/s</v>
      </c>
      <c r="AP171" s="4"/>
      <c r="AQ171" s="4"/>
      <c r="AR171" s="4"/>
      <c r="AS171" s="4" t="s">
        <v>120</v>
      </c>
      <c r="AT171" s="4">
        <v>1</v>
      </c>
      <c r="AU171" s="5" t="s">
        <v>55</v>
      </c>
      <c r="AV171" s="248" t="str">
        <f t="shared" si="62"/>
        <v/>
      </c>
      <c r="AW171" s="248"/>
      <c r="AX171" s="4" t="str">
        <f t="shared" si="63"/>
        <v>M</v>
      </c>
      <c r="AY171" s="248" t="str">
        <f t="shared" si="64"/>
        <v/>
      </c>
      <c r="AZ171" s="232"/>
      <c r="BA171" s="4">
        <v>121</v>
      </c>
      <c r="BB171" s="2" t="s">
        <v>47</v>
      </c>
      <c r="BC171" s="2" t="s">
        <v>73</v>
      </c>
      <c r="BD171" s="2" t="s">
        <v>77</v>
      </c>
      <c r="BE171" s="2" t="s">
        <v>48</v>
      </c>
      <c r="BF171" s="2" t="s">
        <v>49</v>
      </c>
      <c r="BG171" s="2"/>
      <c r="BH171" s="185" t="s">
        <v>44</v>
      </c>
      <c r="BI171" s="185" t="s">
        <v>160</v>
      </c>
      <c r="BJ171" s="185" t="s">
        <v>146</v>
      </c>
      <c r="BK171" s="185" t="s">
        <v>164</v>
      </c>
      <c r="BL171" s="100"/>
      <c r="BM171" s="97">
        <f t="shared" si="65"/>
        <v>1</v>
      </c>
      <c r="BN171" s="225" t="s">
        <v>304</v>
      </c>
      <c r="BO171" s="225" t="s">
        <v>307</v>
      </c>
      <c r="BP171" s="225" t="s">
        <v>258</v>
      </c>
      <c r="BQ171" s="225" t="s">
        <v>259</v>
      </c>
      <c r="BR171" s="225" t="s">
        <v>318</v>
      </c>
      <c r="BS171" s="225" t="s">
        <v>328</v>
      </c>
      <c r="BT171" s="225" t="s">
        <v>273</v>
      </c>
      <c r="BU171" s="225" t="s">
        <v>260</v>
      </c>
      <c r="BV171" s="2"/>
      <c r="BW171" s="259" t="s">
        <v>329</v>
      </c>
      <c r="BX171" s="259" t="s">
        <v>330</v>
      </c>
      <c r="BY171" s="259" t="s">
        <v>341</v>
      </c>
      <c r="BZ171" s="259" t="s">
        <v>342</v>
      </c>
      <c r="CA171" s="107"/>
      <c r="CB171" s="249"/>
      <c r="CC171" s="107"/>
      <c r="CD171" s="249"/>
      <c r="CE171" s="107"/>
      <c r="CF171" s="225" t="str">
        <f t="shared" si="66"/>
        <v/>
      </c>
      <c r="CG171" s="225" t="str">
        <f t="shared" si="67"/>
        <v/>
      </c>
      <c r="CH171" s="225" t="str">
        <f t="shared" si="68"/>
        <v/>
      </c>
      <c r="CI171" s="225" t="str">
        <f t="shared" si="69"/>
        <v/>
      </c>
      <c r="CJ171" s="225" t="str">
        <f t="shared" si="70"/>
        <v/>
      </c>
      <c r="CK171" s="225" t="str">
        <f t="shared" si="71"/>
        <v/>
      </c>
      <c r="CL171" s="225" t="str">
        <f t="shared" si="72"/>
        <v/>
      </c>
      <c r="CM171" s="225" t="str">
        <f t="shared" si="73"/>
        <v/>
      </c>
      <c r="CN171" s="225" t="str">
        <f t="shared" si="74"/>
        <v/>
      </c>
      <c r="CO171" s="225" t="str">
        <f t="shared" si="75"/>
        <v/>
      </c>
      <c r="CP171" s="250"/>
      <c r="CQ171" s="250" t="str">
        <f t="shared" si="76"/>
        <v/>
      </c>
      <c r="CR171" s="5">
        <v>169</v>
      </c>
      <c r="CU1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1" s="373" t="str">
        <f t="shared" si="77"/>
        <v/>
      </c>
      <c r="CW171" s="2"/>
      <c r="CX171" s="104"/>
    </row>
    <row r="172" spans="1:102" ht="18.75" customHeight="1" x14ac:dyDescent="0.35">
      <c r="A172" s="5" t="s">
        <v>55</v>
      </c>
      <c r="B172" s="4">
        <v>170</v>
      </c>
      <c r="C172" s="4" t="s">
        <v>100</v>
      </c>
      <c r="E172" s="382" t="s">
        <v>653</v>
      </c>
      <c r="F172" s="69"/>
      <c r="H172" s="69" t="s">
        <v>491</v>
      </c>
      <c r="I172" s="69" t="s">
        <v>463</v>
      </c>
      <c r="J172" s="69" t="s">
        <v>419</v>
      </c>
      <c r="K172" s="160" t="s">
        <v>585</v>
      </c>
      <c r="L172" s="2"/>
      <c r="M172" s="69" t="s">
        <v>865</v>
      </c>
      <c r="N172" s="2"/>
      <c r="O172" s="230" t="str">
        <f>IF($A$2=B172,Elektro!$Q$11,"")</f>
        <v/>
      </c>
      <c r="P172" s="230" t="str">
        <f>IF($A$2=B172,Elektro!$Q$12,"")</f>
        <v/>
      </c>
      <c r="Q172" s="236" t="str">
        <f>IF($A$2=B172,Elektro!$Q$13,"")</f>
        <v/>
      </c>
      <c r="R172" s="231" t="str">
        <f>IF($A$2=B172,Elektro!$Q$14,"")</f>
        <v/>
      </c>
      <c r="S172" s="231" t="str">
        <f>IF($A$2=B172,Elektro!$Q$15,"")</f>
        <v/>
      </c>
      <c r="T172" s="230" t="str">
        <f>IF($A$2=B172,Elektro!$Q$16,"")</f>
        <v/>
      </c>
      <c r="U172" s="353" t="str">
        <f t="shared" si="52"/>
        <v/>
      </c>
      <c r="V172" s="353" t="str">
        <f t="shared" si="53"/>
        <v/>
      </c>
      <c r="W172" s="4" t="s">
        <v>139</v>
      </c>
      <c r="X172" s="4" t="s">
        <v>248</v>
      </c>
      <c r="Y172" s="4">
        <v>2</v>
      </c>
      <c r="Z172" s="4">
        <v>63.55</v>
      </c>
      <c r="AA172" s="232" t="str">
        <f t="shared" si="54"/>
        <v/>
      </c>
      <c r="AB172" s="233" t="str">
        <f t="shared" si="55"/>
        <v/>
      </c>
      <c r="AC172" s="233" t="str">
        <f>IF(OR(X172="L",X172="M"),"mol/s",IF(X172="g","g/s"))</f>
        <v>mol/s</v>
      </c>
      <c r="AD172" s="231" t="str">
        <f t="shared" si="57"/>
        <v/>
      </c>
      <c r="AE172" s="231" t="s">
        <v>283</v>
      </c>
      <c r="AF172" s="232" t="str">
        <f t="shared" si="58"/>
        <v/>
      </c>
      <c r="AG172" s="236" t="s">
        <v>284</v>
      </c>
      <c r="AH172" s="4"/>
      <c r="AI172" s="4" t="s">
        <v>142</v>
      </c>
      <c r="AJ172" s="4" t="s">
        <v>20</v>
      </c>
      <c r="AK172" s="4">
        <v>2</v>
      </c>
      <c r="AL172" s="4">
        <v>2</v>
      </c>
      <c r="AM172" s="232" t="str">
        <f t="shared" si="59"/>
        <v/>
      </c>
      <c r="AN172" s="233" t="str">
        <f t="shared" si="60"/>
        <v/>
      </c>
      <c r="AO172" s="4" t="str">
        <f t="shared" si="61"/>
        <v>mol/s</v>
      </c>
      <c r="AP172" s="4"/>
      <c r="AQ172" s="4"/>
      <c r="AR172" s="4"/>
      <c r="AS172" s="4" t="s">
        <v>120</v>
      </c>
      <c r="AT172" s="4">
        <v>1</v>
      </c>
      <c r="AU172" s="5" t="s">
        <v>55</v>
      </c>
      <c r="AV172" s="248" t="str">
        <f t="shared" si="62"/>
        <v/>
      </c>
      <c r="AW172" s="248"/>
      <c r="AX172" s="4" t="str">
        <f t="shared" si="63"/>
        <v>M</v>
      </c>
      <c r="AY172" s="248" t="str">
        <f t="shared" si="64"/>
        <v/>
      </c>
      <c r="AZ172" s="232"/>
      <c r="BA172" s="4">
        <v>79</v>
      </c>
      <c r="BB172" s="2" t="s">
        <v>47</v>
      </c>
      <c r="BC172" s="2" t="s">
        <v>73</v>
      </c>
      <c r="BD172" s="2" t="s">
        <v>54</v>
      </c>
      <c r="BE172" s="2" t="s">
        <v>48</v>
      </c>
      <c r="BF172" s="2" t="s">
        <v>49</v>
      </c>
      <c r="BG172" s="2"/>
      <c r="BH172" s="185" t="s">
        <v>3</v>
      </c>
      <c r="BI172" s="185" t="s">
        <v>151</v>
      </c>
      <c r="BJ172" s="185" t="s">
        <v>146</v>
      </c>
      <c r="BK172" s="185" t="s">
        <v>164</v>
      </c>
      <c r="BL172" s="100"/>
      <c r="BM172" s="97">
        <f t="shared" si="65"/>
        <v>1</v>
      </c>
      <c r="BN172" s="225" t="s">
        <v>304</v>
      </c>
      <c r="BO172" s="225" t="s">
        <v>306</v>
      </c>
      <c r="BP172" s="225" t="s">
        <v>258</v>
      </c>
      <c r="BQ172" s="225" t="s">
        <v>259</v>
      </c>
      <c r="BR172" s="225" t="s">
        <v>318</v>
      </c>
      <c r="BS172" s="225" t="s">
        <v>325</v>
      </c>
      <c r="BT172" s="225" t="s">
        <v>273</v>
      </c>
      <c r="BU172" s="225" t="s">
        <v>260</v>
      </c>
      <c r="BV172" s="2"/>
      <c r="BW172" s="259" t="s">
        <v>329</v>
      </c>
      <c r="BX172" s="259" t="s">
        <v>330</v>
      </c>
      <c r="BY172" s="259" t="s">
        <v>337</v>
      </c>
      <c r="BZ172" s="259" t="s">
        <v>338</v>
      </c>
      <c r="CA172" s="107"/>
      <c r="CB172" s="249"/>
      <c r="CC172" s="107"/>
      <c r="CD172" s="249"/>
      <c r="CE172" s="107"/>
      <c r="CF172" s="225" t="str">
        <f t="shared" si="66"/>
        <v/>
      </c>
      <c r="CG172" s="225" t="str">
        <f t="shared" si="67"/>
        <v/>
      </c>
      <c r="CH172" s="225" t="str">
        <f t="shared" si="68"/>
        <v/>
      </c>
      <c r="CI172" s="225" t="str">
        <f t="shared" si="69"/>
        <v/>
      </c>
      <c r="CJ172" s="225" t="str">
        <f t="shared" si="70"/>
        <v/>
      </c>
      <c r="CK172" s="225" t="str">
        <f t="shared" si="71"/>
        <v/>
      </c>
      <c r="CL172" s="225" t="str">
        <f t="shared" si="72"/>
        <v/>
      </c>
      <c r="CM172" s="225" t="str">
        <f t="shared" si="73"/>
        <v/>
      </c>
      <c r="CN172" s="225" t="str">
        <f t="shared" si="74"/>
        <v/>
      </c>
      <c r="CO172" s="225" t="str">
        <f t="shared" si="75"/>
        <v/>
      </c>
      <c r="CP172" s="250"/>
      <c r="CQ172" s="250" t="str">
        <f t="shared" si="76"/>
        <v/>
      </c>
      <c r="CR172" s="5">
        <v>170</v>
      </c>
      <c r="CU1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2" s="373" t="str">
        <f t="shared" si="77"/>
        <v/>
      </c>
      <c r="CW172" s="2"/>
      <c r="CX172" s="104"/>
    </row>
    <row r="173" spans="1:102" ht="18.95" customHeight="1" x14ac:dyDescent="0.35">
      <c r="A173" s="5">
        <v>0</v>
      </c>
      <c r="B173" s="4">
        <v>171</v>
      </c>
      <c r="C173" s="184" t="s">
        <v>677</v>
      </c>
      <c r="E173" s="382" t="s">
        <v>587</v>
      </c>
      <c r="F173" s="149" t="s">
        <v>228</v>
      </c>
      <c r="H173" s="69" t="s">
        <v>422</v>
      </c>
      <c r="I173" s="69" t="s">
        <v>418</v>
      </c>
      <c r="J173" s="69" t="s">
        <v>423</v>
      </c>
      <c r="K173" s="160" t="s">
        <v>420</v>
      </c>
      <c r="L173" s="2"/>
      <c r="M173" s="69" t="s">
        <v>233</v>
      </c>
      <c r="N173" s="2"/>
      <c r="O173" s="230" t="str">
        <f>IF($A$2=B173,Elektro!$Q$11,"")</f>
        <v/>
      </c>
      <c r="P173" s="230" t="str">
        <f>IF($A$2=B173,Elektro!$Q$12,"")</f>
        <v/>
      </c>
      <c r="Q173" s="236" t="str">
        <f>IF($A$2=B173,Elektro!$Q$13,"")</f>
        <v/>
      </c>
      <c r="R173" s="231" t="str">
        <f>IF($A$2=B173,Elektro!$Q$14,"")</f>
        <v/>
      </c>
      <c r="S173" s="231" t="str">
        <f>IF($A$2=B173,Elektro!$Q$15,"")</f>
        <v/>
      </c>
      <c r="T173" s="230" t="str">
        <f>IF($A$2=B173,Elektro!$Q$16,"")</f>
        <v/>
      </c>
      <c r="U173" s="353" t="str">
        <f t="shared" si="52"/>
        <v/>
      </c>
      <c r="V173" s="353" t="str">
        <f t="shared" si="53"/>
        <v/>
      </c>
      <c r="W173" s="4" t="s">
        <v>138</v>
      </c>
      <c r="X173" s="4" t="s">
        <v>20</v>
      </c>
      <c r="Y173" s="4">
        <v>4</v>
      </c>
      <c r="Z173" s="4">
        <v>32</v>
      </c>
      <c r="AA173" s="232" t="str">
        <f t="shared" si="54"/>
        <v/>
      </c>
      <c r="AB173" s="233" t="str">
        <f t="shared" si="55"/>
        <v/>
      </c>
      <c r="AC173" s="233" t="str">
        <f t="shared" ref="AC173" si="78">IF(OR(X173="L",X173="M"),"mol/s",IF(X173="g","g/s"))</f>
        <v>mol/s</v>
      </c>
      <c r="AD173" s="231" t="str">
        <f t="shared" si="57"/>
        <v/>
      </c>
      <c r="AE173" s="231" t="s">
        <v>283</v>
      </c>
      <c r="AF173" s="232" t="str">
        <f t="shared" si="58"/>
        <v/>
      </c>
      <c r="AG173" s="236" t="s">
        <v>284</v>
      </c>
      <c r="AH173" s="4"/>
      <c r="AI173" s="4" t="s">
        <v>142</v>
      </c>
      <c r="AJ173" s="4" t="s">
        <v>20</v>
      </c>
      <c r="AK173" s="4">
        <v>2</v>
      </c>
      <c r="AL173" s="4">
        <v>2</v>
      </c>
      <c r="AM173" s="232" t="str">
        <f t="shared" si="59"/>
        <v/>
      </c>
      <c r="AN173" s="233" t="str">
        <f t="shared" si="60"/>
        <v/>
      </c>
      <c r="AO173" s="4" t="str">
        <f t="shared" si="61"/>
        <v>mol/s</v>
      </c>
      <c r="AP173" s="4"/>
      <c r="AQ173" s="4"/>
      <c r="AR173" s="4"/>
      <c r="AS173" s="4" t="s">
        <v>368</v>
      </c>
      <c r="AT173" s="4">
        <v>0</v>
      </c>
      <c r="AV173" s="248" t="str">
        <f t="shared" si="62"/>
        <v/>
      </c>
      <c r="AW173" s="248"/>
      <c r="AX173" s="4" t="str">
        <f t="shared" si="63"/>
        <v>M</v>
      </c>
      <c r="AY173" s="248" t="str">
        <f t="shared" si="64"/>
        <v/>
      </c>
      <c r="AZ173" s="232"/>
      <c r="BA173" s="4">
        <v>3</v>
      </c>
      <c r="BB173" s="2" t="s">
        <v>47</v>
      </c>
      <c r="BC173" s="2"/>
      <c r="BD173" s="2"/>
      <c r="BE173" s="2" t="s">
        <v>48</v>
      </c>
      <c r="BF173" s="2"/>
      <c r="BG173" s="2"/>
      <c r="BH173" s="185" t="s">
        <v>148</v>
      </c>
      <c r="BI173" s="185" t="s">
        <v>149</v>
      </c>
      <c r="BJ173" s="185" t="s">
        <v>148</v>
      </c>
      <c r="BK173" s="185" t="s">
        <v>147</v>
      </c>
      <c r="BL173" s="100"/>
      <c r="BM173" s="97">
        <f t="shared" si="65"/>
        <v>0</v>
      </c>
      <c r="BN173" s="225" t="s">
        <v>294</v>
      </c>
      <c r="BO173" s="225" t="s">
        <v>278</v>
      </c>
      <c r="BP173" s="225" t="s">
        <v>258</v>
      </c>
      <c r="BQ173" s="225" t="s">
        <v>259</v>
      </c>
      <c r="BR173" s="225" t="s">
        <v>318</v>
      </c>
      <c r="BS173" s="225" t="s">
        <v>322</v>
      </c>
      <c r="BT173" s="225" t="s">
        <v>274</v>
      </c>
      <c r="BU173" s="225" t="s">
        <v>260</v>
      </c>
      <c r="BV173" s="2"/>
      <c r="BW173" s="259" t="s">
        <v>264</v>
      </c>
      <c r="BX173" s="259" t="s">
        <v>265</v>
      </c>
      <c r="BY173" s="259" t="s">
        <v>266</v>
      </c>
      <c r="BZ173" s="259" t="s">
        <v>267</v>
      </c>
      <c r="CA173" s="225"/>
      <c r="CM173" s="2" t="str">
        <f t="shared" si="73"/>
        <v/>
      </c>
      <c r="CX173" s="104"/>
    </row>
    <row r="174" spans="1:102" ht="30" customHeight="1" x14ac:dyDescent="0.25">
      <c r="A174" s="5">
        <v>1</v>
      </c>
      <c r="B174" s="5">
        <v>1</v>
      </c>
      <c r="C174" s="95" t="s">
        <v>680</v>
      </c>
      <c r="E174" s="106" t="s">
        <v>44</v>
      </c>
      <c r="H174" s="2" t="s">
        <v>86</v>
      </c>
      <c r="AA174" s="365"/>
      <c r="AM174" s="364"/>
      <c r="AN174" s="363"/>
      <c r="AV174" s="11"/>
      <c r="AW174" s="11"/>
      <c r="AX174" s="11"/>
      <c r="AY174" s="11"/>
      <c r="BO174" s="2"/>
      <c r="BP174" s="2"/>
      <c r="BQ174" s="2"/>
      <c r="BR174" s="2"/>
      <c r="BS174" s="2"/>
      <c r="BT174" s="2"/>
      <c r="BU174" s="2"/>
      <c r="CD174" s="2"/>
    </row>
    <row r="175" spans="1:102" ht="30" customHeight="1" x14ac:dyDescent="0.25">
      <c r="A175" s="5">
        <v>2</v>
      </c>
      <c r="B175" s="5">
        <v>2</v>
      </c>
      <c r="C175" s="95" t="s">
        <v>106</v>
      </c>
      <c r="E175" s="106" t="s">
        <v>32</v>
      </c>
      <c r="H175" s="2" t="s">
        <v>81</v>
      </c>
      <c r="AM175" s="364"/>
      <c r="AN175" s="363"/>
      <c r="AV175" s="11"/>
      <c r="AW175" s="11"/>
      <c r="AX175" s="11"/>
      <c r="AY175" s="11"/>
      <c r="BO175" s="2"/>
      <c r="BP175" s="2"/>
      <c r="BQ175" s="2"/>
      <c r="BR175" s="2"/>
      <c r="BS175" s="2"/>
      <c r="BT175" s="2"/>
      <c r="BU175" s="2"/>
      <c r="CD175" s="2"/>
    </row>
    <row r="176" spans="1:102" ht="30" customHeight="1" x14ac:dyDescent="0.25">
      <c r="A176" s="5">
        <v>3</v>
      </c>
      <c r="B176" s="5">
        <v>3</v>
      </c>
      <c r="C176" s="95" t="s">
        <v>883</v>
      </c>
      <c r="E176" s="106" t="s">
        <v>126</v>
      </c>
      <c r="H176" s="2" t="s">
        <v>84</v>
      </c>
      <c r="AM176" s="364"/>
      <c r="AN176" s="11"/>
      <c r="AV176" s="11"/>
      <c r="AW176" s="11"/>
      <c r="AX176" s="11"/>
      <c r="AY176" s="11"/>
      <c r="BO176" s="2"/>
      <c r="BP176" s="2"/>
      <c r="BQ176" s="2"/>
      <c r="BR176" s="2"/>
      <c r="BS176" s="2"/>
      <c r="BT176" s="2"/>
      <c r="BU176" s="2"/>
      <c r="CD176" s="2"/>
    </row>
    <row r="177" spans="1:82" ht="30" customHeight="1" x14ac:dyDescent="0.25">
      <c r="A177" s="5">
        <v>4</v>
      </c>
      <c r="B177" s="5">
        <v>4</v>
      </c>
      <c r="C177" s="95" t="s">
        <v>882</v>
      </c>
      <c r="E177" s="106" t="s">
        <v>61</v>
      </c>
      <c r="H177" s="2" t="s">
        <v>80</v>
      </c>
      <c r="AV177" s="11"/>
      <c r="AW177" s="11"/>
      <c r="AX177" s="11"/>
      <c r="AY177" s="364"/>
      <c r="BO177" s="2"/>
      <c r="BP177" s="2"/>
      <c r="BQ177" s="2"/>
      <c r="BR177" s="2"/>
      <c r="BS177" s="2"/>
      <c r="BT177" s="2"/>
      <c r="BU177" s="2"/>
      <c r="CD177" s="2"/>
    </row>
    <row r="178" spans="1:82" ht="30" customHeight="1" x14ac:dyDescent="0.25">
      <c r="A178" s="5">
        <v>5</v>
      </c>
      <c r="B178" s="5">
        <v>5</v>
      </c>
      <c r="C178" s="95" t="s">
        <v>682</v>
      </c>
      <c r="E178" s="106" t="s">
        <v>31</v>
      </c>
      <c r="H178" s="2" t="s">
        <v>98</v>
      </c>
      <c r="AV178" s="11"/>
      <c r="AW178" s="11"/>
      <c r="AX178" s="11"/>
      <c r="AY178" s="11"/>
      <c r="BO178" s="2"/>
      <c r="BP178" s="2"/>
      <c r="BQ178" s="2"/>
      <c r="BR178" s="2"/>
      <c r="BS178" s="2"/>
      <c r="BT178" s="2"/>
      <c r="BU178" s="2"/>
      <c r="CD178" s="2"/>
    </row>
    <row r="179" spans="1:82" ht="30" customHeight="1" x14ac:dyDescent="0.25">
      <c r="A179" s="5">
        <v>6</v>
      </c>
      <c r="B179" s="5">
        <v>6</v>
      </c>
      <c r="C179" s="95" t="s">
        <v>695</v>
      </c>
      <c r="E179" s="106" t="s">
        <v>68</v>
      </c>
      <c r="H179" s="2" t="s">
        <v>97</v>
      </c>
      <c r="AV179" s="11"/>
      <c r="AW179" s="11"/>
      <c r="AX179" s="11"/>
      <c r="AY179" s="11"/>
      <c r="BO179" s="2"/>
      <c r="BP179" s="2"/>
      <c r="BQ179" s="2"/>
      <c r="BR179" s="2"/>
      <c r="BS179" s="2"/>
      <c r="BT179" s="2"/>
      <c r="BU179" s="2"/>
      <c r="CD179" s="2"/>
    </row>
    <row r="180" spans="1:82" ht="30" customHeight="1" x14ac:dyDescent="0.25">
      <c r="A180" s="5">
        <v>7</v>
      </c>
      <c r="B180" s="5">
        <v>7</v>
      </c>
      <c r="C180" s="95" t="s">
        <v>691</v>
      </c>
      <c r="E180" s="106" t="s">
        <v>29</v>
      </c>
      <c r="H180" s="2" t="s">
        <v>132</v>
      </c>
      <c r="BO180" s="2"/>
      <c r="BP180" s="2"/>
      <c r="BQ180" s="2"/>
      <c r="BR180" s="2"/>
      <c r="BS180" s="2"/>
      <c r="BT180" s="2"/>
      <c r="BU180" s="2"/>
      <c r="CD180" s="2"/>
    </row>
    <row r="181" spans="1:82" ht="30" customHeight="1" x14ac:dyDescent="0.25">
      <c r="A181" s="5">
        <v>8</v>
      </c>
      <c r="B181" s="5">
        <v>8</v>
      </c>
      <c r="C181" s="95" t="s">
        <v>871</v>
      </c>
      <c r="E181" s="106" t="s">
        <v>3</v>
      </c>
      <c r="H181" s="2" t="s">
        <v>53</v>
      </c>
      <c r="AY181" s="5" t="b">
        <f>IF(AND(AT44=1,AU44="H"),-LOG(AV44))</f>
        <v>0</v>
      </c>
      <c r="BO181" s="2"/>
      <c r="BP181" s="2"/>
      <c r="BQ181" s="2"/>
      <c r="BR181" s="2"/>
      <c r="BS181" s="2"/>
      <c r="BT181" s="2"/>
      <c r="BU181" s="2"/>
      <c r="CD181" s="2"/>
    </row>
    <row r="182" spans="1:82" ht="30" customHeight="1" x14ac:dyDescent="0.25">
      <c r="A182" s="5">
        <v>9</v>
      </c>
      <c r="B182" s="5">
        <v>9</v>
      </c>
      <c r="C182" s="95" t="s">
        <v>868</v>
      </c>
      <c r="E182" s="106" t="s">
        <v>128</v>
      </c>
      <c r="H182" s="2" t="s">
        <v>96</v>
      </c>
      <c r="AY182" s="5" t="b">
        <f>IF(AND(AT44=2,AU44="OH"),14+LOG(AV44))</f>
        <v>0</v>
      </c>
      <c r="BO182" s="2"/>
      <c r="BP182" s="2"/>
      <c r="BQ182" s="2"/>
      <c r="BR182" s="2"/>
      <c r="BS182" s="2"/>
      <c r="BT182" s="2"/>
      <c r="BU182" s="2"/>
      <c r="CD182" s="2"/>
    </row>
    <row r="183" spans="1:82" ht="30" customHeight="1" x14ac:dyDescent="0.25">
      <c r="A183" s="5">
        <v>10</v>
      </c>
      <c r="B183" s="5">
        <v>10</v>
      </c>
      <c r="C183" s="95" t="s">
        <v>869</v>
      </c>
      <c r="E183" s="106" t="s">
        <v>55</v>
      </c>
      <c r="H183" s="2" t="s">
        <v>49</v>
      </c>
      <c r="AY183" s="5" t="b">
        <f>IF(AND(AT44=1,AU44="",AS44="[H+]"),-LOG(O44*P44-(Q44*R44/96500)))</f>
        <v>0</v>
      </c>
      <c r="BO183" s="2"/>
      <c r="BP183" s="2"/>
      <c r="BQ183" s="2"/>
      <c r="BR183" s="2"/>
      <c r="BS183" s="2"/>
      <c r="BT183" s="2"/>
      <c r="BU183" s="2"/>
      <c r="CD183" s="2"/>
    </row>
    <row r="184" spans="1:82" ht="30" customHeight="1" x14ac:dyDescent="0.25">
      <c r="A184" s="5">
        <v>11</v>
      </c>
      <c r="B184" s="5">
        <v>11</v>
      </c>
      <c r="C184" s="95" t="s">
        <v>866</v>
      </c>
      <c r="E184" s="106" t="s">
        <v>24</v>
      </c>
      <c r="H184" s="2" t="s">
        <v>83</v>
      </c>
      <c r="AY184" s="5" t="b">
        <f>IF(AND(AT44=1,AU44="",AS44="[X]"),-LOG((Q44*R44/96500)/O44))</f>
        <v>0</v>
      </c>
      <c r="BO184" s="2"/>
      <c r="BP184" s="2"/>
      <c r="BQ184" s="2"/>
      <c r="BR184" s="2"/>
      <c r="BS184" s="2"/>
      <c r="BT184" s="2"/>
      <c r="BU184" s="2"/>
      <c r="CD184" s="2"/>
    </row>
    <row r="185" spans="1:82" ht="30" customHeight="1" x14ac:dyDescent="0.25">
      <c r="A185" s="5">
        <v>12</v>
      </c>
      <c r="B185" s="5">
        <v>12</v>
      </c>
      <c r="C185" s="95" t="s">
        <v>690</v>
      </c>
      <c r="E185" s="106" t="s">
        <v>28</v>
      </c>
      <c r="H185" s="2" t="s">
        <v>143</v>
      </c>
      <c r="AY185" s="5" t="e">
        <f>IF(AND(AT44=2,AU44=""),14+LOG(O44*P44-(Q44*R44/96500)))</f>
        <v>#VALUE!</v>
      </c>
      <c r="AZ185" s="5" t="e">
        <f>14+LOG((Q3*R3/96500)/O3)</f>
        <v>#VALUE!</v>
      </c>
      <c r="BO185" s="2"/>
      <c r="BP185" s="2"/>
      <c r="BQ185" s="2"/>
      <c r="BR185" s="2"/>
      <c r="BS185" s="2"/>
      <c r="BT185" s="2"/>
      <c r="BU185" s="2"/>
      <c r="CD185" s="2"/>
    </row>
    <row r="186" spans="1:82" ht="30" customHeight="1" x14ac:dyDescent="0.25">
      <c r="A186" s="5">
        <v>13</v>
      </c>
      <c r="B186" s="5">
        <v>13</v>
      </c>
      <c r="C186" s="95" t="s">
        <v>880</v>
      </c>
      <c r="E186" s="106" t="s">
        <v>127</v>
      </c>
      <c r="H186" s="2" t="s">
        <v>82</v>
      </c>
      <c r="AY186" s="5" t="b">
        <f>IF(AT44=0,7)</f>
        <v>0</v>
      </c>
      <c r="BO186" s="2"/>
      <c r="BP186" s="2"/>
      <c r="BQ186" s="2"/>
      <c r="BR186" s="2"/>
      <c r="BS186" s="2"/>
      <c r="BT186" s="2"/>
      <c r="BU186" s="2"/>
      <c r="CD186" s="2"/>
    </row>
    <row r="187" spans="1:82" ht="30" customHeight="1" x14ac:dyDescent="0.25">
      <c r="A187" s="5">
        <v>14</v>
      </c>
      <c r="B187" s="5">
        <v>14</v>
      </c>
      <c r="C187" s="95" t="s">
        <v>11</v>
      </c>
      <c r="E187" s="106" t="s">
        <v>27</v>
      </c>
      <c r="H187" s="2" t="s">
        <v>50</v>
      </c>
      <c r="BO187" s="2"/>
      <c r="BP187" s="2"/>
      <c r="BQ187" s="2"/>
      <c r="BR187" s="2"/>
      <c r="BS187" s="2"/>
      <c r="BT187" s="2"/>
      <c r="BU187" s="2"/>
      <c r="CD187" s="2"/>
    </row>
    <row r="188" spans="1:82" ht="30" customHeight="1" x14ac:dyDescent="0.25">
      <c r="A188" s="5">
        <v>15</v>
      </c>
      <c r="B188" s="5">
        <v>15</v>
      </c>
      <c r="C188" s="95" t="s">
        <v>884</v>
      </c>
      <c r="E188" s="106" t="s">
        <v>60</v>
      </c>
      <c r="H188" s="2" t="s">
        <v>87</v>
      </c>
      <c r="BO188" s="2"/>
      <c r="BP188" s="2"/>
      <c r="BQ188" s="2"/>
      <c r="BR188" s="2"/>
      <c r="BS188" s="2"/>
      <c r="BT188" s="2"/>
      <c r="BU188" s="2"/>
      <c r="CD188" s="2"/>
    </row>
    <row r="189" spans="1:82" ht="30" customHeight="1" x14ac:dyDescent="0.25">
      <c r="A189" s="5">
        <v>16</v>
      </c>
      <c r="B189" s="5">
        <v>16</v>
      </c>
      <c r="C189" s="95" t="s">
        <v>875</v>
      </c>
      <c r="E189" s="106" t="s">
        <v>129</v>
      </c>
      <c r="H189" s="2" t="s">
        <v>89</v>
      </c>
      <c r="BO189" s="2"/>
      <c r="BP189" s="2"/>
      <c r="BQ189" s="2"/>
      <c r="BR189" s="2"/>
      <c r="BS189" s="2"/>
      <c r="BT189" s="2"/>
      <c r="BU189" s="2"/>
      <c r="CD189" s="2"/>
    </row>
    <row r="190" spans="1:82" ht="30" customHeight="1" x14ac:dyDescent="0.25">
      <c r="A190" s="5">
        <v>17</v>
      </c>
      <c r="B190" s="5">
        <v>17</v>
      </c>
      <c r="C190" s="95" t="s">
        <v>681</v>
      </c>
      <c r="E190" s="106" t="s">
        <v>130</v>
      </c>
      <c r="H190" s="2" t="s">
        <v>90</v>
      </c>
      <c r="BO190" s="2"/>
      <c r="BP190" s="2"/>
      <c r="BQ190" s="2"/>
      <c r="BR190" s="2"/>
      <c r="BS190" s="2"/>
      <c r="BT190" s="2"/>
      <c r="BU190" s="2"/>
      <c r="CD190" s="2"/>
    </row>
    <row r="191" spans="1:82" ht="30" customHeight="1" x14ac:dyDescent="0.25">
      <c r="A191" s="5">
        <v>18</v>
      </c>
      <c r="B191" s="5">
        <v>18</v>
      </c>
      <c r="C191" s="95" t="s">
        <v>685</v>
      </c>
      <c r="E191" s="106" t="s">
        <v>125</v>
      </c>
      <c r="H191" s="2" t="s">
        <v>85</v>
      </c>
      <c r="BO191" s="2"/>
      <c r="BP191" s="2"/>
      <c r="BQ191" s="2"/>
      <c r="BR191" s="2"/>
      <c r="BS191" s="2"/>
      <c r="BT191" s="2"/>
      <c r="BU191" s="2"/>
      <c r="CD191" s="2"/>
    </row>
    <row r="192" spans="1:82" ht="30" customHeight="1" x14ac:dyDescent="0.25">
      <c r="A192" s="5">
        <v>19</v>
      </c>
      <c r="B192" s="5">
        <v>19</v>
      </c>
      <c r="C192" s="95" t="s">
        <v>684</v>
      </c>
      <c r="E192" s="106" t="s">
        <v>30</v>
      </c>
      <c r="H192" s="2" t="s">
        <v>88</v>
      </c>
      <c r="BO192" s="2"/>
      <c r="BP192" s="2"/>
      <c r="BQ192" s="2"/>
      <c r="BR192" s="2"/>
      <c r="BS192" s="2"/>
      <c r="BT192" s="2"/>
      <c r="BU192" s="2"/>
      <c r="CD192" s="2"/>
    </row>
    <row r="193" spans="1:82" ht="30" customHeight="1" x14ac:dyDescent="0.25">
      <c r="A193" s="5">
        <v>20</v>
      </c>
      <c r="B193" s="5">
        <v>20</v>
      </c>
      <c r="C193" s="95" t="s">
        <v>873</v>
      </c>
      <c r="E193" s="106" t="s">
        <v>62</v>
      </c>
      <c r="H193" s="2"/>
      <c r="BO193" s="2"/>
      <c r="BP193" s="2"/>
      <c r="BQ193" s="2"/>
      <c r="BR193" s="2"/>
      <c r="BS193" s="2"/>
      <c r="BT193" s="2"/>
      <c r="BU193" s="2"/>
      <c r="CD193" s="2"/>
    </row>
    <row r="194" spans="1:82" ht="30" customHeight="1" x14ac:dyDescent="0.25">
      <c r="A194" s="5">
        <v>21</v>
      </c>
      <c r="B194" s="5">
        <v>21</v>
      </c>
      <c r="C194" s="95" t="s">
        <v>693</v>
      </c>
      <c r="E194" s="106" t="s">
        <v>123</v>
      </c>
      <c r="H194"/>
      <c r="BO194" s="2"/>
      <c r="BP194" s="2"/>
      <c r="BQ194" s="2"/>
      <c r="BR194" s="2"/>
      <c r="BS194" s="2"/>
      <c r="BT194" s="2"/>
      <c r="BU194" s="2"/>
      <c r="CD194" s="2"/>
    </row>
    <row r="195" spans="1:82" ht="30" customHeight="1" x14ac:dyDescent="0.25">
      <c r="A195" s="5">
        <v>22</v>
      </c>
      <c r="B195" s="5">
        <v>22</v>
      </c>
      <c r="C195" s="95" t="s">
        <v>888</v>
      </c>
      <c r="E195" s="106" t="s">
        <v>56</v>
      </c>
      <c r="H195"/>
      <c r="BO195" s="2"/>
      <c r="BP195" s="2"/>
      <c r="BQ195" s="2"/>
      <c r="BR195" s="2"/>
      <c r="BS195" s="2"/>
      <c r="BT195" s="2"/>
      <c r="BU195" s="2"/>
      <c r="CD195" s="2"/>
    </row>
    <row r="196" spans="1:82" ht="30" customHeight="1" x14ac:dyDescent="0.25">
      <c r="A196" s="5">
        <v>23</v>
      </c>
      <c r="B196" s="5">
        <v>23</v>
      </c>
      <c r="C196" s="95" t="s">
        <v>677</v>
      </c>
      <c r="E196" s="106" t="s">
        <v>64</v>
      </c>
      <c r="H196"/>
      <c r="BO196" s="2"/>
      <c r="BP196" s="2"/>
      <c r="BQ196" s="2"/>
      <c r="BR196" s="2"/>
      <c r="BS196" s="2"/>
      <c r="BT196" s="2"/>
      <c r="BU196" s="2"/>
      <c r="CD196" s="2"/>
    </row>
    <row r="197" spans="1:82" ht="30" customHeight="1" x14ac:dyDescent="0.25">
      <c r="A197" s="5">
        <v>24</v>
      </c>
      <c r="B197" s="5">
        <v>24</v>
      </c>
      <c r="C197" s="95" t="s">
        <v>687</v>
      </c>
      <c r="E197" s="106" t="s">
        <v>63</v>
      </c>
      <c r="H197"/>
      <c r="BO197" s="2"/>
      <c r="BP197" s="2"/>
      <c r="BQ197" s="2"/>
      <c r="BR197" s="2"/>
      <c r="BS197" s="2"/>
      <c r="BT197" s="2"/>
      <c r="BU197" s="2"/>
      <c r="CD197" s="2"/>
    </row>
    <row r="198" spans="1:82" ht="30" customHeight="1" x14ac:dyDescent="0.25">
      <c r="A198" s="5">
        <v>25</v>
      </c>
      <c r="B198" s="5">
        <v>25</v>
      </c>
      <c r="C198" s="95" t="s">
        <v>887</v>
      </c>
      <c r="E198" s="106" t="s">
        <v>124</v>
      </c>
      <c r="H198"/>
      <c r="BO198" s="2"/>
      <c r="BP198" s="2"/>
      <c r="BQ198" s="2"/>
      <c r="BR198" s="2"/>
      <c r="BS198" s="2"/>
      <c r="BT198" s="2"/>
      <c r="BU198" s="2"/>
      <c r="CD198" s="2"/>
    </row>
    <row r="199" spans="1:82" ht="30" customHeight="1" x14ac:dyDescent="0.25">
      <c r="A199" s="5">
        <v>26</v>
      </c>
      <c r="B199" s="5">
        <v>26</v>
      </c>
      <c r="C199" s="95" t="s">
        <v>99</v>
      </c>
      <c r="E199" s="106" t="s">
        <v>65</v>
      </c>
      <c r="H199"/>
      <c r="BO199" s="2"/>
      <c r="BP199" s="2"/>
      <c r="BQ199" s="2"/>
      <c r="BR199" s="2"/>
      <c r="BS199" s="2"/>
      <c r="BT199" s="2"/>
      <c r="BU199" s="2"/>
      <c r="CD199" s="2"/>
    </row>
    <row r="200" spans="1:82" ht="30" customHeight="1" x14ac:dyDescent="0.25">
      <c r="A200" s="5">
        <v>27</v>
      </c>
      <c r="B200" s="5">
        <v>27</v>
      </c>
      <c r="C200" s="95" t="s">
        <v>5</v>
      </c>
      <c r="E200" s="107"/>
      <c r="H200"/>
      <c r="BO200" s="2"/>
      <c r="BP200" s="2"/>
      <c r="BQ200" s="2"/>
      <c r="BR200" s="2"/>
      <c r="BS200" s="2"/>
      <c r="BT200" s="2"/>
      <c r="BU200" s="2"/>
      <c r="CD200" s="2"/>
    </row>
    <row r="201" spans="1:82" ht="30" customHeight="1" x14ac:dyDescent="0.25">
      <c r="A201" s="5">
        <v>28</v>
      </c>
      <c r="B201" s="5">
        <v>28</v>
      </c>
      <c r="C201" s="95" t="s">
        <v>102</v>
      </c>
      <c r="H201"/>
      <c r="BO201" s="2"/>
      <c r="BP201" s="2"/>
      <c r="BQ201" s="2"/>
      <c r="BR201" s="2"/>
      <c r="BS201" s="2"/>
      <c r="BT201" s="2"/>
      <c r="BU201" s="2"/>
      <c r="CD201" s="2"/>
    </row>
    <row r="202" spans="1:82" ht="30" customHeight="1" x14ac:dyDescent="0.25">
      <c r="A202" s="5">
        <v>29</v>
      </c>
      <c r="B202" s="5">
        <v>29</v>
      </c>
      <c r="C202" s="95" t="s">
        <v>100</v>
      </c>
      <c r="H202"/>
      <c r="BO202" s="2"/>
      <c r="BP202" s="2"/>
      <c r="BQ202" s="2"/>
      <c r="BR202" s="2"/>
      <c r="BS202" s="2"/>
      <c r="BT202" s="2"/>
      <c r="BU202" s="2"/>
      <c r="CD202" s="2"/>
    </row>
    <row r="203" spans="1:82" ht="30" customHeight="1" x14ac:dyDescent="0.25">
      <c r="A203" s="5">
        <v>30</v>
      </c>
      <c r="B203" s="5">
        <v>30</v>
      </c>
      <c r="C203" s="95" t="s">
        <v>694</v>
      </c>
      <c r="H203"/>
      <c r="BO203" s="2"/>
      <c r="BP203" s="2"/>
      <c r="BQ203" s="2"/>
      <c r="BR203" s="2"/>
      <c r="BS203" s="2"/>
      <c r="BT203" s="2"/>
      <c r="BU203" s="2"/>
      <c r="CD203" s="2"/>
    </row>
    <row r="204" spans="1:82" ht="30" customHeight="1" x14ac:dyDescent="0.25">
      <c r="A204" s="5">
        <v>31</v>
      </c>
      <c r="B204" s="5">
        <v>31</v>
      </c>
      <c r="C204" s="95" t="s">
        <v>103</v>
      </c>
      <c r="H204"/>
      <c r="BO204" s="2"/>
      <c r="BP204" s="2"/>
      <c r="BQ204" s="2"/>
      <c r="BR204" s="2"/>
      <c r="BS204" s="2"/>
      <c r="BT204" s="2"/>
      <c r="BU204" s="2"/>
      <c r="CD204" s="2"/>
    </row>
    <row r="205" spans="1:82" ht="30" customHeight="1" x14ac:dyDescent="0.25">
      <c r="A205" s="5">
        <v>32</v>
      </c>
      <c r="B205" s="5">
        <v>32</v>
      </c>
      <c r="C205" s="95" t="s">
        <v>72</v>
      </c>
      <c r="H205"/>
      <c r="BO205" s="2"/>
      <c r="BP205" s="2"/>
      <c r="BQ205" s="2"/>
      <c r="BR205" s="2"/>
      <c r="BS205" s="2"/>
      <c r="BT205" s="2"/>
      <c r="BU205" s="2"/>
      <c r="CD205" s="2"/>
    </row>
    <row r="206" spans="1:82" ht="30" customHeight="1" x14ac:dyDescent="0.25">
      <c r="A206" s="5">
        <v>33</v>
      </c>
      <c r="B206" s="5">
        <v>33</v>
      </c>
      <c r="C206" s="95" t="s">
        <v>696</v>
      </c>
      <c r="H206"/>
      <c r="BO206" s="2"/>
      <c r="BP206" s="2"/>
      <c r="BQ206" s="2"/>
      <c r="BR206" s="2"/>
      <c r="BS206" s="2"/>
      <c r="BT206" s="2"/>
      <c r="BU206" s="2"/>
      <c r="CD206" s="2"/>
    </row>
    <row r="207" spans="1:82" ht="30" customHeight="1" x14ac:dyDescent="0.25">
      <c r="A207" s="5">
        <v>34</v>
      </c>
      <c r="B207" s="5">
        <v>34</v>
      </c>
      <c r="C207" s="95" t="s">
        <v>105</v>
      </c>
      <c r="H207"/>
      <c r="BO207" s="2"/>
      <c r="BP207" s="2"/>
      <c r="BQ207" s="2"/>
      <c r="BR207" s="2"/>
      <c r="BS207" s="2"/>
      <c r="BT207" s="2"/>
      <c r="BU207" s="2"/>
      <c r="CD207" s="2"/>
    </row>
    <row r="208" spans="1:82" ht="30" customHeight="1" x14ac:dyDescent="0.25">
      <c r="A208" s="5">
        <v>35</v>
      </c>
      <c r="B208" s="5">
        <v>35</v>
      </c>
      <c r="C208" s="95" t="s">
        <v>686</v>
      </c>
      <c r="H208"/>
      <c r="BO208" s="2"/>
      <c r="BP208" s="2"/>
      <c r="BQ208" s="2"/>
      <c r="BR208" s="2"/>
      <c r="BS208" s="2"/>
      <c r="BT208" s="2"/>
      <c r="BU208" s="2"/>
      <c r="CD208" s="2"/>
    </row>
    <row r="209" spans="1:82" ht="30" customHeight="1" x14ac:dyDescent="0.25">
      <c r="A209" s="5">
        <v>36</v>
      </c>
      <c r="B209" s="5">
        <v>36</v>
      </c>
      <c r="C209" s="95" t="s">
        <v>13</v>
      </c>
      <c r="H209"/>
      <c r="BO209" s="2"/>
      <c r="BP209" s="2"/>
      <c r="BQ209" s="2"/>
      <c r="BR209" s="2"/>
      <c r="BS209" s="2"/>
      <c r="BT209" s="2"/>
      <c r="BU209" s="2"/>
      <c r="CD209" s="2"/>
    </row>
    <row r="210" spans="1:82" ht="30" customHeight="1" x14ac:dyDescent="0.25">
      <c r="A210" s="5">
        <v>37</v>
      </c>
      <c r="B210" s="5">
        <v>37</v>
      </c>
      <c r="C210" s="95" t="s">
        <v>872</v>
      </c>
      <c r="H210"/>
      <c r="BO210" s="2"/>
      <c r="BP210" s="2"/>
      <c r="BQ210" s="2"/>
      <c r="BR210" s="2"/>
      <c r="BS210" s="2"/>
      <c r="BT210" s="2"/>
      <c r="BU210" s="2"/>
      <c r="CD210" s="2"/>
    </row>
    <row r="211" spans="1:82" ht="30" customHeight="1" x14ac:dyDescent="0.25">
      <c r="A211" s="5">
        <v>38</v>
      </c>
      <c r="B211" s="5">
        <v>38</v>
      </c>
      <c r="C211" s="95" t="s">
        <v>867</v>
      </c>
      <c r="H211"/>
      <c r="BO211" s="2"/>
      <c r="BP211" s="2"/>
      <c r="BQ211" s="2"/>
      <c r="BR211" s="2"/>
      <c r="BS211" s="2"/>
      <c r="BT211" s="2"/>
      <c r="BU211" s="2"/>
      <c r="CD211" s="2"/>
    </row>
    <row r="212" spans="1:82" ht="30" customHeight="1" x14ac:dyDescent="0.25">
      <c r="A212" s="5">
        <v>39</v>
      </c>
      <c r="B212" s="5">
        <v>39</v>
      </c>
      <c r="C212" s="95" t="s">
        <v>692</v>
      </c>
      <c r="H212"/>
      <c r="BO212" s="2"/>
      <c r="BP212" s="2"/>
      <c r="BQ212" s="2"/>
      <c r="BR212" s="2"/>
      <c r="BS212" s="2"/>
      <c r="BT212" s="2"/>
      <c r="BU212" s="2"/>
      <c r="CD212" s="2"/>
    </row>
    <row r="213" spans="1:82" ht="30" customHeight="1" x14ac:dyDescent="0.25">
      <c r="A213" s="5">
        <v>40</v>
      </c>
      <c r="B213" s="5">
        <v>40</v>
      </c>
      <c r="C213" s="95" t="s">
        <v>688</v>
      </c>
      <c r="H213"/>
      <c r="BO213" s="2"/>
      <c r="BP213" s="2"/>
      <c r="BQ213" s="2"/>
      <c r="BR213" s="2"/>
      <c r="BS213" s="2"/>
      <c r="BT213" s="2"/>
      <c r="BU213" s="2"/>
      <c r="CD213" s="2"/>
    </row>
    <row r="214" spans="1:82" ht="30" customHeight="1" x14ac:dyDescent="0.25">
      <c r="A214" s="5">
        <v>41</v>
      </c>
      <c r="B214" s="5">
        <v>41</v>
      </c>
      <c r="C214" s="95" t="s">
        <v>689</v>
      </c>
      <c r="H214"/>
      <c r="BO214" s="2"/>
      <c r="BP214" s="2"/>
      <c r="BQ214" s="2"/>
      <c r="BR214" s="2"/>
      <c r="BS214" s="2"/>
      <c r="BT214" s="2"/>
      <c r="BU214" s="2"/>
      <c r="CD214" s="2"/>
    </row>
    <row r="215" spans="1:82" ht="30" customHeight="1" x14ac:dyDescent="0.25">
      <c r="A215" s="5">
        <v>42</v>
      </c>
      <c r="B215" s="5">
        <v>42</v>
      </c>
      <c r="C215" s="95" t="s">
        <v>8</v>
      </c>
      <c r="H215"/>
      <c r="BO215" s="2"/>
      <c r="BP215" s="2"/>
      <c r="BQ215" s="2"/>
      <c r="BR215" s="2"/>
      <c r="BS215" s="2"/>
      <c r="BT215" s="2"/>
      <c r="BU215" s="2"/>
      <c r="CD215" s="2"/>
    </row>
    <row r="216" spans="1:82" ht="30" customHeight="1" x14ac:dyDescent="0.25">
      <c r="A216" s="5">
        <v>43</v>
      </c>
      <c r="B216" s="5">
        <v>43</v>
      </c>
      <c r="C216" s="95" t="s">
        <v>104</v>
      </c>
      <c r="H216"/>
      <c r="BO216" s="2"/>
      <c r="BP216" s="2"/>
      <c r="BQ216" s="2"/>
      <c r="BR216" s="2"/>
      <c r="BS216" s="2"/>
      <c r="BT216" s="2"/>
      <c r="BU216" s="2"/>
      <c r="CD216" s="2"/>
    </row>
    <row r="217" spans="1:82" ht="30" customHeight="1" x14ac:dyDescent="0.25">
      <c r="A217" s="5">
        <v>44</v>
      </c>
      <c r="B217" s="5">
        <v>44</v>
      </c>
      <c r="C217" s="95" t="s">
        <v>7</v>
      </c>
      <c r="H217"/>
      <c r="BO217" s="2"/>
      <c r="BP217" s="2"/>
      <c r="BQ217" s="2"/>
      <c r="BR217" s="2"/>
      <c r="BS217" s="2"/>
      <c r="BT217" s="2"/>
      <c r="BU217" s="2"/>
      <c r="CD217" s="2"/>
    </row>
    <row r="218" spans="1:82" ht="30" customHeight="1" x14ac:dyDescent="0.25">
      <c r="A218" s="5">
        <v>45</v>
      </c>
      <c r="B218" s="5">
        <v>45</v>
      </c>
      <c r="C218" s="95" t="s">
        <v>876</v>
      </c>
      <c r="H218"/>
      <c r="BO218" s="2"/>
      <c r="BP218" s="2"/>
      <c r="BQ218" s="2"/>
      <c r="BR218" s="2"/>
      <c r="BS218" s="2"/>
      <c r="BT218" s="2"/>
      <c r="BU218" s="2"/>
      <c r="CD218" s="2"/>
    </row>
    <row r="219" spans="1:82" ht="30" customHeight="1" x14ac:dyDescent="0.25">
      <c r="A219" s="5">
        <v>46</v>
      </c>
      <c r="B219" s="5">
        <v>46</v>
      </c>
      <c r="C219" s="95" t="s">
        <v>683</v>
      </c>
      <c r="H219"/>
      <c r="BO219" s="2"/>
      <c r="BP219" s="2"/>
      <c r="BQ219" s="2"/>
      <c r="BR219" s="2"/>
      <c r="BS219" s="2"/>
      <c r="BT219" s="2"/>
      <c r="BU219" s="2"/>
      <c r="CD219" s="2"/>
    </row>
    <row r="220" spans="1:82" ht="30" customHeight="1" x14ac:dyDescent="0.25">
      <c r="A220" s="5">
        <v>47</v>
      </c>
      <c r="B220" s="5">
        <v>47</v>
      </c>
      <c r="C220" s="95" t="s">
        <v>889</v>
      </c>
      <c r="H220"/>
      <c r="BO220" s="2"/>
      <c r="BP220" s="2"/>
      <c r="BQ220" s="2"/>
      <c r="BR220" s="2"/>
      <c r="BS220" s="2"/>
      <c r="BT220" s="2"/>
      <c r="BU220" s="2"/>
      <c r="CD220" s="2"/>
    </row>
    <row r="221" spans="1:82" ht="30" customHeight="1" x14ac:dyDescent="0.25">
      <c r="A221" s="5">
        <v>48</v>
      </c>
      <c r="B221" s="5">
        <v>48</v>
      </c>
      <c r="C221" s="95" t="s">
        <v>886</v>
      </c>
      <c r="H221"/>
      <c r="BO221" s="2"/>
      <c r="BP221" s="2"/>
      <c r="BQ221" s="2"/>
      <c r="BR221" s="2"/>
      <c r="BS221" s="2"/>
      <c r="BT221" s="2"/>
      <c r="BU221" s="2"/>
      <c r="CD221" s="2"/>
    </row>
    <row r="222" spans="1:82" ht="30" customHeight="1" x14ac:dyDescent="0.25">
      <c r="A222" s="5">
        <v>49</v>
      </c>
      <c r="B222" s="5">
        <v>49</v>
      </c>
      <c r="C222" s="95" t="s">
        <v>879</v>
      </c>
      <c r="H222"/>
      <c r="BO222" s="2"/>
      <c r="BP222" s="2"/>
      <c r="BQ222" s="2"/>
      <c r="BR222" s="2"/>
      <c r="BS222" s="2"/>
      <c r="BT222" s="2"/>
      <c r="BU222" s="2"/>
      <c r="CD222" s="2"/>
    </row>
    <row r="223" spans="1:82" ht="30" customHeight="1" x14ac:dyDescent="0.25">
      <c r="A223" s="5">
        <v>50</v>
      </c>
      <c r="B223" s="5">
        <v>50</v>
      </c>
      <c r="C223" s="95" t="s">
        <v>881</v>
      </c>
      <c r="H223"/>
      <c r="BO223" s="2"/>
      <c r="BP223" s="2"/>
      <c r="BQ223" s="2"/>
      <c r="BR223" s="2"/>
      <c r="BS223" s="2"/>
      <c r="BT223" s="2"/>
      <c r="BU223" s="2"/>
      <c r="CD223" s="2"/>
    </row>
    <row r="224" spans="1:82" ht="30" customHeight="1" x14ac:dyDescent="0.25">
      <c r="A224" s="5">
        <v>51</v>
      </c>
      <c r="B224" s="5">
        <v>51</v>
      </c>
      <c r="C224" s="95" t="s">
        <v>885</v>
      </c>
      <c r="H224"/>
      <c r="BO224" s="2"/>
      <c r="BP224" s="2"/>
      <c r="BQ224" s="2"/>
      <c r="BR224" s="2"/>
      <c r="BS224" s="2"/>
      <c r="BT224" s="2"/>
      <c r="BU224" s="2"/>
      <c r="CD224" s="2"/>
    </row>
    <row r="225" spans="1:82" ht="30" customHeight="1" x14ac:dyDescent="0.25">
      <c r="A225" s="5">
        <v>52</v>
      </c>
      <c r="B225" s="5">
        <v>52</v>
      </c>
      <c r="C225" s="95" t="s">
        <v>878</v>
      </c>
      <c r="H225"/>
      <c r="BO225" s="2"/>
      <c r="BP225" s="2"/>
      <c r="BQ225" s="2"/>
      <c r="BR225" s="2"/>
      <c r="BS225" s="2"/>
      <c r="BT225" s="2"/>
      <c r="BU225" s="2"/>
      <c r="CD225" s="2"/>
    </row>
    <row r="226" spans="1:82" ht="30" customHeight="1" x14ac:dyDescent="0.25">
      <c r="A226" s="5">
        <v>53</v>
      </c>
      <c r="B226" s="5">
        <v>53</v>
      </c>
      <c r="C226" s="95" t="s">
        <v>874</v>
      </c>
      <c r="H226"/>
      <c r="BO226" s="2"/>
      <c r="BP226" s="2"/>
      <c r="BQ226" s="2"/>
      <c r="BR226" s="2"/>
      <c r="BS226" s="2"/>
      <c r="BT226" s="2"/>
      <c r="BU226" s="2"/>
      <c r="CD226" s="2"/>
    </row>
    <row r="227" spans="1:82" ht="30" customHeight="1" x14ac:dyDescent="0.25">
      <c r="A227" s="5">
        <v>54</v>
      </c>
      <c r="B227" s="5">
        <v>54</v>
      </c>
      <c r="C227" s="95" t="s">
        <v>870</v>
      </c>
      <c r="H227"/>
      <c r="BO227" s="2"/>
      <c r="BP227" s="2"/>
      <c r="BQ227" s="2"/>
      <c r="BR227" s="2"/>
      <c r="BS227" s="2"/>
      <c r="BT227" s="2"/>
      <c r="BU227" s="2"/>
      <c r="CD227" s="2"/>
    </row>
    <row r="228" spans="1:82" ht="30" customHeight="1" x14ac:dyDescent="0.25">
      <c r="A228" s="5">
        <v>55</v>
      </c>
      <c r="B228" s="5">
        <v>55</v>
      </c>
      <c r="C228" s="95" t="s">
        <v>877</v>
      </c>
      <c r="H228"/>
      <c r="BO228" s="2"/>
      <c r="BP228" s="2"/>
      <c r="BQ228" s="2"/>
      <c r="BR228" s="2"/>
      <c r="BS228" s="2"/>
      <c r="BT228" s="2"/>
      <c r="BU228" s="2"/>
      <c r="CD228" s="2"/>
    </row>
    <row r="229" spans="1:82" ht="30" customHeight="1" x14ac:dyDescent="0.25">
      <c r="A229" s="5">
        <v>56</v>
      </c>
      <c r="B229" s="5">
        <v>56</v>
      </c>
      <c r="C229" s="95" t="s">
        <v>679</v>
      </c>
      <c r="H229"/>
      <c r="BO229" s="2"/>
      <c r="BP229" s="2"/>
      <c r="BQ229" s="2"/>
      <c r="BR229" s="2"/>
      <c r="BS229" s="2"/>
      <c r="BT229" s="2"/>
      <c r="BU229" s="2"/>
      <c r="CD229" s="2"/>
    </row>
    <row r="230" spans="1:82" ht="30" customHeight="1" x14ac:dyDescent="0.25">
      <c r="A230" s="5">
        <v>57</v>
      </c>
      <c r="B230" s="5">
        <v>57</v>
      </c>
      <c r="C230" s="95" t="s">
        <v>10</v>
      </c>
      <c r="H230"/>
      <c r="BO230" s="2"/>
      <c r="BP230" s="2"/>
      <c r="BQ230" s="2"/>
      <c r="BR230" s="2"/>
      <c r="BS230" s="2"/>
      <c r="BT230" s="2"/>
      <c r="BU230" s="2"/>
      <c r="CD230" s="2"/>
    </row>
    <row r="231" spans="1:82" ht="30" customHeight="1" x14ac:dyDescent="0.25">
      <c r="A231" s="5">
        <v>58</v>
      </c>
      <c r="B231" s="5">
        <v>58</v>
      </c>
      <c r="C231" s="96"/>
      <c r="H231"/>
      <c r="BO231" s="2"/>
      <c r="BP231" s="2"/>
      <c r="BQ231" s="2"/>
      <c r="BR231" s="2"/>
      <c r="BS231" s="2"/>
      <c r="BT231" s="2"/>
      <c r="BU231" s="2"/>
      <c r="CD231" s="2"/>
    </row>
    <row r="232" spans="1:82" ht="30" customHeight="1" x14ac:dyDescent="0.25">
      <c r="A232" s="5">
        <v>59</v>
      </c>
      <c r="B232" s="5">
        <v>59</v>
      </c>
      <c r="C232" s="108" t="s">
        <v>202</v>
      </c>
      <c r="H232"/>
      <c r="BO232" s="2"/>
      <c r="BP232" s="2"/>
      <c r="BQ232" s="2"/>
      <c r="BR232" s="2"/>
      <c r="BS232" s="2"/>
      <c r="BT232" s="2"/>
      <c r="BU232" s="2"/>
      <c r="CD232" s="2"/>
    </row>
    <row r="233" spans="1:82" ht="30" customHeight="1" x14ac:dyDescent="0.25">
      <c r="A233" s="5">
        <v>60</v>
      </c>
      <c r="B233" s="5">
        <v>60</v>
      </c>
      <c r="C233" s="108" t="s">
        <v>208</v>
      </c>
      <c r="H233"/>
      <c r="BO233" s="2"/>
      <c r="BP233" s="2"/>
      <c r="BQ233" s="2"/>
      <c r="BR233" s="2"/>
      <c r="BS233" s="2"/>
      <c r="BT233" s="2"/>
      <c r="BU233" s="2"/>
      <c r="CD233" s="2"/>
    </row>
    <row r="234" spans="1:82" ht="30" customHeight="1" x14ac:dyDescent="0.25">
      <c r="A234" s="5">
        <v>61</v>
      </c>
      <c r="B234" s="5">
        <v>61</v>
      </c>
      <c r="C234" s="108" t="s">
        <v>200</v>
      </c>
      <c r="H234"/>
      <c r="BO234" s="2"/>
      <c r="BP234" s="2"/>
      <c r="BQ234" s="2"/>
      <c r="BR234" s="2"/>
      <c r="BS234" s="2"/>
      <c r="BT234" s="2"/>
      <c r="BU234" s="2"/>
      <c r="CD234" s="2"/>
    </row>
    <row r="235" spans="1:82" ht="30" customHeight="1" x14ac:dyDescent="0.25">
      <c r="A235" s="5">
        <v>62</v>
      </c>
      <c r="B235" s="5">
        <v>62</v>
      </c>
      <c r="C235" s="108" t="s">
        <v>188</v>
      </c>
      <c r="H235"/>
      <c r="BO235" s="2"/>
      <c r="BP235" s="2"/>
      <c r="BQ235" s="2"/>
      <c r="BR235" s="2"/>
      <c r="BS235" s="2"/>
      <c r="BT235" s="2"/>
      <c r="BU235" s="2"/>
      <c r="CD235" s="2"/>
    </row>
    <row r="236" spans="1:82" ht="30" customHeight="1" x14ac:dyDescent="0.25">
      <c r="A236" s="5">
        <v>63</v>
      </c>
      <c r="B236" s="5">
        <v>63</v>
      </c>
      <c r="C236" s="108" t="s">
        <v>194</v>
      </c>
      <c r="H236"/>
      <c r="BO236" s="2"/>
      <c r="BP236" s="2"/>
      <c r="BQ236" s="2"/>
      <c r="BR236" s="2"/>
      <c r="BS236" s="2"/>
      <c r="BT236" s="2"/>
      <c r="BU236" s="2"/>
      <c r="CD236" s="2"/>
    </row>
    <row r="237" spans="1:82" ht="30" customHeight="1" x14ac:dyDescent="0.25">
      <c r="A237" s="5">
        <v>64</v>
      </c>
      <c r="B237" s="5">
        <v>64</v>
      </c>
      <c r="C237" s="108" t="s">
        <v>199</v>
      </c>
      <c r="H237"/>
      <c r="BO237" s="2"/>
      <c r="BP237" s="2"/>
      <c r="BQ237" s="2"/>
      <c r="BR237" s="2"/>
      <c r="BS237" s="2"/>
      <c r="BT237" s="2"/>
      <c r="BU237" s="2"/>
      <c r="CD237" s="2"/>
    </row>
    <row r="238" spans="1:82" ht="30" customHeight="1" x14ac:dyDescent="0.25">
      <c r="A238" s="5">
        <v>65</v>
      </c>
      <c r="B238" s="5">
        <v>65</v>
      </c>
      <c r="C238" s="108" t="s">
        <v>192</v>
      </c>
      <c r="H238"/>
      <c r="BO238" s="2"/>
      <c r="BP238" s="2"/>
      <c r="BQ238" s="2"/>
      <c r="BR238" s="2"/>
      <c r="BS238" s="2"/>
      <c r="BT238" s="2"/>
      <c r="BU238" s="2"/>
      <c r="CD238" s="2"/>
    </row>
    <row r="239" spans="1:82" ht="30" customHeight="1" x14ac:dyDescent="0.25">
      <c r="A239" s="5">
        <v>66</v>
      </c>
      <c r="B239" s="5">
        <v>66</v>
      </c>
      <c r="C239" s="108" t="s">
        <v>197</v>
      </c>
      <c r="H239"/>
      <c r="BO239" s="2"/>
      <c r="BP239" s="2"/>
      <c r="BQ239" s="2"/>
      <c r="BR239" s="2"/>
      <c r="BS239" s="2"/>
      <c r="BT239" s="2"/>
      <c r="BU239" s="2"/>
      <c r="CD239" s="2"/>
    </row>
    <row r="240" spans="1:82" ht="30" customHeight="1" x14ac:dyDescent="0.25">
      <c r="A240" s="5">
        <v>67</v>
      </c>
      <c r="B240" s="5">
        <v>67</v>
      </c>
      <c r="C240" s="108" t="s">
        <v>187</v>
      </c>
      <c r="H240"/>
      <c r="BO240" s="2"/>
      <c r="BP240" s="2"/>
      <c r="BQ240" s="2"/>
      <c r="BR240" s="2"/>
      <c r="BS240" s="2"/>
      <c r="BT240" s="2"/>
      <c r="BU240" s="2"/>
      <c r="CD240" s="2"/>
    </row>
    <row r="241" spans="1:82" ht="30" customHeight="1" x14ac:dyDescent="0.25">
      <c r="A241" s="5">
        <v>68</v>
      </c>
      <c r="B241" s="5">
        <v>68</v>
      </c>
      <c r="C241" s="108" t="s">
        <v>193</v>
      </c>
      <c r="H241"/>
      <c r="BO241" s="2"/>
      <c r="BP241" s="2"/>
      <c r="BQ241" s="2"/>
      <c r="BR241" s="2"/>
      <c r="BS241" s="2"/>
      <c r="BT241" s="2"/>
      <c r="BU241" s="2"/>
      <c r="CD241" s="2"/>
    </row>
    <row r="242" spans="1:82" ht="30" customHeight="1" x14ac:dyDescent="0.25">
      <c r="A242" s="5">
        <v>69</v>
      </c>
      <c r="B242" s="5">
        <v>69</v>
      </c>
      <c r="C242" s="108" t="s">
        <v>218</v>
      </c>
      <c r="H242"/>
      <c r="BO242" s="2"/>
      <c r="BP242" s="2"/>
      <c r="BQ242" s="2"/>
      <c r="BR242" s="2"/>
      <c r="BS242" s="2"/>
      <c r="BT242" s="2"/>
      <c r="BU242" s="2"/>
      <c r="CD242" s="2"/>
    </row>
    <row r="243" spans="1:82" ht="30" customHeight="1" x14ac:dyDescent="0.25">
      <c r="A243" s="5">
        <v>70</v>
      </c>
      <c r="B243" s="5">
        <v>70</v>
      </c>
      <c r="C243" s="108" t="s">
        <v>232</v>
      </c>
      <c r="H243"/>
      <c r="BO243" s="2"/>
      <c r="BP243" s="2"/>
      <c r="BQ243" s="2"/>
      <c r="BR243" s="2"/>
      <c r="BS243" s="2"/>
      <c r="BT243" s="2"/>
      <c r="BU243" s="2"/>
      <c r="CD243" s="2"/>
    </row>
    <row r="244" spans="1:82" ht="30" customHeight="1" x14ac:dyDescent="0.25">
      <c r="A244" s="5">
        <v>71</v>
      </c>
      <c r="B244" s="5">
        <v>71</v>
      </c>
      <c r="C244" s="108" t="s">
        <v>210</v>
      </c>
      <c r="H244"/>
      <c r="BO244" s="2"/>
      <c r="BP244" s="2"/>
      <c r="BQ244" s="2"/>
      <c r="BR244" s="2"/>
      <c r="BS244" s="2"/>
      <c r="BT244" s="2"/>
      <c r="BU244" s="2"/>
      <c r="CD244" s="2"/>
    </row>
    <row r="245" spans="1:82" ht="30" customHeight="1" x14ac:dyDescent="0.25">
      <c r="A245" s="5">
        <v>72</v>
      </c>
      <c r="B245" s="5">
        <v>72</v>
      </c>
      <c r="C245" s="108" t="s">
        <v>213</v>
      </c>
      <c r="H245"/>
      <c r="BO245" s="2"/>
      <c r="BP245" s="2"/>
      <c r="BQ245" s="2"/>
      <c r="BR245" s="2"/>
      <c r="BS245" s="2"/>
      <c r="BT245" s="2"/>
      <c r="BU245" s="2"/>
      <c r="CD245" s="2"/>
    </row>
    <row r="246" spans="1:82" ht="30" customHeight="1" x14ac:dyDescent="0.25">
      <c r="A246" s="5">
        <v>73</v>
      </c>
      <c r="B246" s="5">
        <v>73</v>
      </c>
      <c r="C246" s="108" t="s">
        <v>206</v>
      </c>
      <c r="H246"/>
      <c r="BO246" s="2"/>
      <c r="BP246" s="2"/>
      <c r="BQ246" s="2"/>
      <c r="BR246" s="2"/>
      <c r="BS246" s="2"/>
      <c r="BT246" s="2"/>
      <c r="BU246" s="2"/>
      <c r="CD246" s="2"/>
    </row>
    <row r="247" spans="1:82" ht="30" customHeight="1" x14ac:dyDescent="0.25">
      <c r="A247" s="5">
        <v>74</v>
      </c>
      <c r="B247" s="5">
        <v>74</v>
      </c>
      <c r="C247" s="108" t="s">
        <v>226</v>
      </c>
      <c r="H247"/>
      <c r="BO247" s="2"/>
      <c r="BP247" s="2"/>
      <c r="BQ247" s="2"/>
      <c r="BR247" s="2"/>
      <c r="BS247" s="2"/>
      <c r="BT247" s="2"/>
      <c r="BU247" s="2"/>
      <c r="CD247" s="2"/>
    </row>
    <row r="248" spans="1:82" ht="30" customHeight="1" x14ac:dyDescent="0.25">
      <c r="A248" s="5">
        <v>75</v>
      </c>
      <c r="B248" s="5">
        <v>75</v>
      </c>
      <c r="C248" s="108" t="s">
        <v>224</v>
      </c>
      <c r="H248"/>
      <c r="BO248" s="2"/>
      <c r="BP248" s="2"/>
      <c r="BQ248" s="2"/>
      <c r="BR248" s="2"/>
      <c r="BS248" s="2"/>
      <c r="BT248" s="2"/>
      <c r="BU248" s="2"/>
      <c r="CD248" s="2"/>
    </row>
    <row r="249" spans="1:82" ht="30" customHeight="1" x14ac:dyDescent="0.25">
      <c r="A249" s="5">
        <v>76</v>
      </c>
      <c r="B249" s="5">
        <v>76</v>
      </c>
      <c r="C249" s="108" t="s">
        <v>204</v>
      </c>
      <c r="H249"/>
      <c r="BO249" s="2"/>
      <c r="BP249" s="2"/>
      <c r="BQ249" s="2"/>
      <c r="BR249" s="2"/>
      <c r="BS249" s="2"/>
      <c r="BT249" s="2"/>
      <c r="BU249" s="2"/>
      <c r="CD249" s="2"/>
    </row>
    <row r="250" spans="1:82" ht="30" customHeight="1" x14ac:dyDescent="0.25">
      <c r="A250" s="5">
        <v>77</v>
      </c>
      <c r="B250" s="5">
        <v>77</v>
      </c>
      <c r="C250" s="108" t="s">
        <v>225</v>
      </c>
      <c r="H250"/>
      <c r="BO250" s="2"/>
      <c r="BP250" s="2"/>
      <c r="BQ250" s="2"/>
      <c r="BR250" s="2"/>
      <c r="BS250" s="2"/>
      <c r="BT250" s="2"/>
      <c r="BU250" s="2"/>
      <c r="CD250" s="2"/>
    </row>
    <row r="251" spans="1:82" ht="30" customHeight="1" x14ac:dyDescent="0.25">
      <c r="A251" s="5">
        <v>78</v>
      </c>
      <c r="B251" s="5">
        <v>78</v>
      </c>
      <c r="C251" s="108" t="s">
        <v>209</v>
      </c>
      <c r="H251"/>
      <c r="BO251" s="2"/>
      <c r="BP251" s="2"/>
      <c r="BQ251" s="2"/>
      <c r="BR251" s="2"/>
      <c r="BS251" s="2"/>
      <c r="BT251" s="2"/>
      <c r="BU251" s="2"/>
      <c r="CD251" s="2"/>
    </row>
    <row r="252" spans="1:82" ht="30" customHeight="1" x14ac:dyDescent="0.25">
      <c r="A252" s="5">
        <v>79</v>
      </c>
      <c r="B252" s="5">
        <v>79</v>
      </c>
      <c r="C252" s="108" t="s">
        <v>227</v>
      </c>
      <c r="H252"/>
      <c r="BO252" s="2"/>
      <c r="BP252" s="2"/>
      <c r="BQ252" s="2"/>
      <c r="BR252" s="2"/>
      <c r="BS252" s="2"/>
      <c r="BT252" s="2"/>
      <c r="BU252" s="2"/>
      <c r="CD252" s="2"/>
    </row>
    <row r="253" spans="1:82" ht="30" customHeight="1" x14ac:dyDescent="0.25">
      <c r="A253" s="5">
        <v>80</v>
      </c>
      <c r="B253" s="5">
        <v>80</v>
      </c>
      <c r="C253" s="108" t="s">
        <v>220</v>
      </c>
      <c r="H253"/>
      <c r="BO253" s="2"/>
      <c r="BP253" s="2"/>
      <c r="BQ253" s="2"/>
      <c r="BR253" s="2"/>
      <c r="BS253" s="2"/>
      <c r="BT253" s="2"/>
      <c r="BU253" s="2"/>
      <c r="CD253" s="2"/>
    </row>
    <row r="254" spans="1:82" ht="30" customHeight="1" x14ac:dyDescent="0.25">
      <c r="A254" s="5">
        <v>81</v>
      </c>
      <c r="B254" s="5">
        <v>81</v>
      </c>
      <c r="C254" s="108" t="s">
        <v>182</v>
      </c>
      <c r="H254"/>
      <c r="BO254" s="2"/>
      <c r="BP254" s="2"/>
      <c r="BQ254" s="2"/>
      <c r="BR254" s="2"/>
      <c r="BS254" s="2"/>
      <c r="BT254" s="2"/>
      <c r="BU254" s="2"/>
      <c r="CD254" s="2"/>
    </row>
    <row r="255" spans="1:82" ht="30" customHeight="1" x14ac:dyDescent="0.25">
      <c r="A255" s="5">
        <v>82</v>
      </c>
      <c r="B255" s="5">
        <v>82</v>
      </c>
      <c r="C255" s="108" t="s">
        <v>179</v>
      </c>
      <c r="H255"/>
      <c r="BO255" s="2"/>
      <c r="BP255" s="2"/>
      <c r="BQ255" s="2"/>
      <c r="BR255" s="2"/>
      <c r="BS255" s="2"/>
      <c r="BT255" s="2"/>
      <c r="BU255" s="2"/>
      <c r="CD255" s="2"/>
    </row>
    <row r="256" spans="1:82" ht="30" customHeight="1" x14ac:dyDescent="0.25">
      <c r="A256" s="5">
        <v>83</v>
      </c>
      <c r="B256" s="5">
        <v>83</v>
      </c>
      <c r="C256" s="108" t="s">
        <v>219</v>
      </c>
      <c r="H256"/>
      <c r="BO256" s="2"/>
      <c r="BP256" s="2"/>
      <c r="BQ256" s="2"/>
      <c r="BR256" s="2"/>
      <c r="BS256" s="2"/>
      <c r="BT256" s="2"/>
      <c r="BU256" s="2"/>
      <c r="CD256" s="2"/>
    </row>
    <row r="257" spans="1:82" ht="30" customHeight="1" x14ac:dyDescent="0.25">
      <c r="A257" s="5">
        <v>84</v>
      </c>
      <c r="B257" s="5">
        <v>84</v>
      </c>
      <c r="C257" s="108" t="s">
        <v>183</v>
      </c>
      <c r="H257"/>
      <c r="BO257" s="2"/>
      <c r="BP257" s="2"/>
      <c r="BQ257" s="2"/>
      <c r="BR257" s="2"/>
      <c r="BS257" s="2"/>
      <c r="BT257" s="2"/>
      <c r="BU257" s="2"/>
      <c r="CD257" s="2"/>
    </row>
    <row r="258" spans="1:82" ht="30" customHeight="1" x14ac:dyDescent="0.25">
      <c r="A258" s="5">
        <v>85</v>
      </c>
      <c r="B258" s="5">
        <v>85</v>
      </c>
      <c r="C258" s="108" t="s">
        <v>180</v>
      </c>
      <c r="H258"/>
      <c r="BO258" s="2"/>
      <c r="BP258" s="2"/>
      <c r="BQ258" s="2"/>
      <c r="BR258" s="2"/>
      <c r="BS258" s="2"/>
      <c r="BT258" s="2"/>
      <c r="BU258" s="2"/>
      <c r="CD258" s="2"/>
    </row>
    <row r="259" spans="1:82" ht="30" customHeight="1" x14ac:dyDescent="0.25">
      <c r="A259" s="5">
        <v>86</v>
      </c>
      <c r="B259" s="5">
        <v>86</v>
      </c>
      <c r="C259" s="108" t="s">
        <v>181</v>
      </c>
      <c r="H259"/>
      <c r="BO259" s="2"/>
      <c r="BP259" s="2"/>
      <c r="BQ259" s="2"/>
      <c r="BR259" s="2"/>
      <c r="BS259" s="2"/>
      <c r="BT259" s="2"/>
      <c r="BU259" s="2"/>
      <c r="CD259" s="2"/>
    </row>
    <row r="260" spans="1:82" ht="30" customHeight="1" x14ac:dyDescent="0.25">
      <c r="A260" s="5">
        <v>87</v>
      </c>
      <c r="B260" s="5">
        <v>87</v>
      </c>
      <c r="C260" s="108" t="s">
        <v>184</v>
      </c>
      <c r="H260"/>
      <c r="BO260" s="2"/>
      <c r="BP260" s="2"/>
      <c r="BQ260" s="2"/>
      <c r="BR260" s="2"/>
      <c r="BS260" s="2"/>
      <c r="BT260" s="2"/>
      <c r="BU260" s="2"/>
      <c r="CD260" s="2"/>
    </row>
    <row r="261" spans="1:82" ht="30" customHeight="1" x14ac:dyDescent="0.25">
      <c r="A261" s="5">
        <v>88</v>
      </c>
      <c r="B261" s="5">
        <v>88</v>
      </c>
      <c r="C261" s="108" t="s">
        <v>221</v>
      </c>
      <c r="H261"/>
      <c r="BO261" s="2"/>
      <c r="BP261" s="2"/>
      <c r="BQ261" s="2"/>
      <c r="BR261" s="2"/>
      <c r="BS261" s="2"/>
      <c r="BT261" s="2"/>
      <c r="BU261" s="2"/>
      <c r="CD261" s="2"/>
    </row>
    <row r="262" spans="1:82" ht="30" customHeight="1" x14ac:dyDescent="0.25">
      <c r="A262" s="5">
        <v>89</v>
      </c>
      <c r="B262" s="5">
        <v>89</v>
      </c>
      <c r="C262" s="108" t="s">
        <v>190</v>
      </c>
      <c r="H262"/>
      <c r="CD262" s="2"/>
    </row>
    <row r="263" spans="1:82" ht="30" customHeight="1" x14ac:dyDescent="0.25">
      <c r="A263" s="5">
        <v>90</v>
      </c>
      <c r="B263" s="5">
        <v>90</v>
      </c>
      <c r="C263" s="108" t="s">
        <v>196</v>
      </c>
      <c r="H263"/>
      <c r="CD263" s="2"/>
    </row>
    <row r="264" spans="1:82" ht="30" customHeight="1" x14ac:dyDescent="0.25">
      <c r="A264" s="5">
        <v>91</v>
      </c>
      <c r="B264" s="5">
        <v>91</v>
      </c>
      <c r="C264" s="108" t="s">
        <v>201</v>
      </c>
      <c r="H264"/>
      <c r="CD264" s="2"/>
    </row>
    <row r="265" spans="1:82" ht="30" customHeight="1" x14ac:dyDescent="0.25">
      <c r="A265" s="5">
        <v>92</v>
      </c>
      <c r="B265" s="5">
        <v>92</v>
      </c>
      <c r="C265" s="108" t="s">
        <v>189</v>
      </c>
      <c r="H265"/>
      <c r="CD265" s="2"/>
    </row>
    <row r="266" spans="1:82" ht="30" customHeight="1" x14ac:dyDescent="0.25">
      <c r="A266" s="5">
        <v>93</v>
      </c>
      <c r="B266" s="5">
        <v>93</v>
      </c>
      <c r="C266" s="108" t="s">
        <v>195</v>
      </c>
      <c r="H266"/>
      <c r="CD266" s="2"/>
    </row>
    <row r="267" spans="1:82" ht="30" customHeight="1" x14ac:dyDescent="0.25">
      <c r="A267" s="5">
        <v>94</v>
      </c>
      <c r="B267" s="5">
        <v>94</v>
      </c>
      <c r="C267" s="108" t="s">
        <v>222</v>
      </c>
      <c r="H267"/>
      <c r="CD267" s="2"/>
    </row>
    <row r="268" spans="1:82" ht="30" customHeight="1" x14ac:dyDescent="0.25">
      <c r="A268" s="5">
        <v>95</v>
      </c>
      <c r="B268" s="5">
        <v>95</v>
      </c>
      <c r="C268" s="108" t="s">
        <v>191</v>
      </c>
      <c r="H268"/>
      <c r="CD268" s="2"/>
    </row>
    <row r="269" spans="1:82" ht="30" customHeight="1" x14ac:dyDescent="0.25">
      <c r="A269" s="5">
        <v>96</v>
      </c>
      <c r="B269" s="5">
        <v>96</v>
      </c>
      <c r="C269" s="108" t="s">
        <v>185</v>
      </c>
      <c r="H269"/>
      <c r="CD269" s="2"/>
    </row>
    <row r="270" spans="1:82" ht="30" customHeight="1" x14ac:dyDescent="0.25">
      <c r="A270" s="5">
        <v>97</v>
      </c>
      <c r="B270" s="5">
        <v>97</v>
      </c>
      <c r="C270" s="108" t="s">
        <v>186</v>
      </c>
      <c r="H270"/>
      <c r="CD270" s="2"/>
    </row>
    <row r="271" spans="1:82" ht="30" customHeight="1" x14ac:dyDescent="0.25">
      <c r="A271" s="5">
        <v>98</v>
      </c>
      <c r="B271" s="5">
        <v>98</v>
      </c>
      <c r="C271" s="108" t="s">
        <v>223</v>
      </c>
      <c r="H271"/>
      <c r="CD271" s="2"/>
    </row>
    <row r="272" spans="1:82" ht="30" customHeight="1" x14ac:dyDescent="0.25">
      <c r="A272" s="5">
        <v>99</v>
      </c>
      <c r="B272" s="5">
        <v>99</v>
      </c>
      <c r="C272" s="108" t="s">
        <v>214</v>
      </c>
      <c r="H272"/>
      <c r="CD272" s="2"/>
    </row>
    <row r="273" spans="1:82" ht="30" customHeight="1" x14ac:dyDescent="0.25">
      <c r="A273" s="5">
        <v>100</v>
      </c>
      <c r="B273" s="5">
        <v>100</v>
      </c>
      <c r="C273" s="108" t="s">
        <v>203</v>
      </c>
      <c r="H273"/>
      <c r="CD273" s="2"/>
    </row>
    <row r="274" spans="1:82" ht="30" customHeight="1" x14ac:dyDescent="0.25">
      <c r="A274" s="5">
        <v>101</v>
      </c>
      <c r="B274" s="5">
        <v>101</v>
      </c>
      <c r="C274" s="108" t="s">
        <v>211</v>
      </c>
      <c r="H274"/>
      <c r="CD274" s="2"/>
    </row>
    <row r="275" spans="1:82" ht="30" customHeight="1" x14ac:dyDescent="0.25">
      <c r="A275" s="5">
        <v>102</v>
      </c>
      <c r="B275" s="5">
        <v>102</v>
      </c>
      <c r="C275" s="108" t="s">
        <v>217</v>
      </c>
      <c r="H275"/>
      <c r="CD275" s="2"/>
    </row>
    <row r="276" spans="1:82" ht="30" customHeight="1" x14ac:dyDescent="0.25">
      <c r="A276" s="5">
        <v>103</v>
      </c>
      <c r="B276" s="5">
        <v>103</v>
      </c>
      <c r="C276" s="108" t="s">
        <v>212</v>
      </c>
      <c r="H276"/>
      <c r="CD276" s="2"/>
    </row>
    <row r="277" spans="1:82" ht="30" customHeight="1" x14ac:dyDescent="0.25">
      <c r="A277" s="5">
        <v>104</v>
      </c>
      <c r="B277" s="5">
        <v>104</v>
      </c>
      <c r="C277" s="108" t="s">
        <v>216</v>
      </c>
      <c r="H277"/>
      <c r="CD277" s="2"/>
    </row>
    <row r="278" spans="1:82" ht="30" customHeight="1" x14ac:dyDescent="0.25">
      <c r="A278" s="5">
        <v>105</v>
      </c>
      <c r="B278" s="5">
        <v>105</v>
      </c>
      <c r="C278" s="108" t="s">
        <v>207</v>
      </c>
      <c r="H278"/>
      <c r="CD278" s="2"/>
    </row>
    <row r="279" spans="1:82" ht="30" customHeight="1" x14ac:dyDescent="0.25">
      <c r="A279" s="5">
        <v>106</v>
      </c>
      <c r="B279" s="5">
        <v>106</v>
      </c>
      <c r="C279" s="108" t="s">
        <v>198</v>
      </c>
      <c r="H279"/>
      <c r="CD279" s="2"/>
    </row>
    <row r="280" spans="1:82" ht="30" customHeight="1" x14ac:dyDescent="0.25">
      <c r="A280" s="5">
        <v>107</v>
      </c>
      <c r="B280" s="5">
        <v>107</v>
      </c>
      <c r="C280" s="108" t="s">
        <v>215</v>
      </c>
      <c r="H280"/>
      <c r="CD280" s="2"/>
    </row>
    <row r="281" spans="1:82" ht="30" customHeight="1" x14ac:dyDescent="0.25">
      <c r="A281" s="5">
        <v>108</v>
      </c>
      <c r="B281" s="5">
        <v>108</v>
      </c>
      <c r="C281" s="108" t="s">
        <v>205</v>
      </c>
      <c r="H281"/>
      <c r="CD281" s="2"/>
    </row>
    <row r="282" spans="1:82" ht="30" customHeight="1" x14ac:dyDescent="0.25">
      <c r="A282" s="5">
        <v>109</v>
      </c>
      <c r="B282" s="5">
        <v>109</v>
      </c>
      <c r="H282"/>
      <c r="CD282" s="2"/>
    </row>
    <row r="283" spans="1:82" ht="30" customHeight="1" x14ac:dyDescent="0.25">
      <c r="A283" s="5">
        <v>110</v>
      </c>
      <c r="B283" s="5">
        <v>110</v>
      </c>
      <c r="H283"/>
      <c r="CD283" s="2"/>
    </row>
    <row r="284" spans="1:82" ht="30" customHeight="1" x14ac:dyDescent="0.25">
      <c r="A284" s="5">
        <v>111</v>
      </c>
      <c r="B284" s="5">
        <v>111</v>
      </c>
      <c r="H284"/>
      <c r="CD284" s="2"/>
    </row>
    <row r="285" spans="1:82" ht="30" customHeight="1" x14ac:dyDescent="0.25">
      <c r="A285" s="5">
        <v>112</v>
      </c>
      <c r="B285" s="5">
        <v>112</v>
      </c>
      <c r="H285"/>
      <c r="CD285" s="2"/>
    </row>
    <row r="286" spans="1:82" ht="30" customHeight="1" x14ac:dyDescent="0.25">
      <c r="A286" s="5">
        <v>113</v>
      </c>
      <c r="B286" s="5">
        <v>113</v>
      </c>
      <c r="H286"/>
      <c r="CD286" s="2"/>
    </row>
    <row r="287" spans="1:82" ht="30" customHeight="1" x14ac:dyDescent="0.25">
      <c r="A287" s="5">
        <v>114</v>
      </c>
      <c r="B287" s="5">
        <v>114</v>
      </c>
      <c r="H287"/>
      <c r="CD287" s="2"/>
    </row>
    <row r="288" spans="1:82" ht="30" customHeight="1" x14ac:dyDescent="0.25">
      <c r="A288" s="5">
        <v>115</v>
      </c>
      <c r="B288" s="5">
        <v>115</v>
      </c>
      <c r="H288"/>
      <c r="CD288" s="2"/>
    </row>
    <row r="289" spans="1:82" ht="30" customHeight="1" x14ac:dyDescent="0.25">
      <c r="A289" s="5">
        <v>116</v>
      </c>
      <c r="B289" s="5">
        <v>116</v>
      </c>
      <c r="H289"/>
      <c r="CD289" s="2"/>
    </row>
    <row r="290" spans="1:82" ht="30" customHeight="1" x14ac:dyDescent="0.25">
      <c r="A290" s="5">
        <v>117</v>
      </c>
      <c r="B290" s="5">
        <v>117</v>
      </c>
      <c r="H290"/>
      <c r="CD290" s="2"/>
    </row>
    <row r="291" spans="1:82" ht="30" customHeight="1" x14ac:dyDescent="0.25">
      <c r="A291" s="5">
        <v>118</v>
      </c>
      <c r="B291" s="5">
        <v>118</v>
      </c>
      <c r="H291"/>
      <c r="CD291" s="2"/>
    </row>
    <row r="292" spans="1:82" ht="30" customHeight="1" x14ac:dyDescent="0.25">
      <c r="A292" s="5">
        <v>119</v>
      </c>
      <c r="B292" s="5">
        <v>119</v>
      </c>
      <c r="C292" s="108" t="s">
        <v>175</v>
      </c>
      <c r="H292"/>
      <c r="CD292" s="2"/>
    </row>
    <row r="293" spans="1:82" ht="30" customHeight="1" x14ac:dyDescent="0.25">
      <c r="A293" s="5">
        <v>120</v>
      </c>
      <c r="B293" s="5">
        <v>120</v>
      </c>
      <c r="C293" s="108" t="s">
        <v>177</v>
      </c>
      <c r="H293"/>
      <c r="CD293" s="2"/>
    </row>
    <row r="294" spans="1:82" ht="30" customHeight="1" x14ac:dyDescent="0.25">
      <c r="A294" s="5">
        <v>121</v>
      </c>
      <c r="B294" s="5">
        <v>121</v>
      </c>
      <c r="C294" s="108" t="s">
        <v>176</v>
      </c>
      <c r="H294"/>
      <c r="CD294" s="2"/>
    </row>
    <row r="295" spans="1:82" ht="30" customHeight="1" x14ac:dyDescent="0.25">
      <c r="A295" s="5">
        <v>122</v>
      </c>
      <c r="B295" s="5">
        <v>122</v>
      </c>
      <c r="C295" s="108" t="s">
        <v>172</v>
      </c>
      <c r="H295"/>
      <c r="CD295" s="2"/>
    </row>
    <row r="296" spans="1:82" ht="30" customHeight="1" x14ac:dyDescent="0.25">
      <c r="A296" s="5">
        <v>123</v>
      </c>
      <c r="B296" s="5">
        <v>123</v>
      </c>
      <c r="C296" s="108" t="s">
        <v>174</v>
      </c>
      <c r="H296"/>
      <c r="CD296" s="2"/>
    </row>
    <row r="297" spans="1:82" ht="30" customHeight="1" x14ac:dyDescent="0.25">
      <c r="A297" s="5">
        <v>124</v>
      </c>
      <c r="B297" s="5">
        <v>124</v>
      </c>
      <c r="C297" s="108" t="s">
        <v>173</v>
      </c>
      <c r="H297"/>
      <c r="CD297" s="2"/>
    </row>
    <row r="298" spans="1:82" ht="30" customHeight="1" x14ac:dyDescent="0.25">
      <c r="A298" s="5">
        <v>125</v>
      </c>
      <c r="B298" s="5">
        <v>125</v>
      </c>
      <c r="C298" s="108" t="s">
        <v>178</v>
      </c>
      <c r="H298"/>
      <c r="CD298" s="2"/>
    </row>
    <row r="299" spans="1:82" ht="30" customHeight="1" x14ac:dyDescent="0.25">
      <c r="A299" s="5">
        <v>126</v>
      </c>
      <c r="B299" s="5">
        <v>126</v>
      </c>
      <c r="C299" s="108" t="s">
        <v>171</v>
      </c>
      <c r="H299"/>
      <c r="CD299" s="2"/>
    </row>
    <row r="300" spans="1:82" ht="30" customHeight="1" x14ac:dyDescent="0.25">
      <c r="A300" s="5">
        <v>127</v>
      </c>
      <c r="B300" s="5">
        <v>127</v>
      </c>
      <c r="C300" s="108" t="s">
        <v>38</v>
      </c>
      <c r="H300"/>
      <c r="CD300" s="2"/>
    </row>
    <row r="301" spans="1:82" ht="30" customHeight="1" x14ac:dyDescent="0.25">
      <c r="A301" s="5">
        <v>128</v>
      </c>
      <c r="B301" s="5">
        <v>128</v>
      </c>
      <c r="C301"/>
      <c r="H301"/>
      <c r="CD301" s="2"/>
    </row>
    <row r="302" spans="1:82" ht="30" customHeight="1" x14ac:dyDescent="0.25">
      <c r="A302" s="5">
        <v>129</v>
      </c>
      <c r="B302" s="5">
        <v>129</v>
      </c>
      <c r="C302"/>
      <c r="H302"/>
      <c r="CD302" s="2"/>
    </row>
    <row r="303" spans="1:82" ht="30" customHeight="1" x14ac:dyDescent="0.25">
      <c r="A303" s="5">
        <v>130</v>
      </c>
      <c r="B303" s="5">
        <v>130</v>
      </c>
      <c r="C303"/>
      <c r="H303"/>
      <c r="CD303" s="2"/>
    </row>
    <row r="304" spans="1:82" ht="30" customHeight="1" x14ac:dyDescent="0.25">
      <c r="A304" s="5">
        <v>131</v>
      </c>
      <c r="B304" s="5">
        <v>131</v>
      </c>
      <c r="C304"/>
      <c r="H304"/>
      <c r="CD304" s="2"/>
    </row>
    <row r="305" spans="1:82" ht="30" customHeight="1" x14ac:dyDescent="0.25">
      <c r="A305" s="5">
        <v>132</v>
      </c>
      <c r="B305" s="5">
        <v>132</v>
      </c>
      <c r="C305"/>
      <c r="H305"/>
      <c r="CD305" s="2"/>
    </row>
    <row r="306" spans="1:82" ht="30" customHeight="1" x14ac:dyDescent="0.25">
      <c r="A306" s="5">
        <v>133</v>
      </c>
      <c r="B306" s="5">
        <v>133</v>
      </c>
      <c r="C306"/>
      <c r="H306"/>
      <c r="CD306" s="2"/>
    </row>
    <row r="307" spans="1:82" ht="30" customHeight="1" x14ac:dyDescent="0.25">
      <c r="A307" s="5">
        <v>134</v>
      </c>
      <c r="B307" s="5">
        <v>134</v>
      </c>
      <c r="C307"/>
      <c r="H307"/>
      <c r="CD307" s="2"/>
    </row>
    <row r="308" spans="1:82" ht="30" customHeight="1" x14ac:dyDescent="0.25">
      <c r="A308" s="5">
        <v>135</v>
      </c>
      <c r="B308" s="5">
        <v>135</v>
      </c>
      <c r="C308"/>
      <c r="H308"/>
      <c r="CD308" s="2"/>
    </row>
    <row r="309" spans="1:82" ht="30" customHeight="1" x14ac:dyDescent="0.25">
      <c r="A309" s="5">
        <v>136</v>
      </c>
      <c r="B309" s="5">
        <v>136</v>
      </c>
      <c r="C309"/>
      <c r="H309"/>
      <c r="CD309" s="2"/>
    </row>
    <row r="310" spans="1:82" ht="30" customHeight="1" x14ac:dyDescent="0.25">
      <c r="A310" s="5">
        <v>137</v>
      </c>
      <c r="B310" s="5">
        <v>137</v>
      </c>
      <c r="C310"/>
      <c r="H310"/>
      <c r="CD310" s="2"/>
    </row>
    <row r="311" spans="1:82" ht="30" customHeight="1" x14ac:dyDescent="0.25">
      <c r="A311" s="5">
        <v>138</v>
      </c>
      <c r="B311" s="5">
        <v>138</v>
      </c>
      <c r="C311"/>
      <c r="H311"/>
      <c r="CD311" s="2"/>
    </row>
    <row r="312" spans="1:82" ht="30" customHeight="1" x14ac:dyDescent="0.25">
      <c r="A312" s="5">
        <v>139</v>
      </c>
      <c r="B312" s="5">
        <v>139</v>
      </c>
      <c r="C312"/>
      <c r="H312"/>
      <c r="CD312" s="2"/>
    </row>
    <row r="313" spans="1:82" ht="30" customHeight="1" x14ac:dyDescent="0.25">
      <c r="A313" s="5">
        <v>140</v>
      </c>
      <c r="B313" s="5">
        <v>140</v>
      </c>
      <c r="C313"/>
      <c r="H313"/>
      <c r="CD313" s="2"/>
    </row>
    <row r="314" spans="1:82" ht="30" customHeight="1" x14ac:dyDescent="0.25">
      <c r="A314" s="5">
        <v>141</v>
      </c>
      <c r="B314" s="5">
        <v>141</v>
      </c>
      <c r="C314"/>
      <c r="H314"/>
      <c r="CD314" s="2"/>
    </row>
    <row r="315" spans="1:82" ht="30" customHeight="1" x14ac:dyDescent="0.25">
      <c r="A315" s="5">
        <v>142</v>
      </c>
      <c r="B315" s="5">
        <v>142</v>
      </c>
      <c r="C315"/>
      <c r="H315"/>
      <c r="CD315" s="2"/>
    </row>
    <row r="316" spans="1:82" ht="30" customHeight="1" x14ac:dyDescent="0.25">
      <c r="A316" s="5">
        <v>143</v>
      </c>
      <c r="B316" s="5">
        <v>143</v>
      </c>
      <c r="C316"/>
      <c r="H316"/>
      <c r="CD316" s="2"/>
    </row>
    <row r="317" spans="1:82" ht="30" customHeight="1" x14ac:dyDescent="0.25">
      <c r="A317" s="5">
        <v>144</v>
      </c>
      <c r="B317" s="5">
        <v>144</v>
      </c>
      <c r="C317"/>
      <c r="H317"/>
      <c r="CD317" s="2"/>
    </row>
    <row r="318" spans="1:82" ht="30" customHeight="1" x14ac:dyDescent="0.25">
      <c r="A318" s="5">
        <v>145</v>
      </c>
      <c r="B318" s="5">
        <v>145</v>
      </c>
      <c r="C318"/>
      <c r="H318"/>
      <c r="CD318" s="2"/>
    </row>
    <row r="319" spans="1:82" ht="30" customHeight="1" x14ac:dyDescent="0.25">
      <c r="A319" s="5">
        <v>146</v>
      </c>
      <c r="B319" s="5">
        <v>146</v>
      </c>
      <c r="C319"/>
      <c r="H319"/>
      <c r="CD319" s="2"/>
    </row>
    <row r="320" spans="1:82" ht="30" customHeight="1" x14ac:dyDescent="0.25">
      <c r="A320" s="5">
        <v>147</v>
      </c>
      <c r="B320" s="5">
        <v>147</v>
      </c>
      <c r="C320"/>
      <c r="H320"/>
      <c r="CD320" s="2"/>
    </row>
    <row r="321" spans="1:82" ht="30" customHeight="1" x14ac:dyDescent="0.25">
      <c r="A321" s="5">
        <v>148</v>
      </c>
      <c r="B321" s="5">
        <v>148</v>
      </c>
      <c r="C321"/>
      <c r="H321"/>
      <c r="CD321" s="2"/>
    </row>
    <row r="322" spans="1:82" ht="30" customHeight="1" x14ac:dyDescent="0.25">
      <c r="A322" s="5">
        <v>149</v>
      </c>
      <c r="B322" s="5">
        <v>149</v>
      </c>
      <c r="C322"/>
      <c r="H322"/>
      <c r="CD322" s="2"/>
    </row>
    <row r="323" spans="1:82" ht="30" customHeight="1" x14ac:dyDescent="0.25">
      <c r="A323" s="5">
        <v>150</v>
      </c>
      <c r="B323" s="5">
        <v>150</v>
      </c>
      <c r="C323"/>
      <c r="H323"/>
      <c r="CD323" s="2"/>
    </row>
    <row r="324" spans="1:82" ht="30" customHeight="1" x14ac:dyDescent="0.25">
      <c r="A324" s="5">
        <v>151</v>
      </c>
      <c r="B324" s="5">
        <v>151</v>
      </c>
      <c r="C324"/>
      <c r="H324"/>
      <c r="CD324" s="2"/>
    </row>
    <row r="325" spans="1:82" ht="30" customHeight="1" x14ac:dyDescent="0.25">
      <c r="A325" s="5">
        <v>152</v>
      </c>
      <c r="B325" s="5">
        <v>152</v>
      </c>
      <c r="C325"/>
      <c r="H325"/>
      <c r="CD325" s="2"/>
    </row>
    <row r="326" spans="1:82" ht="30" customHeight="1" x14ac:dyDescent="0.25">
      <c r="A326" s="5">
        <v>153</v>
      </c>
      <c r="B326" s="5">
        <v>153</v>
      </c>
      <c r="C326"/>
      <c r="H326"/>
      <c r="CD326" s="2"/>
    </row>
    <row r="327" spans="1:82" ht="30" customHeight="1" x14ac:dyDescent="0.25">
      <c r="A327" s="5">
        <v>154</v>
      </c>
      <c r="B327" s="5">
        <v>154</v>
      </c>
      <c r="C327"/>
      <c r="H327"/>
      <c r="CD327" s="2"/>
    </row>
    <row r="328" spans="1:82" ht="30" customHeight="1" x14ac:dyDescent="0.25">
      <c r="A328" s="5">
        <v>155</v>
      </c>
      <c r="B328" s="5">
        <v>155</v>
      </c>
      <c r="C328"/>
      <c r="H328"/>
      <c r="CD328" s="2"/>
    </row>
    <row r="329" spans="1:82" ht="30" customHeight="1" x14ac:dyDescent="0.25">
      <c r="A329" s="5">
        <v>156</v>
      </c>
      <c r="B329" s="5">
        <v>156</v>
      </c>
      <c r="C329"/>
      <c r="H329"/>
      <c r="CD329" s="2"/>
    </row>
    <row r="330" spans="1:82" ht="30" customHeight="1" x14ac:dyDescent="0.25">
      <c r="A330" s="5">
        <v>157</v>
      </c>
      <c r="B330" s="5">
        <v>157</v>
      </c>
      <c r="C330"/>
      <c r="CD330" s="2"/>
    </row>
    <row r="331" spans="1:82" ht="30" customHeight="1" x14ac:dyDescent="0.25">
      <c r="A331" s="5">
        <v>158</v>
      </c>
      <c r="B331" s="5">
        <v>158</v>
      </c>
      <c r="C331"/>
      <c r="CD331" s="2"/>
    </row>
    <row r="332" spans="1:82" ht="30" customHeight="1" x14ac:dyDescent="0.25">
      <c r="A332" s="5">
        <v>159</v>
      </c>
      <c r="B332" s="5">
        <v>159</v>
      </c>
      <c r="C332"/>
      <c r="CD332" s="2"/>
    </row>
    <row r="333" spans="1:82" ht="30" customHeight="1" x14ac:dyDescent="0.25">
      <c r="A333" s="5">
        <v>160</v>
      </c>
      <c r="B333" s="5">
        <v>160</v>
      </c>
      <c r="C333"/>
      <c r="CD333" s="2"/>
    </row>
    <row r="334" spans="1:82" ht="30" customHeight="1" x14ac:dyDescent="0.25">
      <c r="A334" s="5">
        <v>161</v>
      </c>
      <c r="B334" s="5">
        <v>161</v>
      </c>
      <c r="C334"/>
      <c r="CD334" s="2"/>
    </row>
    <row r="335" spans="1:82" ht="30" customHeight="1" x14ac:dyDescent="0.25">
      <c r="A335" s="5">
        <v>162</v>
      </c>
      <c r="B335" s="5">
        <v>162</v>
      </c>
      <c r="C335"/>
      <c r="CD335" s="2"/>
    </row>
    <row r="336" spans="1:82" ht="30" customHeight="1" x14ac:dyDescent="0.25">
      <c r="A336" s="5">
        <v>163</v>
      </c>
      <c r="B336" s="5">
        <v>163</v>
      </c>
      <c r="C336"/>
      <c r="CD336" s="2"/>
    </row>
    <row r="337" spans="1:93" ht="30" customHeight="1" x14ac:dyDescent="0.25">
      <c r="A337" s="5">
        <v>164</v>
      </c>
      <c r="B337" s="5">
        <v>164</v>
      </c>
      <c r="C337"/>
      <c r="CD337" s="2"/>
    </row>
    <row r="338" spans="1:93" ht="30" customHeight="1" x14ac:dyDescent="0.25">
      <c r="A338" s="5">
        <v>165</v>
      </c>
      <c r="B338" s="5">
        <v>165</v>
      </c>
      <c r="C338"/>
      <c r="CD338" s="2"/>
    </row>
    <row r="339" spans="1:93" ht="30" customHeight="1" x14ac:dyDescent="0.25">
      <c r="A339" s="5">
        <v>166</v>
      </c>
      <c r="B339" s="5">
        <v>166</v>
      </c>
      <c r="C339"/>
      <c r="CD339" s="2"/>
    </row>
    <row r="340" spans="1:93" ht="30" customHeight="1" x14ac:dyDescent="0.25">
      <c r="A340" s="5">
        <v>167</v>
      </c>
      <c r="B340" s="5">
        <v>167</v>
      </c>
      <c r="C340"/>
      <c r="CD340" s="2"/>
    </row>
    <row r="341" spans="1:93" ht="30" customHeight="1" x14ac:dyDescent="0.25">
      <c r="A341" s="5">
        <v>168</v>
      </c>
      <c r="B341" s="5">
        <v>168</v>
      </c>
      <c r="C341"/>
      <c r="CD341" s="2"/>
    </row>
    <row r="342" spans="1:93" x14ac:dyDescent="0.25">
      <c r="C342"/>
    </row>
    <row r="343" spans="1:93" x14ac:dyDescent="0.25">
      <c r="C343"/>
    </row>
    <row r="344" spans="1:93" x14ac:dyDescent="0.25">
      <c r="C344"/>
    </row>
    <row r="345" spans="1:93" x14ac:dyDescent="0.25">
      <c r="C345"/>
    </row>
    <row r="346" spans="1:93" x14ac:dyDescent="0.25">
      <c r="C346"/>
    </row>
    <row r="347" spans="1:93" x14ac:dyDescent="0.25">
      <c r="C347"/>
    </row>
    <row r="348" spans="1:93" x14ac:dyDescent="0.25">
      <c r="C348"/>
    </row>
    <row r="349" spans="1:93" x14ac:dyDescent="0.25">
      <c r="C349"/>
    </row>
    <row r="350" spans="1:93" x14ac:dyDescent="0.25">
      <c r="C350"/>
    </row>
    <row r="351" spans="1:93" s="5" customFormat="1" x14ac:dyDescent="0.25">
      <c r="B351" s="4"/>
      <c r="C351"/>
      <c r="D351" s="4"/>
      <c r="E351" s="106"/>
      <c r="F351" s="6"/>
      <c r="G351" s="4"/>
      <c r="H351" s="6"/>
      <c r="I351" s="6"/>
      <c r="J351" s="6"/>
      <c r="K351" s="62"/>
      <c r="BB351"/>
      <c r="BC351"/>
      <c r="BD351"/>
      <c r="BE351"/>
      <c r="BF351"/>
      <c r="BG351"/>
      <c r="BH351" s="11"/>
      <c r="BI351" s="11"/>
      <c r="BJ351" s="11"/>
      <c r="BK351" s="11"/>
      <c r="BL351" s="101"/>
      <c r="BW351" s="62"/>
      <c r="BX351" s="62"/>
      <c r="BY351" s="62"/>
      <c r="BZ351" s="62"/>
      <c r="CF351" s="4"/>
      <c r="CG351" s="4"/>
      <c r="CH351" s="4"/>
      <c r="CI351" s="4"/>
      <c r="CJ351" s="4"/>
      <c r="CK351" s="4"/>
      <c r="CL351" s="4"/>
      <c r="CM351" s="4"/>
      <c r="CN351" s="4"/>
      <c r="CO351" s="4"/>
    </row>
    <row r="352" spans="1:93" s="5" customFormat="1" x14ac:dyDescent="0.25">
      <c r="B352" s="4"/>
      <c r="C352"/>
      <c r="D352" s="4"/>
      <c r="E352" s="106"/>
      <c r="F352" s="6"/>
      <c r="G352" s="4"/>
      <c r="H352" s="6"/>
      <c r="I352" s="6"/>
      <c r="J352" s="6"/>
      <c r="K352" s="62"/>
      <c r="BB352"/>
      <c r="BC352"/>
      <c r="BD352"/>
      <c r="BE352"/>
      <c r="BF352"/>
      <c r="BG352"/>
      <c r="BH352" s="11"/>
      <c r="BI352" s="11"/>
      <c r="BJ352" s="11"/>
      <c r="BK352" s="11"/>
      <c r="BL352" s="101"/>
      <c r="BW352" s="62"/>
      <c r="BX352" s="62"/>
      <c r="BY352" s="62"/>
      <c r="BZ352" s="62"/>
      <c r="CF352" s="4"/>
      <c r="CG352" s="4"/>
      <c r="CH352" s="4"/>
      <c r="CI352" s="4"/>
      <c r="CJ352" s="4"/>
      <c r="CK352" s="4"/>
      <c r="CL352" s="4"/>
      <c r="CM352" s="4"/>
      <c r="CN352" s="4"/>
      <c r="CO352" s="4"/>
    </row>
    <row r="353" spans="2:93" s="5" customFormat="1" x14ac:dyDescent="0.25">
      <c r="B353" s="4"/>
      <c r="C353"/>
      <c r="D353" s="4"/>
      <c r="E353" s="106"/>
      <c r="F353" s="6"/>
      <c r="G353" s="4"/>
      <c r="H353" s="6"/>
      <c r="I353" s="6"/>
      <c r="J353" s="6"/>
      <c r="K353" s="62"/>
      <c r="BB353"/>
      <c r="BC353"/>
      <c r="BD353"/>
      <c r="BE353"/>
      <c r="BF353"/>
      <c r="BG353"/>
      <c r="BH353" s="11"/>
      <c r="BI353" s="11"/>
      <c r="BJ353" s="11"/>
      <c r="BK353" s="11"/>
      <c r="BL353" s="101"/>
      <c r="BW353" s="62"/>
      <c r="BX353" s="62"/>
      <c r="BY353" s="62"/>
      <c r="BZ353" s="62"/>
      <c r="CF353" s="4"/>
      <c r="CG353" s="4"/>
      <c r="CH353" s="4"/>
      <c r="CI353" s="4"/>
      <c r="CJ353" s="4"/>
      <c r="CK353" s="4"/>
      <c r="CL353" s="4"/>
      <c r="CM353" s="4"/>
      <c r="CN353" s="4"/>
      <c r="CO353" s="4"/>
    </row>
    <row r="354" spans="2:93" s="5" customFormat="1" x14ac:dyDescent="0.25">
      <c r="B354" s="4"/>
      <c r="C354"/>
      <c r="D354" s="4"/>
      <c r="E354" s="106"/>
      <c r="F354" s="6"/>
      <c r="G354" s="4"/>
      <c r="H354" s="6"/>
      <c r="I354" s="6"/>
      <c r="J354" s="6"/>
      <c r="K354" s="62"/>
      <c r="BB354"/>
      <c r="BC354"/>
      <c r="BD354"/>
      <c r="BE354"/>
      <c r="BF354"/>
      <c r="BG354"/>
      <c r="BH354" s="11"/>
      <c r="BI354" s="11"/>
      <c r="BJ354" s="11"/>
      <c r="BK354" s="11"/>
      <c r="BL354" s="101"/>
      <c r="BW354" s="62"/>
      <c r="BX354" s="62"/>
      <c r="BY354" s="62"/>
      <c r="BZ354" s="62"/>
      <c r="CF354" s="4"/>
      <c r="CG354" s="4"/>
      <c r="CH354" s="4"/>
      <c r="CI354" s="4"/>
      <c r="CJ354" s="4"/>
      <c r="CK354" s="4"/>
      <c r="CL354" s="4"/>
      <c r="CM354" s="4"/>
      <c r="CN354" s="4"/>
      <c r="CO354" s="4"/>
    </row>
    <row r="355" spans="2:93" x14ac:dyDescent="0.25">
      <c r="C355"/>
    </row>
    <row r="356" spans="2:93" x14ac:dyDescent="0.25">
      <c r="C356"/>
    </row>
    <row r="357" spans="2:93" x14ac:dyDescent="0.25">
      <c r="C357"/>
    </row>
    <row r="358" spans="2:93" x14ac:dyDescent="0.25">
      <c r="C358"/>
    </row>
    <row r="359" spans="2:93" x14ac:dyDescent="0.25">
      <c r="C359"/>
    </row>
    <row r="360" spans="2:93" x14ac:dyDescent="0.25">
      <c r="C360"/>
    </row>
    <row r="361" spans="2:93" x14ac:dyDescent="0.25">
      <c r="C361"/>
    </row>
    <row r="362" spans="2:93" x14ac:dyDescent="0.25">
      <c r="C362"/>
    </row>
    <row r="363" spans="2:93" x14ac:dyDescent="0.25">
      <c r="C363"/>
    </row>
    <row r="364" spans="2:93" x14ac:dyDescent="0.25">
      <c r="C364"/>
    </row>
    <row r="365" spans="2:93" x14ac:dyDescent="0.25">
      <c r="C365"/>
    </row>
    <row r="366" spans="2:93" x14ac:dyDescent="0.25">
      <c r="C366"/>
    </row>
    <row r="367" spans="2:93" x14ac:dyDescent="0.25">
      <c r="C367"/>
    </row>
    <row r="368" spans="2:9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</sheetData>
  <sortState xmlns:xlrd2="http://schemas.microsoft.com/office/spreadsheetml/2017/richdata2" ref="C232:C301">
    <sortCondition ref="C232:C301"/>
  </sortState>
  <conditionalFormatting sqref="AI2">
    <cfRule type="containsText" dxfId="7" priority="4" operator="containsText" text="Cr">
      <formula>NOT(ISERROR(SEARCH("Cr",AI2)))</formula>
    </cfRule>
  </conditionalFormatting>
  <conditionalFormatting sqref="AI3:AJ173">
    <cfRule type="containsText" dxfId="6" priority="1" operator="containsText" text="Cr">
      <formula>NOT(ISERROR(SEARCH("Cr",AI3)))</formula>
    </cfRule>
  </conditionalFormatting>
  <conditionalFormatting sqref="BK2:BL13">
    <cfRule type="containsText" dxfId="5" priority="20" operator="containsText" text="Cr">
      <formula>NOT(ISERROR(SEARCH("Cr",BK2)))</formula>
    </cfRule>
  </conditionalFormatting>
  <conditionalFormatting sqref="BK15:BL22 BK24:BL31">
    <cfRule type="containsText" dxfId="4" priority="29" operator="containsText" text="Cr">
      <formula>NOT(ISERROR(SEARCH("Cr",BK15)))</formula>
    </cfRule>
  </conditionalFormatting>
  <conditionalFormatting sqref="BK33:BL65">
    <cfRule type="containsText" dxfId="3" priority="10" operator="containsText" text="Cr">
      <formula>NOT(ISERROR(SEARCH("Cr",BK33)))</formula>
    </cfRule>
  </conditionalFormatting>
  <conditionalFormatting sqref="BK67:BL106">
    <cfRule type="containsText" dxfId="2" priority="33" operator="containsText" text="Cr">
      <formula>NOT(ISERROR(SEARCH("Cr",BK67)))</formula>
    </cfRule>
  </conditionalFormatting>
  <conditionalFormatting sqref="BK108:BL153">
    <cfRule type="containsText" dxfId="1" priority="32" operator="containsText" text="Cr">
      <formula>NOT(ISERROR(SEARCH("Cr",BK108)))</formula>
    </cfRule>
  </conditionalFormatting>
  <conditionalFormatting sqref="BK155:BL173">
    <cfRule type="containsText" dxfId="0" priority="2" operator="containsText" text="Cr">
      <formula>NOT(ISERROR(SEARCH("Cr",BK155)))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H15"/>
  <sheetViews>
    <sheetView topLeftCell="A7" workbookViewId="0">
      <selection activeCell="E9" sqref="E9"/>
    </sheetView>
  </sheetViews>
  <sheetFormatPr defaultRowHeight="15" x14ac:dyDescent="0.25"/>
  <cols>
    <col min="8" max="8" width="31.7109375" customWidth="1"/>
  </cols>
  <sheetData>
    <row r="4" spans="5:8" x14ac:dyDescent="0.25">
      <c r="E4" t="s">
        <v>101</v>
      </c>
      <c r="F4" t="s">
        <v>101</v>
      </c>
      <c r="H4" t="s">
        <v>664</v>
      </c>
    </row>
    <row r="5" spans="5:8" x14ac:dyDescent="0.25">
      <c r="E5" t="s">
        <v>6</v>
      </c>
      <c r="H5" t="s">
        <v>663</v>
      </c>
    </row>
    <row r="6" spans="5:8" x14ac:dyDescent="0.25">
      <c r="H6" s="6" t="str">
        <f>IF(F4="HNO3","HNO₃(aq) → H⁺(aq) + NO₃⁻(aq)",IF(F4="H2SO4","H₂SO₄(aq) → 2H⁺(aq) + SO₄²⁻(aq)"))</f>
        <v>HNO₃(aq) → H⁺(aq) + NO₃⁻(aq)</v>
      </c>
    </row>
    <row r="7" spans="5:8" x14ac:dyDescent="0.25">
      <c r="E7" s="383" t="s">
        <v>654</v>
      </c>
    </row>
    <row r="8" spans="5:8" x14ac:dyDescent="0.25">
      <c r="E8" s="383" t="s">
        <v>655</v>
      </c>
    </row>
    <row r="9" spans="5:8" x14ac:dyDescent="0.25">
      <c r="E9" s="383" t="s">
        <v>656</v>
      </c>
    </row>
    <row r="10" spans="5:8" ht="17.25" x14ac:dyDescent="0.4">
      <c r="E10" s="384" t="s">
        <v>657</v>
      </c>
    </row>
    <row r="11" spans="5:8" ht="17.25" x14ac:dyDescent="0.4">
      <c r="E11" s="384" t="s">
        <v>658</v>
      </c>
    </row>
    <row r="12" spans="5:8" ht="17.25" x14ac:dyDescent="0.4">
      <c r="E12" s="384" t="s">
        <v>659</v>
      </c>
    </row>
    <row r="13" spans="5:8" x14ac:dyDescent="0.25">
      <c r="E13" s="383" t="s">
        <v>660</v>
      </c>
    </row>
    <row r="14" spans="5:8" x14ac:dyDescent="0.25">
      <c r="E14" s="383" t="s">
        <v>661</v>
      </c>
    </row>
    <row r="15" spans="5:8" x14ac:dyDescent="0.25">
      <c r="E15" s="383" t="s">
        <v>662</v>
      </c>
    </row>
  </sheetData>
  <dataValidations count="1">
    <dataValidation type="list" allowBlank="1" showInputMessage="1" showErrorMessage="1" sqref="F4:G4" xr:uid="{00000000-0002-0000-0300-000000000000}">
      <formula1>$E$4:$E$5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M24"/>
  <sheetViews>
    <sheetView showGridLines="0" topLeftCell="A7" zoomScaleNormal="100" workbookViewId="0">
      <selection activeCell="D10" sqref="D10"/>
    </sheetView>
  </sheetViews>
  <sheetFormatPr defaultRowHeight="15" x14ac:dyDescent="0.25"/>
  <cols>
    <col min="1" max="1" width="5.28515625" customWidth="1"/>
    <col min="2" max="2" width="9.140625" style="11"/>
    <col min="3" max="3" width="17.7109375" customWidth="1"/>
    <col min="4" max="4" width="17.7109375" style="12" customWidth="1"/>
    <col min="5" max="5" width="2.85546875" style="12" customWidth="1"/>
    <col min="7" max="7" width="9.5703125" bestFit="1" customWidth="1"/>
  </cols>
  <sheetData>
    <row r="1" spans="1:13" ht="15.75" thickBot="1" x14ac:dyDescent="0.3"/>
    <row r="2" spans="1:13" ht="15.75" thickBot="1" x14ac:dyDescent="0.3">
      <c r="B2" s="13"/>
      <c r="C2" s="1"/>
      <c r="D2" s="156"/>
      <c r="E2" s="157"/>
    </row>
    <row r="3" spans="1:13" ht="60" customHeight="1" thickBot="1" x14ac:dyDescent="0.3">
      <c r="A3" s="264">
        <f>Elektro!E21</f>
        <v>0</v>
      </c>
      <c r="B3" s="10">
        <v>0</v>
      </c>
      <c r="C3" s="202"/>
      <c r="D3" s="203"/>
      <c r="E3" s="14"/>
    </row>
    <row r="4" spans="1:13" ht="60" customHeight="1" x14ac:dyDescent="0.25">
      <c r="B4" s="10">
        <v>1</v>
      </c>
      <c r="C4" s="190"/>
      <c r="D4" s="15"/>
      <c r="E4" s="14"/>
      <c r="F4" s="219"/>
      <c r="G4" s="223"/>
      <c r="H4" s="223"/>
      <c r="I4" s="223"/>
      <c r="J4" s="219"/>
      <c r="K4" s="219"/>
      <c r="L4" s="219"/>
    </row>
    <row r="5" spans="1:13" ht="60" customHeight="1" x14ac:dyDescent="0.25">
      <c r="B5" s="10">
        <v>2</v>
      </c>
      <c r="C5" s="190"/>
      <c r="D5" s="15"/>
      <c r="E5" s="14"/>
      <c r="F5" s="219"/>
      <c r="G5" s="220"/>
      <c r="H5" s="220"/>
      <c r="I5" s="219"/>
      <c r="J5" s="219"/>
      <c r="K5" s="220"/>
      <c r="L5" s="219"/>
    </row>
    <row r="6" spans="1:13" ht="60" customHeight="1" x14ac:dyDescent="0.25">
      <c r="B6" s="10">
        <v>3</v>
      </c>
      <c r="C6" s="190"/>
      <c r="D6" s="15"/>
      <c r="E6" s="14"/>
      <c r="F6" s="219"/>
      <c r="G6" s="221"/>
      <c r="H6" s="222"/>
      <c r="I6" s="219"/>
      <c r="J6" s="219"/>
      <c r="K6" s="219"/>
      <c r="L6" s="219"/>
    </row>
    <row r="7" spans="1:13" ht="60" customHeight="1" x14ac:dyDescent="0.25">
      <c r="B7" s="10">
        <v>4</v>
      </c>
      <c r="C7" s="190"/>
      <c r="D7" s="15"/>
      <c r="E7" s="14"/>
    </row>
    <row r="8" spans="1:13" ht="60" customHeight="1" x14ac:dyDescent="0.25">
      <c r="B8" s="10">
        <v>5</v>
      </c>
      <c r="C8" s="190"/>
      <c r="D8" s="15"/>
      <c r="E8" s="14"/>
    </row>
    <row r="9" spans="1:13" ht="60" customHeight="1" x14ac:dyDescent="0.25">
      <c r="B9" s="10">
        <v>6</v>
      </c>
      <c r="C9" s="190"/>
      <c r="D9" s="15"/>
      <c r="E9" s="14"/>
    </row>
    <row r="10" spans="1:13" ht="60" customHeight="1" x14ac:dyDescent="0.25">
      <c r="B10" s="10">
        <v>7</v>
      </c>
      <c r="C10" s="190"/>
      <c r="D10" s="15"/>
      <c r="E10" s="14"/>
    </row>
    <row r="11" spans="1:13" ht="60" customHeight="1" x14ac:dyDescent="0.25">
      <c r="B11" s="10">
        <v>8</v>
      </c>
      <c r="C11" s="190"/>
      <c r="D11" s="15"/>
      <c r="E11" s="14"/>
      <c r="J11" t="s">
        <v>12</v>
      </c>
    </row>
    <row r="12" spans="1:13" ht="60" customHeight="1" x14ac:dyDescent="0.25">
      <c r="B12" s="10">
        <v>9</v>
      </c>
      <c r="C12" s="190"/>
      <c r="D12" s="15"/>
      <c r="E12" s="14"/>
    </row>
    <row r="13" spans="1:13" ht="60" customHeight="1" x14ac:dyDescent="0.25">
      <c r="B13" s="10">
        <v>10</v>
      </c>
      <c r="C13" s="190"/>
      <c r="D13" s="15"/>
      <c r="E13" s="14"/>
    </row>
    <row r="14" spans="1:13" ht="60" customHeight="1" x14ac:dyDescent="0.25">
      <c r="B14" s="10">
        <v>11</v>
      </c>
      <c r="C14" s="190"/>
      <c r="D14" s="15"/>
      <c r="E14" s="14"/>
      <c r="M14" s="12"/>
    </row>
    <row r="15" spans="1:13" ht="60" customHeight="1" x14ac:dyDescent="0.25">
      <c r="B15" s="10">
        <v>12</v>
      </c>
      <c r="C15" s="190"/>
      <c r="D15"/>
      <c r="E15" s="14"/>
    </row>
    <row r="16" spans="1:13" ht="60" customHeight="1" x14ac:dyDescent="0.25">
      <c r="B16" s="10">
        <v>13</v>
      </c>
      <c r="C16" s="191"/>
      <c r="D16" s="2"/>
      <c r="E16" s="135"/>
      <c r="M16" s="12"/>
    </row>
    <row r="17" spans="2:13" ht="60" customHeight="1" x14ac:dyDescent="0.25">
      <c r="B17" s="10">
        <v>14</v>
      </c>
      <c r="C17" s="190"/>
      <c r="D17" s="15"/>
      <c r="E17" s="135"/>
    </row>
    <row r="18" spans="2:13" ht="60" customHeight="1" x14ac:dyDescent="0.25">
      <c r="B18" s="204">
        <v>15</v>
      </c>
      <c r="C18" s="190"/>
      <c r="E18" s="135"/>
      <c r="I18" t="s">
        <v>12</v>
      </c>
      <c r="M18" s="12"/>
    </row>
    <row r="19" spans="2:13" ht="60" customHeight="1" thickBot="1" x14ac:dyDescent="0.3">
      <c r="B19" s="205"/>
      <c r="C19" s="206"/>
      <c r="D19" s="207"/>
      <c r="E19" s="136"/>
    </row>
    <row r="20" spans="2:13" ht="60" customHeight="1" x14ac:dyDescent="0.25"/>
    <row r="21" spans="2:13" ht="60" customHeight="1" x14ac:dyDescent="0.25">
      <c r="D21" s="12" t="s">
        <v>12</v>
      </c>
    </row>
    <row r="22" spans="2:13" ht="60" customHeight="1" x14ac:dyDescent="0.25"/>
    <row r="23" spans="2:13" ht="60" customHeight="1" x14ac:dyDescent="0.25"/>
    <row r="24" spans="2:13" ht="60" customHeight="1" x14ac:dyDescent="0.25"/>
  </sheetData>
  <dataValidations count="1">
    <dataValidation type="list" allowBlank="1" showInputMessage="1" showErrorMessage="1" sqref="J6" xr:uid="{00000000-0002-0000-0400-000000000000}">
      <formula1>$C$4:$C$6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9:B32"/>
  <sheetViews>
    <sheetView topLeftCell="A25" workbookViewId="0">
      <selection activeCell="O51" sqref="O51"/>
    </sheetView>
  </sheetViews>
  <sheetFormatPr defaultRowHeight="15" x14ac:dyDescent="0.25"/>
  <sheetData>
    <row r="29" spans="2:2" x14ac:dyDescent="0.25">
      <c r="B29" s="5"/>
    </row>
    <row r="30" spans="2:2" x14ac:dyDescent="0.25">
      <c r="B30" s="4"/>
    </row>
    <row r="31" spans="2:2" x14ac:dyDescent="0.25">
      <c r="B31" s="5"/>
    </row>
    <row r="32" spans="2:2" x14ac:dyDescent="0.25">
      <c r="B3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6:AB73"/>
  <sheetViews>
    <sheetView topLeftCell="A49" workbookViewId="0">
      <selection activeCell="A46" sqref="A46"/>
    </sheetView>
  </sheetViews>
  <sheetFormatPr defaultRowHeight="15" x14ac:dyDescent="0.25"/>
  <sheetData>
    <row r="26" spans="22:22" x14ac:dyDescent="0.25">
      <c r="V26">
        <f>0.0015*22.4</f>
        <v>3.3599999999999998E-2</v>
      </c>
    </row>
    <row r="46" spans="28:28" x14ac:dyDescent="0.25">
      <c r="AB46">
        <f>0.006/0.5</f>
        <v>1.2E-2</v>
      </c>
    </row>
    <row r="57" spans="20:20" x14ac:dyDescent="0.25">
      <c r="T57" t="s">
        <v>12</v>
      </c>
    </row>
    <row r="73" spans="4:4" x14ac:dyDescent="0.25">
      <c r="D73" s="356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M45"/>
  <sheetViews>
    <sheetView topLeftCell="A7" workbookViewId="0">
      <selection activeCell="K33" sqref="K33"/>
    </sheetView>
  </sheetViews>
  <sheetFormatPr defaultRowHeight="15" x14ac:dyDescent="0.25"/>
  <cols>
    <col min="13" max="13" width="10.42578125" customWidth="1"/>
  </cols>
  <sheetData>
    <row r="2" spans="13:13" x14ac:dyDescent="0.25">
      <c r="M2" s="216" t="s">
        <v>9</v>
      </c>
    </row>
    <row r="3" spans="13:13" x14ac:dyDescent="0.25">
      <c r="M3" t="s">
        <v>91</v>
      </c>
    </row>
    <row r="4" spans="13:13" x14ac:dyDescent="0.25">
      <c r="M4" t="s">
        <v>92</v>
      </c>
    </row>
    <row r="5" spans="13:13" x14ac:dyDescent="0.25">
      <c r="M5" t="s">
        <v>67</v>
      </c>
    </row>
    <row r="6" spans="13:13" x14ac:dyDescent="0.25">
      <c r="M6" t="s">
        <v>93</v>
      </c>
    </row>
    <row r="7" spans="13:13" x14ac:dyDescent="0.25">
      <c r="M7" t="s">
        <v>231</v>
      </c>
    </row>
    <row r="8" spans="13:13" x14ac:dyDescent="0.25">
      <c r="M8" t="s">
        <v>94</v>
      </c>
    </row>
    <row r="45" spans="3:3" x14ac:dyDescent="0.25">
      <c r="C45" s="128" t="s">
        <v>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Elektro</vt:lpstr>
      <vt:lpstr>CONTOH</vt:lpstr>
      <vt:lpstr>pH</vt:lpstr>
      <vt:lpstr>REAKSI</vt:lpstr>
      <vt:lpstr>Sheet1</vt:lpstr>
      <vt:lpstr>RUMUS</vt:lpstr>
      <vt:lpstr>HCl</vt:lpstr>
      <vt:lpstr>ZnSO4</vt:lpstr>
      <vt:lpstr>CuSO4</vt:lpstr>
      <vt:lpstr>KCl</vt:lpstr>
      <vt:lpstr>bagan</vt:lpstr>
      <vt:lpstr>CONTOH REAKSI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Rahmasari</cp:lastModifiedBy>
  <cp:lastPrinted>2023-06-27T04:31:02Z</cp:lastPrinted>
  <dcterms:created xsi:type="dcterms:W3CDTF">2022-11-30T01:22:37Z</dcterms:created>
  <dcterms:modified xsi:type="dcterms:W3CDTF">2023-11-21T09:02:35Z</dcterms:modified>
</cp:coreProperties>
</file>