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GitHub\sahel-asp\niger-asp-reprod\Baseline\cost_benefit\NER\"/>
    </mc:Choice>
  </mc:AlternateContent>
  <xr:revisionPtr revIDLastSave="0" documentId="13_ncr:1_{87356687-0F91-4F62-9FE0-DAF24443645B}" xr6:coauthVersionLast="47" xr6:coauthVersionMax="47" xr10:uidLastSave="{00000000-0000-0000-0000-000000000000}"/>
  <bookViews>
    <workbookView xWindow="29115" yWindow="-15855" windowWidth="13710" windowHeight="12360" firstSheet="1" activeTab="5" xr2:uid="{D1DC44F7-0A96-47D2-9A85-1F91E977C95D}"/>
  </bookViews>
  <sheets>
    <sheet name="Introduction" sheetId="16" r:id="rId1"/>
    <sheet name="1 - Program administration" sheetId="4" r:id="rId2"/>
    <sheet name="2 - Identification-record" sheetId="5" r:id="rId3"/>
    <sheet name="3.0. Group formation" sheetId="8" r:id="rId4"/>
    <sheet name="3.1. Coaching implementation" sheetId="20" r:id="rId5"/>
    <sheet name="3.2.Implementation awareness" sheetId="28" r:id="rId6"/>
    <sheet name="3.3.Implementation AVEC" sheetId="23" r:id="rId7"/>
    <sheet name="3.4. Implementation ACV" sheetId="24" r:id="rId8"/>
    <sheet name="3.5. Implementation Germe" sheetId="30" r:id="rId9"/>
    <sheet name="3.6 Implementation Cap Inj." sheetId="22" r:id="rId10"/>
    <sheet name="3.7. Implementation of market a" sheetId="26" r:id="rId11"/>
    <sheet name="4.1 CBA (FR)" sheetId="37" state="hidden" r:id="rId12"/>
    <sheet name="4.1 CBA (ed7)" sheetId="32" r:id="rId13"/>
    <sheet name="4.1 CBA (yr HH)" sheetId="48" state="hidden" r:id="rId14"/>
    <sheet name="4.1 CBA_smooth" sheetId="38" state="hidden" r:id="rId15"/>
    <sheet name="4.1 CBA_smooth (si27)" sheetId="41" r:id="rId16"/>
    <sheet name="4.1 CBA_smooth (t_a25) (2)" sheetId="49" state="hidden" r:id="rId17"/>
    <sheet name="4.1.1 smooth cashflow" sheetId="39" state="hidden" r:id="rId18"/>
    <sheet name="4.2 IRR_Calc" sheetId="34" state="hidden" r:id="rId19"/>
    <sheet name="4.2.1 IRR_calc solve" sheetId="43" state="hidden" r:id="rId20"/>
    <sheet name="4.2 IRR_Calc_smooth" sheetId="40" state="hidden" r:id="rId21"/>
    <sheet name="4.2 IRR_Calc_smooth (2)" sheetId="42" state="hidden" r:id="rId22"/>
    <sheet name="4.2.2 pay_back" sheetId="44" state="hidden" r:id="rId23"/>
    <sheet name="4.3 Disc" sheetId="33" r:id="rId24"/>
    <sheet name="5.0 Psych cost" sheetId="50" r:id="rId25"/>
    <sheet name="USDtoEuro" sheetId="47" state="hidden" r:id="rId26"/>
  </sheets>
  <externalReferences>
    <externalReference r:id="rId27"/>
    <externalReference r:id="rId28"/>
    <externalReference r:id="rId29"/>
    <externalReference r:id="rId30"/>
  </externalReferences>
  <definedNames>
    <definedName name="adultperhh_fu1">Introduction!$D$40</definedName>
    <definedName name="adultperhh_fu2">Introduction!$D$41</definedName>
    <definedName name="conv_ppp_2016">Introduction!$D$19</definedName>
    <definedName name="conv_ppp_2017">Introduction!$D$20</definedName>
    <definedName name="conv_ppp_2018">Introduction!$D$21</definedName>
    <definedName name="conv_ppp_2019">Introduction!$D$22</definedName>
    <definedName name="CPI_16_USD">Introduction!$E$26</definedName>
    <definedName name="CPI_17_USD">Introduction!$E$27</definedName>
    <definedName name="CPI_18_USD">Introduction!$E$28</definedName>
    <definedName name="CPI_19_USD">Introduction!$E$29</definedName>
    <definedName name="CPI_2016">Introduction!$D$26</definedName>
    <definedName name="CPI_2017">Introduction!$D$27</definedName>
    <definedName name="CPI_2018">Introduction!$D$28</definedName>
    <definedName name="CPI_2019">Introduction!$D$29</definedName>
    <definedName name="CPI_2020">Introduction!$D$30</definedName>
    <definedName name="currency" localSheetId="5">[1]Introduction!#REF!</definedName>
    <definedName name="currency" localSheetId="8">[1]Introduction!#REF!</definedName>
    <definedName name="currency">[1]Introduction!#REF!</definedName>
    <definedName name="disc10">'4.3 Disc'!$B$5</definedName>
    <definedName name="disc5">'4.3 Disc'!$B$3</definedName>
    <definedName name="disc7">'4.3 Disc'!$B$4</definedName>
    <definedName name="dof" localSheetId="13">'4.1 CBA (yr HH)'!#REF!</definedName>
    <definedName name="dof">'4.1 CBA (ed7)'!#REF!</definedName>
    <definedName name="Impact_Estimate" localSheetId="5">[2]Introduction!#REF!</definedName>
    <definedName name="Impact_Estimate" localSheetId="8">Introduction!#REF!</definedName>
    <definedName name="Impact_Estimate">Introduction!#REF!</definedName>
    <definedName name="Other_Currency" localSheetId="5">[2]Introduction!#REF!</definedName>
    <definedName name="Other_Currency" localSheetId="8">Introduction!#REF!</definedName>
    <definedName name="Other_Currency">Introduction!#REF!</definedName>
    <definedName name="p_10">'4.3 Disc'!$B$5</definedName>
    <definedName name="p_5">'4.3 Disc'!$B$3</definedName>
    <definedName name="p_7">'4.3 Disc'!$B$4</definedName>
    <definedName name="Tab_1_Total" localSheetId="5">'[2]1 - Administration Programme'!$I$54</definedName>
    <definedName name="Tab_1_Total">'1 - Program administration'!$I$52</definedName>
    <definedName name="Tab_1_Total_Local" localSheetId="5">'[2]1 - Administration Programme'!$H$54</definedName>
    <definedName name="Tab_1_Total_Local">'1 - Program administration'!$H$52</definedName>
    <definedName name="Tab_2_Answer" localSheetId="5">[2]Introduction!#REF!</definedName>
    <definedName name="Tab_2_Answer" localSheetId="8">Introduction!#REF!</definedName>
    <definedName name="Tab_2_Answer">Introduction!#REF!</definedName>
    <definedName name="Tab_2_Total" localSheetId="5">'[2]2 - Coûts ciblage'!$J$49</definedName>
    <definedName name="Tab_2_Total">'2 - Identification-record'!$J$24</definedName>
    <definedName name="Tab_2_Total_Local" localSheetId="5">'[2]2 - Coûts ciblage'!$I$49</definedName>
    <definedName name="Tab_2_Total_Local">'2 - Identification-record'!$I$24</definedName>
    <definedName name="Tab_3_Answer" localSheetId="5">[2]Introduction!#REF!</definedName>
    <definedName name="Tab_3_Answer" localSheetId="8">Introduction!#REF!</definedName>
    <definedName name="Tab_3_Answer">Introduction!#REF!</definedName>
    <definedName name="Tab_3_Total" localSheetId="8">#REF!</definedName>
    <definedName name="Tab_3_Total">#REF!</definedName>
    <definedName name="Tab_3_Total_Local" localSheetId="8">#REF!</definedName>
    <definedName name="Tab_3_Total_Local">#REF!</definedName>
    <definedName name="Tab_4_Answer" localSheetId="5">[2]Introduction!#REF!</definedName>
    <definedName name="Tab_4_Answer" localSheetId="8">Introduction!#REF!</definedName>
    <definedName name="Tab_4_Answer">Introduction!#REF!</definedName>
    <definedName name="Tab_4_Total" localSheetId="4">'3.1. Coaching implementation'!#REF!</definedName>
    <definedName name="Tab_4_Total" localSheetId="5">'3.2.Implementation awareness'!$J$21</definedName>
    <definedName name="Tab_4_Total" localSheetId="6">'3.3.Implementation AVEC'!#REF!</definedName>
    <definedName name="Tab_4_Total" localSheetId="7">'3.4. Implementation ACV'!$J$24</definedName>
    <definedName name="Tab_4_Total" localSheetId="8">'3.5. Implementation Germe'!$J$25</definedName>
    <definedName name="Tab_4_Total" localSheetId="9">'3.6 Implementation Cap Inj.'!$J$12</definedName>
    <definedName name="Tab_4_Total" localSheetId="10">'3.7. Implementation of market a'!$J$27</definedName>
    <definedName name="Tab_4_Total">'3.0. Group formation'!#REF!</definedName>
    <definedName name="Tab_4_Total_Local" localSheetId="4">'3.1. Coaching implementation'!#REF!</definedName>
    <definedName name="Tab_4_Total_Local" localSheetId="5">'3.2.Implementation awareness'!$I$21</definedName>
    <definedName name="Tab_4_Total_Local" localSheetId="6">'3.3.Implementation AVEC'!#REF!</definedName>
    <definedName name="Tab_4_Total_Local" localSheetId="7">'3.4. Implementation ACV'!$I$24</definedName>
    <definedName name="Tab_4_Total_Local" localSheetId="8">'3.5. Implementation Germe'!$I$25</definedName>
    <definedName name="Tab_4_Total_Local" localSheetId="9">'3.6 Implementation Cap Inj.'!$I$12</definedName>
    <definedName name="Tab_4_Total_Local" localSheetId="10">'3.7. Implementation of market a'!$I$27</definedName>
    <definedName name="Tab_4_Total_Local">'3.0. Group formation'!#REF!</definedName>
    <definedName name="Tab_5_Total" localSheetId="5">#REF!</definedName>
    <definedName name="Tab_5_Total" localSheetId="8">#REF!</definedName>
    <definedName name="Tab_5_Total">#REF!</definedName>
    <definedName name="Tab_5_Total_Local" localSheetId="5">#REF!</definedName>
    <definedName name="Tab_5_Total_Local" localSheetId="8">#REF!</definedName>
    <definedName name="Tab_5_Total_Local">#REF!</definedName>
    <definedName name="Tab_6_Answer" localSheetId="5">[2]Introduction!#REF!</definedName>
    <definedName name="Tab_6_Answer" localSheetId="8">Introduction!#REF!</definedName>
    <definedName name="Tab_6_Answer">Introduction!#REF!</definedName>
    <definedName name="Tab_6_Total" localSheetId="5">'[2]4 - Coûts autres'!$I$33</definedName>
    <definedName name="Tab_6_Total" localSheetId="8">#REF!</definedName>
    <definedName name="Tab_6_Total">#REF!</definedName>
    <definedName name="Tab_6_Total_Local" localSheetId="5">'[2]4 - Coûts autres'!$H$33</definedName>
    <definedName name="Tab_6_Total_Local" localSheetId="8">#REF!</definedName>
    <definedName name="Tab_6_Total_Local">#REF!</definedName>
    <definedName name="Tab_7_Answer" localSheetId="5">[2]Introduction!#REF!</definedName>
    <definedName name="Tab_7_Answer" localSheetId="8">Introduction!#REF!</definedName>
    <definedName name="Tab_7_Answer">Introduction!#REF!</definedName>
    <definedName name="Tab_7_Total" localSheetId="8">#REF!</definedName>
    <definedName name="Tab_7_Total">#REF!</definedName>
    <definedName name="Tab_7_Total_Local" localSheetId="8">#REF!</definedName>
    <definedName name="Tab_7_Total_Local">#REF!</definedName>
    <definedName name="Tab_8_Answer" localSheetId="5">[2]Introduction!#REF!</definedName>
    <definedName name="Tab_8_Answer" localSheetId="8">Introduction!#REF!</definedName>
    <definedName name="Tab_8_Answer">Introduction!#REF!</definedName>
    <definedName name="Tab_8_Total" localSheetId="5">'[2]A supprimer (suivi-contrôle)'!$I$51</definedName>
    <definedName name="Tab_8_Total" localSheetId="8">#REF!</definedName>
    <definedName name="Tab_8_Total">#REF!</definedName>
    <definedName name="Tab_8_Total_Local" localSheetId="5">'[2]A supprimer (suivi-contrôle)'!$H$51</definedName>
    <definedName name="Tab_8_Total_Local" localSheetId="8">#REF!</definedName>
    <definedName name="Tab_8_Total_Local">#REF!</definedName>
    <definedName name="Total_Cost" localSheetId="8">#REF!</definedName>
    <definedName name="Total_Cost">#REF!</definedName>
    <definedName name="Total_Cost_Local" localSheetId="5">'[2]Résumé Coûts'!$F$12</definedName>
    <definedName name="Total_Cost_Local" localSheetId="8">#REF!</definedName>
    <definedName name="Total_Cost_Local">#REF!</definedName>
    <definedName name="Z_87669B06_B7AE_4B45_A526_665D94593BF2_.wvu.Cols" localSheetId="1" hidden="1">'1 - Program administration'!#REF!</definedName>
    <definedName name="Z_87669B06_B7AE_4B45_A526_665D94593BF2_.wvu.Cols" localSheetId="2" hidden="1">'2 - Identification-record'!#REF!</definedName>
    <definedName name="Z_A04230FF_BF50_41C0_8904_3CBCAE9CB613_.wvu.Cols" localSheetId="1" hidden="1">'1 - Program administration'!#REF!</definedName>
    <definedName name="Z_A04230FF_BF50_41C0_8904_3CBCAE9CB613_.wvu.Cols" localSheetId="2" hidden="1">'2 - Identification-record'!#REF!</definedName>
  </definedNames>
  <calcPr calcId="191029"/>
  <customWorkbookViews>
    <customWorkbookView name="Huang, Pamela - Personal View" guid="{87669B06-B7AE-4B45-A526-665D94593BF2}" mergeInterval="0" personalView="1" maximized="1" windowWidth="1920" windowHeight="855" activeSheetId="10"/>
    <customWorkbookView name="Nick - Personal View" guid="{A04230FF-BF50-41C0-8904-3CBCAE9CB613}" mergeInterval="0" personalView="1" maximized="1" windowWidth="1280" windowHeight="759"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3" i="48" l="1"/>
  <c r="G23" i="48"/>
  <c r="F23" i="48"/>
  <c r="E23" i="48"/>
  <c r="H22" i="48"/>
  <c r="G22" i="48"/>
  <c r="F22" i="48"/>
  <c r="E22" i="48"/>
  <c r="E27" i="48" s="1"/>
  <c r="H23" i="32"/>
  <c r="G23" i="32"/>
  <c r="F23" i="32"/>
  <c r="E23" i="32"/>
  <c r="H22" i="32"/>
  <c r="G22" i="32"/>
  <c r="F22" i="32"/>
  <c r="E22" i="32"/>
  <c r="F22" i="37"/>
  <c r="E22" i="37"/>
  <c r="D22" i="37"/>
  <c r="F21" i="37"/>
  <c r="E21" i="37"/>
  <c r="D21" i="37"/>
  <c r="D41" i="16"/>
  <c r="D40" i="16"/>
  <c r="D12" i="50"/>
  <c r="F17" i="50"/>
  <c r="E17" i="50"/>
  <c r="D17" i="50"/>
  <c r="F12" i="50"/>
  <c r="E12" i="50"/>
  <c r="AB3" i="39"/>
  <c r="AA3" i="39"/>
  <c r="Z3" i="39"/>
  <c r="F23" i="49"/>
  <c r="F26" i="49" s="1"/>
  <c r="AB22" i="39" s="1"/>
  <c r="B32" i="49"/>
  <c r="B36" i="49" s="1"/>
  <c r="B39" i="49" s="1"/>
  <c r="B43" i="49" s="1"/>
  <c r="B47" i="49" s="1"/>
  <c r="B51" i="49" s="1"/>
  <c r="B57" i="49" s="1"/>
  <c r="B60" i="49" s="1"/>
  <c r="B63" i="49" s="1"/>
  <c r="B67" i="49" s="1"/>
  <c r="B28" i="49"/>
  <c r="H30" i="48"/>
  <c r="G22" i="49"/>
  <c r="G25" i="49" s="1"/>
  <c r="AC10" i="39" s="1"/>
  <c r="G30" i="48"/>
  <c r="G27" i="48"/>
  <c r="F30" i="48"/>
  <c r="F28" i="48"/>
  <c r="E30" i="48"/>
  <c r="H54" i="48"/>
  <c r="G54" i="48"/>
  <c r="F54" i="48"/>
  <c r="E54" i="48"/>
  <c r="J46" i="48"/>
  <c r="J34" i="48"/>
  <c r="J29" i="48"/>
  <c r="B26" i="48"/>
  <c r="B30" i="48" s="1"/>
  <c r="B31" i="48" s="1"/>
  <c r="B35" i="48" s="1"/>
  <c r="B39" i="48" s="1"/>
  <c r="B43" i="48" s="1"/>
  <c r="B47" i="48" s="1"/>
  <c r="B53" i="48" s="1"/>
  <c r="B57" i="48" s="1"/>
  <c r="B60" i="48" s="1"/>
  <c r="B64" i="48" s="1"/>
  <c r="F13" i="48"/>
  <c r="E11" i="48"/>
  <c r="E9" i="48"/>
  <c r="H26" i="48" l="1"/>
  <c r="D23" i="49"/>
  <c r="D26" i="49" s="1"/>
  <c r="Z22" i="39" s="1"/>
  <c r="H28" i="48"/>
  <c r="G23" i="49"/>
  <c r="G26" i="49" s="1"/>
  <c r="AC22" i="39" s="1"/>
  <c r="H27" i="48"/>
  <c r="E23" i="49"/>
  <c r="E26" i="49" s="1"/>
  <c r="AA22" i="39" s="1"/>
  <c r="F27" i="48"/>
  <c r="G26" i="48"/>
  <c r="F22" i="49"/>
  <c r="F25" i="49" s="1"/>
  <c r="AB10" i="39" s="1"/>
  <c r="AB11" i="39" s="1"/>
  <c r="E22" i="49"/>
  <c r="E25" i="49" s="1"/>
  <c r="AA10" i="39" s="1"/>
  <c r="AA5" i="39" s="1"/>
  <c r="AA6" i="39" s="1"/>
  <c r="AA7" i="39" s="1"/>
  <c r="AA8" i="39" s="1"/>
  <c r="AA9" i="39" s="1"/>
  <c r="D22" i="49"/>
  <c r="D25" i="49" s="1"/>
  <c r="Z10" i="39" s="1"/>
  <c r="Z5" i="39" s="1"/>
  <c r="Z6" i="39" s="1"/>
  <c r="Z7" i="39" s="1"/>
  <c r="Z8" i="39" s="1"/>
  <c r="Z9" i="39" s="1"/>
  <c r="AC11" i="39"/>
  <c r="AC5" i="39"/>
  <c r="Z11" i="39"/>
  <c r="F26" i="48"/>
  <c r="E26" i="48"/>
  <c r="E39" i="48" s="1"/>
  <c r="G28" i="48"/>
  <c r="E28" i="48"/>
  <c r="J23" i="48"/>
  <c r="J22" i="48"/>
  <c r="AA11" i="39" l="1"/>
  <c r="AB5" i="39"/>
  <c r="AB6" i="39" s="1"/>
  <c r="AB7" i="39" s="1"/>
  <c r="AB8" i="39" s="1"/>
  <c r="AB9" i="39" s="1"/>
  <c r="F28" i="49" s="1"/>
  <c r="AC6" i="39"/>
  <c r="AC7" i="39" s="1"/>
  <c r="AC8" i="39" s="1"/>
  <c r="AC9" i="39" s="1"/>
  <c r="AB12" i="39"/>
  <c r="AB13" i="39" s="1"/>
  <c r="AB14" i="39" s="1"/>
  <c r="AB15" i="39" s="1"/>
  <c r="AB16" i="39" s="1"/>
  <c r="AB17" i="39" s="1"/>
  <c r="AB18" i="39" s="1"/>
  <c r="AB19" i="39" s="1"/>
  <c r="AB20" i="39" s="1"/>
  <c r="AB21" i="39" s="1"/>
  <c r="Z12" i="39"/>
  <c r="Z13" i="39" s="1"/>
  <c r="Z14" i="39" s="1"/>
  <c r="Z15" i="39" s="1"/>
  <c r="Z16" i="39" s="1"/>
  <c r="Z17" i="39" s="1"/>
  <c r="Z18" i="39" s="1"/>
  <c r="Z19" i="39" s="1"/>
  <c r="Z20" i="39" s="1"/>
  <c r="Z21" i="39" s="1"/>
  <c r="AA12" i="39"/>
  <c r="AA13" i="39" s="1"/>
  <c r="AA14" i="39" s="1"/>
  <c r="AA15" i="39" s="1"/>
  <c r="AA16" i="39" s="1"/>
  <c r="AA17" i="39" s="1"/>
  <c r="AA18" i="39" s="1"/>
  <c r="AA19" i="39" s="1"/>
  <c r="AA20" i="39" s="1"/>
  <c r="AA21" i="39" s="1"/>
  <c r="AC12" i="39"/>
  <c r="AC13" i="39" s="1"/>
  <c r="AC14" i="39" s="1"/>
  <c r="AC15" i="39" s="1"/>
  <c r="AC16" i="39" s="1"/>
  <c r="AC17" i="39" s="1"/>
  <c r="AC18" i="39" s="1"/>
  <c r="AC19" i="39" s="1"/>
  <c r="AC20" i="39" s="1"/>
  <c r="AC21" i="39" s="1"/>
  <c r="G32" i="49"/>
  <c r="E28" i="49"/>
  <c r="D30" i="49"/>
  <c r="E30" i="49"/>
  <c r="D29" i="49"/>
  <c r="D28" i="49"/>
  <c r="E29" i="49"/>
  <c r="F35" i="48"/>
  <c r="E36" i="48"/>
  <c r="E35" i="48"/>
  <c r="E37" i="48"/>
  <c r="K21" i="37"/>
  <c r="L21" i="37"/>
  <c r="K22" i="37"/>
  <c r="L22" i="37"/>
  <c r="J22" i="37"/>
  <c r="J21" i="37"/>
  <c r="J23" i="32"/>
  <c r="J22" i="32"/>
  <c r="J46" i="32"/>
  <c r="J34" i="32"/>
  <c r="J29" i="32"/>
  <c r="J11" i="16"/>
  <c r="D34" i="49" l="1"/>
  <c r="G28" i="49"/>
  <c r="E32" i="49"/>
  <c r="E39" i="49" s="1"/>
  <c r="F32" i="49"/>
  <c r="F39" i="49" s="1"/>
  <c r="E34" i="49"/>
  <c r="F34" i="49"/>
  <c r="D32" i="49"/>
  <c r="D47" i="49" s="1"/>
  <c r="D33" i="49"/>
  <c r="F30" i="49"/>
  <c r="E33" i="49"/>
  <c r="F33" i="49"/>
  <c r="F29" i="49"/>
  <c r="H41" i="48"/>
  <c r="H40" i="48"/>
  <c r="H39" i="48"/>
  <c r="G40" i="48"/>
  <c r="G41" i="48"/>
  <c r="F37" i="48"/>
  <c r="F49" i="48" s="1"/>
  <c r="G39" i="48"/>
  <c r="F36" i="48"/>
  <c r="F48" i="48" s="1"/>
  <c r="F39" i="48"/>
  <c r="F41" i="48"/>
  <c r="F47" i="48"/>
  <c r="F40" i="48"/>
  <c r="G37" i="48"/>
  <c r="G35" i="48"/>
  <c r="G47" i="48" s="1"/>
  <c r="G36" i="48"/>
  <c r="J30" i="16"/>
  <c r="F51" i="49" l="1"/>
  <c r="D51" i="49"/>
  <c r="D49" i="49"/>
  <c r="E51" i="49"/>
  <c r="D48" i="49"/>
  <c r="G49" i="48"/>
  <c r="G48" i="48"/>
  <c r="E41" i="48"/>
  <c r="E49" i="48"/>
  <c r="E47" i="48"/>
  <c r="E40" i="48"/>
  <c r="E48" i="48"/>
  <c r="D35" i="16"/>
  <c r="D34" i="16"/>
  <c r="F13" i="32"/>
  <c r="E13" i="49" s="1"/>
  <c r="G9" i="22"/>
  <c r="L22" i="22"/>
  <c r="L19" i="22"/>
  <c r="L21" i="22" s="1"/>
  <c r="I24" i="22"/>
  <c r="H24" i="22"/>
  <c r="J23" i="22"/>
  <c r="J24" i="22" s="1"/>
  <c r="H23" i="22"/>
  <c r="J22" i="22"/>
  <c r="H22" i="22"/>
  <c r="J21" i="22"/>
  <c r="H21" i="22"/>
  <c r="J19" i="22"/>
  <c r="L23" i="22" l="1"/>
  <c r="L24" i="22" s="1"/>
  <c r="F19" i="16" l="1"/>
  <c r="F20" i="16"/>
  <c r="F21" i="16"/>
  <c r="F22" i="16"/>
  <c r="F23" i="16"/>
  <c r="C6" i="47"/>
  <c r="C7" i="47"/>
  <c r="C8" i="47"/>
  <c r="C9" i="47"/>
  <c r="C10" i="47"/>
  <c r="C11" i="47"/>
  <c r="C12" i="47"/>
  <c r="C13" i="47"/>
  <c r="C14" i="47"/>
  <c r="C15" i="47"/>
  <c r="C16" i="47"/>
  <c r="C17" i="47"/>
  <c r="C18" i="47"/>
  <c r="C19" i="47"/>
  <c r="C20" i="47"/>
  <c r="C21" i="47"/>
  <c r="C22" i="47"/>
  <c r="C23" i="47"/>
  <c r="C24" i="47"/>
  <c r="C25" i="47"/>
  <c r="C26" i="47"/>
  <c r="C27" i="47"/>
  <c r="C28" i="47"/>
  <c r="C29" i="47"/>
  <c r="C30" i="47"/>
  <c r="C31" i="47"/>
  <c r="C32" i="47"/>
  <c r="C33" i="47"/>
  <c r="C34" i="47"/>
  <c r="C35" i="47"/>
  <c r="C36" i="47"/>
  <c r="C37" i="47"/>
  <c r="C38" i="47"/>
  <c r="C39" i="47"/>
  <c r="C40" i="47"/>
  <c r="C41" i="47"/>
  <c r="C42" i="47"/>
  <c r="C43" i="47"/>
  <c r="C44" i="47"/>
  <c r="C45" i="47"/>
  <c r="C46" i="47"/>
  <c r="C47" i="47"/>
  <c r="C48" i="47"/>
  <c r="C49" i="47"/>
  <c r="C50" i="47"/>
  <c r="C51" i="47"/>
  <c r="C52" i="47"/>
  <c r="C53" i="47"/>
  <c r="C54" i="47"/>
  <c r="C55" i="47"/>
  <c r="C56" i="47"/>
  <c r="C57" i="47"/>
  <c r="C58" i="47"/>
  <c r="C59" i="47"/>
  <c r="C60" i="47"/>
  <c r="C61" i="47"/>
  <c r="C62" i="47"/>
  <c r="C63" i="47"/>
  <c r="C64" i="47"/>
  <c r="C65" i="47"/>
  <c r="C66" i="47"/>
  <c r="C67" i="47"/>
  <c r="C68" i="47"/>
  <c r="C69" i="47"/>
  <c r="C70" i="47"/>
  <c r="C71" i="47"/>
  <c r="C72" i="47"/>
  <c r="C73" i="47"/>
  <c r="C74" i="47"/>
  <c r="C75" i="47"/>
  <c r="C76" i="47"/>
  <c r="C77" i="47"/>
  <c r="C78" i="47"/>
  <c r="C79" i="47"/>
  <c r="C80" i="47"/>
  <c r="C81" i="47"/>
  <c r="C82" i="47"/>
  <c r="C83" i="47"/>
  <c r="C84" i="47"/>
  <c r="C85" i="47"/>
  <c r="C86" i="47"/>
  <c r="C87" i="47"/>
  <c r="C88" i="47"/>
  <c r="C89" i="47"/>
  <c r="C90" i="47"/>
  <c r="C91" i="47"/>
  <c r="C92" i="47"/>
  <c r="C93" i="47"/>
  <c r="C94" i="47"/>
  <c r="C95" i="47"/>
  <c r="C96" i="47"/>
  <c r="C97" i="47"/>
  <c r="C98" i="47"/>
  <c r="C99" i="47"/>
  <c r="C100" i="47"/>
  <c r="C101" i="47"/>
  <c r="C102" i="47"/>
  <c r="C103" i="47"/>
  <c r="C104" i="47"/>
  <c r="C105" i="47"/>
  <c r="C106" i="47"/>
  <c r="C107" i="47"/>
  <c r="C108" i="47"/>
  <c r="C109" i="47"/>
  <c r="C110" i="47"/>
  <c r="C111" i="47"/>
  <c r="C112" i="47"/>
  <c r="C113" i="47"/>
  <c r="C114" i="47"/>
  <c r="C115" i="47"/>
  <c r="C116" i="47"/>
  <c r="C117" i="47"/>
  <c r="C118" i="47"/>
  <c r="C119" i="47"/>
  <c r="C120" i="47"/>
  <c r="C121" i="47"/>
  <c r="C122" i="47"/>
  <c r="C123" i="47"/>
  <c r="C124" i="47"/>
  <c r="C125" i="47"/>
  <c r="C126" i="47"/>
  <c r="C127" i="47"/>
  <c r="C128" i="47"/>
  <c r="C129" i="47"/>
  <c r="C130" i="47"/>
  <c r="C131" i="47"/>
  <c r="C132" i="47"/>
  <c r="C133" i="47"/>
  <c r="C134" i="47"/>
  <c r="C135" i="47"/>
  <c r="C136" i="47"/>
  <c r="C137" i="47"/>
  <c r="C138" i="47"/>
  <c r="C139" i="47"/>
  <c r="C140" i="47"/>
  <c r="C141" i="47"/>
  <c r="C142" i="47"/>
  <c r="C143" i="47"/>
  <c r="C144" i="47"/>
  <c r="C145" i="47"/>
  <c r="C146" i="47"/>
  <c r="C147" i="47"/>
  <c r="C148" i="47"/>
  <c r="C149" i="47"/>
  <c r="C150" i="47"/>
  <c r="C151" i="47"/>
  <c r="C152" i="47"/>
  <c r="C153" i="47"/>
  <c r="C154" i="47"/>
  <c r="C155" i="47"/>
  <c r="C156" i="47"/>
  <c r="C157" i="47"/>
  <c r="C158" i="47"/>
  <c r="C159" i="47"/>
  <c r="C160" i="47"/>
  <c r="C161" i="47"/>
  <c r="C162" i="47"/>
  <c r="C163" i="47"/>
  <c r="C164" i="47"/>
  <c r="C165" i="47"/>
  <c r="C166" i="47"/>
  <c r="C167" i="47"/>
  <c r="C168" i="47"/>
  <c r="C169" i="47"/>
  <c r="C170" i="47"/>
  <c r="C171" i="47"/>
  <c r="C172" i="47"/>
  <c r="C173" i="47"/>
  <c r="C174" i="47"/>
  <c r="C175" i="47"/>
  <c r="C176" i="47"/>
  <c r="C177" i="47"/>
  <c r="C178" i="47"/>
  <c r="C179" i="47"/>
  <c r="C180" i="47"/>
  <c r="C181" i="47"/>
  <c r="C182" i="47"/>
  <c r="C183" i="47"/>
  <c r="C184" i="47"/>
  <c r="C185" i="47"/>
  <c r="C186" i="47"/>
  <c r="C187" i="47"/>
  <c r="C188" i="47"/>
  <c r="C189" i="47"/>
  <c r="C190" i="47"/>
  <c r="C191" i="47"/>
  <c r="C192" i="47"/>
  <c r="C193" i="47"/>
  <c r="C194" i="47"/>
  <c r="C195" i="47"/>
  <c r="C196" i="47"/>
  <c r="C197" i="47"/>
  <c r="C198" i="47"/>
  <c r="C199" i="47"/>
  <c r="C200" i="47"/>
  <c r="C201" i="47"/>
  <c r="C202" i="47"/>
  <c r="C203" i="47"/>
  <c r="C204" i="47"/>
  <c r="C205" i="47"/>
  <c r="C206" i="47"/>
  <c r="C207" i="47"/>
  <c r="C208" i="47"/>
  <c r="C209" i="47"/>
  <c r="C210" i="47"/>
  <c r="C211" i="47"/>
  <c r="C212" i="47"/>
  <c r="C213" i="47"/>
  <c r="C214" i="47"/>
  <c r="C215" i="47"/>
  <c r="C216" i="47"/>
  <c r="C217" i="47"/>
  <c r="C218" i="47"/>
  <c r="C219" i="47"/>
  <c r="C220" i="47"/>
  <c r="C221" i="47"/>
  <c r="C222" i="47"/>
  <c r="C223" i="47"/>
  <c r="C224" i="47"/>
  <c r="C225" i="47"/>
  <c r="C226" i="47"/>
  <c r="C227" i="47"/>
  <c r="C228" i="47"/>
  <c r="C229" i="47"/>
  <c r="C230" i="47"/>
  <c r="C231" i="47"/>
  <c r="C232" i="47"/>
  <c r="C233" i="47"/>
  <c r="C234" i="47"/>
  <c r="C235" i="47"/>
  <c r="C236" i="47"/>
  <c r="C237" i="47"/>
  <c r="C238" i="47"/>
  <c r="C239" i="47"/>
  <c r="C240" i="47"/>
  <c r="C241" i="47"/>
  <c r="C242" i="47"/>
  <c r="C243" i="47"/>
  <c r="C244" i="47"/>
  <c r="C245" i="47"/>
  <c r="C246" i="47"/>
  <c r="C247" i="47"/>
  <c r="C248" i="47"/>
  <c r="C249" i="47"/>
  <c r="C250" i="47"/>
  <c r="C251" i="47"/>
  <c r="C252" i="47"/>
  <c r="C253" i="47"/>
  <c r="C254" i="47"/>
  <c r="C255" i="47"/>
  <c r="C256" i="47"/>
  <c r="C257" i="47"/>
  <c r="C258" i="47"/>
  <c r="C259" i="47"/>
  <c r="C260" i="47"/>
  <c r="C261" i="47"/>
  <c r="C262" i="47"/>
  <c r="C263" i="47"/>
  <c r="C264" i="47"/>
  <c r="C265" i="47"/>
  <c r="C266" i="47"/>
  <c r="C267" i="47"/>
  <c r="C268" i="47"/>
  <c r="C269" i="47"/>
  <c r="C270" i="47"/>
  <c r="C271" i="47"/>
  <c r="C272" i="47"/>
  <c r="C273" i="47"/>
  <c r="C274" i="47"/>
  <c r="C275" i="47"/>
  <c r="C276" i="47"/>
  <c r="C277" i="47"/>
  <c r="C278" i="47"/>
  <c r="C279" i="47"/>
  <c r="C280" i="47"/>
  <c r="C281" i="47"/>
  <c r="C282" i="47"/>
  <c r="C283" i="47"/>
  <c r="C284" i="47"/>
  <c r="C285" i="47"/>
  <c r="C286" i="47"/>
  <c r="C287" i="47"/>
  <c r="C288" i="47"/>
  <c r="C289" i="47"/>
  <c r="C290" i="47"/>
  <c r="C291" i="47"/>
  <c r="C292" i="47"/>
  <c r="C293" i="47"/>
  <c r="C294" i="47"/>
  <c r="C295" i="47"/>
  <c r="C296" i="47"/>
  <c r="C297" i="47"/>
  <c r="C298" i="47"/>
  <c r="C299" i="47"/>
  <c r="C300" i="47"/>
  <c r="C301" i="47"/>
  <c r="C302" i="47"/>
  <c r="C303" i="47"/>
  <c r="C304" i="47"/>
  <c r="C305" i="47"/>
  <c r="C306" i="47"/>
  <c r="C307" i="47"/>
  <c r="C308" i="47"/>
  <c r="C309" i="47"/>
  <c r="C310" i="47"/>
  <c r="C311" i="47"/>
  <c r="C312" i="47"/>
  <c r="C313" i="47"/>
  <c r="C314" i="47"/>
  <c r="C315" i="47"/>
  <c r="C316" i="47"/>
  <c r="C317" i="47"/>
  <c r="C318" i="47"/>
  <c r="C319" i="47"/>
  <c r="C320" i="47"/>
  <c r="C321" i="47"/>
  <c r="C322" i="47"/>
  <c r="C323" i="47"/>
  <c r="C324" i="47"/>
  <c r="C325" i="47"/>
  <c r="C326" i="47"/>
  <c r="C327" i="47"/>
  <c r="C328" i="47"/>
  <c r="C329" i="47"/>
  <c r="C330" i="47"/>
  <c r="C331" i="47"/>
  <c r="C332" i="47"/>
  <c r="C333" i="47"/>
  <c r="C334" i="47"/>
  <c r="C335" i="47"/>
  <c r="C336" i="47"/>
  <c r="C337" i="47"/>
  <c r="C338" i="47"/>
  <c r="C339" i="47"/>
  <c r="C340" i="47"/>
  <c r="C341" i="47"/>
  <c r="C342" i="47"/>
  <c r="C343" i="47"/>
  <c r="C344" i="47"/>
  <c r="C345" i="47"/>
  <c r="C346" i="47"/>
  <c r="C347" i="47"/>
  <c r="C348" i="47"/>
  <c r="C349" i="47"/>
  <c r="C350" i="47"/>
  <c r="C351" i="47"/>
  <c r="C352" i="47"/>
  <c r="C353" i="47"/>
  <c r="C354" i="47"/>
  <c r="C355" i="47"/>
  <c r="C356" i="47"/>
  <c r="C357" i="47"/>
  <c r="C358" i="47"/>
  <c r="C359" i="47"/>
  <c r="C360" i="47"/>
  <c r="C361" i="47"/>
  <c r="C362" i="47"/>
  <c r="C363" i="47"/>
  <c r="C364" i="47"/>
  <c r="C365" i="47"/>
  <c r="C366" i="47"/>
  <c r="C367" i="47"/>
  <c r="C368" i="47"/>
  <c r="C369" i="47"/>
  <c r="C370" i="47"/>
  <c r="C371" i="47"/>
  <c r="C372" i="47"/>
  <c r="C373" i="47"/>
  <c r="C374" i="47"/>
  <c r="C375" i="47"/>
  <c r="C376" i="47"/>
  <c r="C377" i="47"/>
  <c r="C378" i="47"/>
  <c r="C379" i="47"/>
  <c r="C380" i="47"/>
  <c r="C381" i="47"/>
  <c r="C382" i="47"/>
  <c r="C383" i="47"/>
  <c r="C384" i="47"/>
  <c r="C385" i="47"/>
  <c r="C386" i="47"/>
  <c r="C387" i="47"/>
  <c r="C388" i="47"/>
  <c r="C389" i="47"/>
  <c r="C390" i="47"/>
  <c r="C391" i="47"/>
  <c r="C392" i="47"/>
  <c r="C393" i="47"/>
  <c r="C394" i="47"/>
  <c r="C395" i="47"/>
  <c r="C396" i="47"/>
  <c r="C397" i="47"/>
  <c r="C398" i="47"/>
  <c r="C399" i="47"/>
  <c r="C400" i="47"/>
  <c r="C401" i="47"/>
  <c r="C402" i="47"/>
  <c r="C403" i="47"/>
  <c r="C404" i="47"/>
  <c r="C405" i="47"/>
  <c r="C406" i="47"/>
  <c r="C407" i="47"/>
  <c r="C408" i="47"/>
  <c r="C409" i="47"/>
  <c r="C410" i="47"/>
  <c r="C411" i="47"/>
  <c r="C412" i="47"/>
  <c r="C413" i="47"/>
  <c r="C414" i="47"/>
  <c r="C415" i="47"/>
  <c r="C416" i="47"/>
  <c r="C417" i="47"/>
  <c r="C418" i="47"/>
  <c r="C419" i="47"/>
  <c r="C420" i="47"/>
  <c r="C421" i="47"/>
  <c r="C422" i="47"/>
  <c r="C423" i="47"/>
  <c r="C424" i="47"/>
  <c r="C425" i="47"/>
  <c r="C426" i="47"/>
  <c r="C427" i="47"/>
  <c r="C428" i="47"/>
  <c r="C429" i="47"/>
  <c r="C430" i="47"/>
  <c r="C431" i="47"/>
  <c r="C432" i="47"/>
  <c r="C433" i="47"/>
  <c r="C434" i="47"/>
  <c r="C435" i="47"/>
  <c r="C436" i="47"/>
  <c r="C437" i="47"/>
  <c r="C438" i="47"/>
  <c r="C439" i="47"/>
  <c r="C440" i="47"/>
  <c r="C441" i="47"/>
  <c r="C442" i="47"/>
  <c r="C443" i="47"/>
  <c r="C444" i="47"/>
  <c r="C445" i="47"/>
  <c r="C446" i="47"/>
  <c r="C447" i="47"/>
  <c r="C448" i="47"/>
  <c r="C449" i="47"/>
  <c r="C450" i="47"/>
  <c r="C451" i="47"/>
  <c r="C452" i="47"/>
  <c r="C453" i="47"/>
  <c r="C454" i="47"/>
  <c r="C455" i="47"/>
  <c r="C456" i="47"/>
  <c r="C457" i="47"/>
  <c r="C458" i="47"/>
  <c r="C459" i="47"/>
  <c r="C460" i="47"/>
  <c r="C461" i="47"/>
  <c r="C462" i="47"/>
  <c r="C463" i="47"/>
  <c r="C464" i="47"/>
  <c r="C465" i="47"/>
  <c r="C466" i="47"/>
  <c r="C467" i="47"/>
  <c r="C468" i="47"/>
  <c r="C469" i="47"/>
  <c r="C470" i="47"/>
  <c r="C471" i="47"/>
  <c r="C472" i="47"/>
  <c r="C473" i="47"/>
  <c r="C474" i="47"/>
  <c r="C475" i="47"/>
  <c r="C476" i="47"/>
  <c r="C477" i="47"/>
  <c r="C478" i="47"/>
  <c r="C479" i="47"/>
  <c r="C480" i="47"/>
  <c r="C481" i="47"/>
  <c r="C482" i="47"/>
  <c r="C483" i="47"/>
  <c r="C484" i="47"/>
  <c r="C485" i="47"/>
  <c r="C486" i="47"/>
  <c r="C487" i="47"/>
  <c r="C488" i="47"/>
  <c r="C489" i="47"/>
  <c r="C490" i="47"/>
  <c r="C491" i="47"/>
  <c r="C492" i="47"/>
  <c r="C493" i="47"/>
  <c r="C494" i="47"/>
  <c r="C495" i="47"/>
  <c r="C496" i="47"/>
  <c r="C497" i="47"/>
  <c r="C498" i="47"/>
  <c r="C499" i="47"/>
  <c r="C500" i="47"/>
  <c r="C501" i="47"/>
  <c r="C502" i="47"/>
  <c r="C503" i="47"/>
  <c r="C504" i="47"/>
  <c r="C505" i="47"/>
  <c r="C506" i="47"/>
  <c r="C507" i="47"/>
  <c r="C508" i="47"/>
  <c r="C509" i="47"/>
  <c r="C510" i="47"/>
  <c r="C511" i="47"/>
  <c r="C512" i="47"/>
  <c r="C513" i="47"/>
  <c r="C514" i="47"/>
  <c r="C515" i="47"/>
  <c r="C516" i="47"/>
  <c r="C517" i="47"/>
  <c r="C518" i="47"/>
  <c r="C519" i="47"/>
  <c r="C520" i="47"/>
  <c r="C521" i="47"/>
  <c r="C522" i="47"/>
  <c r="C523" i="47"/>
  <c r="C524" i="47"/>
  <c r="C525" i="47"/>
  <c r="C526" i="47"/>
  <c r="C527" i="47"/>
  <c r="C528" i="47"/>
  <c r="C529" i="47"/>
  <c r="C530" i="47"/>
  <c r="C531" i="47"/>
  <c r="C532" i="47"/>
  <c r="C533" i="47"/>
  <c r="C534" i="47"/>
  <c r="C535" i="47"/>
  <c r="C536" i="47"/>
  <c r="C537" i="47"/>
  <c r="C538" i="47"/>
  <c r="C539" i="47"/>
  <c r="C540" i="47"/>
  <c r="C541" i="47"/>
  <c r="C542" i="47"/>
  <c r="C543" i="47"/>
  <c r="C544" i="47"/>
  <c r="C545" i="47"/>
  <c r="C546" i="47"/>
  <c r="C547" i="47"/>
  <c r="C548" i="47"/>
  <c r="C549" i="47"/>
  <c r="C550" i="47"/>
  <c r="C551" i="47"/>
  <c r="C552" i="47"/>
  <c r="C553" i="47"/>
  <c r="C554" i="47"/>
  <c r="C555" i="47"/>
  <c r="C556" i="47"/>
  <c r="C557" i="47"/>
  <c r="C558" i="47"/>
  <c r="C559" i="47"/>
  <c r="C560" i="47"/>
  <c r="C561" i="47"/>
  <c r="C562" i="47"/>
  <c r="C563" i="47"/>
  <c r="C564" i="47"/>
  <c r="C565" i="47"/>
  <c r="C566" i="47"/>
  <c r="C567" i="47"/>
  <c r="C568" i="47"/>
  <c r="C569" i="47"/>
  <c r="C570" i="47"/>
  <c r="C571" i="47"/>
  <c r="C572" i="47"/>
  <c r="C573" i="47"/>
  <c r="C574" i="47"/>
  <c r="C575" i="47"/>
  <c r="C576" i="47"/>
  <c r="C577" i="47"/>
  <c r="C578" i="47"/>
  <c r="C579" i="47"/>
  <c r="C580" i="47"/>
  <c r="C581" i="47"/>
  <c r="C582" i="47"/>
  <c r="C583" i="47"/>
  <c r="C584" i="47"/>
  <c r="C585" i="47"/>
  <c r="C586" i="47"/>
  <c r="C587" i="47"/>
  <c r="C588" i="47"/>
  <c r="C589" i="47"/>
  <c r="C590" i="47"/>
  <c r="C591" i="47"/>
  <c r="C592" i="47"/>
  <c r="C593" i="47"/>
  <c r="C594" i="47"/>
  <c r="C595" i="47"/>
  <c r="C596" i="47"/>
  <c r="C597" i="47"/>
  <c r="C598" i="47"/>
  <c r="C599" i="47"/>
  <c r="C600" i="47"/>
  <c r="C601" i="47"/>
  <c r="C602" i="47"/>
  <c r="C603" i="47"/>
  <c r="C604" i="47"/>
  <c r="C605" i="47"/>
  <c r="C606" i="47"/>
  <c r="C607" i="47"/>
  <c r="C608" i="47"/>
  <c r="C609" i="47"/>
  <c r="C610" i="47"/>
  <c r="C611" i="47"/>
  <c r="C612" i="47"/>
  <c r="C613" i="47"/>
  <c r="C614" i="47"/>
  <c r="C615" i="47"/>
  <c r="C616" i="47"/>
  <c r="C617" i="47"/>
  <c r="C618" i="47"/>
  <c r="C619" i="47"/>
  <c r="C620" i="47"/>
  <c r="C621" i="47"/>
  <c r="C622" i="47"/>
  <c r="C623" i="47"/>
  <c r="C624" i="47"/>
  <c r="C625" i="47"/>
  <c r="C626" i="47"/>
  <c r="C627" i="47"/>
  <c r="C628" i="47"/>
  <c r="C629" i="47"/>
  <c r="C630" i="47"/>
  <c r="C631" i="47"/>
  <c r="C632" i="47"/>
  <c r="C633" i="47"/>
  <c r="C634" i="47"/>
  <c r="C635" i="47"/>
  <c r="C636" i="47"/>
  <c r="C637" i="47"/>
  <c r="C638" i="47"/>
  <c r="C639" i="47"/>
  <c r="C640" i="47"/>
  <c r="C641" i="47"/>
  <c r="C642" i="47"/>
  <c r="C643" i="47"/>
  <c r="C644" i="47"/>
  <c r="C645" i="47"/>
  <c r="C646" i="47"/>
  <c r="C647" i="47"/>
  <c r="C648" i="47"/>
  <c r="C649" i="47"/>
  <c r="C650" i="47"/>
  <c r="C651" i="47"/>
  <c r="C652" i="47"/>
  <c r="C653" i="47"/>
  <c r="C654" i="47"/>
  <c r="C655" i="47"/>
  <c r="C656" i="47"/>
  <c r="C657" i="47"/>
  <c r="C658" i="47"/>
  <c r="C659" i="47"/>
  <c r="C660" i="47"/>
  <c r="C661" i="47"/>
  <c r="C662" i="47"/>
  <c r="C663" i="47"/>
  <c r="C664" i="47"/>
  <c r="C665" i="47"/>
  <c r="C666" i="47"/>
  <c r="C667" i="47"/>
  <c r="C668" i="47"/>
  <c r="C669" i="47"/>
  <c r="C670" i="47"/>
  <c r="C671" i="47"/>
  <c r="C672" i="47"/>
  <c r="C673" i="47"/>
  <c r="C674" i="47"/>
  <c r="C675" i="47"/>
  <c r="C676" i="47"/>
  <c r="C677" i="47"/>
  <c r="C678" i="47"/>
  <c r="C679" i="47"/>
  <c r="C680" i="47"/>
  <c r="C681" i="47"/>
  <c r="C682" i="47"/>
  <c r="C683" i="47"/>
  <c r="C684" i="47"/>
  <c r="C685" i="47"/>
  <c r="C686" i="47"/>
  <c r="C687" i="47"/>
  <c r="C688" i="47"/>
  <c r="C689" i="47"/>
  <c r="C690" i="47"/>
  <c r="C691" i="47"/>
  <c r="C692" i="47"/>
  <c r="C693" i="47"/>
  <c r="C694" i="47"/>
  <c r="C695" i="47"/>
  <c r="C696" i="47"/>
  <c r="C697" i="47"/>
  <c r="C698" i="47"/>
  <c r="C699" i="47"/>
  <c r="C700" i="47"/>
  <c r="C701" i="47"/>
  <c r="C702" i="47"/>
  <c r="C703" i="47"/>
  <c r="C704" i="47"/>
  <c r="C705" i="47"/>
  <c r="C706" i="47"/>
  <c r="C707" i="47"/>
  <c r="C708" i="47"/>
  <c r="C709" i="47"/>
  <c r="C710" i="47"/>
  <c r="C711" i="47"/>
  <c r="C712" i="47"/>
  <c r="C713" i="47"/>
  <c r="C714" i="47"/>
  <c r="C715" i="47"/>
  <c r="C716" i="47"/>
  <c r="C717" i="47"/>
  <c r="C718" i="47"/>
  <c r="C719" i="47"/>
  <c r="C720" i="47"/>
  <c r="C721" i="47"/>
  <c r="C722" i="47"/>
  <c r="C723" i="47"/>
  <c r="C724" i="47"/>
  <c r="C725" i="47"/>
  <c r="C726" i="47"/>
  <c r="C727" i="47"/>
  <c r="C728" i="47"/>
  <c r="C729" i="47"/>
  <c r="C730" i="47"/>
  <c r="C731" i="47"/>
  <c r="C732" i="47"/>
  <c r="C733" i="47"/>
  <c r="C734" i="47"/>
  <c r="C735" i="47"/>
  <c r="C736" i="47"/>
  <c r="C737" i="47"/>
  <c r="C738" i="47"/>
  <c r="C739" i="47"/>
  <c r="C740" i="47"/>
  <c r="C741" i="47"/>
  <c r="C742" i="47"/>
  <c r="C743" i="47"/>
  <c r="C744" i="47"/>
  <c r="C745" i="47"/>
  <c r="C746" i="47"/>
  <c r="C747" i="47"/>
  <c r="C748" i="47"/>
  <c r="C749" i="47"/>
  <c r="C750" i="47"/>
  <c r="C751" i="47"/>
  <c r="C752" i="47"/>
  <c r="C753" i="47"/>
  <c r="C754" i="47"/>
  <c r="C755" i="47"/>
  <c r="C756" i="47"/>
  <c r="C757" i="47"/>
  <c r="C758" i="47"/>
  <c r="C759" i="47"/>
  <c r="C760" i="47"/>
  <c r="C761" i="47"/>
  <c r="C762" i="47"/>
  <c r="C763" i="47"/>
  <c r="C764" i="47"/>
  <c r="C765" i="47"/>
  <c r="C766" i="47"/>
  <c r="C767" i="47"/>
  <c r="C768" i="47"/>
  <c r="C769" i="47"/>
  <c r="C770" i="47"/>
  <c r="C771" i="47"/>
  <c r="C772" i="47"/>
  <c r="C773" i="47"/>
  <c r="C774" i="47"/>
  <c r="C775" i="47"/>
  <c r="C776" i="47"/>
  <c r="C777" i="47"/>
  <c r="C778" i="47"/>
  <c r="C779" i="47"/>
  <c r="C780" i="47"/>
  <c r="C781" i="47"/>
  <c r="C782" i="47"/>
  <c r="C783" i="47"/>
  <c r="C784" i="47"/>
  <c r="C785" i="47"/>
  <c r="C786" i="47"/>
  <c r="C787" i="47"/>
  <c r="C788" i="47"/>
  <c r="C789" i="47"/>
  <c r="C790" i="47"/>
  <c r="C791" i="47"/>
  <c r="C792" i="47"/>
  <c r="C793" i="47"/>
  <c r="C794" i="47"/>
  <c r="C795" i="47"/>
  <c r="C796" i="47"/>
  <c r="C797" i="47"/>
  <c r="C798" i="47"/>
  <c r="C799" i="47"/>
  <c r="C800" i="47"/>
  <c r="C801" i="47"/>
  <c r="C802" i="47"/>
  <c r="C803" i="47"/>
  <c r="C804" i="47"/>
  <c r="C805" i="47"/>
  <c r="C806" i="47"/>
  <c r="C807" i="47"/>
  <c r="C808" i="47"/>
  <c r="C809" i="47"/>
  <c r="C810" i="47"/>
  <c r="C811" i="47"/>
  <c r="C812" i="47"/>
  <c r="C813" i="47"/>
  <c r="C814" i="47"/>
  <c r="C815" i="47"/>
  <c r="C816" i="47"/>
  <c r="C817" i="47"/>
  <c r="C818" i="47"/>
  <c r="C819" i="47"/>
  <c r="C820" i="47"/>
  <c r="C821" i="47"/>
  <c r="C822" i="47"/>
  <c r="C823" i="47"/>
  <c r="C824" i="47"/>
  <c r="C825" i="47"/>
  <c r="C826" i="47"/>
  <c r="C827" i="47"/>
  <c r="C828" i="47"/>
  <c r="C829" i="47"/>
  <c r="C830" i="47"/>
  <c r="C831" i="47"/>
  <c r="C832" i="47"/>
  <c r="C833" i="47"/>
  <c r="C834" i="47"/>
  <c r="C835" i="47"/>
  <c r="C836" i="47"/>
  <c r="C837" i="47"/>
  <c r="C838" i="47"/>
  <c r="C839" i="47"/>
  <c r="C840" i="47"/>
  <c r="C841" i="47"/>
  <c r="C842" i="47"/>
  <c r="C843" i="47"/>
  <c r="C844" i="47"/>
  <c r="C845" i="47"/>
  <c r="C846" i="47"/>
  <c r="C847" i="47"/>
  <c r="C848" i="47"/>
  <c r="C849" i="47"/>
  <c r="C850" i="47"/>
  <c r="C851" i="47"/>
  <c r="C852" i="47"/>
  <c r="C853" i="47"/>
  <c r="C854" i="47"/>
  <c r="C855" i="47"/>
  <c r="C856" i="47"/>
  <c r="C857" i="47"/>
  <c r="C858" i="47"/>
  <c r="C859" i="47"/>
  <c r="C860" i="47"/>
  <c r="C861" i="47"/>
  <c r="C862" i="47"/>
  <c r="C863" i="47"/>
  <c r="C864" i="47"/>
  <c r="C865" i="47"/>
  <c r="C866" i="47"/>
  <c r="C867" i="47"/>
  <c r="C868" i="47"/>
  <c r="C869" i="47"/>
  <c r="C870" i="47"/>
  <c r="C871" i="47"/>
  <c r="C872" i="47"/>
  <c r="C873" i="47"/>
  <c r="C874" i="47"/>
  <c r="C875" i="47"/>
  <c r="C876" i="47"/>
  <c r="C877" i="47"/>
  <c r="C878" i="47"/>
  <c r="C879" i="47"/>
  <c r="C880" i="47"/>
  <c r="C881" i="47"/>
  <c r="C882" i="47"/>
  <c r="C883" i="47"/>
  <c r="C884" i="47"/>
  <c r="C885" i="47"/>
  <c r="C886" i="47"/>
  <c r="C887" i="47"/>
  <c r="C888" i="47"/>
  <c r="C889" i="47"/>
  <c r="C890" i="47"/>
  <c r="C891" i="47"/>
  <c r="C892" i="47"/>
  <c r="C893" i="47"/>
  <c r="C894" i="47"/>
  <c r="C895" i="47"/>
  <c r="C896" i="47"/>
  <c r="C897" i="47"/>
  <c r="C898" i="47"/>
  <c r="C899" i="47"/>
  <c r="C900" i="47"/>
  <c r="C901" i="47"/>
  <c r="C902" i="47"/>
  <c r="C903" i="47"/>
  <c r="C904" i="47"/>
  <c r="C905" i="47"/>
  <c r="C906" i="47"/>
  <c r="C907" i="47"/>
  <c r="C908" i="47"/>
  <c r="C909" i="47"/>
  <c r="C910" i="47"/>
  <c r="C911" i="47"/>
  <c r="C912" i="47"/>
  <c r="C913" i="47"/>
  <c r="C914" i="47"/>
  <c r="C915" i="47"/>
  <c r="C916" i="47"/>
  <c r="C917" i="47"/>
  <c r="C918" i="47"/>
  <c r="C919" i="47"/>
  <c r="C920" i="47"/>
  <c r="C921" i="47"/>
  <c r="C922" i="47"/>
  <c r="C923" i="47"/>
  <c r="C924" i="47"/>
  <c r="C925" i="47"/>
  <c r="C926" i="47"/>
  <c r="C927" i="47"/>
  <c r="C928" i="47"/>
  <c r="C929" i="47"/>
  <c r="C930" i="47"/>
  <c r="C931" i="47"/>
  <c r="C932" i="47"/>
  <c r="C933" i="47"/>
  <c r="C934" i="47"/>
  <c r="C935" i="47"/>
  <c r="C936" i="47"/>
  <c r="C937" i="47"/>
  <c r="C938" i="47"/>
  <c r="C939" i="47"/>
  <c r="C940" i="47"/>
  <c r="C941" i="47"/>
  <c r="C942" i="47"/>
  <c r="C943" i="47"/>
  <c r="C944" i="47"/>
  <c r="C945" i="47"/>
  <c r="C946" i="47"/>
  <c r="C947" i="47"/>
  <c r="C948" i="47"/>
  <c r="C949" i="47"/>
  <c r="C950" i="47"/>
  <c r="C951" i="47"/>
  <c r="C952" i="47"/>
  <c r="C953" i="47"/>
  <c r="C954" i="47"/>
  <c r="C955" i="47"/>
  <c r="C956" i="47"/>
  <c r="C957" i="47"/>
  <c r="C958" i="47"/>
  <c r="C959" i="47"/>
  <c r="C960" i="47"/>
  <c r="C961" i="47"/>
  <c r="C962" i="47"/>
  <c r="C963" i="47"/>
  <c r="C964" i="47"/>
  <c r="C965" i="47"/>
  <c r="C966" i="47"/>
  <c r="C967" i="47"/>
  <c r="C968" i="47"/>
  <c r="C969" i="47"/>
  <c r="C970" i="47"/>
  <c r="C971" i="47"/>
  <c r="C972" i="47"/>
  <c r="C973" i="47"/>
  <c r="C974" i="47"/>
  <c r="C975" i="47"/>
  <c r="C976" i="47"/>
  <c r="C977" i="47"/>
  <c r="C978" i="47"/>
  <c r="C979" i="47"/>
  <c r="C980" i="47"/>
  <c r="C981" i="47"/>
  <c r="C982" i="47"/>
  <c r="C983" i="47"/>
  <c r="C984" i="47"/>
  <c r="C985" i="47"/>
  <c r="C986" i="47"/>
  <c r="C987" i="47"/>
  <c r="C988" i="47"/>
  <c r="C989" i="47"/>
  <c r="C990" i="47"/>
  <c r="C991" i="47"/>
  <c r="C992" i="47"/>
  <c r="C993" i="47"/>
  <c r="C994" i="47"/>
  <c r="C995" i="47"/>
  <c r="C996" i="47"/>
  <c r="C997" i="47"/>
  <c r="C998" i="47"/>
  <c r="C999" i="47"/>
  <c r="C1000" i="47"/>
  <c r="C1001" i="47"/>
  <c r="C1002" i="47"/>
  <c r="C1003" i="47"/>
  <c r="C1004" i="47"/>
  <c r="C1005" i="47"/>
  <c r="C1006" i="47"/>
  <c r="C1007" i="47"/>
  <c r="C1008" i="47"/>
  <c r="C1009" i="47"/>
  <c r="C1010" i="47"/>
  <c r="C1011" i="47"/>
  <c r="C1012" i="47"/>
  <c r="C1013" i="47"/>
  <c r="C1014" i="47"/>
  <c r="C1015" i="47"/>
  <c r="C1016" i="47"/>
  <c r="C1017" i="47"/>
  <c r="C1018" i="47"/>
  <c r="C1019" i="47"/>
  <c r="C1020" i="47"/>
  <c r="C1021" i="47"/>
  <c r="C1022" i="47"/>
  <c r="C1023" i="47"/>
  <c r="C1024" i="47"/>
  <c r="C1025" i="47"/>
  <c r="C1026" i="47"/>
  <c r="C1027" i="47"/>
  <c r="C1028" i="47"/>
  <c r="C1029" i="47"/>
  <c r="C1030" i="47"/>
  <c r="C1031" i="47"/>
  <c r="C1032" i="47"/>
  <c r="C1033" i="47"/>
  <c r="C1034" i="47"/>
  <c r="C1035" i="47"/>
  <c r="C1036" i="47"/>
  <c r="C1037" i="47"/>
  <c r="C1038" i="47"/>
  <c r="C1039" i="47"/>
  <c r="C1040" i="47"/>
  <c r="C1041" i="47"/>
  <c r="C1042" i="47"/>
  <c r="C1043" i="47"/>
  <c r="C1044" i="47"/>
  <c r="C1045" i="47"/>
  <c r="C1046" i="47"/>
  <c r="C1047" i="47"/>
  <c r="C1048" i="47"/>
  <c r="C1049" i="47"/>
  <c r="C1050" i="47"/>
  <c r="C1051" i="47"/>
  <c r="C1052" i="47"/>
  <c r="C1053" i="47"/>
  <c r="C1054" i="47"/>
  <c r="C1055" i="47"/>
  <c r="C1056" i="47"/>
  <c r="C1057" i="47"/>
  <c r="C1058" i="47"/>
  <c r="C1059" i="47"/>
  <c r="C1060" i="47"/>
  <c r="C1061" i="47"/>
  <c r="C1062" i="47"/>
  <c r="C1063" i="47"/>
  <c r="C1064" i="47"/>
  <c r="C1065" i="47"/>
  <c r="C1066" i="47"/>
  <c r="C1067" i="47"/>
  <c r="C1068" i="47"/>
  <c r="C1069" i="47"/>
  <c r="C1070" i="47"/>
  <c r="C1071" i="47"/>
  <c r="C1072" i="47"/>
  <c r="C1073" i="47"/>
  <c r="C1074" i="47"/>
  <c r="C1075" i="47"/>
  <c r="C1076" i="47"/>
  <c r="C1077" i="47"/>
  <c r="C1078" i="47"/>
  <c r="C1079" i="47"/>
  <c r="C1080" i="47"/>
  <c r="C1081" i="47"/>
  <c r="C1082" i="47"/>
  <c r="C1083" i="47"/>
  <c r="C1084" i="47"/>
  <c r="C1085" i="47"/>
  <c r="C1086" i="47"/>
  <c r="C1087" i="47"/>
  <c r="C1088" i="47"/>
  <c r="C1089" i="47"/>
  <c r="C1090" i="47"/>
  <c r="C1091" i="47"/>
  <c r="C1092" i="47"/>
  <c r="C1093" i="47"/>
  <c r="C1094" i="47"/>
  <c r="C1095" i="47"/>
  <c r="C1096" i="47"/>
  <c r="C1097" i="47"/>
  <c r="C1098" i="47"/>
  <c r="C1099" i="47"/>
  <c r="C1100" i="47"/>
  <c r="C1101" i="47"/>
  <c r="C1102" i="47"/>
  <c r="C1103" i="47"/>
  <c r="C1104" i="47"/>
  <c r="C1105" i="47"/>
  <c r="C1106" i="47"/>
  <c r="C1107" i="47"/>
  <c r="C1108" i="47"/>
  <c r="C1109" i="47"/>
  <c r="C1110" i="47"/>
  <c r="C1111" i="47"/>
  <c r="C1112" i="47"/>
  <c r="C1113" i="47"/>
  <c r="C1114" i="47"/>
  <c r="C1115" i="47"/>
  <c r="C1116" i="47"/>
  <c r="C1117" i="47"/>
  <c r="C1118" i="47"/>
  <c r="C1119" i="47"/>
  <c r="C1120" i="47"/>
  <c r="C1121" i="47"/>
  <c r="C1122" i="47"/>
  <c r="C1123" i="47"/>
  <c r="C1124" i="47"/>
  <c r="C1125" i="47"/>
  <c r="C1126" i="47"/>
  <c r="C1127" i="47"/>
  <c r="C1128" i="47"/>
  <c r="C1129" i="47"/>
  <c r="C1130" i="47"/>
  <c r="C1131" i="47"/>
  <c r="C1132" i="47"/>
  <c r="C1133" i="47"/>
  <c r="C1134" i="47"/>
  <c r="C1135" i="47"/>
  <c r="C1136" i="47"/>
  <c r="C1137" i="47"/>
  <c r="C1138" i="47"/>
  <c r="C1139" i="47"/>
  <c r="C1140" i="47"/>
  <c r="C1141" i="47"/>
  <c r="C1142" i="47"/>
  <c r="C1143" i="47"/>
  <c r="C1144" i="47"/>
  <c r="C1145" i="47"/>
  <c r="C1146" i="47"/>
  <c r="C1147" i="47"/>
  <c r="C1148" i="47"/>
  <c r="C1149" i="47"/>
  <c r="C1150" i="47"/>
  <c r="C1151" i="47"/>
  <c r="C1152" i="47"/>
  <c r="C1153" i="47"/>
  <c r="C1154" i="47"/>
  <c r="C1155" i="47"/>
  <c r="C1156" i="47"/>
  <c r="C1157" i="47"/>
  <c r="C1158" i="47"/>
  <c r="C1159" i="47"/>
  <c r="C1160" i="47"/>
  <c r="C1161" i="47"/>
  <c r="C1162" i="47"/>
  <c r="C1163" i="47"/>
  <c r="C1164" i="47"/>
  <c r="C1165" i="47"/>
  <c r="C1166" i="47"/>
  <c r="C1167" i="47"/>
  <c r="C1168" i="47"/>
  <c r="C1169" i="47"/>
  <c r="C1170" i="47"/>
  <c r="C1171" i="47"/>
  <c r="C1172" i="47"/>
  <c r="C1173" i="47"/>
  <c r="C1174" i="47"/>
  <c r="C1175" i="47"/>
  <c r="C1176" i="47"/>
  <c r="C1177" i="47"/>
  <c r="C1178" i="47"/>
  <c r="C1179" i="47"/>
  <c r="C1180" i="47"/>
  <c r="C1181" i="47"/>
  <c r="C1182" i="47"/>
  <c r="C1183" i="47"/>
  <c r="C1184" i="47"/>
  <c r="C1185" i="47"/>
  <c r="C1186" i="47"/>
  <c r="C1187" i="47"/>
  <c r="C1188" i="47"/>
  <c r="C1189" i="47"/>
  <c r="C1190" i="47"/>
  <c r="C1191" i="47"/>
  <c r="C1192" i="47"/>
  <c r="C1193" i="47"/>
  <c r="C1194" i="47"/>
  <c r="C1195" i="47"/>
  <c r="C1196" i="47"/>
  <c r="C1197" i="47"/>
  <c r="C1198" i="47"/>
  <c r="C1199" i="47"/>
  <c r="C1200" i="47"/>
  <c r="C1201" i="47"/>
  <c r="C1202" i="47"/>
  <c r="C1203" i="47"/>
  <c r="C1204" i="47"/>
  <c r="C1205" i="47"/>
  <c r="C1206" i="47"/>
  <c r="C1207" i="47"/>
  <c r="C1208" i="47"/>
  <c r="C1209" i="47"/>
  <c r="C1210" i="47"/>
  <c r="C1211" i="47"/>
  <c r="C1212" i="47"/>
  <c r="C1213" i="47"/>
  <c r="C1214" i="47"/>
  <c r="C1215" i="47"/>
  <c r="C1216" i="47"/>
  <c r="C1217" i="47"/>
  <c r="C1218" i="47"/>
  <c r="C1219" i="47"/>
  <c r="C1220" i="47"/>
  <c r="C1221" i="47"/>
  <c r="C1222" i="47"/>
  <c r="C1223" i="47"/>
  <c r="C1224" i="47"/>
  <c r="C1225" i="47"/>
  <c r="C1226" i="47"/>
  <c r="C1227" i="47"/>
  <c r="C1228" i="47"/>
  <c r="C1229" i="47"/>
  <c r="C1230" i="47"/>
  <c r="C5" i="47"/>
  <c r="E9" i="32" l="1"/>
  <c r="E11" i="32"/>
  <c r="E13" i="38"/>
  <c r="D11" i="38" l="1"/>
  <c r="D11" i="49"/>
  <c r="D9" i="38"/>
  <c r="D9" i="49"/>
  <c r="D9" i="41"/>
  <c r="D11" i="41"/>
  <c r="E13" i="41"/>
  <c r="E8" i="37"/>
  <c r="F8" i="37"/>
  <c r="E10" i="37"/>
  <c r="F10" i="37"/>
  <c r="E22" i="16"/>
  <c r="E21" i="16"/>
  <c r="E20" i="16"/>
  <c r="E19" i="16"/>
  <c r="H61" i="4"/>
  <c r="G29" i="37"/>
  <c r="G24" i="37"/>
  <c r="G25" i="37" s="1"/>
  <c r="F11" i="32" l="1"/>
  <c r="E11" i="41" s="1"/>
  <c r="F11" i="48"/>
  <c r="G9" i="32"/>
  <c r="F9" i="38" s="1"/>
  <c r="G9" i="48"/>
  <c r="J9" i="48" s="1"/>
  <c r="F9" i="32"/>
  <c r="E9" i="38" s="1"/>
  <c r="F9" i="48"/>
  <c r="G11" i="32"/>
  <c r="G11" i="48"/>
  <c r="J11" i="48" s="1"/>
  <c r="F9" i="41"/>
  <c r="G22" i="38"/>
  <c r="G25" i="38" s="1"/>
  <c r="G23" i="38"/>
  <c r="G26" i="38" s="1"/>
  <c r="G22" i="39" s="1"/>
  <c r="X22" i="39" s="1"/>
  <c r="G22" i="41"/>
  <c r="G25" i="41" s="1"/>
  <c r="G23" i="41"/>
  <c r="G26" i="41" s="1"/>
  <c r="F11" i="41" l="1"/>
  <c r="F11" i="49"/>
  <c r="J9" i="32"/>
  <c r="F9" i="49"/>
  <c r="E9" i="41"/>
  <c r="E9" i="49"/>
  <c r="E11" i="38"/>
  <c r="E11" i="49"/>
  <c r="J11" i="32"/>
  <c r="F11" i="38"/>
  <c r="G5" i="39"/>
  <c r="G9" i="39"/>
  <c r="G8" i="39"/>
  <c r="G10" i="39"/>
  <c r="G6" i="39"/>
  <c r="G7" i="39"/>
  <c r="G11" i="39" l="1"/>
  <c r="G12" i="39" s="1"/>
  <c r="G13" i="39" s="1"/>
  <c r="G14" i="39" s="1"/>
  <c r="G15" i="39" s="1"/>
  <c r="G16" i="39" s="1"/>
  <c r="G17" i="39" s="1"/>
  <c r="G18" i="39" s="1"/>
  <c r="G19" i="39" s="1"/>
  <c r="G20" i="39" s="1"/>
  <c r="G21" i="39" s="1"/>
  <c r="X10" i="39"/>
  <c r="E22" i="38"/>
  <c r="F22" i="38"/>
  <c r="E23" i="38"/>
  <c r="F23" i="38"/>
  <c r="D23" i="38"/>
  <c r="D22" i="38"/>
  <c r="F23" i="41"/>
  <c r="E23" i="41"/>
  <c r="F22" i="41"/>
  <c r="E22" i="41"/>
  <c r="D23" i="41"/>
  <c r="D22" i="41"/>
  <c r="F54" i="32"/>
  <c r="G54" i="32"/>
  <c r="H54" i="32"/>
  <c r="E54" i="32"/>
  <c r="X5" i="39" l="1"/>
  <c r="X11" i="39"/>
  <c r="E25" i="32"/>
  <c r="J34" i="39" s="1"/>
  <c r="B6" i="43" l="1"/>
  <c r="L6" i="43" s="1"/>
  <c r="E26" i="32"/>
  <c r="N6" i="34"/>
  <c r="J6" i="34"/>
  <c r="R6" i="34"/>
  <c r="F6" i="34"/>
  <c r="B6" i="34"/>
  <c r="X6" i="39"/>
  <c r="X7" i="39" s="1"/>
  <c r="X8" i="39" s="1"/>
  <c r="X9" i="39" s="1"/>
  <c r="X12" i="39"/>
  <c r="X13" i="39" s="1"/>
  <c r="X14" i="39" s="1"/>
  <c r="X15" i="39" s="1"/>
  <c r="X16" i="39" s="1"/>
  <c r="X17" i="39" s="1"/>
  <c r="X18" i="39" s="1"/>
  <c r="X19" i="39" s="1"/>
  <c r="X20" i="39" s="1"/>
  <c r="X21" i="39" s="1"/>
  <c r="B6" i="44" l="1"/>
  <c r="X31" i="39"/>
  <c r="G32" i="41"/>
  <c r="E8" i="42" s="1"/>
  <c r="X35" i="39"/>
  <c r="G28" i="41"/>
  <c r="E7" i="42" s="1"/>
  <c r="X26" i="39"/>
  <c r="X32" i="39"/>
  <c r="X30" i="39"/>
  <c r="A4" i="44"/>
  <c r="B4" i="44"/>
  <c r="C4" i="44"/>
  <c r="D4" i="44"/>
  <c r="E4" i="44"/>
  <c r="A5" i="44"/>
  <c r="A6" i="44"/>
  <c r="A7" i="44"/>
  <c r="G43" i="49" l="1"/>
  <c r="X33" i="39"/>
  <c r="G43" i="41"/>
  <c r="X34" i="39"/>
  <c r="H30" i="32"/>
  <c r="H25" i="32"/>
  <c r="M34" i="39" s="1"/>
  <c r="E7" i="34" l="1"/>
  <c r="E7" i="44" s="1"/>
  <c r="E8" i="44" s="1"/>
  <c r="E9" i="44" s="1"/>
  <c r="E10" i="44" s="1"/>
  <c r="M35" i="39"/>
  <c r="H27" i="32"/>
  <c r="H40" i="32" s="1"/>
  <c r="E6" i="34"/>
  <c r="H28" i="32"/>
  <c r="H41" i="32" s="1"/>
  <c r="H26" i="32"/>
  <c r="E6" i="44" l="1"/>
  <c r="H39" i="32"/>
  <c r="B28" i="41" l="1"/>
  <c r="B32" i="41" s="1"/>
  <c r="B36" i="41" s="1"/>
  <c r="B39" i="41" s="1"/>
  <c r="B43" i="41" s="1"/>
  <c r="B47" i="41" s="1"/>
  <c r="B51" i="41" s="1"/>
  <c r="B57" i="41" s="1"/>
  <c r="B60" i="41" s="1"/>
  <c r="B63" i="41" s="1"/>
  <c r="B67" i="41" s="1"/>
  <c r="F26" i="41"/>
  <c r="D26" i="41"/>
  <c r="E26" i="41"/>
  <c r="F25" i="41"/>
  <c r="D25" i="41"/>
  <c r="E25" i="41"/>
  <c r="D25" i="38" l="1"/>
  <c r="F25" i="38"/>
  <c r="D26" i="38"/>
  <c r="F26" i="38"/>
  <c r="E26" i="38"/>
  <c r="E25" i="38"/>
  <c r="D3" i="39"/>
  <c r="F3" i="39"/>
  <c r="E3" i="39"/>
  <c r="F8" i="39" l="1"/>
  <c r="F5" i="39"/>
  <c r="F9" i="39"/>
  <c r="F6" i="39"/>
  <c r="F7" i="39"/>
  <c r="R3" i="39"/>
  <c r="V3" i="39"/>
  <c r="M3" i="39"/>
  <c r="U3" i="39"/>
  <c r="S3" i="39"/>
  <c r="W3" i="39"/>
  <c r="I3" i="39"/>
  <c r="J3" i="39"/>
  <c r="Q3" i="39"/>
  <c r="K3" i="39"/>
  <c r="N3" i="39"/>
  <c r="O3" i="39"/>
  <c r="E8" i="39"/>
  <c r="J8" i="39" s="1"/>
  <c r="E6" i="39"/>
  <c r="J6" i="39" s="1"/>
  <c r="E7" i="39"/>
  <c r="J7" i="39" s="1"/>
  <c r="E10" i="39"/>
  <c r="E5" i="39"/>
  <c r="E9" i="39"/>
  <c r="J9" i="39" s="1"/>
  <c r="D22" i="39"/>
  <c r="F22" i="39"/>
  <c r="E22" i="39"/>
  <c r="B28" i="38"/>
  <c r="B32" i="38" s="1"/>
  <c r="B36" i="38" s="1"/>
  <c r="B39" i="38" s="1"/>
  <c r="B43" i="38" s="1"/>
  <c r="B47" i="38" s="1"/>
  <c r="B51" i="38" s="1"/>
  <c r="B57" i="38" s="1"/>
  <c r="B60" i="38" s="1"/>
  <c r="B63" i="38" s="1"/>
  <c r="B67" i="38" s="1"/>
  <c r="J10" i="39" l="1"/>
  <c r="V10" i="39"/>
  <c r="J22" i="39"/>
  <c r="V22" i="39"/>
  <c r="K22" i="39"/>
  <c r="W22" i="39"/>
  <c r="I22" i="39"/>
  <c r="U22" i="39"/>
  <c r="E30" i="39"/>
  <c r="E30" i="38"/>
  <c r="E29" i="38"/>
  <c r="E28" i="38"/>
  <c r="J5" i="39"/>
  <c r="R6" i="39"/>
  <c r="N6" i="39"/>
  <c r="R7" i="39"/>
  <c r="N7" i="39"/>
  <c r="R22" i="39"/>
  <c r="R21" i="39" s="1"/>
  <c r="R20" i="39" s="1"/>
  <c r="R19" i="39" s="1"/>
  <c r="R18" i="39" s="1"/>
  <c r="R17" i="39" s="1"/>
  <c r="R16" i="39" s="1"/>
  <c r="R15" i="39" s="1"/>
  <c r="R14" i="39" s="1"/>
  <c r="R13" i="39" s="1"/>
  <c r="R12" i="39" s="1"/>
  <c r="R11" i="39" s="1"/>
  <c r="N22" i="39"/>
  <c r="N21" i="39" s="1"/>
  <c r="N20" i="39" s="1"/>
  <c r="N19" i="39" s="1"/>
  <c r="N18" i="39" s="1"/>
  <c r="N17" i="39" s="1"/>
  <c r="N16" i="39" s="1"/>
  <c r="N15" i="39" s="1"/>
  <c r="N14" i="39" s="1"/>
  <c r="N13" i="39" s="1"/>
  <c r="N12" i="39" s="1"/>
  <c r="N11" i="39" s="1"/>
  <c r="R8" i="39"/>
  <c r="N8" i="39"/>
  <c r="S22" i="39"/>
  <c r="S21" i="39" s="1"/>
  <c r="S20" i="39" s="1"/>
  <c r="S19" i="39" s="1"/>
  <c r="S18" i="39" s="1"/>
  <c r="S17" i="39" s="1"/>
  <c r="S16" i="39" s="1"/>
  <c r="S15" i="39" s="1"/>
  <c r="S14" i="39" s="1"/>
  <c r="S13" i="39" s="1"/>
  <c r="S12" i="39" s="1"/>
  <c r="S11" i="39" s="1"/>
  <c r="O22" i="39"/>
  <c r="O21" i="39" s="1"/>
  <c r="O20" i="39" s="1"/>
  <c r="O19" i="39" s="1"/>
  <c r="O18" i="39" s="1"/>
  <c r="O17" i="39" s="1"/>
  <c r="O16" i="39" s="1"/>
  <c r="O15" i="39" s="1"/>
  <c r="O14" i="39" s="1"/>
  <c r="O13" i="39" s="1"/>
  <c r="O12" i="39" s="1"/>
  <c r="O11" i="39" s="1"/>
  <c r="Q22" i="39"/>
  <c r="Q21" i="39" s="1"/>
  <c r="Q20" i="39" s="1"/>
  <c r="Q19" i="39" s="1"/>
  <c r="Q18" i="39" s="1"/>
  <c r="Q17" i="39" s="1"/>
  <c r="Q16" i="39" s="1"/>
  <c r="Q15" i="39" s="1"/>
  <c r="Q14" i="39" s="1"/>
  <c r="Q13" i="39" s="1"/>
  <c r="Q12" i="39" s="1"/>
  <c r="Q11" i="39" s="1"/>
  <c r="M22" i="39"/>
  <c r="M21" i="39" s="1"/>
  <c r="M20" i="39" s="1"/>
  <c r="M19" i="39" s="1"/>
  <c r="M18" i="39" s="1"/>
  <c r="M17" i="39" s="1"/>
  <c r="M16" i="39" s="1"/>
  <c r="M15" i="39" s="1"/>
  <c r="M14" i="39" s="1"/>
  <c r="M13" i="39" s="1"/>
  <c r="M12" i="39" s="1"/>
  <c r="M11" i="39" s="1"/>
  <c r="R5" i="39"/>
  <c r="N5" i="39"/>
  <c r="R9" i="39"/>
  <c r="N9" i="39"/>
  <c r="R10" i="39"/>
  <c r="N10" i="39"/>
  <c r="D8" i="39"/>
  <c r="I8" i="39" s="1"/>
  <c r="D9" i="39"/>
  <c r="I9" i="39" s="1"/>
  <c r="D6" i="39"/>
  <c r="I6" i="39" s="1"/>
  <c r="D10" i="39"/>
  <c r="U10" i="39" s="1"/>
  <c r="D7" i="39"/>
  <c r="I7" i="39" s="1"/>
  <c r="D5" i="39"/>
  <c r="K8" i="39"/>
  <c r="K6" i="39"/>
  <c r="F10" i="39"/>
  <c r="W10" i="39" s="1"/>
  <c r="K7" i="39"/>
  <c r="K9" i="39"/>
  <c r="E11" i="39"/>
  <c r="S7" i="40" l="1"/>
  <c r="K7" i="40"/>
  <c r="C7" i="40"/>
  <c r="O7" i="40"/>
  <c r="G7" i="40"/>
  <c r="U5" i="39"/>
  <c r="U11" i="39"/>
  <c r="W5" i="39"/>
  <c r="W11" i="39"/>
  <c r="V5" i="39"/>
  <c r="V11" i="39"/>
  <c r="D29" i="38"/>
  <c r="D28" i="38"/>
  <c r="D30" i="38"/>
  <c r="F29" i="38"/>
  <c r="F30" i="38"/>
  <c r="F28" i="38"/>
  <c r="J11" i="39"/>
  <c r="I5" i="39"/>
  <c r="D30" i="39"/>
  <c r="K5" i="39"/>
  <c r="F30" i="39"/>
  <c r="M10" i="39"/>
  <c r="I10" i="39"/>
  <c r="O10" i="39"/>
  <c r="K10" i="39"/>
  <c r="Q5" i="39"/>
  <c r="M5" i="39"/>
  <c r="Q7" i="39"/>
  <c r="M7" i="39"/>
  <c r="S9" i="39"/>
  <c r="O9" i="39"/>
  <c r="Q9" i="39"/>
  <c r="M9" i="39"/>
  <c r="S6" i="39"/>
  <c r="O6" i="39"/>
  <c r="Q8" i="39"/>
  <c r="M8" i="39"/>
  <c r="S5" i="39"/>
  <c r="O5" i="39"/>
  <c r="N26" i="39"/>
  <c r="S8" i="39"/>
  <c r="O8" i="39"/>
  <c r="R26" i="39"/>
  <c r="R33" i="39" s="1"/>
  <c r="S7" i="39"/>
  <c r="O7" i="39"/>
  <c r="Q6" i="39"/>
  <c r="M6" i="39"/>
  <c r="D11" i="39"/>
  <c r="Q10" i="39"/>
  <c r="F11" i="39"/>
  <c r="S10" i="39"/>
  <c r="E12" i="39"/>
  <c r="I15" i="22"/>
  <c r="W6" i="39" l="1"/>
  <c r="W7" i="39" s="1"/>
  <c r="W8" i="39" s="1"/>
  <c r="W9" i="39" s="1"/>
  <c r="E40" i="49"/>
  <c r="W12" i="39"/>
  <c r="W13" i="39" s="1"/>
  <c r="W14" i="39" s="1"/>
  <c r="W15" i="39" s="1"/>
  <c r="W16" i="39" s="1"/>
  <c r="W17" i="39" s="1"/>
  <c r="W18" i="39" s="1"/>
  <c r="W19" i="39" s="1"/>
  <c r="W20" i="39" s="1"/>
  <c r="W21" i="39" s="1"/>
  <c r="H25" i="22"/>
  <c r="H26" i="22" s="1"/>
  <c r="J25" i="22"/>
  <c r="J26" i="22" s="1"/>
  <c r="I25" i="22"/>
  <c r="I26" i="22" s="1"/>
  <c r="L25" i="22"/>
  <c r="L26" i="22" s="1"/>
  <c r="R7" i="40"/>
  <c r="J7" i="40"/>
  <c r="B7" i="40"/>
  <c r="N7" i="40"/>
  <c r="F7" i="40"/>
  <c r="H7" i="40"/>
  <c r="T7" i="40"/>
  <c r="L7" i="40"/>
  <c r="D7" i="40"/>
  <c r="P7" i="40"/>
  <c r="V12" i="39"/>
  <c r="V13" i="39" s="1"/>
  <c r="V14" i="39" s="1"/>
  <c r="V15" i="39" s="1"/>
  <c r="V16" i="39" s="1"/>
  <c r="V17" i="39" s="1"/>
  <c r="V18" i="39" s="1"/>
  <c r="V19" i="39" s="1"/>
  <c r="V20" i="39" s="1"/>
  <c r="V21" i="39" s="1"/>
  <c r="V6" i="39"/>
  <c r="V7" i="39" s="1"/>
  <c r="V8" i="39" s="1"/>
  <c r="V9" i="39" s="1"/>
  <c r="V30" i="39" s="1"/>
  <c r="U12" i="39"/>
  <c r="U13" i="39" s="1"/>
  <c r="U14" i="39" s="1"/>
  <c r="U15" i="39" s="1"/>
  <c r="U16" i="39" s="1"/>
  <c r="U17" i="39" s="1"/>
  <c r="U18" i="39" s="1"/>
  <c r="U19" i="39" s="1"/>
  <c r="U20" i="39" s="1"/>
  <c r="U21" i="39" s="1"/>
  <c r="U6" i="39"/>
  <c r="U7" i="39" s="1"/>
  <c r="U8" i="39" s="1"/>
  <c r="U9" i="39" s="1"/>
  <c r="F12" i="39"/>
  <c r="K11" i="39"/>
  <c r="Q26" i="39"/>
  <c r="Q33" i="39" s="1"/>
  <c r="D12" i="39"/>
  <c r="I11" i="39"/>
  <c r="E13" i="39"/>
  <c r="J12" i="39"/>
  <c r="O26" i="39"/>
  <c r="S26" i="39"/>
  <c r="S33" i="39" s="1"/>
  <c r="M26" i="39"/>
  <c r="H25" i="4"/>
  <c r="H26" i="4"/>
  <c r="E44" i="49" l="1"/>
  <c r="E52" i="49"/>
  <c r="F40" i="49"/>
  <c r="F52" i="49" s="1"/>
  <c r="E41" i="49"/>
  <c r="F41" i="49"/>
  <c r="D41" i="49"/>
  <c r="D40" i="49"/>
  <c r="U31" i="39"/>
  <c r="U32" i="39"/>
  <c r="W35" i="39"/>
  <c r="U35" i="39"/>
  <c r="V35" i="39"/>
  <c r="V32" i="39"/>
  <c r="W32" i="39"/>
  <c r="U30" i="39"/>
  <c r="W31" i="39"/>
  <c r="V31" i="39"/>
  <c r="W30" i="39"/>
  <c r="D30" i="41"/>
  <c r="D29" i="41"/>
  <c r="F29" i="41"/>
  <c r="E33" i="41"/>
  <c r="E34" i="41"/>
  <c r="D33" i="41"/>
  <c r="D34" i="41"/>
  <c r="E28" i="41"/>
  <c r="F30" i="41"/>
  <c r="E29" i="41"/>
  <c r="F33" i="41"/>
  <c r="E30" i="41"/>
  <c r="F34" i="41"/>
  <c r="W26" i="39"/>
  <c r="D28" i="41"/>
  <c r="D32" i="41"/>
  <c r="E32" i="41"/>
  <c r="U26" i="39"/>
  <c r="F28" i="41"/>
  <c r="F32" i="41"/>
  <c r="V26" i="39"/>
  <c r="E14" i="39"/>
  <c r="J13" i="39"/>
  <c r="D13" i="39"/>
  <c r="I12" i="39"/>
  <c r="F13" i="39"/>
  <c r="K12" i="39"/>
  <c r="D24" i="37"/>
  <c r="F29" i="37"/>
  <c r="J30" i="48" s="1"/>
  <c r="D29" i="37"/>
  <c r="E29" i="37"/>
  <c r="E24" i="37"/>
  <c r="F24" i="37"/>
  <c r="J25" i="48" s="1"/>
  <c r="E45" i="49" l="1"/>
  <c r="F44" i="49"/>
  <c r="D44" i="49"/>
  <c r="D52" i="49"/>
  <c r="E53" i="49"/>
  <c r="F43" i="49"/>
  <c r="E43" i="49"/>
  <c r="D43" i="49"/>
  <c r="D45" i="49"/>
  <c r="F53" i="49"/>
  <c r="F45" i="49"/>
  <c r="D53" i="49"/>
  <c r="H7" i="42"/>
  <c r="L7" i="42"/>
  <c r="C7" i="42"/>
  <c r="G6" i="43" s="1"/>
  <c r="Q6" i="43" s="1"/>
  <c r="P7" i="42"/>
  <c r="T7" i="42"/>
  <c r="M7" i="42"/>
  <c r="D7" i="42"/>
  <c r="H6" i="43" s="1"/>
  <c r="R6" i="43" s="1"/>
  <c r="Q7" i="42"/>
  <c r="U7" i="42"/>
  <c r="I7" i="42"/>
  <c r="O7" i="42"/>
  <c r="G7" i="42"/>
  <c r="S7" i="42"/>
  <c r="B7" i="42"/>
  <c r="F6" i="43" s="1"/>
  <c r="P6" i="43" s="1"/>
  <c r="K7" i="42"/>
  <c r="D25" i="37"/>
  <c r="AG6" i="34"/>
  <c r="AK6" i="34"/>
  <c r="AO6" i="34"/>
  <c r="Y6" i="34"/>
  <c r="AC6" i="34"/>
  <c r="E25" i="37"/>
  <c r="AP6" i="34"/>
  <c r="AD6" i="34"/>
  <c r="AH6" i="34"/>
  <c r="AL6" i="34"/>
  <c r="Z6" i="34"/>
  <c r="AI6" i="34"/>
  <c r="AQ6" i="34"/>
  <c r="AE6" i="34"/>
  <c r="AM6" i="34"/>
  <c r="AA6" i="34"/>
  <c r="F25" i="37"/>
  <c r="J26" i="48" s="1"/>
  <c r="V33" i="39"/>
  <c r="V34" i="39"/>
  <c r="W33" i="39"/>
  <c r="U33" i="39"/>
  <c r="W34" i="39"/>
  <c r="T8" i="42"/>
  <c r="C8" i="42"/>
  <c r="G7" i="43" s="1"/>
  <c r="P8" i="42"/>
  <c r="H8" i="42"/>
  <c r="L8" i="42"/>
  <c r="K8" i="42"/>
  <c r="G8" i="42"/>
  <c r="B8" i="42"/>
  <c r="F7" i="43" s="1"/>
  <c r="O8" i="42"/>
  <c r="S8" i="42"/>
  <c r="U8" i="42"/>
  <c r="I8" i="42"/>
  <c r="M8" i="42"/>
  <c r="Q8" i="42"/>
  <c r="D8" i="42"/>
  <c r="H7" i="43" s="1"/>
  <c r="U34" i="39"/>
  <c r="D14" i="39"/>
  <c r="I13" i="39"/>
  <c r="E15" i="39"/>
  <c r="J14" i="39"/>
  <c r="F14" i="39"/>
  <c r="K13" i="39"/>
  <c r="E26" i="37"/>
  <c r="E27" i="37"/>
  <c r="F27" i="37"/>
  <c r="J28" i="48" s="1"/>
  <c r="D27" i="37"/>
  <c r="F26" i="37"/>
  <c r="J27" i="48" s="1"/>
  <c r="D26" i="37"/>
  <c r="B25" i="37"/>
  <c r="B29" i="37" s="1"/>
  <c r="B31" i="37" s="1"/>
  <c r="B36" i="37" s="1"/>
  <c r="B40" i="37" s="1"/>
  <c r="B44" i="37" s="1"/>
  <c r="B49" i="37" s="1"/>
  <c r="B55" i="37" s="1"/>
  <c r="B58" i="37" s="1"/>
  <c r="B62" i="37" s="1"/>
  <c r="B66" i="37" s="1"/>
  <c r="R7" i="43" l="1"/>
  <c r="H8" i="43"/>
  <c r="Q7" i="43"/>
  <c r="G8" i="43"/>
  <c r="F8" i="43"/>
  <c r="P7" i="43"/>
  <c r="F15" i="39"/>
  <c r="K14" i="39"/>
  <c r="D15" i="39"/>
  <c r="I14" i="39"/>
  <c r="E16" i="39"/>
  <c r="J15" i="39"/>
  <c r="E42" i="37"/>
  <c r="D42" i="37"/>
  <c r="AP7" i="34"/>
  <c r="AP8" i="34" s="1"/>
  <c r="AP9" i="34" s="1"/>
  <c r="AP10" i="34" s="1"/>
  <c r="AP11" i="34" s="1"/>
  <c r="AP12" i="34" s="1"/>
  <c r="AP13" i="34" s="1"/>
  <c r="AP14" i="34" s="1"/>
  <c r="AP15" i="34" s="1"/>
  <c r="AP16" i="34" s="1"/>
  <c r="AP17" i="34" s="1"/>
  <c r="AP18" i="34" s="1"/>
  <c r="AP19" i="34" s="1"/>
  <c r="AP20" i="34" s="1"/>
  <c r="AP21" i="34" s="1"/>
  <c r="AP22" i="34" s="1"/>
  <c r="AP23" i="34" s="1"/>
  <c r="AP24" i="34" s="1"/>
  <c r="AP25" i="34" s="1"/>
  <c r="AP26" i="34" s="1"/>
  <c r="AP27" i="34" s="1"/>
  <c r="AP28" i="34" s="1"/>
  <c r="AP29" i="34" s="1"/>
  <c r="AP30" i="34" s="1"/>
  <c r="AP31" i="34" s="1"/>
  <c r="AP32" i="34" s="1"/>
  <c r="AP33" i="34" s="1"/>
  <c r="AP34" i="34" s="1"/>
  <c r="AP35" i="34" s="1"/>
  <c r="AP36" i="34" s="1"/>
  <c r="AP37" i="34" s="1"/>
  <c r="AP38" i="34" s="1"/>
  <c r="AP39" i="34" s="1"/>
  <c r="AP40" i="34" s="1"/>
  <c r="AP41" i="34" s="1"/>
  <c r="AP42" i="34" s="1"/>
  <c r="AP43" i="34" s="1"/>
  <c r="AP44" i="34" s="1"/>
  <c r="AP45" i="34" s="1"/>
  <c r="AP46" i="34" s="1"/>
  <c r="AP47" i="34" s="1"/>
  <c r="AP48" i="34" s="1"/>
  <c r="AP49" i="34" s="1"/>
  <c r="AP50" i="34" s="1"/>
  <c r="AP51" i="34" s="1"/>
  <c r="AP52" i="34" s="1"/>
  <c r="AP53" i="34" s="1"/>
  <c r="AP54" i="34" s="1"/>
  <c r="AP55" i="34" s="1"/>
  <c r="AP56" i="34" s="1"/>
  <c r="AP57" i="34" s="1"/>
  <c r="AP58" i="34" s="1"/>
  <c r="AP59" i="34" s="1"/>
  <c r="AP60" i="34" s="1"/>
  <c r="AP61" i="34" s="1"/>
  <c r="AP62" i="34" s="1"/>
  <c r="AP63" i="34" s="1"/>
  <c r="AP64" i="34" s="1"/>
  <c r="AP65" i="34" s="1"/>
  <c r="AP66" i="34" s="1"/>
  <c r="AP67" i="34" s="1"/>
  <c r="AP68" i="34" s="1"/>
  <c r="AP69" i="34" s="1"/>
  <c r="AP70" i="34" s="1"/>
  <c r="AP71" i="34" s="1"/>
  <c r="AP72" i="34" s="1"/>
  <c r="AP73" i="34" s="1"/>
  <c r="AP74" i="34" s="1"/>
  <c r="AP75" i="34" s="1"/>
  <c r="AP76" i="34" s="1"/>
  <c r="AP77" i="34" s="1"/>
  <c r="AP78" i="34" s="1"/>
  <c r="AP79" i="34" s="1"/>
  <c r="AP80" i="34" s="1"/>
  <c r="AP81" i="34" s="1"/>
  <c r="AP82" i="34" s="1"/>
  <c r="AP83" i="34" s="1"/>
  <c r="AP84" i="34" s="1"/>
  <c r="AP85" i="34" s="1"/>
  <c r="AP86" i="34" s="1"/>
  <c r="AP87" i="34" s="1"/>
  <c r="AP88" i="34" s="1"/>
  <c r="AP89" i="34" s="1"/>
  <c r="AP90" i="34" s="1"/>
  <c r="AP91" i="34" s="1"/>
  <c r="AP92" i="34" s="1"/>
  <c r="AP93" i="34" s="1"/>
  <c r="AP94" i="34" s="1"/>
  <c r="AP95" i="34" s="1"/>
  <c r="AP96" i="34" s="1"/>
  <c r="AP97" i="34" s="1"/>
  <c r="AP98" i="34" s="1"/>
  <c r="AP99" i="34" s="1"/>
  <c r="AP100" i="34" s="1"/>
  <c r="AP101" i="34" s="1"/>
  <c r="AP102" i="34" s="1"/>
  <c r="AP103" i="34" s="1"/>
  <c r="AP104" i="34" s="1"/>
  <c r="AP105" i="34" s="1"/>
  <c r="AP106" i="34" s="1"/>
  <c r="AP107" i="34" s="1"/>
  <c r="AP108" i="34" s="1"/>
  <c r="AP109" i="34" s="1"/>
  <c r="AP110" i="34" s="1"/>
  <c r="AP111" i="34" s="1"/>
  <c r="AP112" i="34" s="1"/>
  <c r="AP113" i="34" s="1"/>
  <c r="AP114" i="34" s="1"/>
  <c r="AP115" i="34" s="1"/>
  <c r="AP116" i="34" s="1"/>
  <c r="AP117" i="34" s="1"/>
  <c r="AP118" i="34" s="1"/>
  <c r="AP119" i="34" s="1"/>
  <c r="AP120" i="34" s="1"/>
  <c r="AP121" i="34" s="1"/>
  <c r="AP122" i="34" s="1"/>
  <c r="AP123" i="34" s="1"/>
  <c r="AP124" i="34" s="1"/>
  <c r="AP125" i="34" s="1"/>
  <c r="AP126" i="34" s="1"/>
  <c r="AP127" i="34" s="1"/>
  <c r="AP128" i="34" s="1"/>
  <c r="AP129" i="34" s="1"/>
  <c r="AP130" i="34" s="1"/>
  <c r="AP131" i="34" s="1"/>
  <c r="AP132" i="34" s="1"/>
  <c r="AP133" i="34" s="1"/>
  <c r="AP134" i="34" s="1"/>
  <c r="AP135" i="34" s="1"/>
  <c r="AP136" i="34" s="1"/>
  <c r="AP137" i="34" s="1"/>
  <c r="AP138" i="34" s="1"/>
  <c r="AP139" i="34" s="1"/>
  <c r="AP140" i="34" s="1"/>
  <c r="AP141" i="34" s="1"/>
  <c r="AP142" i="34" s="1"/>
  <c r="AP143" i="34" s="1"/>
  <c r="AP144" i="34" s="1"/>
  <c r="AP145" i="34" s="1"/>
  <c r="AP146" i="34" s="1"/>
  <c r="AP147" i="34" s="1"/>
  <c r="AP148" i="34" s="1"/>
  <c r="AP149" i="34" s="1"/>
  <c r="AP150" i="34" s="1"/>
  <c r="AP151" i="34" s="1"/>
  <c r="AP152" i="34" s="1"/>
  <c r="AP153" i="34" s="1"/>
  <c r="AP154" i="34" s="1"/>
  <c r="AP155" i="34" s="1"/>
  <c r="AP156" i="34" s="1"/>
  <c r="AP157" i="34" s="1"/>
  <c r="AP158" i="34" s="1"/>
  <c r="AP159" i="34" s="1"/>
  <c r="AP160" i="34" s="1"/>
  <c r="AP161" i="34" s="1"/>
  <c r="AP162" i="34" s="1"/>
  <c r="AP163" i="34" s="1"/>
  <c r="AP164" i="34" s="1"/>
  <c r="AP165" i="34" s="1"/>
  <c r="AL7" i="34"/>
  <c r="AL8" i="34" s="1"/>
  <c r="AH7" i="34"/>
  <c r="AH8" i="34" s="1"/>
  <c r="AD7" i="34"/>
  <c r="AD8" i="34" s="1"/>
  <c r="Z7" i="34"/>
  <c r="AO7" i="34"/>
  <c r="AO8" i="34" s="1"/>
  <c r="AO9" i="34" s="1"/>
  <c r="AO10" i="34" s="1"/>
  <c r="AO11" i="34" s="1"/>
  <c r="AO12" i="34" s="1"/>
  <c r="AO13" i="34" s="1"/>
  <c r="AO14" i="34" s="1"/>
  <c r="AO15" i="34" s="1"/>
  <c r="AO16" i="34" s="1"/>
  <c r="AO17" i="34" s="1"/>
  <c r="AO18" i="34" s="1"/>
  <c r="AO19" i="34" s="1"/>
  <c r="AO20" i="34" s="1"/>
  <c r="AO21" i="34" s="1"/>
  <c r="AO22" i="34" s="1"/>
  <c r="AO23" i="34" s="1"/>
  <c r="AO24" i="34" s="1"/>
  <c r="AO25" i="34" s="1"/>
  <c r="AO26" i="34" s="1"/>
  <c r="AO27" i="34" s="1"/>
  <c r="AO28" i="34" s="1"/>
  <c r="AO29" i="34" s="1"/>
  <c r="AO30" i="34" s="1"/>
  <c r="AO31" i="34" s="1"/>
  <c r="AO32" i="34" s="1"/>
  <c r="AO33" i="34" s="1"/>
  <c r="AO34" i="34" s="1"/>
  <c r="AO35" i="34" s="1"/>
  <c r="AO36" i="34" s="1"/>
  <c r="AO37" i="34" s="1"/>
  <c r="AO38" i="34" s="1"/>
  <c r="AO39" i="34" s="1"/>
  <c r="AO40" i="34" s="1"/>
  <c r="AO41" i="34" s="1"/>
  <c r="AO42" i="34" s="1"/>
  <c r="AO43" i="34" s="1"/>
  <c r="AO44" i="34" s="1"/>
  <c r="AO45" i="34" s="1"/>
  <c r="AO46" i="34" s="1"/>
  <c r="AO47" i="34" s="1"/>
  <c r="AO48" i="34" s="1"/>
  <c r="AO49" i="34" s="1"/>
  <c r="AO50" i="34" s="1"/>
  <c r="AO51" i="34" s="1"/>
  <c r="AO52" i="34" s="1"/>
  <c r="AO53" i="34" s="1"/>
  <c r="AO54" i="34" s="1"/>
  <c r="AO55" i="34" s="1"/>
  <c r="AO56" i="34" s="1"/>
  <c r="AO57" i="34" s="1"/>
  <c r="AO58" i="34" s="1"/>
  <c r="AO59" i="34" s="1"/>
  <c r="AO60" i="34" s="1"/>
  <c r="AO61" i="34" s="1"/>
  <c r="AO62" i="34" s="1"/>
  <c r="AO63" i="34" s="1"/>
  <c r="AO64" i="34" s="1"/>
  <c r="AO65" i="34" s="1"/>
  <c r="AO66" i="34" s="1"/>
  <c r="AO67" i="34" s="1"/>
  <c r="AO68" i="34" s="1"/>
  <c r="AO69" i="34" s="1"/>
  <c r="AO70" i="34" s="1"/>
  <c r="AO71" i="34" s="1"/>
  <c r="AO72" i="34" s="1"/>
  <c r="AO73" i="34" s="1"/>
  <c r="AO74" i="34" s="1"/>
  <c r="AO75" i="34" s="1"/>
  <c r="AO76" i="34" s="1"/>
  <c r="AO77" i="34" s="1"/>
  <c r="AO78" i="34" s="1"/>
  <c r="AO79" i="34" s="1"/>
  <c r="AO80" i="34" s="1"/>
  <c r="AO81" i="34" s="1"/>
  <c r="AO82" i="34" s="1"/>
  <c r="AO83" i="34" s="1"/>
  <c r="AO84" i="34" s="1"/>
  <c r="AO85" i="34" s="1"/>
  <c r="AO86" i="34" s="1"/>
  <c r="AO87" i="34" s="1"/>
  <c r="AO88" i="34" s="1"/>
  <c r="AO89" i="34" s="1"/>
  <c r="AO90" i="34" s="1"/>
  <c r="AO91" i="34" s="1"/>
  <c r="AO92" i="34" s="1"/>
  <c r="AO93" i="34" s="1"/>
  <c r="AO94" i="34" s="1"/>
  <c r="AO95" i="34" s="1"/>
  <c r="AO96" i="34" s="1"/>
  <c r="AO97" i="34" s="1"/>
  <c r="AO98" i="34" s="1"/>
  <c r="AO99" i="34" s="1"/>
  <c r="AO100" i="34" s="1"/>
  <c r="AO101" i="34" s="1"/>
  <c r="AO102" i="34" s="1"/>
  <c r="AO103" i="34" s="1"/>
  <c r="AO104" i="34" s="1"/>
  <c r="AO105" i="34" s="1"/>
  <c r="AO106" i="34" s="1"/>
  <c r="AO107" i="34" s="1"/>
  <c r="AO108" i="34" s="1"/>
  <c r="AO109" i="34" s="1"/>
  <c r="AO110" i="34" s="1"/>
  <c r="AO111" i="34" s="1"/>
  <c r="AO112" i="34" s="1"/>
  <c r="AO113" i="34" s="1"/>
  <c r="AO114" i="34" s="1"/>
  <c r="AO115" i="34" s="1"/>
  <c r="AO116" i="34" s="1"/>
  <c r="AO117" i="34" s="1"/>
  <c r="AO118" i="34" s="1"/>
  <c r="AO119" i="34" s="1"/>
  <c r="AO120" i="34" s="1"/>
  <c r="AO121" i="34" s="1"/>
  <c r="AO122" i="34" s="1"/>
  <c r="AO123" i="34" s="1"/>
  <c r="AO124" i="34" s="1"/>
  <c r="AO125" i="34" s="1"/>
  <c r="AO126" i="34" s="1"/>
  <c r="AO127" i="34" s="1"/>
  <c r="AO128" i="34" s="1"/>
  <c r="AO129" i="34" s="1"/>
  <c r="AO130" i="34" s="1"/>
  <c r="AO131" i="34" s="1"/>
  <c r="AO132" i="34" s="1"/>
  <c r="AO133" i="34" s="1"/>
  <c r="AO134" i="34" s="1"/>
  <c r="AO135" i="34" s="1"/>
  <c r="AO136" i="34" s="1"/>
  <c r="AO137" i="34" s="1"/>
  <c r="AO138" i="34" s="1"/>
  <c r="AO139" i="34" s="1"/>
  <c r="AO140" i="34" s="1"/>
  <c r="AO141" i="34" s="1"/>
  <c r="AO142" i="34" s="1"/>
  <c r="AO143" i="34" s="1"/>
  <c r="AO144" i="34" s="1"/>
  <c r="AO145" i="34" s="1"/>
  <c r="AO146" i="34" s="1"/>
  <c r="AO147" i="34" s="1"/>
  <c r="AO148" i="34" s="1"/>
  <c r="AO149" i="34" s="1"/>
  <c r="AO150" i="34" s="1"/>
  <c r="AO151" i="34" s="1"/>
  <c r="AO152" i="34" s="1"/>
  <c r="AO153" i="34" s="1"/>
  <c r="AO154" i="34" s="1"/>
  <c r="AO155" i="34" s="1"/>
  <c r="AO156" i="34" s="1"/>
  <c r="AO157" i="34" s="1"/>
  <c r="AO158" i="34" s="1"/>
  <c r="AO159" i="34" s="1"/>
  <c r="AO160" i="34" s="1"/>
  <c r="AO161" i="34" s="1"/>
  <c r="AO162" i="34" s="1"/>
  <c r="AO163" i="34" s="1"/>
  <c r="AO164" i="34" s="1"/>
  <c r="AO165" i="34" s="1"/>
  <c r="AK7" i="34"/>
  <c r="AK8" i="34" s="1"/>
  <c r="AG7" i="34"/>
  <c r="AG8" i="34" s="1"/>
  <c r="AC7" i="34"/>
  <c r="AC8" i="34" s="1"/>
  <c r="Y7" i="34"/>
  <c r="AA7" i="34"/>
  <c r="AQ7" i="34"/>
  <c r="AQ8" i="34" s="1"/>
  <c r="AQ9" i="34" s="1"/>
  <c r="AQ10" i="34" s="1"/>
  <c r="AQ11" i="34" s="1"/>
  <c r="AQ12" i="34" s="1"/>
  <c r="AQ13" i="34" s="1"/>
  <c r="AQ14" i="34" s="1"/>
  <c r="AQ15" i="34" s="1"/>
  <c r="AQ16" i="34" s="1"/>
  <c r="AQ17" i="34" s="1"/>
  <c r="AQ18" i="34" s="1"/>
  <c r="AQ19" i="34" s="1"/>
  <c r="AQ20" i="34" s="1"/>
  <c r="AQ21" i="34" s="1"/>
  <c r="AQ22" i="34" s="1"/>
  <c r="AQ23" i="34" s="1"/>
  <c r="AQ24" i="34" s="1"/>
  <c r="AQ25" i="34" s="1"/>
  <c r="AQ26" i="34" s="1"/>
  <c r="AQ27" i="34" s="1"/>
  <c r="AQ28" i="34" s="1"/>
  <c r="AQ29" i="34" s="1"/>
  <c r="AQ30" i="34" s="1"/>
  <c r="AQ31" i="34" s="1"/>
  <c r="AQ32" i="34" s="1"/>
  <c r="AQ33" i="34" s="1"/>
  <c r="AQ34" i="34" s="1"/>
  <c r="AQ35" i="34" s="1"/>
  <c r="AQ36" i="34" s="1"/>
  <c r="AQ37" i="34" s="1"/>
  <c r="AQ38" i="34" s="1"/>
  <c r="AQ39" i="34" s="1"/>
  <c r="AQ40" i="34" s="1"/>
  <c r="AQ41" i="34" s="1"/>
  <c r="AQ42" i="34" s="1"/>
  <c r="AQ43" i="34" s="1"/>
  <c r="AQ44" i="34" s="1"/>
  <c r="AQ45" i="34" s="1"/>
  <c r="AQ46" i="34" s="1"/>
  <c r="AQ47" i="34" s="1"/>
  <c r="AQ48" i="34" s="1"/>
  <c r="AQ49" i="34" s="1"/>
  <c r="AQ50" i="34" s="1"/>
  <c r="AQ51" i="34" s="1"/>
  <c r="AQ52" i="34" s="1"/>
  <c r="AQ53" i="34" s="1"/>
  <c r="AQ54" i="34" s="1"/>
  <c r="AQ55" i="34" s="1"/>
  <c r="AQ56" i="34" s="1"/>
  <c r="AQ57" i="34" s="1"/>
  <c r="AQ58" i="34" s="1"/>
  <c r="AQ59" i="34" s="1"/>
  <c r="AQ60" i="34" s="1"/>
  <c r="AQ61" i="34" s="1"/>
  <c r="AQ62" i="34" s="1"/>
  <c r="AQ63" i="34" s="1"/>
  <c r="AQ64" i="34" s="1"/>
  <c r="AQ65" i="34" s="1"/>
  <c r="AQ66" i="34" s="1"/>
  <c r="AQ67" i="34" s="1"/>
  <c r="AQ68" i="34" s="1"/>
  <c r="AQ69" i="34" s="1"/>
  <c r="AQ70" i="34" s="1"/>
  <c r="AQ71" i="34" s="1"/>
  <c r="AQ72" i="34" s="1"/>
  <c r="AQ73" i="34" s="1"/>
  <c r="AQ74" i="34" s="1"/>
  <c r="AQ75" i="34" s="1"/>
  <c r="AQ76" i="34" s="1"/>
  <c r="AQ77" i="34" s="1"/>
  <c r="AQ78" i="34" s="1"/>
  <c r="AQ79" i="34" s="1"/>
  <c r="AQ80" i="34" s="1"/>
  <c r="AQ81" i="34" s="1"/>
  <c r="AQ82" i="34" s="1"/>
  <c r="AQ83" i="34" s="1"/>
  <c r="AQ84" i="34" s="1"/>
  <c r="AQ85" i="34" s="1"/>
  <c r="AQ86" i="34" s="1"/>
  <c r="AQ87" i="34" s="1"/>
  <c r="AQ88" i="34" s="1"/>
  <c r="AQ89" i="34" s="1"/>
  <c r="AQ90" i="34" s="1"/>
  <c r="AQ91" i="34" s="1"/>
  <c r="AQ92" i="34" s="1"/>
  <c r="AQ93" i="34" s="1"/>
  <c r="AQ94" i="34" s="1"/>
  <c r="AQ95" i="34" s="1"/>
  <c r="AQ96" i="34" s="1"/>
  <c r="AQ97" i="34" s="1"/>
  <c r="AQ98" i="34" s="1"/>
  <c r="AQ99" i="34" s="1"/>
  <c r="AQ100" i="34" s="1"/>
  <c r="AQ101" i="34" s="1"/>
  <c r="AQ102" i="34" s="1"/>
  <c r="AQ103" i="34" s="1"/>
  <c r="AQ104" i="34" s="1"/>
  <c r="AQ105" i="34" s="1"/>
  <c r="AQ106" i="34" s="1"/>
  <c r="AQ107" i="34" s="1"/>
  <c r="AQ108" i="34" s="1"/>
  <c r="AQ109" i="34" s="1"/>
  <c r="AQ110" i="34" s="1"/>
  <c r="AQ111" i="34" s="1"/>
  <c r="AQ112" i="34" s="1"/>
  <c r="AQ113" i="34" s="1"/>
  <c r="AQ114" i="34" s="1"/>
  <c r="AQ115" i="34" s="1"/>
  <c r="AQ116" i="34" s="1"/>
  <c r="AQ117" i="34" s="1"/>
  <c r="AQ118" i="34" s="1"/>
  <c r="AQ119" i="34" s="1"/>
  <c r="AQ120" i="34" s="1"/>
  <c r="AQ121" i="34" s="1"/>
  <c r="AQ122" i="34" s="1"/>
  <c r="AQ123" i="34" s="1"/>
  <c r="AQ124" i="34" s="1"/>
  <c r="AQ125" i="34" s="1"/>
  <c r="AQ126" i="34" s="1"/>
  <c r="AQ127" i="34" s="1"/>
  <c r="AQ128" i="34" s="1"/>
  <c r="AQ129" i="34" s="1"/>
  <c r="AQ130" i="34" s="1"/>
  <c r="AQ131" i="34" s="1"/>
  <c r="AQ132" i="34" s="1"/>
  <c r="AQ133" i="34" s="1"/>
  <c r="AQ134" i="34" s="1"/>
  <c r="AQ135" i="34" s="1"/>
  <c r="AQ136" i="34" s="1"/>
  <c r="AQ137" i="34" s="1"/>
  <c r="AQ138" i="34" s="1"/>
  <c r="AQ139" i="34" s="1"/>
  <c r="AQ140" i="34" s="1"/>
  <c r="AQ141" i="34" s="1"/>
  <c r="AQ142" i="34" s="1"/>
  <c r="AQ143" i="34" s="1"/>
  <c r="AQ144" i="34" s="1"/>
  <c r="AQ145" i="34" s="1"/>
  <c r="AQ146" i="34" s="1"/>
  <c r="AQ147" i="34" s="1"/>
  <c r="AQ148" i="34" s="1"/>
  <c r="AQ149" i="34" s="1"/>
  <c r="AQ150" i="34" s="1"/>
  <c r="AQ151" i="34" s="1"/>
  <c r="AQ152" i="34" s="1"/>
  <c r="AQ153" i="34" s="1"/>
  <c r="AQ154" i="34" s="1"/>
  <c r="AQ155" i="34" s="1"/>
  <c r="AQ156" i="34" s="1"/>
  <c r="AQ157" i="34" s="1"/>
  <c r="AQ158" i="34" s="1"/>
  <c r="AQ159" i="34" s="1"/>
  <c r="AQ160" i="34" s="1"/>
  <c r="AQ161" i="34" s="1"/>
  <c r="AQ162" i="34" s="1"/>
  <c r="AQ163" i="34" s="1"/>
  <c r="AQ164" i="34" s="1"/>
  <c r="AQ165" i="34" s="1"/>
  <c r="AM7" i="34"/>
  <c r="AM8" i="34" s="1"/>
  <c r="AI7" i="34"/>
  <c r="AI8" i="34" s="1"/>
  <c r="AE7" i="34"/>
  <c r="AE8" i="34" s="1"/>
  <c r="F38" i="37"/>
  <c r="J37" i="48" s="1"/>
  <c r="E38" i="37"/>
  <c r="D38" i="37"/>
  <c r="D40" i="37"/>
  <c r="D41" i="37"/>
  <c r="E36" i="37"/>
  <c r="E37" i="37"/>
  <c r="D36" i="37"/>
  <c r="D37" i="37"/>
  <c r="F36" i="37"/>
  <c r="J35" i="48" s="1"/>
  <c r="F37" i="37"/>
  <c r="J36" i="48" s="1"/>
  <c r="F9" i="43" l="1"/>
  <c r="F10" i="43" s="1"/>
  <c r="F11" i="43" s="1"/>
  <c r="F12" i="43" s="1"/>
  <c r="F13" i="43" s="1"/>
  <c r="F14" i="43" s="1"/>
  <c r="F15" i="43" s="1"/>
  <c r="F16" i="43" s="1"/>
  <c r="F17" i="43" s="1"/>
  <c r="F18" i="43" s="1"/>
  <c r="F19" i="43" s="1"/>
  <c r="F20" i="43" s="1"/>
  <c r="F21" i="43" s="1"/>
  <c r="F22" i="43" s="1"/>
  <c r="F23" i="43" s="1"/>
  <c r="F24" i="43" s="1"/>
  <c r="F25" i="43" s="1"/>
  <c r="F26" i="43" s="1"/>
  <c r="F27" i="43" s="1"/>
  <c r="F28" i="43" s="1"/>
  <c r="F29" i="43" s="1"/>
  <c r="F30" i="43" s="1"/>
  <c r="F31" i="43" s="1"/>
  <c r="F32" i="43" s="1"/>
  <c r="F33" i="43" s="1"/>
  <c r="F34" i="43" s="1"/>
  <c r="F35" i="43" s="1"/>
  <c r="F36" i="43" s="1"/>
  <c r="F37" i="43" s="1"/>
  <c r="F38" i="43" s="1"/>
  <c r="F39" i="43" s="1"/>
  <c r="F40" i="43" s="1"/>
  <c r="F41" i="43" s="1"/>
  <c r="F42" i="43" s="1"/>
  <c r="F43" i="43" s="1"/>
  <c r="F44" i="43" s="1"/>
  <c r="F45" i="43" s="1"/>
  <c r="F46" i="43" s="1"/>
  <c r="F47" i="43" s="1"/>
  <c r="F48" i="43" s="1"/>
  <c r="F49" i="43" s="1"/>
  <c r="F50" i="43" s="1"/>
  <c r="F51" i="43" s="1"/>
  <c r="F52" i="43" s="1"/>
  <c r="F53" i="43" s="1"/>
  <c r="F54" i="43" s="1"/>
  <c r="F55" i="43" s="1"/>
  <c r="F56" i="43" s="1"/>
  <c r="F57" i="43" s="1"/>
  <c r="F58" i="43" s="1"/>
  <c r="F59" i="43" s="1"/>
  <c r="F60" i="43" s="1"/>
  <c r="F61" i="43" s="1"/>
  <c r="F62" i="43" s="1"/>
  <c r="F63" i="43" s="1"/>
  <c r="F64" i="43" s="1"/>
  <c r="F65" i="43" s="1"/>
  <c r="F66" i="43" s="1"/>
  <c r="F67" i="43" s="1"/>
  <c r="F68" i="43" s="1"/>
  <c r="F69" i="43" s="1"/>
  <c r="F70" i="43" s="1"/>
  <c r="F71" i="43" s="1"/>
  <c r="F72" i="43" s="1"/>
  <c r="F73" i="43" s="1"/>
  <c r="F74" i="43" s="1"/>
  <c r="F75" i="43" s="1"/>
  <c r="F76" i="43" s="1"/>
  <c r="F77" i="43" s="1"/>
  <c r="F78" i="43" s="1"/>
  <c r="F79" i="43" s="1"/>
  <c r="F80" i="43" s="1"/>
  <c r="F81" i="43" s="1"/>
  <c r="F82" i="43" s="1"/>
  <c r="F83" i="43" s="1"/>
  <c r="F84" i="43" s="1"/>
  <c r="F85" i="43" s="1"/>
  <c r="F86" i="43" s="1"/>
  <c r="F87" i="43" s="1"/>
  <c r="F88" i="43" s="1"/>
  <c r="F89" i="43" s="1"/>
  <c r="F90" i="43" s="1"/>
  <c r="F91" i="43" s="1"/>
  <c r="F92" i="43" s="1"/>
  <c r="G9" i="43"/>
  <c r="G10" i="43" s="1"/>
  <c r="G11" i="43" s="1"/>
  <c r="G12" i="43" s="1"/>
  <c r="G13" i="43" s="1"/>
  <c r="G14" i="43" s="1"/>
  <c r="G15" i="43" s="1"/>
  <c r="G16" i="43" s="1"/>
  <c r="G17" i="43" s="1"/>
  <c r="G18" i="43" s="1"/>
  <c r="G19" i="43" s="1"/>
  <c r="G20" i="43" s="1"/>
  <c r="G21" i="43" s="1"/>
  <c r="G22" i="43" s="1"/>
  <c r="G23" i="43" s="1"/>
  <c r="G24" i="43" s="1"/>
  <c r="G25" i="43" s="1"/>
  <c r="G26" i="43" s="1"/>
  <c r="G27" i="43" s="1"/>
  <c r="G28" i="43" s="1"/>
  <c r="G29" i="43" s="1"/>
  <c r="G30" i="43" s="1"/>
  <c r="G31" i="43" s="1"/>
  <c r="G32" i="43" s="1"/>
  <c r="G33" i="43" s="1"/>
  <c r="G34" i="43" s="1"/>
  <c r="G35" i="43" s="1"/>
  <c r="G36" i="43" s="1"/>
  <c r="G37" i="43" s="1"/>
  <c r="G38" i="43" s="1"/>
  <c r="G39" i="43" s="1"/>
  <c r="G40" i="43" s="1"/>
  <c r="G41" i="43" s="1"/>
  <c r="G42" i="43" s="1"/>
  <c r="G43" i="43" s="1"/>
  <c r="G44" i="43" s="1"/>
  <c r="G45" i="43" s="1"/>
  <c r="G46" i="43" s="1"/>
  <c r="G47" i="43" s="1"/>
  <c r="G48" i="43" s="1"/>
  <c r="G49" i="43" s="1"/>
  <c r="G50" i="43" s="1"/>
  <c r="G51" i="43" s="1"/>
  <c r="G52" i="43" s="1"/>
  <c r="G53" i="43" s="1"/>
  <c r="G54" i="43" s="1"/>
  <c r="G55" i="43" s="1"/>
  <c r="G56" i="43" s="1"/>
  <c r="G57" i="43" s="1"/>
  <c r="G58" i="43" s="1"/>
  <c r="G59" i="43" s="1"/>
  <c r="G60" i="43" s="1"/>
  <c r="G61" i="43" s="1"/>
  <c r="G62" i="43" s="1"/>
  <c r="G63" i="43" s="1"/>
  <c r="G64" i="43" s="1"/>
  <c r="G65" i="43" s="1"/>
  <c r="G66" i="43" s="1"/>
  <c r="G67" i="43" s="1"/>
  <c r="G68" i="43" s="1"/>
  <c r="G69" i="43" s="1"/>
  <c r="G70" i="43" s="1"/>
  <c r="G71" i="43" s="1"/>
  <c r="G72" i="43" s="1"/>
  <c r="G73" i="43" s="1"/>
  <c r="G74" i="43" s="1"/>
  <c r="G75" i="43" s="1"/>
  <c r="G76" i="43" s="1"/>
  <c r="G77" i="43" s="1"/>
  <c r="G78" i="43" s="1"/>
  <c r="G79" i="43" s="1"/>
  <c r="G80" i="43" s="1"/>
  <c r="G81" i="43" s="1"/>
  <c r="G82" i="43" s="1"/>
  <c r="G83" i="43" s="1"/>
  <c r="G84" i="43" s="1"/>
  <c r="G85" i="43" s="1"/>
  <c r="G86" i="43" s="1"/>
  <c r="G87" i="43" s="1"/>
  <c r="G88" i="43" s="1"/>
  <c r="G89" i="43" s="1"/>
  <c r="G90" i="43" s="1"/>
  <c r="G91" i="43" s="1"/>
  <c r="G92" i="43" s="1"/>
  <c r="H9" i="43"/>
  <c r="H10" i="43" s="1"/>
  <c r="H11" i="43" s="1"/>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E17" i="39"/>
  <c r="J16" i="39"/>
  <c r="D16" i="39"/>
  <c r="I15" i="39"/>
  <c r="F16" i="39"/>
  <c r="K15" i="39"/>
  <c r="D51" i="37"/>
  <c r="AD9" i="34"/>
  <c r="AD10" i="34" s="1"/>
  <c r="AD11" i="34" s="1"/>
  <c r="AD12" i="34" s="1"/>
  <c r="AD13" i="34" s="1"/>
  <c r="AD14" i="34" s="1"/>
  <c r="AD15" i="34" s="1"/>
  <c r="AD16" i="34" s="1"/>
  <c r="AD17" i="34" s="1"/>
  <c r="AD18" i="34" s="1"/>
  <c r="AD19" i="34" s="1"/>
  <c r="AD20" i="34" s="1"/>
  <c r="AD21" i="34" s="1"/>
  <c r="AD22" i="34" s="1"/>
  <c r="AD23" i="34" s="1"/>
  <c r="AD24" i="34" s="1"/>
  <c r="AD25" i="34" s="1"/>
  <c r="AD26" i="34" s="1"/>
  <c r="AD27" i="34" s="1"/>
  <c r="AD28" i="34" s="1"/>
  <c r="AD29" i="34" s="1"/>
  <c r="AD30" i="34" s="1"/>
  <c r="AD31" i="34" s="1"/>
  <c r="AD32" i="34" s="1"/>
  <c r="AD33" i="34" s="1"/>
  <c r="AD34" i="34" s="1"/>
  <c r="AD35" i="34" s="1"/>
  <c r="AD36" i="34" s="1"/>
  <c r="AD37" i="34" s="1"/>
  <c r="AD38" i="34" s="1"/>
  <c r="AD39" i="34" s="1"/>
  <c r="AD40" i="34" s="1"/>
  <c r="AD41" i="34" s="1"/>
  <c r="AD42" i="34" s="1"/>
  <c r="AD43" i="34" s="1"/>
  <c r="AD44" i="34" s="1"/>
  <c r="AD45" i="34" s="1"/>
  <c r="AD46" i="34" s="1"/>
  <c r="AD47" i="34" s="1"/>
  <c r="AD48" i="34" s="1"/>
  <c r="AD49" i="34" s="1"/>
  <c r="AD50" i="34" s="1"/>
  <c r="AD51" i="34" s="1"/>
  <c r="AD52" i="34" s="1"/>
  <c r="AI9" i="34"/>
  <c r="AI10" i="34" s="1"/>
  <c r="AI11" i="34" s="1"/>
  <c r="AI12" i="34" s="1"/>
  <c r="AI13" i="34" s="1"/>
  <c r="AI14" i="34" s="1"/>
  <c r="AI15" i="34" s="1"/>
  <c r="AI16" i="34" s="1"/>
  <c r="AI17" i="34" s="1"/>
  <c r="AI18" i="34" s="1"/>
  <c r="AI19" i="34" s="1"/>
  <c r="AI20" i="34" s="1"/>
  <c r="AI21" i="34" s="1"/>
  <c r="AI22" i="34" s="1"/>
  <c r="AI23" i="34" s="1"/>
  <c r="AI24" i="34" s="1"/>
  <c r="AI25" i="34" s="1"/>
  <c r="AI26" i="34" s="1"/>
  <c r="AI27" i="34" s="1"/>
  <c r="AI28" i="34" s="1"/>
  <c r="AI29" i="34" s="1"/>
  <c r="AI30" i="34" s="1"/>
  <c r="AI31" i="34" s="1"/>
  <c r="AI32" i="34" s="1"/>
  <c r="AI33" i="34" s="1"/>
  <c r="AI34" i="34" s="1"/>
  <c r="AI35" i="34" s="1"/>
  <c r="AI36" i="34" s="1"/>
  <c r="AI37" i="34" s="1"/>
  <c r="AI38" i="34" s="1"/>
  <c r="AI39" i="34" s="1"/>
  <c r="AI40" i="34" s="1"/>
  <c r="AI41" i="34" s="1"/>
  <c r="AI42" i="34" s="1"/>
  <c r="AI43" i="34" s="1"/>
  <c r="AI44" i="34" s="1"/>
  <c r="AI45" i="34" s="1"/>
  <c r="AI46" i="34" s="1"/>
  <c r="AI47" i="34" s="1"/>
  <c r="AI48" i="34" s="1"/>
  <c r="AI49" i="34" s="1"/>
  <c r="AI50" i="34" s="1"/>
  <c r="AI51" i="34" s="1"/>
  <c r="AI52" i="34" s="1"/>
  <c r="AI53" i="34" s="1"/>
  <c r="AI54" i="34" s="1"/>
  <c r="AI55" i="34" s="1"/>
  <c r="AI56" i="34" s="1"/>
  <c r="AI57" i="34" s="1"/>
  <c r="AI58" i="34" s="1"/>
  <c r="AH9" i="34"/>
  <c r="AH10" i="34" s="1"/>
  <c r="AH11" i="34" s="1"/>
  <c r="AH12" i="34" s="1"/>
  <c r="AH13" i="34" s="1"/>
  <c r="AH14" i="34" s="1"/>
  <c r="AH15" i="34" s="1"/>
  <c r="AH16" i="34" s="1"/>
  <c r="AH17" i="34" s="1"/>
  <c r="AH18" i="34" s="1"/>
  <c r="AH19" i="34" s="1"/>
  <c r="AH20" i="34" s="1"/>
  <c r="AH21" i="34" s="1"/>
  <c r="AH22" i="34" s="1"/>
  <c r="AH23" i="34" s="1"/>
  <c r="AH24" i="34" s="1"/>
  <c r="AH25" i="34" s="1"/>
  <c r="AH26" i="34" s="1"/>
  <c r="AH27" i="34" s="1"/>
  <c r="AH28" i="34" s="1"/>
  <c r="AH29" i="34" s="1"/>
  <c r="AH30" i="34" s="1"/>
  <c r="AH31" i="34" s="1"/>
  <c r="AH32" i="34" s="1"/>
  <c r="AH33" i="34" s="1"/>
  <c r="AH34" i="34" s="1"/>
  <c r="AH35" i="34" s="1"/>
  <c r="AH36" i="34" s="1"/>
  <c r="AH37" i="34" s="1"/>
  <c r="AH38" i="34" s="1"/>
  <c r="AH39" i="34" s="1"/>
  <c r="AH40" i="34" s="1"/>
  <c r="AH41" i="34" s="1"/>
  <c r="AH42" i="34" s="1"/>
  <c r="AH43" i="34" s="1"/>
  <c r="AH44" i="34" s="1"/>
  <c r="AH45" i="34" s="1"/>
  <c r="AH46" i="34" s="1"/>
  <c r="AH47" i="34" s="1"/>
  <c r="AH48" i="34" s="1"/>
  <c r="AH49" i="34" s="1"/>
  <c r="AH50" i="34" s="1"/>
  <c r="AH51" i="34" s="1"/>
  <c r="AH52" i="34" s="1"/>
  <c r="AH53" i="34" s="1"/>
  <c r="AH54" i="34" s="1"/>
  <c r="AH55" i="34" s="1"/>
  <c r="AH56" i="34" s="1"/>
  <c r="AH57" i="34" s="1"/>
  <c r="AH58" i="34" s="1"/>
  <c r="AM9" i="34"/>
  <c r="AM10" i="34" s="1"/>
  <c r="AM11" i="34" s="1"/>
  <c r="AM12" i="34" s="1"/>
  <c r="AM13" i="34" s="1"/>
  <c r="AM14" i="34" s="1"/>
  <c r="AM15" i="34" s="1"/>
  <c r="AM16" i="34" s="1"/>
  <c r="AM17" i="34" s="1"/>
  <c r="AM18" i="34" s="1"/>
  <c r="AM19" i="34" s="1"/>
  <c r="AM20" i="34" s="1"/>
  <c r="AM21" i="34" s="1"/>
  <c r="AM22" i="34" s="1"/>
  <c r="AM23" i="34" s="1"/>
  <c r="AM24" i="34" s="1"/>
  <c r="AM25" i="34" s="1"/>
  <c r="AM26" i="34" s="1"/>
  <c r="AM27" i="34" s="1"/>
  <c r="AM28" i="34" s="1"/>
  <c r="AM29" i="34" s="1"/>
  <c r="AM30" i="34" s="1"/>
  <c r="AM31" i="34" s="1"/>
  <c r="AM32" i="34" s="1"/>
  <c r="AM33" i="34" s="1"/>
  <c r="AM34" i="34" s="1"/>
  <c r="AM35" i="34" s="1"/>
  <c r="AM36" i="34" s="1"/>
  <c r="AM37" i="34" s="1"/>
  <c r="AM38" i="34" s="1"/>
  <c r="AM39" i="34" s="1"/>
  <c r="AM40" i="34" s="1"/>
  <c r="AM41" i="34" s="1"/>
  <c r="AM42" i="34" s="1"/>
  <c r="AM43" i="34" s="1"/>
  <c r="AM44" i="34" s="1"/>
  <c r="AM45" i="34" s="1"/>
  <c r="AM46" i="34" s="1"/>
  <c r="AM47" i="34" s="1"/>
  <c r="AM48" i="34" s="1"/>
  <c r="AM49" i="34" s="1"/>
  <c r="AM50" i="34" s="1"/>
  <c r="AM51" i="34" s="1"/>
  <c r="AM52" i="34" s="1"/>
  <c r="AM53" i="34" s="1"/>
  <c r="AM54" i="34" s="1"/>
  <c r="AM55" i="34" s="1"/>
  <c r="AM56" i="34" s="1"/>
  <c r="AM57" i="34" s="1"/>
  <c r="AM58" i="34" s="1"/>
  <c r="AM59" i="34" s="1"/>
  <c r="AM60" i="34" s="1"/>
  <c r="AM61" i="34" s="1"/>
  <c r="AM62" i="34" s="1"/>
  <c r="AM63" i="34" s="1"/>
  <c r="AM64" i="34" s="1"/>
  <c r="AM65" i="34" s="1"/>
  <c r="AM66" i="34" s="1"/>
  <c r="AM67" i="34" s="1"/>
  <c r="AM68" i="34" s="1"/>
  <c r="AM69" i="34" s="1"/>
  <c r="AM70" i="34" s="1"/>
  <c r="AM71" i="34" s="1"/>
  <c r="AM72" i="34" s="1"/>
  <c r="AM73" i="34" s="1"/>
  <c r="AM74" i="34" s="1"/>
  <c r="AM75" i="34" s="1"/>
  <c r="AM76" i="34" s="1"/>
  <c r="AM77" i="34" s="1"/>
  <c r="AM78" i="34" s="1"/>
  <c r="AM79" i="34" s="1"/>
  <c r="AM80" i="34" s="1"/>
  <c r="AM81" i="34" s="1"/>
  <c r="AM82" i="34" s="1"/>
  <c r="AM83" i="34" s="1"/>
  <c r="AM84" i="34" s="1"/>
  <c r="AL9" i="34"/>
  <c r="AL10" i="34" s="1"/>
  <c r="AL11" i="34" s="1"/>
  <c r="AL12" i="34" s="1"/>
  <c r="AL13" i="34" s="1"/>
  <c r="AL14" i="34" s="1"/>
  <c r="AL15" i="34" s="1"/>
  <c r="AL16" i="34" s="1"/>
  <c r="AL17" i="34" s="1"/>
  <c r="AL18" i="34" s="1"/>
  <c r="AL19" i="34" s="1"/>
  <c r="AL20" i="34" s="1"/>
  <c r="AL21" i="34" s="1"/>
  <c r="AL22" i="34" s="1"/>
  <c r="AL23" i="34" s="1"/>
  <c r="AL24" i="34" s="1"/>
  <c r="AL25" i="34" s="1"/>
  <c r="AL26" i="34" s="1"/>
  <c r="AL27" i="34" s="1"/>
  <c r="AL28" i="34" s="1"/>
  <c r="AL29" i="34" s="1"/>
  <c r="AL30" i="34" s="1"/>
  <c r="AL31" i="34" s="1"/>
  <c r="AL32" i="34" s="1"/>
  <c r="AL33" i="34" s="1"/>
  <c r="AL34" i="34" s="1"/>
  <c r="AL35" i="34" s="1"/>
  <c r="AL36" i="34" s="1"/>
  <c r="AL37" i="34" s="1"/>
  <c r="AL38" i="34" s="1"/>
  <c r="AL39" i="34" s="1"/>
  <c r="AL40" i="34" s="1"/>
  <c r="AL41" i="34" s="1"/>
  <c r="AL42" i="34" s="1"/>
  <c r="AL43" i="34" s="1"/>
  <c r="AL44" i="34" s="1"/>
  <c r="AL45" i="34" s="1"/>
  <c r="AL46" i="34" s="1"/>
  <c r="AL47" i="34" s="1"/>
  <c r="AL48" i="34" s="1"/>
  <c r="AL49" i="34" s="1"/>
  <c r="AL50" i="34" s="1"/>
  <c r="AL51" i="34" s="1"/>
  <c r="AL52" i="34" s="1"/>
  <c r="AL53" i="34" s="1"/>
  <c r="AL54" i="34" s="1"/>
  <c r="AL55" i="34" s="1"/>
  <c r="AL56" i="34" s="1"/>
  <c r="AL57" i="34" s="1"/>
  <c r="AL58" i="34" s="1"/>
  <c r="AL59" i="34" s="1"/>
  <c r="AL60" i="34" s="1"/>
  <c r="AL61" i="34" s="1"/>
  <c r="AL62" i="34" s="1"/>
  <c r="AL63" i="34" s="1"/>
  <c r="AL64" i="34" s="1"/>
  <c r="AL65" i="34" s="1"/>
  <c r="AL66" i="34" s="1"/>
  <c r="AL67" i="34" s="1"/>
  <c r="AL68" i="34" s="1"/>
  <c r="AL69" i="34" s="1"/>
  <c r="AL70" i="34" s="1"/>
  <c r="AL71" i="34" s="1"/>
  <c r="AL72" i="34" s="1"/>
  <c r="AL73" i="34" s="1"/>
  <c r="AL74" i="34" s="1"/>
  <c r="AL75" i="34" s="1"/>
  <c r="AL76" i="34" s="1"/>
  <c r="AL77" i="34" s="1"/>
  <c r="AL78" i="34" s="1"/>
  <c r="AL79" i="34" s="1"/>
  <c r="AL80" i="34" s="1"/>
  <c r="AL81" i="34" s="1"/>
  <c r="AL82" i="34" s="1"/>
  <c r="AL83" i="34" s="1"/>
  <c r="AL84" i="34" s="1"/>
  <c r="AE9" i="34"/>
  <c r="AE10" i="34" s="1"/>
  <c r="AE11" i="34" s="1"/>
  <c r="AE12" i="34" s="1"/>
  <c r="AE13" i="34" s="1"/>
  <c r="AE14" i="34" s="1"/>
  <c r="AE15" i="34" s="1"/>
  <c r="AE16" i="34" s="1"/>
  <c r="AE17" i="34" s="1"/>
  <c r="AE18" i="34" s="1"/>
  <c r="AE19" i="34" s="1"/>
  <c r="AE20" i="34" s="1"/>
  <c r="AE21" i="34" s="1"/>
  <c r="AE22" i="34" s="1"/>
  <c r="AE23" i="34" s="1"/>
  <c r="AE24" i="34" s="1"/>
  <c r="AE25" i="34" s="1"/>
  <c r="AE26" i="34" s="1"/>
  <c r="AE27" i="34" s="1"/>
  <c r="AE28" i="34" s="1"/>
  <c r="AE29" i="34" s="1"/>
  <c r="AE30" i="34" s="1"/>
  <c r="AE31" i="34" s="1"/>
  <c r="AE32" i="34" s="1"/>
  <c r="AE33" i="34" s="1"/>
  <c r="AE34" i="34" s="1"/>
  <c r="AE35" i="34" s="1"/>
  <c r="AE36" i="34" s="1"/>
  <c r="AE37" i="34" s="1"/>
  <c r="AE38" i="34" s="1"/>
  <c r="AE39" i="34" s="1"/>
  <c r="AE40" i="34" s="1"/>
  <c r="AE41" i="34" s="1"/>
  <c r="AE42" i="34" s="1"/>
  <c r="AE43" i="34" s="1"/>
  <c r="AE44" i="34" s="1"/>
  <c r="AE45" i="34" s="1"/>
  <c r="AE46" i="34" s="1"/>
  <c r="AE47" i="34" s="1"/>
  <c r="AE48" i="34" s="1"/>
  <c r="AE49" i="34" s="1"/>
  <c r="AE50" i="34" s="1"/>
  <c r="AE51" i="34" s="1"/>
  <c r="AE52" i="34" s="1"/>
  <c r="AC9" i="34"/>
  <c r="AC10" i="34" s="1"/>
  <c r="AC11" i="34" s="1"/>
  <c r="AC12" i="34" s="1"/>
  <c r="AC13" i="34" s="1"/>
  <c r="AC14" i="34" s="1"/>
  <c r="AC15" i="34" s="1"/>
  <c r="AC16" i="34" s="1"/>
  <c r="AC17" i="34" s="1"/>
  <c r="AC18" i="34" s="1"/>
  <c r="AC19" i="34" s="1"/>
  <c r="AC20" i="34" s="1"/>
  <c r="AC21" i="34" s="1"/>
  <c r="AC22" i="34" s="1"/>
  <c r="AC23" i="34" s="1"/>
  <c r="AC24" i="34" s="1"/>
  <c r="AC25" i="34" s="1"/>
  <c r="AC26" i="34" s="1"/>
  <c r="AC27" i="34" s="1"/>
  <c r="AC28" i="34" s="1"/>
  <c r="AC29" i="34" s="1"/>
  <c r="AC30" i="34" s="1"/>
  <c r="AC31" i="34" s="1"/>
  <c r="AC32" i="34" s="1"/>
  <c r="AC33" i="34" s="1"/>
  <c r="AC34" i="34" s="1"/>
  <c r="AC35" i="34" s="1"/>
  <c r="AC36" i="34" s="1"/>
  <c r="AC37" i="34" s="1"/>
  <c r="AC38" i="34" s="1"/>
  <c r="AC39" i="34" s="1"/>
  <c r="AC40" i="34" s="1"/>
  <c r="AC41" i="34" s="1"/>
  <c r="AC42" i="34" s="1"/>
  <c r="AC43" i="34" s="1"/>
  <c r="AC44" i="34" s="1"/>
  <c r="AC45" i="34" s="1"/>
  <c r="AC46" i="34" s="1"/>
  <c r="AC47" i="34" s="1"/>
  <c r="AC48" i="34" s="1"/>
  <c r="AC49" i="34" s="1"/>
  <c r="AC50" i="34" s="1"/>
  <c r="AC51" i="34" s="1"/>
  <c r="AC52" i="34" s="1"/>
  <c r="AG9" i="34"/>
  <c r="AG10" i="34" s="1"/>
  <c r="AG11" i="34" s="1"/>
  <c r="AG12" i="34" s="1"/>
  <c r="AG13" i="34" s="1"/>
  <c r="AG14" i="34" s="1"/>
  <c r="AG15" i="34" s="1"/>
  <c r="AG16" i="34" s="1"/>
  <c r="AG17" i="34" s="1"/>
  <c r="AG18" i="34" s="1"/>
  <c r="AG19" i="34" s="1"/>
  <c r="AG20" i="34" s="1"/>
  <c r="AG21" i="34" s="1"/>
  <c r="AG22" i="34" s="1"/>
  <c r="AG23" i="34" s="1"/>
  <c r="AG24" i="34" s="1"/>
  <c r="AG25" i="34" s="1"/>
  <c r="AG26" i="34" s="1"/>
  <c r="AG27" i="34" s="1"/>
  <c r="AG28" i="34" s="1"/>
  <c r="AG29" i="34" s="1"/>
  <c r="AG30" i="34" s="1"/>
  <c r="AG31" i="34" s="1"/>
  <c r="AG32" i="34" s="1"/>
  <c r="AG33" i="34" s="1"/>
  <c r="AG34" i="34" s="1"/>
  <c r="AG35" i="34" s="1"/>
  <c r="AG36" i="34" s="1"/>
  <c r="AG37" i="34" s="1"/>
  <c r="AG38" i="34" s="1"/>
  <c r="AG39" i="34" s="1"/>
  <c r="AG40" i="34" s="1"/>
  <c r="AG41" i="34" s="1"/>
  <c r="AG42" i="34" s="1"/>
  <c r="AG43" i="34" s="1"/>
  <c r="AG44" i="34" s="1"/>
  <c r="AG45" i="34" s="1"/>
  <c r="AG46" i="34" s="1"/>
  <c r="AG47" i="34" s="1"/>
  <c r="AG48" i="34" s="1"/>
  <c r="AG49" i="34" s="1"/>
  <c r="AG50" i="34" s="1"/>
  <c r="AG51" i="34" s="1"/>
  <c r="AG52" i="34" s="1"/>
  <c r="AG53" i="34" s="1"/>
  <c r="AG54" i="34" s="1"/>
  <c r="AG55" i="34" s="1"/>
  <c r="AG56" i="34" s="1"/>
  <c r="AG57" i="34" s="1"/>
  <c r="AG58" i="34" s="1"/>
  <c r="F51" i="37"/>
  <c r="AK9" i="34"/>
  <c r="AK10" i="34" s="1"/>
  <c r="AK11" i="34" s="1"/>
  <c r="AK12" i="34" s="1"/>
  <c r="AK13" i="34" s="1"/>
  <c r="AK14" i="34" s="1"/>
  <c r="AK15" i="34" s="1"/>
  <c r="AK16" i="34" s="1"/>
  <c r="AK17" i="34" s="1"/>
  <c r="AK18" i="34" s="1"/>
  <c r="AK19" i="34" s="1"/>
  <c r="AK20" i="34" s="1"/>
  <c r="AK21" i="34" s="1"/>
  <c r="AK22" i="34" s="1"/>
  <c r="AK23" i="34" s="1"/>
  <c r="AK24" i="34" s="1"/>
  <c r="AK25" i="34" s="1"/>
  <c r="AK26" i="34" s="1"/>
  <c r="AK27" i="34" s="1"/>
  <c r="AK28" i="34" s="1"/>
  <c r="AK29" i="34" s="1"/>
  <c r="AK30" i="34" s="1"/>
  <c r="AK31" i="34" s="1"/>
  <c r="AK32" i="34" s="1"/>
  <c r="AK33" i="34" s="1"/>
  <c r="AK34" i="34" s="1"/>
  <c r="AK35" i="34" s="1"/>
  <c r="AK36" i="34" s="1"/>
  <c r="AK37" i="34" s="1"/>
  <c r="AK38" i="34" s="1"/>
  <c r="AK39" i="34" s="1"/>
  <c r="AK40" i="34" s="1"/>
  <c r="AK41" i="34" s="1"/>
  <c r="AK42" i="34" s="1"/>
  <c r="AK43" i="34" s="1"/>
  <c r="AK44" i="34" s="1"/>
  <c r="AK45" i="34" s="1"/>
  <c r="AK46" i="34" s="1"/>
  <c r="AK47" i="34" s="1"/>
  <c r="AK48" i="34" s="1"/>
  <c r="AK49" i="34" s="1"/>
  <c r="AK50" i="34" s="1"/>
  <c r="AK51" i="34" s="1"/>
  <c r="AK52" i="34" s="1"/>
  <c r="AK53" i="34" s="1"/>
  <c r="AK54" i="34" s="1"/>
  <c r="AK55" i="34" s="1"/>
  <c r="AK56" i="34" s="1"/>
  <c r="AK57" i="34" s="1"/>
  <c r="AK58" i="34" s="1"/>
  <c r="AK59" i="34" s="1"/>
  <c r="AK60" i="34" s="1"/>
  <c r="AK61" i="34" s="1"/>
  <c r="AK62" i="34" s="1"/>
  <c r="AK63" i="34" s="1"/>
  <c r="AK64" i="34" s="1"/>
  <c r="AK65" i="34" s="1"/>
  <c r="AK66" i="34" s="1"/>
  <c r="AK67" i="34" s="1"/>
  <c r="AK68" i="34" s="1"/>
  <c r="AK69" i="34" s="1"/>
  <c r="AK70" i="34" s="1"/>
  <c r="AK71" i="34" s="1"/>
  <c r="AK72" i="34" s="1"/>
  <c r="AK73" i="34" s="1"/>
  <c r="AK74" i="34" s="1"/>
  <c r="AK75" i="34" s="1"/>
  <c r="AK76" i="34" s="1"/>
  <c r="AK77" i="34" s="1"/>
  <c r="AK78" i="34" s="1"/>
  <c r="AK79" i="34" s="1"/>
  <c r="AK80" i="34" s="1"/>
  <c r="AK81" i="34" s="1"/>
  <c r="AK82" i="34" s="1"/>
  <c r="AK83" i="34" s="1"/>
  <c r="AK84" i="34" s="1"/>
  <c r="E51" i="37"/>
  <c r="F42" i="37"/>
  <c r="D50" i="37"/>
  <c r="D49" i="37"/>
  <c r="E41" i="37"/>
  <c r="E50" i="37"/>
  <c r="F49" i="37"/>
  <c r="J47" i="48" s="1"/>
  <c r="F40" i="37"/>
  <c r="J39" i="48" s="1"/>
  <c r="E40" i="37"/>
  <c r="E49" i="37"/>
  <c r="F50" i="37"/>
  <c r="F41" i="37"/>
  <c r="E30" i="32"/>
  <c r="J35" i="39" s="1"/>
  <c r="G30" i="32"/>
  <c r="L35" i="39" s="1"/>
  <c r="F30" i="32"/>
  <c r="G25" i="32"/>
  <c r="L34" i="39" s="1"/>
  <c r="F25" i="32"/>
  <c r="K34" i="39" s="1"/>
  <c r="C7" i="43" l="1"/>
  <c r="K35" i="39"/>
  <c r="B7" i="43"/>
  <c r="L7" i="43" s="1"/>
  <c r="E35" i="32"/>
  <c r="P6" i="34"/>
  <c r="T6" i="34"/>
  <c r="H6" i="34"/>
  <c r="D6" i="34"/>
  <c r="L6" i="34"/>
  <c r="C6" i="43"/>
  <c r="M6" i="43" s="1"/>
  <c r="S6" i="34"/>
  <c r="G6" i="34"/>
  <c r="O6" i="34"/>
  <c r="C6" i="34"/>
  <c r="K6" i="34"/>
  <c r="D6" i="43"/>
  <c r="N6" i="43" s="1"/>
  <c r="J25" i="32"/>
  <c r="D7" i="43"/>
  <c r="N7" i="43" s="1"/>
  <c r="J30" i="32"/>
  <c r="Q8" i="43"/>
  <c r="Q10" i="43" s="1"/>
  <c r="R8" i="43"/>
  <c r="R10" i="43" s="1"/>
  <c r="P8" i="43"/>
  <c r="P10" i="43" s="1"/>
  <c r="M7" i="43"/>
  <c r="C8" i="43"/>
  <c r="C7" i="34"/>
  <c r="C7" i="44" s="1"/>
  <c r="C8" i="44" s="1"/>
  <c r="C9" i="44" s="1"/>
  <c r="C10" i="44" s="1"/>
  <c r="D17" i="39"/>
  <c r="I16" i="39"/>
  <c r="F17" i="39"/>
  <c r="K16" i="39"/>
  <c r="E18" i="39"/>
  <c r="J17" i="39"/>
  <c r="D33" i="37"/>
  <c r="F33" i="37"/>
  <c r="D32" i="37"/>
  <c r="E33" i="37"/>
  <c r="E32" i="37"/>
  <c r="E34" i="37"/>
  <c r="D34" i="37"/>
  <c r="F32" i="37"/>
  <c r="F34" i="37"/>
  <c r="F35" i="32"/>
  <c r="F28" i="32"/>
  <c r="F27" i="32"/>
  <c r="B8" i="43" l="1"/>
  <c r="B9" i="43" s="1"/>
  <c r="B10" i="43" s="1"/>
  <c r="B11" i="43" s="1"/>
  <c r="B12" i="43" s="1"/>
  <c r="B13" i="43" s="1"/>
  <c r="B14" i="43" s="1"/>
  <c r="B15" i="43" s="1"/>
  <c r="B16" i="43" s="1"/>
  <c r="B17" i="43" s="1"/>
  <c r="B18" i="43" s="1"/>
  <c r="B19" i="43" s="1"/>
  <c r="B20" i="43" s="1"/>
  <c r="B21" i="43" s="1"/>
  <c r="B22" i="43" s="1"/>
  <c r="B23" i="43" s="1"/>
  <c r="B24" i="43" s="1"/>
  <c r="B25" i="43" s="1"/>
  <c r="B26" i="43" s="1"/>
  <c r="B27" i="43" s="1"/>
  <c r="B28" i="43" s="1"/>
  <c r="B29" i="43" s="1"/>
  <c r="B30" i="43" s="1"/>
  <c r="B31" i="43" s="1"/>
  <c r="B32" i="43" s="1"/>
  <c r="B33" i="43" s="1"/>
  <c r="B34" i="43" s="1"/>
  <c r="B35" i="43" s="1"/>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9" i="43" s="1"/>
  <c r="B80" i="43" s="1"/>
  <c r="B81" i="43" s="1"/>
  <c r="B82" i="43" s="1"/>
  <c r="B83" i="43" s="1"/>
  <c r="B84" i="43" s="1"/>
  <c r="B85" i="43" s="1"/>
  <c r="B86" i="43" s="1"/>
  <c r="B87" i="43" s="1"/>
  <c r="B88" i="43" s="1"/>
  <c r="B89" i="43" s="1"/>
  <c r="B90" i="43" s="1"/>
  <c r="B91" i="43" s="1"/>
  <c r="B92" i="43" s="1"/>
  <c r="D8" i="43"/>
  <c r="D9" i="43" s="1"/>
  <c r="D10" i="43" s="1"/>
  <c r="D11" i="43" s="1"/>
  <c r="D12" i="43" s="1"/>
  <c r="D13" i="43" s="1"/>
  <c r="D14" i="43" s="1"/>
  <c r="D15" i="43" s="1"/>
  <c r="D16" i="43" s="1"/>
  <c r="D17" i="43" s="1"/>
  <c r="D18" i="43" s="1"/>
  <c r="D19" i="43" s="1"/>
  <c r="D20" i="43" s="1"/>
  <c r="D21" i="43" s="1"/>
  <c r="D22" i="43" s="1"/>
  <c r="D23" i="43" s="1"/>
  <c r="D24" i="43" s="1"/>
  <c r="D25" i="43" s="1"/>
  <c r="D26" i="43" s="1"/>
  <c r="D27" i="43" s="1"/>
  <c r="D28" i="43" s="1"/>
  <c r="D29" i="43" s="1"/>
  <c r="D30" i="43" s="1"/>
  <c r="D31" i="43" s="1"/>
  <c r="D32" i="43" s="1"/>
  <c r="D33" i="43" s="1"/>
  <c r="D34" i="43" s="1"/>
  <c r="D35" i="43" s="1"/>
  <c r="D36" i="43" s="1"/>
  <c r="D37" i="43" s="1"/>
  <c r="D38" i="43" s="1"/>
  <c r="D39" i="43" s="1"/>
  <c r="D40" i="43" s="1"/>
  <c r="D41" i="43" s="1"/>
  <c r="D42" i="43" s="1"/>
  <c r="D43" i="43" s="1"/>
  <c r="D44" i="43" s="1"/>
  <c r="D45" i="43" s="1"/>
  <c r="D46" i="43" s="1"/>
  <c r="D47" i="43" s="1"/>
  <c r="D48" i="43" s="1"/>
  <c r="D49" i="43" s="1"/>
  <c r="D50" i="43" s="1"/>
  <c r="D51" i="43" s="1"/>
  <c r="D52" i="43" s="1"/>
  <c r="D53" i="43" s="1"/>
  <c r="D54" i="43" s="1"/>
  <c r="D55" i="43" s="1"/>
  <c r="D56" i="43" s="1"/>
  <c r="D57" i="43" s="1"/>
  <c r="D58" i="43" s="1"/>
  <c r="D59" i="43" s="1"/>
  <c r="D60" i="43" s="1"/>
  <c r="D61" i="43" s="1"/>
  <c r="D62" i="43" s="1"/>
  <c r="D63" i="43" s="1"/>
  <c r="D64" i="43" s="1"/>
  <c r="D65" i="43" s="1"/>
  <c r="D66" i="43" s="1"/>
  <c r="D67" i="43" s="1"/>
  <c r="D68" i="43" s="1"/>
  <c r="D69" i="43" s="1"/>
  <c r="D70" i="43" s="1"/>
  <c r="D71" i="43" s="1"/>
  <c r="D72" i="43" s="1"/>
  <c r="D73" i="43" s="1"/>
  <c r="D74" i="43" s="1"/>
  <c r="D75" i="43" s="1"/>
  <c r="D76" i="43" s="1"/>
  <c r="D77" i="43" s="1"/>
  <c r="D78" i="43" s="1"/>
  <c r="D79" i="43" s="1"/>
  <c r="D80" i="43" s="1"/>
  <c r="D81" i="43" s="1"/>
  <c r="D82" i="43" s="1"/>
  <c r="D83" i="43" s="1"/>
  <c r="D84" i="43" s="1"/>
  <c r="D85" i="43" s="1"/>
  <c r="D86" i="43" s="1"/>
  <c r="D87" i="43" s="1"/>
  <c r="D88" i="43" s="1"/>
  <c r="D89" i="43" s="1"/>
  <c r="D90" i="43" s="1"/>
  <c r="D91" i="43" s="1"/>
  <c r="D92" i="43" s="1"/>
  <c r="C9" i="43"/>
  <c r="C10" i="43" s="1"/>
  <c r="C11" i="43" s="1"/>
  <c r="C12" i="43" s="1"/>
  <c r="C13" i="43" s="1"/>
  <c r="C14" i="43" s="1"/>
  <c r="C15" i="43" s="1"/>
  <c r="C16" i="43" s="1"/>
  <c r="C17" i="43" s="1"/>
  <c r="C18" i="43" s="1"/>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C79" i="43" s="1"/>
  <c r="C80" i="43" s="1"/>
  <c r="C81" i="43" s="1"/>
  <c r="C82" i="43" s="1"/>
  <c r="C83" i="43" s="1"/>
  <c r="C84" i="43" s="1"/>
  <c r="C85" i="43" s="1"/>
  <c r="C86" i="43" s="1"/>
  <c r="C87" i="43" s="1"/>
  <c r="C88" i="43" s="1"/>
  <c r="C89" i="43" s="1"/>
  <c r="C90" i="43" s="1"/>
  <c r="C91" i="43" s="1"/>
  <c r="C92" i="43" s="1"/>
  <c r="E19" i="39"/>
  <c r="J18" i="39"/>
  <c r="F18" i="39"/>
  <c r="K17" i="39"/>
  <c r="D18" i="39"/>
  <c r="I17" i="39"/>
  <c r="N8" i="43" l="1"/>
  <c r="L8" i="43"/>
  <c r="M8" i="43"/>
  <c r="D19" i="39"/>
  <c r="I18" i="39"/>
  <c r="F19" i="39"/>
  <c r="K18" i="39"/>
  <c r="E20" i="39"/>
  <c r="J19" i="39"/>
  <c r="E21" i="39" l="1"/>
  <c r="J20" i="39"/>
  <c r="F20" i="39"/>
  <c r="K19" i="39"/>
  <c r="D20" i="39"/>
  <c r="I19" i="39"/>
  <c r="I18" i="23"/>
  <c r="I46" i="4" l="1"/>
  <c r="I45" i="4"/>
  <c r="I44" i="4"/>
  <c r="I57" i="4"/>
  <c r="E32" i="38"/>
  <c r="E34" i="38"/>
  <c r="E33" i="38"/>
  <c r="E31" i="39"/>
  <c r="E32" i="39" s="1"/>
  <c r="E26" i="39"/>
  <c r="D21" i="39"/>
  <c r="D31" i="39" s="1"/>
  <c r="I20" i="39"/>
  <c r="F21" i="39"/>
  <c r="K20" i="39"/>
  <c r="J21" i="39"/>
  <c r="J26" i="39" s="1"/>
  <c r="I26" i="4"/>
  <c r="I25" i="4"/>
  <c r="J18" i="23"/>
  <c r="F29" i="4"/>
  <c r="F10" i="22"/>
  <c r="F9" i="30"/>
  <c r="F9" i="8"/>
  <c r="F11" i="26"/>
  <c r="F10" i="24"/>
  <c r="F12" i="26"/>
  <c r="F23" i="26"/>
  <c r="F24" i="26"/>
  <c r="F19" i="4"/>
  <c r="F11" i="24"/>
  <c r="F10" i="26"/>
  <c r="F22" i="26"/>
  <c r="J14" i="26"/>
  <c r="F9" i="22"/>
  <c r="F9" i="24"/>
  <c r="F13" i="23"/>
  <c r="F10" i="20"/>
  <c r="F19" i="20"/>
  <c r="F20" i="4"/>
  <c r="F10" i="30"/>
  <c r="F13" i="8"/>
  <c r="F18" i="4"/>
  <c r="F13" i="26"/>
  <c r="J9" i="26"/>
  <c r="F11" i="30"/>
  <c r="F16" i="24"/>
  <c r="F18" i="23"/>
  <c r="F9" i="28"/>
  <c r="F12" i="8"/>
  <c r="F9" i="5"/>
  <c r="F20" i="5"/>
  <c r="F17" i="4"/>
  <c r="F36" i="4"/>
  <c r="F14" i="26"/>
  <c r="J10" i="26"/>
  <c r="F12" i="30"/>
  <c r="F17" i="24"/>
  <c r="F9" i="23"/>
  <c r="F10" i="28"/>
  <c r="F11" i="8"/>
  <c r="F13" i="5"/>
  <c r="F19" i="5"/>
  <c r="F16" i="4"/>
  <c r="F38" i="4"/>
  <c r="F19" i="26"/>
  <c r="J12" i="26"/>
  <c r="F17" i="30"/>
  <c r="F18" i="24"/>
  <c r="F10" i="23"/>
  <c r="F15" i="28"/>
  <c r="F9" i="20"/>
  <c r="F10" i="8"/>
  <c r="F12" i="5"/>
  <c r="F17" i="5"/>
  <c r="F13" i="4"/>
  <c r="F15" i="4"/>
  <c r="F37" i="4"/>
  <c r="J11" i="26"/>
  <c r="F18" i="30"/>
  <c r="F11" i="23"/>
  <c r="F16" i="28"/>
  <c r="F12" i="20"/>
  <c r="F11" i="5"/>
  <c r="F18" i="5"/>
  <c r="F22" i="4"/>
  <c r="F14" i="4"/>
  <c r="F9" i="26"/>
  <c r="F21" i="26"/>
  <c r="J13" i="26"/>
  <c r="F19" i="30"/>
  <c r="F12" i="23"/>
  <c r="F17" i="28"/>
  <c r="F11" i="20"/>
  <c r="F10" i="5"/>
  <c r="F21" i="4"/>
  <c r="P9" i="42" l="1"/>
  <c r="T9" i="42"/>
  <c r="H9" i="42"/>
  <c r="L9" i="42"/>
  <c r="E40" i="41"/>
  <c r="E52" i="41" s="1"/>
  <c r="E44" i="41"/>
  <c r="E39" i="41"/>
  <c r="E51" i="41" s="1"/>
  <c r="E43" i="41"/>
  <c r="E41" i="41"/>
  <c r="E53" i="41" s="1"/>
  <c r="E45" i="41"/>
  <c r="C8" i="40"/>
  <c r="K8" i="40"/>
  <c r="G8" i="40"/>
  <c r="S8" i="40"/>
  <c r="E39" i="38"/>
  <c r="E51" i="38" s="1"/>
  <c r="O8" i="40"/>
  <c r="E43" i="38"/>
  <c r="F31" i="39"/>
  <c r="F32" i="39" s="1"/>
  <c r="F34" i="38"/>
  <c r="F32" i="38"/>
  <c r="F33" i="38"/>
  <c r="D32" i="39"/>
  <c r="D33" i="38"/>
  <c r="D34" i="38"/>
  <c r="D32" i="38"/>
  <c r="E40" i="38"/>
  <c r="E52" i="38" s="1"/>
  <c r="E44" i="38"/>
  <c r="E41" i="38"/>
  <c r="E53" i="38" s="1"/>
  <c r="E45" i="38"/>
  <c r="K21" i="39"/>
  <c r="K26" i="39" s="1"/>
  <c r="F26" i="39"/>
  <c r="I21" i="39"/>
  <c r="I26" i="39" s="1"/>
  <c r="D26" i="39"/>
  <c r="H30" i="4"/>
  <c r="I30" i="4" s="1"/>
  <c r="F30" i="4"/>
  <c r="H29" i="4"/>
  <c r="I29" i="4" s="1"/>
  <c r="T10" i="42" l="1"/>
  <c r="T11" i="42" s="1"/>
  <c r="T12" i="42" s="1"/>
  <c r="T13" i="42" s="1"/>
  <c r="T14" i="42" s="1"/>
  <c r="T15" i="42" s="1"/>
  <c r="T16" i="42" s="1"/>
  <c r="T17" i="42" s="1"/>
  <c r="T18" i="42" s="1"/>
  <c r="T19" i="42" s="1"/>
  <c r="T20" i="42" s="1"/>
  <c r="T21" i="42" s="1"/>
  <c r="T22" i="42" s="1"/>
  <c r="T23" i="42" s="1"/>
  <c r="T24" i="42" s="1"/>
  <c r="T25" i="42" s="1"/>
  <c r="T26" i="42" s="1"/>
  <c r="T27" i="42" s="1"/>
  <c r="T28" i="42" s="1"/>
  <c r="T29" i="42" s="1"/>
  <c r="T30" i="42" s="1"/>
  <c r="T31" i="42" s="1"/>
  <c r="T32" i="42" s="1"/>
  <c r="T33" i="42" s="1"/>
  <c r="T34" i="42" s="1"/>
  <c r="T35" i="42" s="1"/>
  <c r="T36" i="42" s="1"/>
  <c r="T37" i="42" s="1"/>
  <c r="T38" i="42" s="1"/>
  <c r="T39" i="42" s="1"/>
  <c r="T40" i="42" s="1"/>
  <c r="T41" i="42" s="1"/>
  <c r="T42" i="42" s="1"/>
  <c r="T43" i="42" s="1"/>
  <c r="T44" i="42" s="1"/>
  <c r="T45" i="42" s="1"/>
  <c r="T46" i="42" s="1"/>
  <c r="T47" i="42" s="1"/>
  <c r="T48" i="42" s="1"/>
  <c r="T49" i="42" s="1"/>
  <c r="T50" i="42" s="1"/>
  <c r="T51" i="42" s="1"/>
  <c r="T52" i="42" s="1"/>
  <c r="T53" i="42" s="1"/>
  <c r="T54" i="42" s="1"/>
  <c r="T55" i="42" s="1"/>
  <c r="T56" i="42" s="1"/>
  <c r="T57" i="42" s="1"/>
  <c r="T58" i="42" s="1"/>
  <c r="T59" i="42" s="1"/>
  <c r="T60" i="42" s="1"/>
  <c r="T61" i="42" s="1"/>
  <c r="T62" i="42" s="1"/>
  <c r="T63" i="42" s="1"/>
  <c r="T64" i="42" s="1"/>
  <c r="T65" i="42" s="1"/>
  <c r="T66" i="42" s="1"/>
  <c r="T67" i="42" s="1"/>
  <c r="T68" i="42" s="1"/>
  <c r="T69" i="42" s="1"/>
  <c r="T70" i="42" s="1"/>
  <c r="T71" i="42" s="1"/>
  <c r="T72" i="42" s="1"/>
  <c r="T73" i="42" s="1"/>
  <c r="T74" i="42" s="1"/>
  <c r="T75" i="42" s="1"/>
  <c r="T76" i="42" s="1"/>
  <c r="T77" i="42" s="1"/>
  <c r="T78" i="42" s="1"/>
  <c r="T79" i="42" s="1"/>
  <c r="T80" i="42" s="1"/>
  <c r="T81" i="42" s="1"/>
  <c r="T82" i="42" s="1"/>
  <c r="T83" i="42" s="1"/>
  <c r="T84" i="42" s="1"/>
  <c r="T85" i="42" s="1"/>
  <c r="T86" i="42" s="1"/>
  <c r="T87" i="42" s="1"/>
  <c r="T88" i="42" s="1"/>
  <c r="T89" i="42" s="1"/>
  <c r="T90" i="42" s="1"/>
  <c r="T91" i="42" s="1"/>
  <c r="T92" i="42" s="1"/>
  <c r="T93" i="42" s="1"/>
  <c r="T94" i="42" s="1"/>
  <c r="T95" i="42" s="1"/>
  <c r="T96" i="42" s="1"/>
  <c r="T97" i="42" s="1"/>
  <c r="T98" i="42" s="1"/>
  <c r="T99" i="42" s="1"/>
  <c r="T100" i="42" s="1"/>
  <c r="T101" i="42" s="1"/>
  <c r="T102" i="42" s="1"/>
  <c r="T103" i="42" s="1"/>
  <c r="T104" i="42" s="1"/>
  <c r="T105" i="42" s="1"/>
  <c r="T106" i="42" s="1"/>
  <c r="T107" i="42" s="1"/>
  <c r="T108" i="42" s="1"/>
  <c r="T109" i="42" s="1"/>
  <c r="T110" i="42" s="1"/>
  <c r="T111" i="42" s="1"/>
  <c r="T112" i="42" s="1"/>
  <c r="T113" i="42" s="1"/>
  <c r="T114" i="42" s="1"/>
  <c r="T115" i="42" s="1"/>
  <c r="T116" i="42" s="1"/>
  <c r="T117" i="42" s="1"/>
  <c r="T118" i="42" s="1"/>
  <c r="T119" i="42" s="1"/>
  <c r="T120" i="42" s="1"/>
  <c r="T121" i="42" s="1"/>
  <c r="T122" i="42" s="1"/>
  <c r="T123" i="42" s="1"/>
  <c r="T124" i="42" s="1"/>
  <c r="T125" i="42" s="1"/>
  <c r="T126" i="42" s="1"/>
  <c r="T127" i="42" s="1"/>
  <c r="T128" i="42" s="1"/>
  <c r="T129" i="42" s="1"/>
  <c r="T130" i="42" s="1"/>
  <c r="T131" i="42" s="1"/>
  <c r="T132" i="42" s="1"/>
  <c r="T133" i="42" s="1"/>
  <c r="T134" i="42" s="1"/>
  <c r="T135" i="42" s="1"/>
  <c r="T136" i="42" s="1"/>
  <c r="T137" i="42" s="1"/>
  <c r="T138" i="42" s="1"/>
  <c r="T139" i="42" s="1"/>
  <c r="T140" i="42" s="1"/>
  <c r="T141" i="42" s="1"/>
  <c r="T142" i="42" s="1"/>
  <c r="T143" i="42" s="1"/>
  <c r="T144" i="42" s="1"/>
  <c r="T145" i="42" s="1"/>
  <c r="T146" i="42" s="1"/>
  <c r="T147" i="42" s="1"/>
  <c r="T148" i="42" s="1"/>
  <c r="T149" i="42" s="1"/>
  <c r="T150" i="42" s="1"/>
  <c r="T151" i="42" s="1"/>
  <c r="T152" i="42" s="1"/>
  <c r="T153" i="42" s="1"/>
  <c r="T154" i="42" s="1"/>
  <c r="T155" i="42" s="1"/>
  <c r="T156" i="42" s="1"/>
  <c r="T157" i="42" s="1"/>
  <c r="T158" i="42" s="1"/>
  <c r="T159" i="42" s="1"/>
  <c r="T160" i="42" s="1"/>
  <c r="T161" i="42" s="1"/>
  <c r="T162" i="42" s="1"/>
  <c r="T163" i="42" s="1"/>
  <c r="T164" i="42" s="1"/>
  <c r="T165" i="42" s="1"/>
  <c r="T166" i="42" s="1"/>
  <c r="L10" i="42"/>
  <c r="L11" i="42" s="1"/>
  <c r="L12" i="42" s="1"/>
  <c r="L13" i="42" s="1"/>
  <c r="L14" i="42" s="1"/>
  <c r="L15" i="42" s="1"/>
  <c r="L16" i="42" s="1"/>
  <c r="L17" i="42" s="1"/>
  <c r="L18" i="42" s="1"/>
  <c r="L19" i="42" s="1"/>
  <c r="L20" i="42" s="1"/>
  <c r="L21" i="42" s="1"/>
  <c r="L22" i="42" s="1"/>
  <c r="L23" i="42" s="1"/>
  <c r="L24" i="42" s="1"/>
  <c r="L25" i="42" s="1"/>
  <c r="L26" i="42" s="1"/>
  <c r="L27" i="42" s="1"/>
  <c r="L28" i="42" s="1"/>
  <c r="L29" i="42" s="1"/>
  <c r="L30" i="42" s="1"/>
  <c r="L31" i="42" s="1"/>
  <c r="L32" i="42" s="1"/>
  <c r="L33" i="42" s="1"/>
  <c r="L34" i="42" s="1"/>
  <c r="L35" i="42" s="1"/>
  <c r="L36" i="42" s="1"/>
  <c r="L37" i="42" s="1"/>
  <c r="L38" i="42" s="1"/>
  <c r="L39" i="42" s="1"/>
  <c r="L40" i="42" s="1"/>
  <c r="L41" i="42" s="1"/>
  <c r="L42" i="42" s="1"/>
  <c r="L43" i="42" s="1"/>
  <c r="L44" i="42" s="1"/>
  <c r="L45" i="42" s="1"/>
  <c r="L46" i="42" s="1"/>
  <c r="L47" i="42" s="1"/>
  <c r="L48" i="42" s="1"/>
  <c r="L49" i="42" s="1"/>
  <c r="L50" i="42" s="1"/>
  <c r="L51" i="42" s="1"/>
  <c r="L52" i="42" s="1"/>
  <c r="L53" i="42" s="1"/>
  <c r="L54" i="42" s="1"/>
  <c r="L55" i="42" s="1"/>
  <c r="L56" i="42" s="1"/>
  <c r="L57" i="42" s="1"/>
  <c r="H10" i="42"/>
  <c r="H11" i="42" s="1"/>
  <c r="H12" i="42" s="1"/>
  <c r="H13" i="42" s="1"/>
  <c r="H14" i="42" s="1"/>
  <c r="H15" i="42" s="1"/>
  <c r="H16" i="42" s="1"/>
  <c r="H17" i="42" s="1"/>
  <c r="H18" i="42" s="1"/>
  <c r="H19" i="42" s="1"/>
  <c r="H20" i="42" s="1"/>
  <c r="H21" i="42" s="1"/>
  <c r="H22" i="42" s="1"/>
  <c r="H23" i="42" s="1"/>
  <c r="H24" i="42" s="1"/>
  <c r="H25" i="42" s="1"/>
  <c r="H26" i="42" s="1"/>
  <c r="H27" i="42" s="1"/>
  <c r="H28" i="42" s="1"/>
  <c r="H29" i="42" s="1"/>
  <c r="H30" i="42" s="1"/>
  <c r="H31" i="42" s="1"/>
  <c r="H32" i="42" s="1"/>
  <c r="H33" i="42" s="1"/>
  <c r="P10" i="42"/>
  <c r="P11" i="42" s="1"/>
  <c r="P12" i="42" s="1"/>
  <c r="P13" i="42" s="1"/>
  <c r="P14" i="42" s="1"/>
  <c r="P15" i="42" s="1"/>
  <c r="P16" i="42" s="1"/>
  <c r="P17" i="42" s="1"/>
  <c r="P18" i="42" s="1"/>
  <c r="P19" i="42" s="1"/>
  <c r="P20" i="42" s="1"/>
  <c r="P21" i="42" s="1"/>
  <c r="P22" i="42" s="1"/>
  <c r="P23" i="42" s="1"/>
  <c r="P24" i="42" s="1"/>
  <c r="P25" i="42" s="1"/>
  <c r="P26" i="42" s="1"/>
  <c r="P27" i="42" s="1"/>
  <c r="P28" i="42" s="1"/>
  <c r="P29" i="42" s="1"/>
  <c r="P30" i="42" s="1"/>
  <c r="P31" i="42" s="1"/>
  <c r="P32" i="42" s="1"/>
  <c r="P33" i="42" s="1"/>
  <c r="P34" i="42" s="1"/>
  <c r="P35" i="42" s="1"/>
  <c r="P36" i="42" s="1"/>
  <c r="P37" i="42" s="1"/>
  <c r="P38" i="42" s="1"/>
  <c r="P39" i="42" s="1"/>
  <c r="P40" i="42" s="1"/>
  <c r="P41" i="42" s="1"/>
  <c r="P42" i="42" s="1"/>
  <c r="P43" i="42" s="1"/>
  <c r="P44" i="42" s="1"/>
  <c r="P45" i="42" s="1"/>
  <c r="P46" i="42" s="1"/>
  <c r="P47" i="42" s="1"/>
  <c r="P48" i="42" s="1"/>
  <c r="P49" i="42" s="1"/>
  <c r="P50" i="42" s="1"/>
  <c r="P51" i="42" s="1"/>
  <c r="P52" i="42" s="1"/>
  <c r="P53" i="42" s="1"/>
  <c r="P54" i="42" s="1"/>
  <c r="P55" i="42" s="1"/>
  <c r="P56" i="42" s="1"/>
  <c r="P57" i="42" s="1"/>
  <c r="P58" i="42" s="1"/>
  <c r="P59" i="42" s="1"/>
  <c r="P60" i="42" s="1"/>
  <c r="P61" i="42" s="1"/>
  <c r="P62" i="42" s="1"/>
  <c r="P63" i="42" s="1"/>
  <c r="P64" i="42" s="1"/>
  <c r="P65" i="42" s="1"/>
  <c r="P66" i="42" s="1"/>
  <c r="P67" i="42" s="1"/>
  <c r="P68" i="42" s="1"/>
  <c r="P69" i="42" s="1"/>
  <c r="P70" i="42" s="1"/>
  <c r="P71" i="42" s="1"/>
  <c r="P72" i="42" s="1"/>
  <c r="P73" i="42" s="1"/>
  <c r="P74" i="42" s="1"/>
  <c r="P75" i="42" s="1"/>
  <c r="P76" i="42" s="1"/>
  <c r="P77" i="42" s="1"/>
  <c r="P78" i="42" s="1"/>
  <c r="P79" i="42" s="1"/>
  <c r="P80" i="42" s="1"/>
  <c r="P81" i="42" s="1"/>
  <c r="P82" i="42" s="1"/>
  <c r="P83" i="42" s="1"/>
  <c r="P84" i="42" s="1"/>
  <c r="P85" i="42" s="1"/>
  <c r="P86" i="42" s="1"/>
  <c r="P87" i="42" s="1"/>
  <c r="M9" i="42"/>
  <c r="I9" i="42"/>
  <c r="U9" i="42"/>
  <c r="Q9" i="42"/>
  <c r="K9" i="42"/>
  <c r="S9" i="42"/>
  <c r="G9" i="42"/>
  <c r="O9" i="42"/>
  <c r="D40" i="41"/>
  <c r="D52" i="41" s="1"/>
  <c r="D44" i="41"/>
  <c r="D41" i="41"/>
  <c r="D53" i="41" s="1"/>
  <c r="D45" i="41"/>
  <c r="D39" i="41"/>
  <c r="D51" i="41" s="1"/>
  <c r="D43" i="41"/>
  <c r="F41" i="41"/>
  <c r="F53" i="41" s="1"/>
  <c r="F45" i="41"/>
  <c r="F39" i="41"/>
  <c r="F51" i="41" s="1"/>
  <c r="F43" i="41"/>
  <c r="F40" i="41"/>
  <c r="F52" i="41" s="1"/>
  <c r="F44" i="41"/>
  <c r="O9" i="40"/>
  <c r="O10" i="40" s="1"/>
  <c r="O11" i="40" s="1"/>
  <c r="O12" i="40" s="1"/>
  <c r="O13" i="40" s="1"/>
  <c r="O14" i="40" s="1"/>
  <c r="O15" i="40" s="1"/>
  <c r="O16" i="40" s="1"/>
  <c r="O17" i="40" s="1"/>
  <c r="O18" i="40" s="1"/>
  <c r="O19" i="40" s="1"/>
  <c r="O20" i="40" s="1"/>
  <c r="O21" i="40" s="1"/>
  <c r="O22" i="40" s="1"/>
  <c r="O23" i="40" s="1"/>
  <c r="O24" i="40" s="1"/>
  <c r="O25" i="40" s="1"/>
  <c r="O26" i="40" s="1"/>
  <c r="O27" i="40" s="1"/>
  <c r="O28" i="40" s="1"/>
  <c r="O29" i="40" s="1"/>
  <c r="O30" i="40" s="1"/>
  <c r="O31" i="40" s="1"/>
  <c r="O32" i="40" s="1"/>
  <c r="O33" i="40" s="1"/>
  <c r="O34" i="40" s="1"/>
  <c r="O35" i="40" s="1"/>
  <c r="O36" i="40" s="1"/>
  <c r="O37" i="40" s="1"/>
  <c r="O38" i="40" s="1"/>
  <c r="O39" i="40" s="1"/>
  <c r="O40" i="40" s="1"/>
  <c r="O41" i="40" s="1"/>
  <c r="O42" i="40" s="1"/>
  <c r="O43" i="40" s="1"/>
  <c r="O44" i="40" s="1"/>
  <c r="O45" i="40" s="1"/>
  <c r="O46" i="40" s="1"/>
  <c r="O47" i="40" s="1"/>
  <c r="O48" i="40" s="1"/>
  <c r="O49" i="40" s="1"/>
  <c r="O50" i="40" s="1"/>
  <c r="O51" i="40" s="1"/>
  <c r="O52" i="40" s="1"/>
  <c r="O53" i="40" s="1"/>
  <c r="O54" i="40" s="1"/>
  <c r="O55" i="40" s="1"/>
  <c r="O56" i="40" s="1"/>
  <c r="O57" i="40" s="1"/>
  <c r="O58" i="40" s="1"/>
  <c r="O59" i="40" s="1"/>
  <c r="O60" i="40" s="1"/>
  <c r="O61" i="40" s="1"/>
  <c r="O62" i="40" s="1"/>
  <c r="O63" i="40" s="1"/>
  <c r="O64" i="40" s="1"/>
  <c r="O65" i="40" s="1"/>
  <c r="O66" i="40" s="1"/>
  <c r="O67" i="40" s="1"/>
  <c r="O68" i="40" s="1"/>
  <c r="O69" i="40" s="1"/>
  <c r="O70" i="40" s="1"/>
  <c r="O71" i="40" s="1"/>
  <c r="O72" i="40" s="1"/>
  <c r="O73" i="40" s="1"/>
  <c r="O74" i="40" s="1"/>
  <c r="O75" i="40" s="1"/>
  <c r="O76" i="40" s="1"/>
  <c r="O77" i="40" s="1"/>
  <c r="O78" i="40" s="1"/>
  <c r="O79" i="40" s="1"/>
  <c r="O80" i="40" s="1"/>
  <c r="O81" i="40" s="1"/>
  <c r="O82" i="40" s="1"/>
  <c r="O83" i="40" s="1"/>
  <c r="O84" i="40" s="1"/>
  <c r="O85" i="40" s="1"/>
  <c r="O86" i="40" s="1"/>
  <c r="O87" i="40" s="1"/>
  <c r="S9" i="40"/>
  <c r="S10" i="40" s="1"/>
  <c r="S11" i="40" s="1"/>
  <c r="S12" i="40" s="1"/>
  <c r="S13" i="40" s="1"/>
  <c r="S14" i="40" s="1"/>
  <c r="S15" i="40" s="1"/>
  <c r="S16" i="40" s="1"/>
  <c r="S17" i="40" s="1"/>
  <c r="S18" i="40" s="1"/>
  <c r="S19" i="40" s="1"/>
  <c r="S20" i="40" s="1"/>
  <c r="S21" i="40" s="1"/>
  <c r="S22" i="40" s="1"/>
  <c r="S23" i="40" s="1"/>
  <c r="S24" i="40" s="1"/>
  <c r="S25" i="40" s="1"/>
  <c r="S26" i="40" s="1"/>
  <c r="S27" i="40" s="1"/>
  <c r="S28" i="40" s="1"/>
  <c r="S29" i="40" s="1"/>
  <c r="S30" i="40" s="1"/>
  <c r="S31" i="40" s="1"/>
  <c r="S32" i="40" s="1"/>
  <c r="S33" i="40" s="1"/>
  <c r="S34" i="40" s="1"/>
  <c r="S35" i="40" s="1"/>
  <c r="S36" i="40" s="1"/>
  <c r="S37" i="40" s="1"/>
  <c r="S38" i="40" s="1"/>
  <c r="S39" i="40" s="1"/>
  <c r="S40" i="40" s="1"/>
  <c r="S41" i="40" s="1"/>
  <c r="S42" i="40" s="1"/>
  <c r="S43" i="40" s="1"/>
  <c r="S44" i="40" s="1"/>
  <c r="S45" i="40" s="1"/>
  <c r="S46" i="40" s="1"/>
  <c r="S47" i="40" s="1"/>
  <c r="S48" i="40" s="1"/>
  <c r="S49" i="40" s="1"/>
  <c r="S50" i="40" s="1"/>
  <c r="S51" i="40" s="1"/>
  <c r="S52" i="40" s="1"/>
  <c r="S53" i="40" s="1"/>
  <c r="S54" i="40" s="1"/>
  <c r="S55" i="40" s="1"/>
  <c r="S56" i="40" s="1"/>
  <c r="S57" i="40" s="1"/>
  <c r="S58" i="40" s="1"/>
  <c r="S59" i="40" s="1"/>
  <c r="S60" i="40" s="1"/>
  <c r="S61" i="40" s="1"/>
  <c r="S62" i="40" s="1"/>
  <c r="S63" i="40" s="1"/>
  <c r="S64" i="40" s="1"/>
  <c r="S65" i="40" s="1"/>
  <c r="S66" i="40" s="1"/>
  <c r="S67" i="40" s="1"/>
  <c r="S68" i="40" s="1"/>
  <c r="S69" i="40" s="1"/>
  <c r="S70" i="40" s="1"/>
  <c r="S71" i="40" s="1"/>
  <c r="S72" i="40" s="1"/>
  <c r="S73" i="40" s="1"/>
  <c r="S74" i="40" s="1"/>
  <c r="S75" i="40" s="1"/>
  <c r="S76" i="40" s="1"/>
  <c r="S77" i="40" s="1"/>
  <c r="S78" i="40" s="1"/>
  <c r="S79" i="40" s="1"/>
  <c r="S80" i="40" s="1"/>
  <c r="S81" i="40" s="1"/>
  <c r="S82" i="40" s="1"/>
  <c r="S83" i="40" s="1"/>
  <c r="S84" i="40" s="1"/>
  <c r="S85" i="40" s="1"/>
  <c r="S86" i="40" s="1"/>
  <c r="S87" i="40" s="1"/>
  <c r="S88" i="40" s="1"/>
  <c r="S89" i="40" s="1"/>
  <c r="S90" i="40" s="1"/>
  <c r="S91" i="40" s="1"/>
  <c r="S92" i="40" s="1"/>
  <c r="S93" i="40" s="1"/>
  <c r="S94" i="40" s="1"/>
  <c r="S95" i="40" s="1"/>
  <c r="S96" i="40" s="1"/>
  <c r="S97" i="40" s="1"/>
  <c r="S98" i="40" s="1"/>
  <c r="S99" i="40" s="1"/>
  <c r="S100" i="40" s="1"/>
  <c r="S101" i="40" s="1"/>
  <c r="S102" i="40" s="1"/>
  <c r="S103" i="40" s="1"/>
  <c r="S104" i="40" s="1"/>
  <c r="S105" i="40" s="1"/>
  <c r="S106" i="40" s="1"/>
  <c r="S107" i="40" s="1"/>
  <c r="S108" i="40" s="1"/>
  <c r="S109" i="40" s="1"/>
  <c r="S110" i="40" s="1"/>
  <c r="S111" i="40" s="1"/>
  <c r="S112" i="40" s="1"/>
  <c r="S113" i="40" s="1"/>
  <c r="S114" i="40" s="1"/>
  <c r="S115" i="40" s="1"/>
  <c r="S116" i="40" s="1"/>
  <c r="S117" i="40" s="1"/>
  <c r="S118" i="40" s="1"/>
  <c r="S119" i="40" s="1"/>
  <c r="S120" i="40" s="1"/>
  <c r="S121" i="40" s="1"/>
  <c r="S122" i="40" s="1"/>
  <c r="S123" i="40" s="1"/>
  <c r="S124" i="40" s="1"/>
  <c r="S125" i="40" s="1"/>
  <c r="S126" i="40" s="1"/>
  <c r="S127" i="40" s="1"/>
  <c r="S128" i="40" s="1"/>
  <c r="S129" i="40" s="1"/>
  <c r="S130" i="40" s="1"/>
  <c r="S131" i="40" s="1"/>
  <c r="S132" i="40" s="1"/>
  <c r="S133" i="40" s="1"/>
  <c r="S134" i="40" s="1"/>
  <c r="S135" i="40" s="1"/>
  <c r="S136" i="40" s="1"/>
  <c r="S137" i="40" s="1"/>
  <c r="S138" i="40" s="1"/>
  <c r="S139" i="40" s="1"/>
  <c r="S140" i="40" s="1"/>
  <c r="S141" i="40" s="1"/>
  <c r="S142" i="40" s="1"/>
  <c r="S143" i="40" s="1"/>
  <c r="S144" i="40" s="1"/>
  <c r="S145" i="40" s="1"/>
  <c r="S146" i="40" s="1"/>
  <c r="S147" i="40" s="1"/>
  <c r="S148" i="40" s="1"/>
  <c r="S149" i="40" s="1"/>
  <c r="S150" i="40" s="1"/>
  <c r="S151" i="40" s="1"/>
  <c r="S152" i="40" s="1"/>
  <c r="S153" i="40" s="1"/>
  <c r="S154" i="40" s="1"/>
  <c r="S155" i="40" s="1"/>
  <c r="S156" i="40" s="1"/>
  <c r="S157" i="40" s="1"/>
  <c r="S158" i="40" s="1"/>
  <c r="S159" i="40" s="1"/>
  <c r="S160" i="40" s="1"/>
  <c r="S161" i="40" s="1"/>
  <c r="S162" i="40" s="1"/>
  <c r="S163" i="40" s="1"/>
  <c r="S164" i="40" s="1"/>
  <c r="S165" i="40" s="1"/>
  <c r="S166" i="40" s="1"/>
  <c r="K9" i="40"/>
  <c r="K10" i="40" s="1"/>
  <c r="K11" i="40" s="1"/>
  <c r="K12" i="40" s="1"/>
  <c r="K13" i="40" s="1"/>
  <c r="K14" i="40" s="1"/>
  <c r="K15" i="40" s="1"/>
  <c r="K16" i="40" s="1"/>
  <c r="K17" i="40" s="1"/>
  <c r="K18" i="40" s="1"/>
  <c r="K19" i="40" s="1"/>
  <c r="K20" i="40" s="1"/>
  <c r="K21" i="40" s="1"/>
  <c r="K22" i="40" s="1"/>
  <c r="K23" i="40" s="1"/>
  <c r="K24" i="40" s="1"/>
  <c r="K25" i="40" s="1"/>
  <c r="K26" i="40" s="1"/>
  <c r="K27" i="40" s="1"/>
  <c r="K28" i="40" s="1"/>
  <c r="K29" i="40" s="1"/>
  <c r="K30" i="40" s="1"/>
  <c r="K31" i="40" s="1"/>
  <c r="K32" i="40" s="1"/>
  <c r="K33" i="40" s="1"/>
  <c r="K34" i="40" s="1"/>
  <c r="K35" i="40" s="1"/>
  <c r="K36" i="40" s="1"/>
  <c r="K37" i="40" s="1"/>
  <c r="K38" i="40" s="1"/>
  <c r="K39" i="40" s="1"/>
  <c r="K40" i="40" s="1"/>
  <c r="K41" i="40" s="1"/>
  <c r="K42" i="40" s="1"/>
  <c r="K43" i="40" s="1"/>
  <c r="K44" i="40" s="1"/>
  <c r="K45" i="40" s="1"/>
  <c r="K46" i="40" s="1"/>
  <c r="K47" i="40" s="1"/>
  <c r="K48" i="40" s="1"/>
  <c r="K49" i="40" s="1"/>
  <c r="K50" i="40" s="1"/>
  <c r="K51" i="40" s="1"/>
  <c r="K52" i="40" s="1"/>
  <c r="K53" i="40" s="1"/>
  <c r="K54" i="40" s="1"/>
  <c r="K55" i="40" s="1"/>
  <c r="K56" i="40" s="1"/>
  <c r="K57" i="40" s="1"/>
  <c r="G9" i="40"/>
  <c r="R8" i="40"/>
  <c r="F8" i="40"/>
  <c r="B8" i="40"/>
  <c r="J8" i="40"/>
  <c r="N8" i="40"/>
  <c r="D39" i="38"/>
  <c r="D51" i="38" s="1"/>
  <c r="P8" i="40"/>
  <c r="F39" i="38"/>
  <c r="F51" i="38" s="1"/>
  <c r="T8" i="40"/>
  <c r="H8" i="40"/>
  <c r="D8" i="40"/>
  <c r="L8" i="40"/>
  <c r="D43" i="38"/>
  <c r="D45" i="38"/>
  <c r="D41" i="38"/>
  <c r="D53" i="38" s="1"/>
  <c r="D40" i="38"/>
  <c r="D52" i="38" s="1"/>
  <c r="D44" i="38"/>
  <c r="F44" i="38"/>
  <c r="F40" i="38"/>
  <c r="F52" i="38" s="1"/>
  <c r="F43" i="38"/>
  <c r="F41" i="38"/>
  <c r="F53" i="38" s="1"/>
  <c r="F45" i="38"/>
  <c r="D30" i="16"/>
  <c r="E38" i="49" l="1"/>
  <c r="E49" i="49" s="1"/>
  <c r="E36" i="49"/>
  <c r="E47" i="49" s="1"/>
  <c r="E37" i="49"/>
  <c r="E48" i="49" s="1"/>
  <c r="S10" i="42"/>
  <c r="S11" i="42" s="1"/>
  <c r="S12" i="42" s="1"/>
  <c r="S13" i="42" s="1"/>
  <c r="S14" i="42" s="1"/>
  <c r="S15" i="42" s="1"/>
  <c r="S16" i="42" s="1"/>
  <c r="S17" i="42" s="1"/>
  <c r="S18" i="42" s="1"/>
  <c r="S19" i="42" s="1"/>
  <c r="S20" i="42" s="1"/>
  <c r="S21" i="42" s="1"/>
  <c r="S22" i="42" s="1"/>
  <c r="S23" i="42" s="1"/>
  <c r="S24" i="42" s="1"/>
  <c r="S25" i="42" s="1"/>
  <c r="S26" i="42" s="1"/>
  <c r="S27" i="42" s="1"/>
  <c r="S28" i="42" s="1"/>
  <c r="S29" i="42" s="1"/>
  <c r="S30" i="42" s="1"/>
  <c r="S31" i="42" s="1"/>
  <c r="S32" i="42" s="1"/>
  <c r="S33" i="42" s="1"/>
  <c r="S34" i="42" s="1"/>
  <c r="S35" i="42" s="1"/>
  <c r="S36" i="42" s="1"/>
  <c r="S37" i="42" s="1"/>
  <c r="S38" i="42" s="1"/>
  <c r="S39" i="42" s="1"/>
  <c r="S40" i="42" s="1"/>
  <c r="S41" i="42" s="1"/>
  <c r="S42" i="42" s="1"/>
  <c r="S43" i="42" s="1"/>
  <c r="S44" i="42" s="1"/>
  <c r="S45" i="42" s="1"/>
  <c r="S46" i="42" s="1"/>
  <c r="S47" i="42" s="1"/>
  <c r="S48" i="42" s="1"/>
  <c r="S49" i="42" s="1"/>
  <c r="S50" i="42" s="1"/>
  <c r="S51" i="42" s="1"/>
  <c r="S52" i="42" s="1"/>
  <c r="S53" i="42" s="1"/>
  <c r="S54" i="42" s="1"/>
  <c r="S55" i="42" s="1"/>
  <c r="S56" i="42" s="1"/>
  <c r="S57" i="42" s="1"/>
  <c r="S58" i="42" s="1"/>
  <c r="S59" i="42" s="1"/>
  <c r="S60" i="42" s="1"/>
  <c r="S61" i="42" s="1"/>
  <c r="S62" i="42" s="1"/>
  <c r="S63" i="42" s="1"/>
  <c r="S64" i="42" s="1"/>
  <c r="S65" i="42" s="1"/>
  <c r="S66" i="42" s="1"/>
  <c r="S67" i="42" s="1"/>
  <c r="S68" i="42" s="1"/>
  <c r="S69" i="42" s="1"/>
  <c r="S70" i="42" s="1"/>
  <c r="S71" i="42" s="1"/>
  <c r="S72" i="42" s="1"/>
  <c r="S73" i="42" s="1"/>
  <c r="S74" i="42" s="1"/>
  <c r="S75" i="42" s="1"/>
  <c r="S76" i="42" s="1"/>
  <c r="S77" i="42" s="1"/>
  <c r="S78" i="42" s="1"/>
  <c r="S79" i="42" s="1"/>
  <c r="S80" i="42" s="1"/>
  <c r="S81" i="42" s="1"/>
  <c r="S82" i="42" s="1"/>
  <c r="S83" i="42" s="1"/>
  <c r="S84" i="42" s="1"/>
  <c r="S85" i="42" s="1"/>
  <c r="S86" i="42" s="1"/>
  <c r="S87" i="42" s="1"/>
  <c r="S88" i="42" s="1"/>
  <c r="S89" i="42" s="1"/>
  <c r="S90" i="42" s="1"/>
  <c r="S91" i="42" s="1"/>
  <c r="S92" i="42" s="1"/>
  <c r="S93" i="42" s="1"/>
  <c r="S94" i="42" s="1"/>
  <c r="S95" i="42" s="1"/>
  <c r="S96" i="42" s="1"/>
  <c r="S97" i="42" s="1"/>
  <c r="S98" i="42" s="1"/>
  <c r="S99" i="42" s="1"/>
  <c r="S100" i="42" s="1"/>
  <c r="S101" i="42" s="1"/>
  <c r="S102" i="42" s="1"/>
  <c r="S103" i="42" s="1"/>
  <c r="S104" i="42" s="1"/>
  <c r="S105" i="42" s="1"/>
  <c r="S106" i="42" s="1"/>
  <c r="S107" i="42" s="1"/>
  <c r="S108" i="42" s="1"/>
  <c r="S109" i="42" s="1"/>
  <c r="S110" i="42" s="1"/>
  <c r="S111" i="42" s="1"/>
  <c r="S112" i="42" s="1"/>
  <c r="S113" i="42" s="1"/>
  <c r="S114" i="42" s="1"/>
  <c r="S115" i="42" s="1"/>
  <c r="S116" i="42" s="1"/>
  <c r="S117" i="42" s="1"/>
  <c r="S118" i="42" s="1"/>
  <c r="S119" i="42" s="1"/>
  <c r="S120" i="42" s="1"/>
  <c r="S121" i="42" s="1"/>
  <c r="S122" i="42" s="1"/>
  <c r="S123" i="42" s="1"/>
  <c r="S124" i="42" s="1"/>
  <c r="S125" i="42" s="1"/>
  <c r="S126" i="42" s="1"/>
  <c r="S127" i="42" s="1"/>
  <c r="S128" i="42" s="1"/>
  <c r="S129" i="42" s="1"/>
  <c r="S130" i="42" s="1"/>
  <c r="S131" i="42" s="1"/>
  <c r="S132" i="42" s="1"/>
  <c r="S133" i="42" s="1"/>
  <c r="S134" i="42" s="1"/>
  <c r="S135" i="42" s="1"/>
  <c r="S136" i="42" s="1"/>
  <c r="S137" i="42" s="1"/>
  <c r="S138" i="42" s="1"/>
  <c r="S139" i="42" s="1"/>
  <c r="S140" i="42" s="1"/>
  <c r="S141" i="42" s="1"/>
  <c r="S142" i="42" s="1"/>
  <c r="S143" i="42" s="1"/>
  <c r="S144" i="42" s="1"/>
  <c r="S145" i="42" s="1"/>
  <c r="S146" i="42" s="1"/>
  <c r="S147" i="42" s="1"/>
  <c r="S148" i="42" s="1"/>
  <c r="S149" i="42" s="1"/>
  <c r="S150" i="42" s="1"/>
  <c r="S151" i="42" s="1"/>
  <c r="S152" i="42" s="1"/>
  <c r="S153" i="42" s="1"/>
  <c r="S154" i="42" s="1"/>
  <c r="S155" i="42" s="1"/>
  <c r="S156" i="42" s="1"/>
  <c r="S157" i="42" s="1"/>
  <c r="S158" i="42" s="1"/>
  <c r="S159" i="42" s="1"/>
  <c r="S160" i="42" s="1"/>
  <c r="S161" i="42" s="1"/>
  <c r="S162" i="42" s="1"/>
  <c r="S163" i="42" s="1"/>
  <c r="S164" i="42" s="1"/>
  <c r="S165" i="42" s="1"/>
  <c r="S166" i="42" s="1"/>
  <c r="U10" i="42"/>
  <c r="U11" i="42" s="1"/>
  <c r="U12" i="42" s="1"/>
  <c r="U13" i="42" s="1"/>
  <c r="U14" i="42" s="1"/>
  <c r="U15" i="42" s="1"/>
  <c r="U16" i="42" s="1"/>
  <c r="U17" i="42" s="1"/>
  <c r="U18" i="42" s="1"/>
  <c r="U19" i="42" s="1"/>
  <c r="U20" i="42" s="1"/>
  <c r="U21" i="42" s="1"/>
  <c r="U22" i="42" s="1"/>
  <c r="U23" i="42" s="1"/>
  <c r="U24" i="42" s="1"/>
  <c r="U25" i="42" s="1"/>
  <c r="U26" i="42" s="1"/>
  <c r="U27" i="42" s="1"/>
  <c r="U28" i="42" s="1"/>
  <c r="U29" i="42" s="1"/>
  <c r="U30" i="42" s="1"/>
  <c r="U31" i="42" s="1"/>
  <c r="U32" i="42" s="1"/>
  <c r="U33" i="42" s="1"/>
  <c r="U34" i="42" s="1"/>
  <c r="U35" i="42" s="1"/>
  <c r="U36" i="42" s="1"/>
  <c r="U37" i="42" s="1"/>
  <c r="U38" i="42" s="1"/>
  <c r="U39" i="42" s="1"/>
  <c r="U40" i="42" s="1"/>
  <c r="U41" i="42" s="1"/>
  <c r="U42" i="42" s="1"/>
  <c r="U43" i="42" s="1"/>
  <c r="U44" i="42" s="1"/>
  <c r="U45" i="42" s="1"/>
  <c r="U46" i="42" s="1"/>
  <c r="U47" i="42" s="1"/>
  <c r="U48" i="42" s="1"/>
  <c r="U49" i="42" s="1"/>
  <c r="U50" i="42" s="1"/>
  <c r="U51" i="42" s="1"/>
  <c r="U52" i="42" s="1"/>
  <c r="U53" i="42" s="1"/>
  <c r="U54" i="42" s="1"/>
  <c r="U55" i="42" s="1"/>
  <c r="U56" i="42" s="1"/>
  <c r="U57" i="42" s="1"/>
  <c r="U58" i="42" s="1"/>
  <c r="U59" i="42" s="1"/>
  <c r="U60" i="42" s="1"/>
  <c r="U61" i="42" s="1"/>
  <c r="U62" i="42" s="1"/>
  <c r="U63" i="42" s="1"/>
  <c r="U64" i="42" s="1"/>
  <c r="U65" i="42" s="1"/>
  <c r="U66" i="42" s="1"/>
  <c r="U67" i="42" s="1"/>
  <c r="U68" i="42" s="1"/>
  <c r="U69" i="42" s="1"/>
  <c r="U70" i="42" s="1"/>
  <c r="U71" i="42" s="1"/>
  <c r="U72" i="42" s="1"/>
  <c r="U73" i="42" s="1"/>
  <c r="U74" i="42" s="1"/>
  <c r="U75" i="42" s="1"/>
  <c r="U76" i="42" s="1"/>
  <c r="U77" i="42" s="1"/>
  <c r="U78" i="42" s="1"/>
  <c r="U79" i="42" s="1"/>
  <c r="U80" i="42" s="1"/>
  <c r="U81" i="42" s="1"/>
  <c r="U82" i="42" s="1"/>
  <c r="U83" i="42" s="1"/>
  <c r="U84" i="42" s="1"/>
  <c r="U85" i="42" s="1"/>
  <c r="U86" i="42" s="1"/>
  <c r="U87" i="42" s="1"/>
  <c r="U88" i="42" s="1"/>
  <c r="U89" i="42" s="1"/>
  <c r="U90" i="42" s="1"/>
  <c r="U91" i="42" s="1"/>
  <c r="U92" i="42" s="1"/>
  <c r="U93" i="42" s="1"/>
  <c r="U94" i="42" s="1"/>
  <c r="U95" i="42" s="1"/>
  <c r="U96" i="42" s="1"/>
  <c r="U97" i="42" s="1"/>
  <c r="U98" i="42" s="1"/>
  <c r="U99" i="42" s="1"/>
  <c r="U100" i="42" s="1"/>
  <c r="U101" i="42" s="1"/>
  <c r="U102" i="42" s="1"/>
  <c r="U103" i="42" s="1"/>
  <c r="U104" i="42" s="1"/>
  <c r="U105" i="42" s="1"/>
  <c r="U106" i="42" s="1"/>
  <c r="U107" i="42" s="1"/>
  <c r="U108" i="42" s="1"/>
  <c r="U109" i="42" s="1"/>
  <c r="U110" i="42" s="1"/>
  <c r="U111" i="42" s="1"/>
  <c r="U112" i="42" s="1"/>
  <c r="U113" i="42" s="1"/>
  <c r="U114" i="42" s="1"/>
  <c r="U115" i="42" s="1"/>
  <c r="U116" i="42" s="1"/>
  <c r="U117" i="42" s="1"/>
  <c r="U118" i="42" s="1"/>
  <c r="U119" i="42" s="1"/>
  <c r="U120" i="42" s="1"/>
  <c r="U121" i="42" s="1"/>
  <c r="U122" i="42" s="1"/>
  <c r="U123" i="42" s="1"/>
  <c r="U124" i="42" s="1"/>
  <c r="U125" i="42" s="1"/>
  <c r="U126" i="42" s="1"/>
  <c r="U127" i="42" s="1"/>
  <c r="U128" i="42" s="1"/>
  <c r="U129" i="42" s="1"/>
  <c r="U130" i="42" s="1"/>
  <c r="U131" i="42" s="1"/>
  <c r="U132" i="42" s="1"/>
  <c r="U133" i="42" s="1"/>
  <c r="U134" i="42" s="1"/>
  <c r="U135" i="42" s="1"/>
  <c r="U136" i="42" s="1"/>
  <c r="U137" i="42" s="1"/>
  <c r="U138" i="42" s="1"/>
  <c r="U139" i="42" s="1"/>
  <c r="U140" i="42" s="1"/>
  <c r="U141" i="42" s="1"/>
  <c r="U142" i="42" s="1"/>
  <c r="U143" i="42" s="1"/>
  <c r="U144" i="42" s="1"/>
  <c r="U145" i="42" s="1"/>
  <c r="U146" i="42" s="1"/>
  <c r="U147" i="42" s="1"/>
  <c r="U148" i="42" s="1"/>
  <c r="U149" i="42" s="1"/>
  <c r="U150" i="42" s="1"/>
  <c r="U151" i="42" s="1"/>
  <c r="U152" i="42" s="1"/>
  <c r="U153" i="42" s="1"/>
  <c r="U154" i="42" s="1"/>
  <c r="U155" i="42" s="1"/>
  <c r="U156" i="42" s="1"/>
  <c r="U157" i="42" s="1"/>
  <c r="U158" i="42" s="1"/>
  <c r="U159" i="42" s="1"/>
  <c r="U160" i="42" s="1"/>
  <c r="U161" i="42" s="1"/>
  <c r="U162" i="42" s="1"/>
  <c r="U163" i="42" s="1"/>
  <c r="U164" i="42" s="1"/>
  <c r="U165" i="42" s="1"/>
  <c r="U166" i="42" s="1"/>
  <c r="I10" i="42"/>
  <c r="I11" i="42" s="1"/>
  <c r="I12" i="42" s="1"/>
  <c r="I13" i="42" s="1"/>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M10" i="42"/>
  <c r="M11" i="42" s="1"/>
  <c r="M12" i="42" s="1"/>
  <c r="M13" i="42" s="1"/>
  <c r="M14" i="42" s="1"/>
  <c r="M15" i="42" s="1"/>
  <c r="M16" i="42" s="1"/>
  <c r="M17" i="42" s="1"/>
  <c r="M18" i="42" s="1"/>
  <c r="M19" i="42" s="1"/>
  <c r="M20" i="42" s="1"/>
  <c r="M21" i="42" s="1"/>
  <c r="M22" i="42" s="1"/>
  <c r="M23" i="42" s="1"/>
  <c r="M24" i="42" s="1"/>
  <c r="M25" i="42" s="1"/>
  <c r="M26" i="42" s="1"/>
  <c r="M27" i="42" s="1"/>
  <c r="M28" i="42" s="1"/>
  <c r="M29" i="42" s="1"/>
  <c r="M30" i="42" s="1"/>
  <c r="M31" i="42" s="1"/>
  <c r="M32" i="42" s="1"/>
  <c r="M33" i="42" s="1"/>
  <c r="M34" i="42" s="1"/>
  <c r="M35" i="42" s="1"/>
  <c r="M36" i="42" s="1"/>
  <c r="M37" i="42" s="1"/>
  <c r="M38" i="42" s="1"/>
  <c r="M39" i="42" s="1"/>
  <c r="M40" i="42" s="1"/>
  <c r="M41" i="42" s="1"/>
  <c r="M42" i="42" s="1"/>
  <c r="M43" i="42" s="1"/>
  <c r="M44" i="42" s="1"/>
  <c r="M45" i="42" s="1"/>
  <c r="M46" i="42" s="1"/>
  <c r="M47" i="42" s="1"/>
  <c r="M48" i="42" s="1"/>
  <c r="M49" i="42" s="1"/>
  <c r="M50" i="42" s="1"/>
  <c r="M51" i="42" s="1"/>
  <c r="M52" i="42" s="1"/>
  <c r="M53" i="42" s="1"/>
  <c r="M54" i="42" s="1"/>
  <c r="M55" i="42" s="1"/>
  <c r="M56" i="42" s="1"/>
  <c r="M57" i="42" s="1"/>
  <c r="O10" i="42"/>
  <c r="O11" i="42" s="1"/>
  <c r="O12" i="42" s="1"/>
  <c r="O13" i="42" s="1"/>
  <c r="O14" i="42" s="1"/>
  <c r="O15" i="42" s="1"/>
  <c r="O16" i="42" s="1"/>
  <c r="O17" i="42" s="1"/>
  <c r="O18" i="42" s="1"/>
  <c r="O19" i="42" s="1"/>
  <c r="O20" i="42" s="1"/>
  <c r="O21" i="42" s="1"/>
  <c r="O22" i="42" s="1"/>
  <c r="O23" i="42" s="1"/>
  <c r="O24" i="42" s="1"/>
  <c r="O25" i="42" s="1"/>
  <c r="O26" i="42" s="1"/>
  <c r="O27" i="42" s="1"/>
  <c r="O28" i="42" s="1"/>
  <c r="O29" i="42" s="1"/>
  <c r="O30" i="42" s="1"/>
  <c r="O31" i="42" s="1"/>
  <c r="O32" i="42" s="1"/>
  <c r="O33" i="42" s="1"/>
  <c r="O34" i="42" s="1"/>
  <c r="O35" i="42" s="1"/>
  <c r="O36" i="42" s="1"/>
  <c r="O37" i="42" s="1"/>
  <c r="O38" i="42" s="1"/>
  <c r="O39" i="42" s="1"/>
  <c r="O40" i="42" s="1"/>
  <c r="O41" i="42" s="1"/>
  <c r="O42" i="42" s="1"/>
  <c r="O43" i="42" s="1"/>
  <c r="O44" i="42" s="1"/>
  <c r="O45" i="42" s="1"/>
  <c r="O46" i="42" s="1"/>
  <c r="O47" i="42" s="1"/>
  <c r="O48" i="42" s="1"/>
  <c r="O49" i="42" s="1"/>
  <c r="O50" i="42" s="1"/>
  <c r="O51" i="42" s="1"/>
  <c r="O52" i="42" s="1"/>
  <c r="O53" i="42" s="1"/>
  <c r="O54" i="42" s="1"/>
  <c r="O55" i="42" s="1"/>
  <c r="O56" i="42" s="1"/>
  <c r="O57" i="42" s="1"/>
  <c r="O58" i="42" s="1"/>
  <c r="O59" i="42" s="1"/>
  <c r="O60" i="42" s="1"/>
  <c r="O61" i="42" s="1"/>
  <c r="O62" i="42" s="1"/>
  <c r="O63" i="42" s="1"/>
  <c r="O64" i="42" s="1"/>
  <c r="O65" i="42" s="1"/>
  <c r="O66" i="42" s="1"/>
  <c r="O67" i="42" s="1"/>
  <c r="O68" i="42" s="1"/>
  <c r="O69" i="42" s="1"/>
  <c r="O70" i="42" s="1"/>
  <c r="O71" i="42" s="1"/>
  <c r="O72" i="42" s="1"/>
  <c r="O73" i="42" s="1"/>
  <c r="O74" i="42" s="1"/>
  <c r="O75" i="42" s="1"/>
  <c r="O76" i="42" s="1"/>
  <c r="O77" i="42" s="1"/>
  <c r="O78" i="42" s="1"/>
  <c r="O79" i="42" s="1"/>
  <c r="O80" i="42" s="1"/>
  <c r="O81" i="42" s="1"/>
  <c r="O82" i="42" s="1"/>
  <c r="O83" i="42" s="1"/>
  <c r="O84" i="42" s="1"/>
  <c r="O85" i="42" s="1"/>
  <c r="O86" i="42" s="1"/>
  <c r="O87" i="42" s="1"/>
  <c r="E38" i="41"/>
  <c r="E49" i="41" s="1"/>
  <c r="G10" i="42"/>
  <c r="G11" i="42" s="1"/>
  <c r="G12" i="42" s="1"/>
  <c r="G13" i="42" s="1"/>
  <c r="G14" i="42" s="1"/>
  <c r="G15" i="42" s="1"/>
  <c r="G16" i="42" s="1"/>
  <c r="G17" i="42" s="1"/>
  <c r="G18" i="42" s="1"/>
  <c r="G19" i="42" s="1"/>
  <c r="G20" i="42" s="1"/>
  <c r="G21" i="42" s="1"/>
  <c r="G22" i="42" s="1"/>
  <c r="G23" i="42" s="1"/>
  <c r="G24" i="42" s="1"/>
  <c r="G25" i="42" s="1"/>
  <c r="G26" i="42" s="1"/>
  <c r="G27" i="42" s="1"/>
  <c r="G28" i="42" s="1"/>
  <c r="G29" i="42" s="1"/>
  <c r="G30" i="42" s="1"/>
  <c r="G31" i="42" s="1"/>
  <c r="G32" i="42" s="1"/>
  <c r="G33" i="42" s="1"/>
  <c r="E36" i="41"/>
  <c r="K10" i="42"/>
  <c r="K11" i="42" s="1"/>
  <c r="K12" i="42" s="1"/>
  <c r="K13" i="42" s="1"/>
  <c r="K14" i="42" s="1"/>
  <c r="K15" i="42" s="1"/>
  <c r="K16" i="42" s="1"/>
  <c r="K17" i="42" s="1"/>
  <c r="K18" i="42" s="1"/>
  <c r="K19" i="42" s="1"/>
  <c r="K20" i="42" s="1"/>
  <c r="K21" i="42" s="1"/>
  <c r="K22" i="42" s="1"/>
  <c r="K23" i="42" s="1"/>
  <c r="K24" i="42" s="1"/>
  <c r="K25" i="42" s="1"/>
  <c r="K26" i="42" s="1"/>
  <c r="K27" i="42" s="1"/>
  <c r="K28" i="42" s="1"/>
  <c r="K29" i="42" s="1"/>
  <c r="K30" i="42" s="1"/>
  <c r="K31" i="42" s="1"/>
  <c r="K32" i="42" s="1"/>
  <c r="K33" i="42" s="1"/>
  <c r="K34" i="42" s="1"/>
  <c r="K35" i="42" s="1"/>
  <c r="K36" i="42" s="1"/>
  <c r="K37" i="42" s="1"/>
  <c r="K38" i="42" s="1"/>
  <c r="K39" i="42" s="1"/>
  <c r="K40" i="42" s="1"/>
  <c r="K41" i="42" s="1"/>
  <c r="K42" i="42" s="1"/>
  <c r="K43" i="42" s="1"/>
  <c r="K44" i="42" s="1"/>
  <c r="K45" i="42" s="1"/>
  <c r="K46" i="42" s="1"/>
  <c r="K47" i="42" s="1"/>
  <c r="K48" i="42" s="1"/>
  <c r="K49" i="42" s="1"/>
  <c r="K50" i="42" s="1"/>
  <c r="K51" i="42" s="1"/>
  <c r="K52" i="42" s="1"/>
  <c r="K53" i="42" s="1"/>
  <c r="K54" i="42" s="1"/>
  <c r="K55" i="42" s="1"/>
  <c r="K56" i="42" s="1"/>
  <c r="K57" i="42" s="1"/>
  <c r="Q10" i="42"/>
  <c r="Q11" i="42" s="1"/>
  <c r="Q12" i="42" s="1"/>
  <c r="Q13" i="42" s="1"/>
  <c r="Q14" i="42" s="1"/>
  <c r="Q15" i="42" s="1"/>
  <c r="Q16" i="42" s="1"/>
  <c r="Q17" i="42" s="1"/>
  <c r="Q18" i="42" s="1"/>
  <c r="Q19" i="42" s="1"/>
  <c r="Q20" i="42" s="1"/>
  <c r="Q21" i="42" s="1"/>
  <c r="Q22" i="42" s="1"/>
  <c r="Q23" i="42" s="1"/>
  <c r="Q24" i="42" s="1"/>
  <c r="Q25" i="42" s="1"/>
  <c r="Q26" i="42" s="1"/>
  <c r="Q27" i="42" s="1"/>
  <c r="Q28" i="42" s="1"/>
  <c r="Q29" i="42" s="1"/>
  <c r="Q30" i="42" s="1"/>
  <c r="Q31" i="42" s="1"/>
  <c r="Q32" i="42" s="1"/>
  <c r="Q33" i="42" s="1"/>
  <c r="Q34" i="42" s="1"/>
  <c r="Q35" i="42" s="1"/>
  <c r="Q36" i="42" s="1"/>
  <c r="Q37" i="42" s="1"/>
  <c r="Q38" i="42" s="1"/>
  <c r="Q39" i="42" s="1"/>
  <c r="Q40" i="42" s="1"/>
  <c r="Q41" i="42" s="1"/>
  <c r="Q42" i="42" s="1"/>
  <c r="Q43" i="42" s="1"/>
  <c r="Q44" i="42" s="1"/>
  <c r="Q45" i="42" s="1"/>
  <c r="Q46" i="42" s="1"/>
  <c r="Q47" i="42" s="1"/>
  <c r="Q48" i="42" s="1"/>
  <c r="Q49" i="42" s="1"/>
  <c r="Q50" i="42" s="1"/>
  <c r="Q51" i="42" s="1"/>
  <c r="Q52" i="42" s="1"/>
  <c r="Q53" i="42" s="1"/>
  <c r="Q54" i="42" s="1"/>
  <c r="Q55" i="42" s="1"/>
  <c r="Q56" i="42" s="1"/>
  <c r="Q57" i="42" s="1"/>
  <c r="Q58" i="42" s="1"/>
  <c r="Q59" i="42" s="1"/>
  <c r="Q60" i="42" s="1"/>
  <c r="Q61" i="42" s="1"/>
  <c r="Q62" i="42" s="1"/>
  <c r="Q63" i="42" s="1"/>
  <c r="Q64" i="42" s="1"/>
  <c r="Q65" i="42" s="1"/>
  <c r="Q66" i="42" s="1"/>
  <c r="Q67" i="42" s="1"/>
  <c r="Q68" i="42" s="1"/>
  <c r="Q69" i="42" s="1"/>
  <c r="Q70" i="42" s="1"/>
  <c r="Q71" i="42" s="1"/>
  <c r="Q72" i="42" s="1"/>
  <c r="Q73" i="42" s="1"/>
  <c r="Q74" i="42" s="1"/>
  <c r="Q75" i="42" s="1"/>
  <c r="Q76" i="42" s="1"/>
  <c r="Q77" i="42" s="1"/>
  <c r="Q78" i="42" s="1"/>
  <c r="Q79" i="42" s="1"/>
  <c r="Q80" i="42" s="1"/>
  <c r="Q81" i="42" s="1"/>
  <c r="Q82" i="42" s="1"/>
  <c r="Q83" i="42" s="1"/>
  <c r="Q84" i="42" s="1"/>
  <c r="Q85" i="42" s="1"/>
  <c r="Q86" i="42" s="1"/>
  <c r="Q87" i="42" s="1"/>
  <c r="E37" i="41"/>
  <c r="E48" i="41" s="1"/>
  <c r="R9" i="40"/>
  <c r="R10" i="40" s="1"/>
  <c r="R11" i="40" s="1"/>
  <c r="R12" i="40" s="1"/>
  <c r="R13" i="40" s="1"/>
  <c r="R14" i="40" s="1"/>
  <c r="R15" i="40" s="1"/>
  <c r="R16" i="40" s="1"/>
  <c r="R17" i="40" s="1"/>
  <c r="R18" i="40" s="1"/>
  <c r="R19" i="40" s="1"/>
  <c r="R20" i="40" s="1"/>
  <c r="R21" i="40" s="1"/>
  <c r="R22" i="40" s="1"/>
  <c r="R23" i="40" s="1"/>
  <c r="R24" i="40" s="1"/>
  <c r="R25" i="40" s="1"/>
  <c r="R26" i="40" s="1"/>
  <c r="R27" i="40" s="1"/>
  <c r="R28" i="40" s="1"/>
  <c r="R29" i="40" s="1"/>
  <c r="R30" i="40" s="1"/>
  <c r="R31" i="40" s="1"/>
  <c r="R32" i="40" s="1"/>
  <c r="R33" i="40" s="1"/>
  <c r="R34" i="40" s="1"/>
  <c r="R35" i="40" s="1"/>
  <c r="R36" i="40" s="1"/>
  <c r="R37" i="40" s="1"/>
  <c r="R38" i="40" s="1"/>
  <c r="R39" i="40" s="1"/>
  <c r="R40" i="40" s="1"/>
  <c r="R41" i="40" s="1"/>
  <c r="R42" i="40" s="1"/>
  <c r="R43" i="40" s="1"/>
  <c r="R44" i="40" s="1"/>
  <c r="R45" i="40" s="1"/>
  <c r="R46" i="40" s="1"/>
  <c r="R47" i="40" s="1"/>
  <c r="R48" i="40" s="1"/>
  <c r="R49" i="40" s="1"/>
  <c r="R50" i="40" s="1"/>
  <c r="R51" i="40" s="1"/>
  <c r="R52" i="40" s="1"/>
  <c r="R53" i="40" s="1"/>
  <c r="R54" i="40" s="1"/>
  <c r="R55" i="40" s="1"/>
  <c r="R56" i="40" s="1"/>
  <c r="R57" i="40" s="1"/>
  <c r="R58" i="40" s="1"/>
  <c r="R59" i="40" s="1"/>
  <c r="R60" i="40" s="1"/>
  <c r="R61" i="40" s="1"/>
  <c r="R62" i="40" s="1"/>
  <c r="R63" i="40" s="1"/>
  <c r="R64" i="40" s="1"/>
  <c r="R65" i="40" s="1"/>
  <c r="R66" i="40" s="1"/>
  <c r="R67" i="40" s="1"/>
  <c r="R68" i="40" s="1"/>
  <c r="R69" i="40" s="1"/>
  <c r="R70" i="40" s="1"/>
  <c r="R71" i="40" s="1"/>
  <c r="R72" i="40" s="1"/>
  <c r="R73" i="40" s="1"/>
  <c r="R74" i="40" s="1"/>
  <c r="R75" i="40" s="1"/>
  <c r="R76" i="40" s="1"/>
  <c r="R77" i="40" s="1"/>
  <c r="R78" i="40" s="1"/>
  <c r="R79" i="40" s="1"/>
  <c r="R80" i="40" s="1"/>
  <c r="R81" i="40" s="1"/>
  <c r="R82" i="40" s="1"/>
  <c r="R83" i="40" s="1"/>
  <c r="R84" i="40" s="1"/>
  <c r="R85" i="40" s="1"/>
  <c r="R86" i="40" s="1"/>
  <c r="R87" i="40" s="1"/>
  <c r="R88" i="40" s="1"/>
  <c r="R89" i="40" s="1"/>
  <c r="R90" i="40" s="1"/>
  <c r="R91" i="40" s="1"/>
  <c r="R92" i="40" s="1"/>
  <c r="R93" i="40" s="1"/>
  <c r="R94" i="40" s="1"/>
  <c r="R95" i="40" s="1"/>
  <c r="R96" i="40" s="1"/>
  <c r="R97" i="40" s="1"/>
  <c r="R98" i="40" s="1"/>
  <c r="R99" i="40" s="1"/>
  <c r="R100" i="40" s="1"/>
  <c r="R101" i="40" s="1"/>
  <c r="R102" i="40" s="1"/>
  <c r="R103" i="40" s="1"/>
  <c r="R104" i="40" s="1"/>
  <c r="R105" i="40" s="1"/>
  <c r="R106" i="40" s="1"/>
  <c r="R107" i="40" s="1"/>
  <c r="R108" i="40" s="1"/>
  <c r="R109" i="40" s="1"/>
  <c r="R110" i="40" s="1"/>
  <c r="R111" i="40" s="1"/>
  <c r="R112" i="40" s="1"/>
  <c r="R113" i="40" s="1"/>
  <c r="R114" i="40" s="1"/>
  <c r="R115" i="40" s="1"/>
  <c r="R116" i="40" s="1"/>
  <c r="R117" i="40" s="1"/>
  <c r="R118" i="40" s="1"/>
  <c r="R119" i="40" s="1"/>
  <c r="R120" i="40" s="1"/>
  <c r="R121" i="40" s="1"/>
  <c r="R122" i="40" s="1"/>
  <c r="R123" i="40" s="1"/>
  <c r="R124" i="40" s="1"/>
  <c r="R125" i="40" s="1"/>
  <c r="R126" i="40" s="1"/>
  <c r="R127" i="40" s="1"/>
  <c r="R128" i="40" s="1"/>
  <c r="R129" i="40" s="1"/>
  <c r="R130" i="40" s="1"/>
  <c r="R131" i="40" s="1"/>
  <c r="R132" i="40" s="1"/>
  <c r="R133" i="40" s="1"/>
  <c r="R134" i="40" s="1"/>
  <c r="R135" i="40" s="1"/>
  <c r="R136" i="40" s="1"/>
  <c r="R137" i="40" s="1"/>
  <c r="R138" i="40" s="1"/>
  <c r="R139" i="40" s="1"/>
  <c r="R140" i="40" s="1"/>
  <c r="R141" i="40" s="1"/>
  <c r="R142" i="40" s="1"/>
  <c r="R143" i="40" s="1"/>
  <c r="R144" i="40" s="1"/>
  <c r="R145" i="40" s="1"/>
  <c r="R146" i="40" s="1"/>
  <c r="R147" i="40" s="1"/>
  <c r="R148" i="40" s="1"/>
  <c r="R149" i="40" s="1"/>
  <c r="R150" i="40" s="1"/>
  <c r="R151" i="40" s="1"/>
  <c r="R152" i="40" s="1"/>
  <c r="R153" i="40" s="1"/>
  <c r="R154" i="40" s="1"/>
  <c r="R155" i="40" s="1"/>
  <c r="R156" i="40" s="1"/>
  <c r="R157" i="40" s="1"/>
  <c r="R158" i="40" s="1"/>
  <c r="R159" i="40" s="1"/>
  <c r="R160" i="40" s="1"/>
  <c r="R161" i="40" s="1"/>
  <c r="R162" i="40" s="1"/>
  <c r="R163" i="40" s="1"/>
  <c r="R164" i="40" s="1"/>
  <c r="R165" i="40" s="1"/>
  <c r="R166" i="40" s="1"/>
  <c r="H9" i="40"/>
  <c r="T9" i="40"/>
  <c r="T10" i="40" s="1"/>
  <c r="T11" i="40" s="1"/>
  <c r="T12" i="40" s="1"/>
  <c r="T13" i="40" s="1"/>
  <c r="T14" i="40" s="1"/>
  <c r="T15" i="40" s="1"/>
  <c r="T16" i="40" s="1"/>
  <c r="T17" i="40" s="1"/>
  <c r="T18" i="40" s="1"/>
  <c r="T19" i="40" s="1"/>
  <c r="T20" i="40" s="1"/>
  <c r="T21" i="40" s="1"/>
  <c r="T22" i="40" s="1"/>
  <c r="T23" i="40" s="1"/>
  <c r="T24" i="40" s="1"/>
  <c r="T25" i="40" s="1"/>
  <c r="T26" i="40" s="1"/>
  <c r="T27" i="40" s="1"/>
  <c r="T28" i="40" s="1"/>
  <c r="T29" i="40" s="1"/>
  <c r="T30" i="40" s="1"/>
  <c r="T31" i="40" s="1"/>
  <c r="T32" i="40" s="1"/>
  <c r="T33" i="40" s="1"/>
  <c r="T34" i="40" s="1"/>
  <c r="T35" i="40" s="1"/>
  <c r="T36" i="40" s="1"/>
  <c r="T37" i="40" s="1"/>
  <c r="T38" i="40" s="1"/>
  <c r="T39" i="40" s="1"/>
  <c r="T40" i="40" s="1"/>
  <c r="T41" i="40" s="1"/>
  <c r="T42" i="40" s="1"/>
  <c r="T43" i="40" s="1"/>
  <c r="T44" i="40" s="1"/>
  <c r="T45" i="40" s="1"/>
  <c r="T46" i="40" s="1"/>
  <c r="T47" i="40" s="1"/>
  <c r="T48" i="40" s="1"/>
  <c r="T49" i="40" s="1"/>
  <c r="T50" i="40" s="1"/>
  <c r="T51" i="40" s="1"/>
  <c r="T52" i="40" s="1"/>
  <c r="T53" i="40" s="1"/>
  <c r="T54" i="40" s="1"/>
  <c r="T55" i="40" s="1"/>
  <c r="T56" i="40" s="1"/>
  <c r="T57" i="40" s="1"/>
  <c r="T58" i="40" s="1"/>
  <c r="T59" i="40" s="1"/>
  <c r="T60" i="40" s="1"/>
  <c r="T61" i="40" s="1"/>
  <c r="T62" i="40" s="1"/>
  <c r="T63" i="40" s="1"/>
  <c r="T64" i="40" s="1"/>
  <c r="T65" i="40" s="1"/>
  <c r="T66" i="40" s="1"/>
  <c r="T67" i="40" s="1"/>
  <c r="T68" i="40" s="1"/>
  <c r="T69" i="40" s="1"/>
  <c r="T70" i="40" s="1"/>
  <c r="T71" i="40" s="1"/>
  <c r="T72" i="40" s="1"/>
  <c r="T73" i="40" s="1"/>
  <c r="T74" i="40" s="1"/>
  <c r="T75" i="40" s="1"/>
  <c r="T76" i="40" s="1"/>
  <c r="T77" i="40" s="1"/>
  <c r="T78" i="40" s="1"/>
  <c r="T79" i="40" s="1"/>
  <c r="T80" i="40" s="1"/>
  <c r="T81" i="40" s="1"/>
  <c r="T82" i="40" s="1"/>
  <c r="T83" i="40" s="1"/>
  <c r="T84" i="40" s="1"/>
  <c r="T85" i="40" s="1"/>
  <c r="T86" i="40" s="1"/>
  <c r="T87" i="40" s="1"/>
  <c r="T88" i="40" s="1"/>
  <c r="T89" i="40" s="1"/>
  <c r="T90" i="40" s="1"/>
  <c r="T91" i="40" s="1"/>
  <c r="T92" i="40" s="1"/>
  <c r="T93" i="40" s="1"/>
  <c r="T94" i="40" s="1"/>
  <c r="T95" i="40" s="1"/>
  <c r="T96" i="40" s="1"/>
  <c r="T97" i="40" s="1"/>
  <c r="T98" i="40" s="1"/>
  <c r="T99" i="40" s="1"/>
  <c r="T100" i="40" s="1"/>
  <c r="T101" i="40" s="1"/>
  <c r="T102" i="40" s="1"/>
  <c r="T103" i="40" s="1"/>
  <c r="T104" i="40" s="1"/>
  <c r="T105" i="40" s="1"/>
  <c r="T106" i="40" s="1"/>
  <c r="T107" i="40" s="1"/>
  <c r="T108" i="40" s="1"/>
  <c r="T109" i="40" s="1"/>
  <c r="T110" i="40" s="1"/>
  <c r="T111" i="40" s="1"/>
  <c r="T112" i="40" s="1"/>
  <c r="T113" i="40" s="1"/>
  <c r="T114" i="40" s="1"/>
  <c r="T115" i="40" s="1"/>
  <c r="T116" i="40" s="1"/>
  <c r="T117" i="40" s="1"/>
  <c r="T118" i="40" s="1"/>
  <c r="T119" i="40" s="1"/>
  <c r="T120" i="40" s="1"/>
  <c r="T121" i="40" s="1"/>
  <c r="T122" i="40" s="1"/>
  <c r="T123" i="40" s="1"/>
  <c r="T124" i="40" s="1"/>
  <c r="T125" i="40" s="1"/>
  <c r="T126" i="40" s="1"/>
  <c r="T127" i="40" s="1"/>
  <c r="T128" i="40" s="1"/>
  <c r="T129" i="40" s="1"/>
  <c r="T130" i="40" s="1"/>
  <c r="T131" i="40" s="1"/>
  <c r="T132" i="40" s="1"/>
  <c r="T133" i="40" s="1"/>
  <c r="T134" i="40" s="1"/>
  <c r="T135" i="40" s="1"/>
  <c r="T136" i="40" s="1"/>
  <c r="T137" i="40" s="1"/>
  <c r="T138" i="40" s="1"/>
  <c r="T139" i="40" s="1"/>
  <c r="T140" i="40" s="1"/>
  <c r="T141" i="40" s="1"/>
  <c r="T142" i="40" s="1"/>
  <c r="T143" i="40" s="1"/>
  <c r="T144" i="40" s="1"/>
  <c r="T145" i="40" s="1"/>
  <c r="T146" i="40" s="1"/>
  <c r="T147" i="40" s="1"/>
  <c r="T148" i="40" s="1"/>
  <c r="T149" i="40" s="1"/>
  <c r="T150" i="40" s="1"/>
  <c r="T151" i="40" s="1"/>
  <c r="T152" i="40" s="1"/>
  <c r="T153" i="40" s="1"/>
  <c r="T154" i="40" s="1"/>
  <c r="T155" i="40" s="1"/>
  <c r="T156" i="40" s="1"/>
  <c r="T157" i="40" s="1"/>
  <c r="T158" i="40" s="1"/>
  <c r="T159" i="40" s="1"/>
  <c r="T160" i="40" s="1"/>
  <c r="T161" i="40" s="1"/>
  <c r="T162" i="40" s="1"/>
  <c r="T163" i="40" s="1"/>
  <c r="T164" i="40" s="1"/>
  <c r="T165" i="40" s="1"/>
  <c r="T166" i="40" s="1"/>
  <c r="F9" i="40"/>
  <c r="P9" i="40"/>
  <c r="P10" i="40" s="1"/>
  <c r="P11" i="40" s="1"/>
  <c r="P12" i="40" s="1"/>
  <c r="P13" i="40" s="1"/>
  <c r="P14" i="40" s="1"/>
  <c r="P15" i="40" s="1"/>
  <c r="P16" i="40" s="1"/>
  <c r="P17" i="40" s="1"/>
  <c r="P18" i="40" s="1"/>
  <c r="P19" i="40" s="1"/>
  <c r="P20" i="40" s="1"/>
  <c r="P21" i="40" s="1"/>
  <c r="P22" i="40" s="1"/>
  <c r="P23" i="40" s="1"/>
  <c r="P24" i="40" s="1"/>
  <c r="P25" i="40" s="1"/>
  <c r="P26" i="40" s="1"/>
  <c r="P27" i="40" s="1"/>
  <c r="P28" i="40" s="1"/>
  <c r="P29" i="40" s="1"/>
  <c r="P30" i="40" s="1"/>
  <c r="P31" i="40" s="1"/>
  <c r="P32" i="40" s="1"/>
  <c r="P33" i="40" s="1"/>
  <c r="P34" i="40" s="1"/>
  <c r="P35" i="40" s="1"/>
  <c r="P36" i="40" s="1"/>
  <c r="P37" i="40" s="1"/>
  <c r="P38" i="40" s="1"/>
  <c r="P39" i="40" s="1"/>
  <c r="P40" i="40" s="1"/>
  <c r="P41" i="40" s="1"/>
  <c r="P42" i="40" s="1"/>
  <c r="P43" i="40" s="1"/>
  <c r="P44" i="40" s="1"/>
  <c r="P45" i="40" s="1"/>
  <c r="P46" i="40" s="1"/>
  <c r="P47" i="40" s="1"/>
  <c r="P48" i="40" s="1"/>
  <c r="P49" i="40" s="1"/>
  <c r="P50" i="40" s="1"/>
  <c r="P51" i="40" s="1"/>
  <c r="P52" i="40" s="1"/>
  <c r="P53" i="40" s="1"/>
  <c r="P54" i="40" s="1"/>
  <c r="P55" i="40" s="1"/>
  <c r="P56" i="40" s="1"/>
  <c r="P57" i="40" s="1"/>
  <c r="P58" i="40" s="1"/>
  <c r="P59" i="40" s="1"/>
  <c r="P60" i="40" s="1"/>
  <c r="P61" i="40" s="1"/>
  <c r="P62" i="40" s="1"/>
  <c r="P63" i="40" s="1"/>
  <c r="P64" i="40" s="1"/>
  <c r="P65" i="40" s="1"/>
  <c r="P66" i="40" s="1"/>
  <c r="P67" i="40" s="1"/>
  <c r="P68" i="40" s="1"/>
  <c r="P69" i="40" s="1"/>
  <c r="P70" i="40" s="1"/>
  <c r="P71" i="40" s="1"/>
  <c r="P72" i="40" s="1"/>
  <c r="P73" i="40" s="1"/>
  <c r="P74" i="40" s="1"/>
  <c r="P75" i="40" s="1"/>
  <c r="P76" i="40" s="1"/>
  <c r="P77" i="40" s="1"/>
  <c r="P78" i="40" s="1"/>
  <c r="P79" i="40" s="1"/>
  <c r="P80" i="40" s="1"/>
  <c r="P81" i="40" s="1"/>
  <c r="P82" i="40" s="1"/>
  <c r="P83" i="40" s="1"/>
  <c r="P84" i="40" s="1"/>
  <c r="P85" i="40" s="1"/>
  <c r="P86" i="40" s="1"/>
  <c r="P87" i="40" s="1"/>
  <c r="L9" i="40"/>
  <c r="N9" i="40"/>
  <c r="J9" i="40"/>
  <c r="J10" i="40" s="1"/>
  <c r="J11" i="40" s="1"/>
  <c r="J12" i="40" s="1"/>
  <c r="J13" i="40" s="1"/>
  <c r="J14" i="40" s="1"/>
  <c r="J15" i="40" s="1"/>
  <c r="J16" i="40" s="1"/>
  <c r="J17" i="40" s="1"/>
  <c r="J18" i="40" s="1"/>
  <c r="J19" i="40" s="1"/>
  <c r="J20" i="40" s="1"/>
  <c r="J21" i="40" s="1"/>
  <c r="J22" i="40" s="1"/>
  <c r="J23" i="40" s="1"/>
  <c r="J24" i="40" s="1"/>
  <c r="J25" i="40" s="1"/>
  <c r="J26" i="40" s="1"/>
  <c r="J27" i="40" s="1"/>
  <c r="J28" i="40" s="1"/>
  <c r="J29" i="40" s="1"/>
  <c r="J30" i="40" s="1"/>
  <c r="J31" i="40" s="1"/>
  <c r="J32" i="40" s="1"/>
  <c r="J33" i="40" s="1"/>
  <c r="J34" i="40" s="1"/>
  <c r="J35" i="40" s="1"/>
  <c r="J36" i="40" s="1"/>
  <c r="J37" i="40" s="1"/>
  <c r="J38" i="40" s="1"/>
  <c r="J39" i="40" s="1"/>
  <c r="J40" i="40" s="1"/>
  <c r="J41" i="40" s="1"/>
  <c r="J42" i="40" s="1"/>
  <c r="J43" i="40" s="1"/>
  <c r="J44" i="40" s="1"/>
  <c r="J45" i="40" s="1"/>
  <c r="J46" i="40" s="1"/>
  <c r="J47" i="40" s="1"/>
  <c r="J48" i="40" s="1"/>
  <c r="J49" i="40" s="1"/>
  <c r="J50" i="40" s="1"/>
  <c r="J51" i="40" s="1"/>
  <c r="J52" i="40" s="1"/>
  <c r="J53" i="40" s="1"/>
  <c r="J54" i="40" s="1"/>
  <c r="J55" i="40" s="1"/>
  <c r="J56" i="40" s="1"/>
  <c r="J57" i="40" s="1"/>
  <c r="G10" i="40"/>
  <c r="G11" i="40" s="1"/>
  <c r="G12" i="40" s="1"/>
  <c r="G13" i="40" s="1"/>
  <c r="G14" i="40" s="1"/>
  <c r="G15" i="40" s="1"/>
  <c r="G16" i="40" s="1"/>
  <c r="G17" i="40" s="1"/>
  <c r="G18" i="40" s="1"/>
  <c r="G19" i="40" s="1"/>
  <c r="G20" i="40" s="1"/>
  <c r="G21" i="40" s="1"/>
  <c r="G22" i="40" s="1"/>
  <c r="G23" i="40" s="1"/>
  <c r="G24" i="40" s="1"/>
  <c r="G25" i="40" s="1"/>
  <c r="G26" i="40" s="1"/>
  <c r="G27" i="40" s="1"/>
  <c r="G28" i="40" s="1"/>
  <c r="G29" i="40" s="1"/>
  <c r="G30" i="40" s="1"/>
  <c r="G31" i="40" s="1"/>
  <c r="G32" i="40" s="1"/>
  <c r="G33" i="40" s="1"/>
  <c r="E38" i="38"/>
  <c r="E49" i="38" s="1"/>
  <c r="E37" i="38"/>
  <c r="E48" i="38" s="1"/>
  <c r="F26" i="32"/>
  <c r="E27" i="32"/>
  <c r="L10" i="43"/>
  <c r="E28" i="32"/>
  <c r="G27" i="32"/>
  <c r="J27" i="32" s="1"/>
  <c r="G26" i="32"/>
  <c r="J26" i="32" s="1"/>
  <c r="G28" i="32"/>
  <c r="J28" i="32" s="1"/>
  <c r="B26" i="32"/>
  <c r="B30" i="32" s="1"/>
  <c r="B31" i="32" s="1"/>
  <c r="B35" i="32" s="1"/>
  <c r="B39" i="32" s="1"/>
  <c r="F36" i="49" l="1"/>
  <c r="F47" i="49" s="1"/>
  <c r="F38" i="49"/>
  <c r="F49" i="49" s="1"/>
  <c r="F37" i="49"/>
  <c r="F48" i="49" s="1"/>
  <c r="M10" i="43"/>
  <c r="C6" i="44"/>
  <c r="N10" i="43"/>
  <c r="D6" i="44"/>
  <c r="F36" i="41"/>
  <c r="D37" i="41"/>
  <c r="D48" i="41" s="1"/>
  <c r="F37" i="41"/>
  <c r="D38" i="41"/>
  <c r="F38" i="41"/>
  <c r="F49" i="41" s="1"/>
  <c r="D36" i="41"/>
  <c r="E36" i="38"/>
  <c r="E47" i="38" s="1"/>
  <c r="E47" i="41"/>
  <c r="N10" i="40"/>
  <c r="N11" i="40" s="1"/>
  <c r="N12" i="40" s="1"/>
  <c r="N13" i="40" s="1"/>
  <c r="N14" i="40" s="1"/>
  <c r="N15" i="40" s="1"/>
  <c r="N16" i="40" s="1"/>
  <c r="N17" i="40" s="1"/>
  <c r="N18" i="40" s="1"/>
  <c r="N19" i="40" s="1"/>
  <c r="N20" i="40" s="1"/>
  <c r="N21" i="40" s="1"/>
  <c r="N22" i="40" s="1"/>
  <c r="N23" i="40" s="1"/>
  <c r="N24" i="40" s="1"/>
  <c r="N25" i="40" s="1"/>
  <c r="N26" i="40" s="1"/>
  <c r="N27" i="40" s="1"/>
  <c r="N28" i="40" s="1"/>
  <c r="N29" i="40" s="1"/>
  <c r="N30" i="40" s="1"/>
  <c r="N31" i="40" s="1"/>
  <c r="N32" i="40" s="1"/>
  <c r="N33" i="40" s="1"/>
  <c r="N34" i="40" s="1"/>
  <c r="N35" i="40" s="1"/>
  <c r="N36" i="40" s="1"/>
  <c r="N37" i="40" s="1"/>
  <c r="N38" i="40" s="1"/>
  <c r="N39" i="40" s="1"/>
  <c r="N40" i="40" s="1"/>
  <c r="N41" i="40" s="1"/>
  <c r="N42" i="40" s="1"/>
  <c r="N43" i="40" s="1"/>
  <c r="N44" i="40" s="1"/>
  <c r="N45" i="40" s="1"/>
  <c r="N46" i="40" s="1"/>
  <c r="N47" i="40" s="1"/>
  <c r="N48" i="40" s="1"/>
  <c r="N49" i="40" s="1"/>
  <c r="N50" i="40" s="1"/>
  <c r="N51" i="40" s="1"/>
  <c r="N52" i="40" s="1"/>
  <c r="N53" i="40" s="1"/>
  <c r="N54" i="40" s="1"/>
  <c r="N55" i="40" s="1"/>
  <c r="N56" i="40" s="1"/>
  <c r="N57" i="40" s="1"/>
  <c r="N58" i="40" s="1"/>
  <c r="N59" i="40" s="1"/>
  <c r="N60" i="40" s="1"/>
  <c r="N61" i="40" s="1"/>
  <c r="N62" i="40" s="1"/>
  <c r="N63" i="40" s="1"/>
  <c r="N64" i="40" s="1"/>
  <c r="N65" i="40" s="1"/>
  <c r="N66" i="40" s="1"/>
  <c r="N67" i="40" s="1"/>
  <c r="N68" i="40" s="1"/>
  <c r="N69" i="40" s="1"/>
  <c r="N70" i="40" s="1"/>
  <c r="N71" i="40" s="1"/>
  <c r="N72" i="40" s="1"/>
  <c r="N73" i="40" s="1"/>
  <c r="N74" i="40" s="1"/>
  <c r="N75" i="40" s="1"/>
  <c r="N76" i="40" s="1"/>
  <c r="N77" i="40" s="1"/>
  <c r="N78" i="40" s="1"/>
  <c r="N79" i="40" s="1"/>
  <c r="N80" i="40" s="1"/>
  <c r="N81" i="40" s="1"/>
  <c r="N82" i="40" s="1"/>
  <c r="N83" i="40" s="1"/>
  <c r="N84" i="40" s="1"/>
  <c r="N85" i="40" s="1"/>
  <c r="N86" i="40" s="1"/>
  <c r="N87" i="40" s="1"/>
  <c r="H10" i="40"/>
  <c r="H11" i="40" s="1"/>
  <c r="H12" i="40" s="1"/>
  <c r="H13" i="40" s="1"/>
  <c r="H14" i="40" s="1"/>
  <c r="H15" i="40" s="1"/>
  <c r="H16" i="40" s="1"/>
  <c r="H17" i="40" s="1"/>
  <c r="H18" i="40" s="1"/>
  <c r="H19" i="40" s="1"/>
  <c r="H20" i="40" s="1"/>
  <c r="H21" i="40" s="1"/>
  <c r="H22" i="40" s="1"/>
  <c r="H23" i="40" s="1"/>
  <c r="H24" i="40" s="1"/>
  <c r="H25" i="40" s="1"/>
  <c r="H26" i="40" s="1"/>
  <c r="H27" i="40" s="1"/>
  <c r="H28" i="40" s="1"/>
  <c r="H29" i="40" s="1"/>
  <c r="H30" i="40" s="1"/>
  <c r="H31" i="40" s="1"/>
  <c r="H32" i="40" s="1"/>
  <c r="H33" i="40" s="1"/>
  <c r="F10" i="40"/>
  <c r="F11" i="40" s="1"/>
  <c r="F12" i="40" s="1"/>
  <c r="F13" i="40" s="1"/>
  <c r="F14" i="40" s="1"/>
  <c r="F15" i="40" s="1"/>
  <c r="F16" i="40" s="1"/>
  <c r="F17" i="40" s="1"/>
  <c r="F18" i="40" s="1"/>
  <c r="F19" i="40" s="1"/>
  <c r="F20" i="40" s="1"/>
  <c r="F21" i="40" s="1"/>
  <c r="F22" i="40" s="1"/>
  <c r="F23" i="40" s="1"/>
  <c r="F24" i="40" s="1"/>
  <c r="F25" i="40" s="1"/>
  <c r="F26" i="40" s="1"/>
  <c r="F27" i="40" s="1"/>
  <c r="F28" i="40" s="1"/>
  <c r="F29" i="40" s="1"/>
  <c r="F30" i="40" s="1"/>
  <c r="F31" i="40" s="1"/>
  <c r="F32" i="40" s="1"/>
  <c r="F33" i="40" s="1"/>
  <c r="L10" i="40"/>
  <c r="F38" i="38"/>
  <c r="F49" i="38" s="1"/>
  <c r="D37" i="38"/>
  <c r="D48" i="38" s="1"/>
  <c r="G41" i="32"/>
  <c r="F39" i="32"/>
  <c r="G39" i="32"/>
  <c r="J39" i="32" s="1"/>
  <c r="G40" i="32"/>
  <c r="E41" i="32"/>
  <c r="F41" i="32"/>
  <c r="E39" i="32"/>
  <c r="E40" i="32"/>
  <c r="F40" i="32"/>
  <c r="K7" i="34"/>
  <c r="K8" i="34" s="1"/>
  <c r="T45" i="34"/>
  <c r="B7" i="34"/>
  <c r="B43" i="32"/>
  <c r="B47" i="32" s="1"/>
  <c r="B53" i="32" s="1"/>
  <c r="B57" i="32" s="1"/>
  <c r="B60" i="32" s="1"/>
  <c r="B64" i="32" s="1"/>
  <c r="D7" i="34"/>
  <c r="D7" i="44" s="1"/>
  <c r="D8" i="44" s="1"/>
  <c r="D9" i="44" s="1"/>
  <c r="D10" i="44" s="1"/>
  <c r="F36" i="32"/>
  <c r="F48" i="32" s="1"/>
  <c r="O7" i="34"/>
  <c r="O8" i="34" s="1"/>
  <c r="H7" i="34"/>
  <c r="H8" i="34" s="1"/>
  <c r="J7" i="34"/>
  <c r="J8" i="34" s="1"/>
  <c r="P7" i="34"/>
  <c r="P8" i="34" s="1"/>
  <c r="F7" i="34"/>
  <c r="F8" i="34" s="1"/>
  <c r="L7" i="34"/>
  <c r="L8" i="34" s="1"/>
  <c r="N7" i="34"/>
  <c r="N8" i="34" s="1"/>
  <c r="G7" i="34"/>
  <c r="G8" i="34" s="1"/>
  <c r="F37" i="32"/>
  <c r="F49" i="32" s="1"/>
  <c r="S158" i="34"/>
  <c r="S160" i="34"/>
  <c r="S14" i="34"/>
  <c r="S154" i="34"/>
  <c r="G37" i="32"/>
  <c r="S12" i="34"/>
  <c r="S152" i="34"/>
  <c r="E37" i="32"/>
  <c r="E49" i="32" s="1"/>
  <c r="S10" i="34"/>
  <c r="S150" i="34"/>
  <c r="S156" i="34"/>
  <c r="S8" i="34"/>
  <c r="S148" i="34"/>
  <c r="G36" i="32"/>
  <c r="S16" i="34"/>
  <c r="S164" i="34"/>
  <c r="E36" i="32"/>
  <c r="E48" i="32" s="1"/>
  <c r="T125" i="34"/>
  <c r="T31" i="34"/>
  <c r="T149" i="34"/>
  <c r="E47" i="32"/>
  <c r="T155" i="34"/>
  <c r="T85" i="34"/>
  <c r="T53" i="34"/>
  <c r="T147" i="34"/>
  <c r="T127" i="34"/>
  <c r="T77" i="34"/>
  <c r="T11" i="34"/>
  <c r="S162" i="34"/>
  <c r="T153" i="34"/>
  <c r="S146" i="34"/>
  <c r="T103" i="34"/>
  <c r="T71" i="34"/>
  <c r="T39" i="34"/>
  <c r="T9" i="34"/>
  <c r="T159" i="34"/>
  <c r="T151" i="34"/>
  <c r="T119" i="34"/>
  <c r="T95" i="34"/>
  <c r="T63" i="34"/>
  <c r="T37" i="34"/>
  <c r="T101" i="34"/>
  <c r="T69" i="34"/>
  <c r="T93" i="34"/>
  <c r="T165" i="34"/>
  <c r="T117" i="34"/>
  <c r="T87" i="34"/>
  <c r="T55" i="34"/>
  <c r="T29" i="34"/>
  <c r="T23" i="34"/>
  <c r="T143" i="34"/>
  <c r="T141" i="34"/>
  <c r="T133" i="34"/>
  <c r="T79" i="34"/>
  <c r="T47" i="34"/>
  <c r="T21" i="34"/>
  <c r="T61" i="34"/>
  <c r="T135" i="34"/>
  <c r="T13" i="34"/>
  <c r="T111" i="34"/>
  <c r="T163" i="34"/>
  <c r="T109" i="34"/>
  <c r="T18" i="34"/>
  <c r="T20" i="34"/>
  <c r="T22" i="34"/>
  <c r="T24" i="34"/>
  <c r="T26" i="34"/>
  <c r="T28" i="34"/>
  <c r="T30" i="34"/>
  <c r="T32" i="34"/>
  <c r="T34" i="34"/>
  <c r="T36" i="34"/>
  <c r="T38" i="34"/>
  <c r="T40" i="34"/>
  <c r="T42" i="34"/>
  <c r="T44" i="34"/>
  <c r="T46" i="34"/>
  <c r="T48" i="34"/>
  <c r="T50" i="34"/>
  <c r="T52" i="34"/>
  <c r="T54" i="34"/>
  <c r="T56" i="34"/>
  <c r="T58" i="34"/>
  <c r="T60" i="34"/>
  <c r="T62" i="34"/>
  <c r="T64" i="34"/>
  <c r="T66" i="34"/>
  <c r="T68" i="34"/>
  <c r="T70" i="34"/>
  <c r="T72" i="34"/>
  <c r="T74" i="34"/>
  <c r="T76" i="34"/>
  <c r="T78" i="34"/>
  <c r="T80" i="34"/>
  <c r="T82" i="34"/>
  <c r="T84" i="34"/>
  <c r="T86" i="34"/>
  <c r="T88" i="34"/>
  <c r="T90" i="34"/>
  <c r="T92" i="34"/>
  <c r="T94" i="34"/>
  <c r="T96" i="34"/>
  <c r="T98" i="34"/>
  <c r="T100" i="34"/>
  <c r="T102" i="34"/>
  <c r="T104" i="34"/>
  <c r="T106" i="34"/>
  <c r="T108" i="34"/>
  <c r="T110" i="34"/>
  <c r="T112" i="34"/>
  <c r="T114" i="34"/>
  <c r="T116" i="34"/>
  <c r="T118" i="34"/>
  <c r="T120" i="34"/>
  <c r="T122" i="34"/>
  <c r="T124" i="34"/>
  <c r="T126" i="34"/>
  <c r="T128" i="34"/>
  <c r="T130" i="34"/>
  <c r="T132" i="34"/>
  <c r="T134" i="34"/>
  <c r="T136" i="34"/>
  <c r="T138" i="34"/>
  <c r="T140" i="34"/>
  <c r="T142" i="34"/>
  <c r="T144" i="34"/>
  <c r="T146" i="34"/>
  <c r="T148" i="34"/>
  <c r="T150" i="34"/>
  <c r="T152" i="34"/>
  <c r="T154" i="34"/>
  <c r="T156" i="34"/>
  <c r="T158" i="34"/>
  <c r="T160" i="34"/>
  <c r="T162" i="34"/>
  <c r="T164" i="34"/>
  <c r="T8" i="34"/>
  <c r="T10" i="34"/>
  <c r="T12" i="34"/>
  <c r="T14" i="34"/>
  <c r="T16" i="34"/>
  <c r="T17" i="34"/>
  <c r="T7" i="34"/>
  <c r="T15" i="34"/>
  <c r="T157" i="34"/>
  <c r="T139" i="34"/>
  <c r="T131" i="34"/>
  <c r="T123" i="34"/>
  <c r="T115" i="34"/>
  <c r="T107" i="34"/>
  <c r="T99" i="34"/>
  <c r="T91" i="34"/>
  <c r="T83" i="34"/>
  <c r="T75" i="34"/>
  <c r="T67" i="34"/>
  <c r="T59" i="34"/>
  <c r="T51" i="34"/>
  <c r="T43" i="34"/>
  <c r="T35" i="34"/>
  <c r="T27" i="34"/>
  <c r="T19" i="34"/>
  <c r="T161" i="34"/>
  <c r="T145" i="34"/>
  <c r="T137" i="34"/>
  <c r="T129" i="34"/>
  <c r="T121" i="34"/>
  <c r="T113" i="34"/>
  <c r="T105" i="34"/>
  <c r="T97" i="34"/>
  <c r="T89" i="34"/>
  <c r="T81" i="34"/>
  <c r="T73" i="34"/>
  <c r="T65" i="34"/>
  <c r="T57" i="34"/>
  <c r="T49" i="34"/>
  <c r="T41" i="34"/>
  <c r="T33" i="34"/>
  <c r="T25" i="34"/>
  <c r="R15" i="34"/>
  <c r="R13" i="34"/>
  <c r="R11" i="34"/>
  <c r="R9" i="34"/>
  <c r="R165" i="34"/>
  <c r="R163" i="34"/>
  <c r="R161" i="34"/>
  <c r="R159" i="34"/>
  <c r="R157" i="34"/>
  <c r="R155" i="34"/>
  <c r="R153" i="34"/>
  <c r="R151" i="34"/>
  <c r="R149" i="34"/>
  <c r="R147" i="34"/>
  <c r="R145" i="34"/>
  <c r="R143" i="34"/>
  <c r="R141" i="34"/>
  <c r="R139" i="34"/>
  <c r="R137" i="34"/>
  <c r="R135" i="34"/>
  <c r="R133" i="34"/>
  <c r="R131" i="34"/>
  <c r="R129" i="34"/>
  <c r="R127" i="34"/>
  <c r="R125" i="34"/>
  <c r="R123" i="34"/>
  <c r="R121" i="34"/>
  <c r="R119" i="34"/>
  <c r="R117" i="34"/>
  <c r="R115" i="34"/>
  <c r="R113" i="34"/>
  <c r="R111" i="34"/>
  <c r="R109" i="34"/>
  <c r="R107" i="34"/>
  <c r="R105" i="34"/>
  <c r="R103" i="34"/>
  <c r="R101" i="34"/>
  <c r="R99" i="34"/>
  <c r="R97" i="34"/>
  <c r="R95" i="34"/>
  <c r="R93" i="34"/>
  <c r="R91" i="34"/>
  <c r="R89" i="34"/>
  <c r="R87" i="34"/>
  <c r="R85" i="34"/>
  <c r="R83" i="34"/>
  <c r="R81" i="34"/>
  <c r="R79" i="34"/>
  <c r="R77" i="34"/>
  <c r="R75" i="34"/>
  <c r="R73" i="34"/>
  <c r="R71" i="34"/>
  <c r="R69" i="34"/>
  <c r="R67" i="34"/>
  <c r="R65" i="34"/>
  <c r="R63" i="34"/>
  <c r="R61" i="34"/>
  <c r="R59" i="34"/>
  <c r="R57" i="34"/>
  <c r="R55" i="34"/>
  <c r="R53" i="34"/>
  <c r="R51" i="34"/>
  <c r="R49" i="34"/>
  <c r="R47" i="34"/>
  <c r="R45" i="34"/>
  <c r="R43" i="34"/>
  <c r="R41" i="34"/>
  <c r="R39" i="34"/>
  <c r="R37" i="34"/>
  <c r="R35" i="34"/>
  <c r="R33" i="34"/>
  <c r="R31" i="34"/>
  <c r="R29" i="34"/>
  <c r="R27" i="34"/>
  <c r="R25" i="34"/>
  <c r="R23" i="34"/>
  <c r="R21" i="34"/>
  <c r="R19" i="34"/>
  <c r="R17" i="34"/>
  <c r="R7" i="34"/>
  <c r="S15" i="34"/>
  <c r="S13" i="34"/>
  <c r="S11" i="34"/>
  <c r="S9" i="34"/>
  <c r="S165" i="34"/>
  <c r="S163" i="34"/>
  <c r="S161" i="34"/>
  <c r="S159" i="34"/>
  <c r="S157" i="34"/>
  <c r="S155" i="34"/>
  <c r="S153" i="34"/>
  <c r="S151" i="34"/>
  <c r="S149" i="34"/>
  <c r="S147" i="34"/>
  <c r="S145" i="34"/>
  <c r="S143" i="34"/>
  <c r="S141" i="34"/>
  <c r="S139" i="34"/>
  <c r="S137" i="34"/>
  <c r="S135" i="34"/>
  <c r="S133" i="34"/>
  <c r="S131" i="34"/>
  <c r="S129" i="34"/>
  <c r="S127" i="34"/>
  <c r="S125" i="34"/>
  <c r="S123" i="34"/>
  <c r="S121" i="34"/>
  <c r="S119" i="34"/>
  <c r="S117" i="34"/>
  <c r="S115" i="34"/>
  <c r="S113" i="34"/>
  <c r="S111" i="34"/>
  <c r="S109" i="34"/>
  <c r="S107" i="34"/>
  <c r="S105" i="34"/>
  <c r="S103" i="34"/>
  <c r="S101" i="34"/>
  <c r="S99" i="34"/>
  <c r="S97" i="34"/>
  <c r="S95" i="34"/>
  <c r="S93" i="34"/>
  <c r="S91" i="34"/>
  <c r="S89" i="34"/>
  <c r="S87" i="34"/>
  <c r="S85" i="34"/>
  <c r="S83" i="34"/>
  <c r="S81" i="34"/>
  <c r="S79" i="34"/>
  <c r="S77" i="34"/>
  <c r="S75" i="34"/>
  <c r="S73" i="34"/>
  <c r="S71" i="34"/>
  <c r="S69" i="34"/>
  <c r="S67" i="34"/>
  <c r="S65" i="34"/>
  <c r="S63" i="34"/>
  <c r="S61" i="34"/>
  <c r="S59" i="34"/>
  <c r="S57" i="34"/>
  <c r="S55" i="34"/>
  <c r="S53" i="34"/>
  <c r="S51" i="34"/>
  <c r="S49" i="34"/>
  <c r="S47" i="34"/>
  <c r="S45" i="34"/>
  <c r="S43" i="34"/>
  <c r="S41" i="34"/>
  <c r="S39" i="34"/>
  <c r="S37" i="34"/>
  <c r="S35" i="34"/>
  <c r="S33" i="34"/>
  <c r="S31" i="34"/>
  <c r="S29" i="34"/>
  <c r="S27" i="34"/>
  <c r="S25" i="34"/>
  <c r="S23" i="34"/>
  <c r="S21" i="34"/>
  <c r="S19" i="34"/>
  <c r="S17" i="34"/>
  <c r="F47" i="32"/>
  <c r="R16" i="34"/>
  <c r="R14" i="34"/>
  <c r="R12" i="34"/>
  <c r="R10" i="34"/>
  <c r="R8" i="34"/>
  <c r="R164" i="34"/>
  <c r="R162" i="34"/>
  <c r="R160" i="34"/>
  <c r="R158" i="34"/>
  <c r="R156" i="34"/>
  <c r="R154" i="34"/>
  <c r="R152" i="34"/>
  <c r="R150" i="34"/>
  <c r="R148" i="34"/>
  <c r="R146" i="34"/>
  <c r="R144" i="34"/>
  <c r="R142" i="34"/>
  <c r="R140" i="34"/>
  <c r="R138" i="34"/>
  <c r="R136" i="34"/>
  <c r="R134" i="34"/>
  <c r="R132" i="34"/>
  <c r="R130" i="34"/>
  <c r="R128" i="34"/>
  <c r="R126" i="34"/>
  <c r="R124" i="34"/>
  <c r="R122" i="34"/>
  <c r="R120" i="34"/>
  <c r="R118" i="34"/>
  <c r="R116" i="34"/>
  <c r="R114" i="34"/>
  <c r="R112" i="34"/>
  <c r="R110" i="34"/>
  <c r="R108" i="34"/>
  <c r="R106" i="34"/>
  <c r="R104" i="34"/>
  <c r="R102" i="34"/>
  <c r="R100" i="34"/>
  <c r="R98" i="34"/>
  <c r="R96" i="34"/>
  <c r="R94" i="34"/>
  <c r="R92" i="34"/>
  <c r="R90" i="34"/>
  <c r="R88" i="34"/>
  <c r="R86" i="34"/>
  <c r="R84" i="34"/>
  <c r="R82" i="34"/>
  <c r="R80" i="34"/>
  <c r="R78" i="34"/>
  <c r="R76" i="34"/>
  <c r="R74" i="34"/>
  <c r="R72" i="34"/>
  <c r="R70" i="34"/>
  <c r="R68" i="34"/>
  <c r="R66" i="34"/>
  <c r="R64" i="34"/>
  <c r="R62" i="34"/>
  <c r="R60" i="34"/>
  <c r="R58" i="34"/>
  <c r="R56" i="34"/>
  <c r="R54" i="34"/>
  <c r="R52" i="34"/>
  <c r="R50" i="34"/>
  <c r="R48" i="34"/>
  <c r="R46" i="34"/>
  <c r="R44" i="34"/>
  <c r="R42" i="34"/>
  <c r="R40" i="34"/>
  <c r="R38" i="34"/>
  <c r="R36" i="34"/>
  <c r="R34" i="34"/>
  <c r="R32" i="34"/>
  <c r="R30" i="34"/>
  <c r="R28" i="34"/>
  <c r="R26" i="34"/>
  <c r="R24" i="34"/>
  <c r="R22" i="34"/>
  <c r="R20" i="34"/>
  <c r="R18" i="34"/>
  <c r="S144" i="34"/>
  <c r="S142" i="34"/>
  <c r="S140" i="34"/>
  <c r="S138" i="34"/>
  <c r="S136" i="34"/>
  <c r="S134" i="34"/>
  <c r="S132" i="34"/>
  <c r="S130" i="34"/>
  <c r="S128" i="34"/>
  <c r="S126" i="34"/>
  <c r="S124" i="34"/>
  <c r="S122" i="34"/>
  <c r="S120" i="34"/>
  <c r="S118" i="34"/>
  <c r="S116" i="34"/>
  <c r="S114" i="34"/>
  <c r="S112" i="34"/>
  <c r="S110" i="34"/>
  <c r="S108" i="34"/>
  <c r="S106" i="34"/>
  <c r="S104" i="34"/>
  <c r="S102" i="34"/>
  <c r="S100" i="34"/>
  <c r="S98" i="34"/>
  <c r="S96" i="34"/>
  <c r="S94" i="34"/>
  <c r="S92" i="34"/>
  <c r="S90" i="34"/>
  <c r="S88" i="34"/>
  <c r="S86" i="34"/>
  <c r="S84" i="34"/>
  <c r="S82" i="34"/>
  <c r="S80" i="34"/>
  <c r="S78" i="34"/>
  <c r="S76" i="34"/>
  <c r="S74" i="34"/>
  <c r="S72" i="34"/>
  <c r="S70" i="34"/>
  <c r="S68" i="34"/>
  <c r="S66" i="34"/>
  <c r="S64" i="34"/>
  <c r="S62" i="34"/>
  <c r="S60" i="34"/>
  <c r="S58" i="34"/>
  <c r="S56" i="34"/>
  <c r="S54" i="34"/>
  <c r="S52" i="34"/>
  <c r="S50" i="34"/>
  <c r="S48" i="34"/>
  <c r="S46" i="34"/>
  <c r="S44" i="34"/>
  <c r="S42" i="34"/>
  <c r="S40" i="34"/>
  <c r="S38" i="34"/>
  <c r="S36" i="34"/>
  <c r="S34" i="34"/>
  <c r="S32" i="34"/>
  <c r="S30" i="34"/>
  <c r="S28" i="34"/>
  <c r="S26" i="34"/>
  <c r="S24" i="34"/>
  <c r="S22" i="34"/>
  <c r="S20" i="34"/>
  <c r="S18" i="34"/>
  <c r="S7" i="34"/>
  <c r="G35" i="32"/>
  <c r="R1" i="34" l="1"/>
  <c r="B7" i="44"/>
  <c r="B8" i="44" s="1"/>
  <c r="B9" i="44" s="1"/>
  <c r="B10" i="44" s="1"/>
  <c r="G49" i="32"/>
  <c r="J37" i="32"/>
  <c r="G48" i="32"/>
  <c r="J36" i="32"/>
  <c r="G47" i="32"/>
  <c r="J47" i="32" s="1"/>
  <c r="J35" i="32"/>
  <c r="D47" i="41"/>
  <c r="D38" i="38"/>
  <c r="D49" i="38" s="1"/>
  <c r="D36" i="38"/>
  <c r="D47" i="38" s="1"/>
  <c r="F47" i="41"/>
  <c r="D49" i="41"/>
  <c r="F36" i="38"/>
  <c r="F47" i="38" s="1"/>
  <c r="L11" i="40"/>
  <c r="K9" i="34"/>
  <c r="P9" i="34"/>
  <c r="P10" i="34" s="1"/>
  <c r="P11" i="34" s="1"/>
  <c r="P12" i="34" s="1"/>
  <c r="P13" i="34" s="1"/>
  <c r="P14" i="34" s="1"/>
  <c r="P15" i="34" s="1"/>
  <c r="P16" i="34" s="1"/>
  <c r="P17" i="34" s="1"/>
  <c r="P18" i="34" s="1"/>
  <c r="P19" i="34" s="1"/>
  <c r="P20" i="34" s="1"/>
  <c r="P21" i="34" s="1"/>
  <c r="P22" i="34" s="1"/>
  <c r="P23" i="34" s="1"/>
  <c r="P24" i="34" s="1"/>
  <c r="P25" i="34" s="1"/>
  <c r="P26" i="34" s="1"/>
  <c r="P27" i="34" s="1"/>
  <c r="P28" i="34" s="1"/>
  <c r="P29" i="34" s="1"/>
  <c r="P30" i="34" s="1"/>
  <c r="P31" i="34" s="1"/>
  <c r="P32" i="34" s="1"/>
  <c r="P33" i="34" s="1"/>
  <c r="P34" i="34" s="1"/>
  <c r="P35" i="34" s="1"/>
  <c r="P36" i="34" s="1"/>
  <c r="P37" i="34" s="1"/>
  <c r="P38" i="34" s="1"/>
  <c r="P39" i="34" s="1"/>
  <c r="P40" i="34" s="1"/>
  <c r="P41" i="34" s="1"/>
  <c r="P42" i="34" s="1"/>
  <c r="P43" i="34" s="1"/>
  <c r="P44" i="34" s="1"/>
  <c r="P45" i="34" s="1"/>
  <c r="P46" i="34" s="1"/>
  <c r="P47" i="34" s="1"/>
  <c r="P48" i="34" s="1"/>
  <c r="P49" i="34" s="1"/>
  <c r="P50" i="34" s="1"/>
  <c r="P51" i="34" s="1"/>
  <c r="P52" i="34" s="1"/>
  <c r="P53" i="34" s="1"/>
  <c r="P54" i="34" s="1"/>
  <c r="P55" i="34" s="1"/>
  <c r="P56" i="34" s="1"/>
  <c r="P57" i="34" s="1"/>
  <c r="P58" i="34" s="1"/>
  <c r="P59" i="34" s="1"/>
  <c r="P60" i="34" s="1"/>
  <c r="P61" i="34" s="1"/>
  <c r="P62" i="34" s="1"/>
  <c r="P63" i="34" s="1"/>
  <c r="P64" i="34" s="1"/>
  <c r="P65" i="34" s="1"/>
  <c r="P66" i="34" s="1"/>
  <c r="P67" i="34" s="1"/>
  <c r="P68" i="34" s="1"/>
  <c r="P69" i="34" s="1"/>
  <c r="P70" i="34" s="1"/>
  <c r="P71" i="34" s="1"/>
  <c r="P72" i="34" s="1"/>
  <c r="P73" i="34" s="1"/>
  <c r="P74" i="34" s="1"/>
  <c r="P75" i="34" s="1"/>
  <c r="P76" i="34" s="1"/>
  <c r="P77" i="34" s="1"/>
  <c r="P78" i="34" s="1"/>
  <c r="P79" i="34" s="1"/>
  <c r="P80" i="34" s="1"/>
  <c r="P81" i="34" s="1"/>
  <c r="P82" i="34" s="1"/>
  <c r="P83" i="34" s="1"/>
  <c r="P84" i="34" s="1"/>
  <c r="N9" i="34"/>
  <c r="N10" i="34" s="1"/>
  <c r="N11" i="34" s="1"/>
  <c r="N12" i="34" s="1"/>
  <c r="N13" i="34" s="1"/>
  <c r="N14" i="34" s="1"/>
  <c r="N15" i="34" s="1"/>
  <c r="N16" i="34" s="1"/>
  <c r="N17" i="34" s="1"/>
  <c r="N18" i="34" s="1"/>
  <c r="N19" i="34" s="1"/>
  <c r="N20" i="34" s="1"/>
  <c r="N21" i="34" s="1"/>
  <c r="N22" i="34" s="1"/>
  <c r="N23" i="34" s="1"/>
  <c r="N24" i="34" s="1"/>
  <c r="N25" i="34" s="1"/>
  <c r="N26" i="34" s="1"/>
  <c r="N27" i="34" s="1"/>
  <c r="N28" i="34" s="1"/>
  <c r="N29" i="34" s="1"/>
  <c r="N30" i="34" s="1"/>
  <c r="N31" i="34" s="1"/>
  <c r="N32" i="34" s="1"/>
  <c r="N33" i="34" s="1"/>
  <c r="N34" i="34" s="1"/>
  <c r="N35" i="34" s="1"/>
  <c r="N36" i="34" s="1"/>
  <c r="N37" i="34" s="1"/>
  <c r="N38" i="34" s="1"/>
  <c r="N39" i="34" s="1"/>
  <c r="N40" i="34" s="1"/>
  <c r="N41" i="34" s="1"/>
  <c r="N42" i="34" s="1"/>
  <c r="N43" i="34" s="1"/>
  <c r="N44" i="34" s="1"/>
  <c r="N45" i="34" s="1"/>
  <c r="N46" i="34" s="1"/>
  <c r="N47" i="34" s="1"/>
  <c r="N48" i="34" s="1"/>
  <c r="N49" i="34" s="1"/>
  <c r="N50" i="34" s="1"/>
  <c r="N51" i="34" s="1"/>
  <c r="N52" i="34" s="1"/>
  <c r="N53" i="34" s="1"/>
  <c r="N54" i="34" s="1"/>
  <c r="N55" i="34" s="1"/>
  <c r="N56" i="34" s="1"/>
  <c r="N57" i="34" s="1"/>
  <c r="N58" i="34" s="1"/>
  <c r="N59" i="34" s="1"/>
  <c r="N60" i="34" s="1"/>
  <c r="N61" i="34" s="1"/>
  <c r="N62" i="34" s="1"/>
  <c r="N63" i="34" s="1"/>
  <c r="N64" i="34" s="1"/>
  <c r="N65" i="34" s="1"/>
  <c r="N66" i="34" s="1"/>
  <c r="N67" i="34" s="1"/>
  <c r="N68" i="34" s="1"/>
  <c r="N69" i="34" s="1"/>
  <c r="N70" i="34" s="1"/>
  <c r="N71" i="34" s="1"/>
  <c r="N72" i="34" s="1"/>
  <c r="N73" i="34" s="1"/>
  <c r="N74" i="34" s="1"/>
  <c r="N75" i="34" s="1"/>
  <c r="N76" i="34" s="1"/>
  <c r="N77" i="34" s="1"/>
  <c r="N78" i="34" s="1"/>
  <c r="N79" i="34" s="1"/>
  <c r="N80" i="34" s="1"/>
  <c r="N81" i="34" s="1"/>
  <c r="N82" i="34" s="1"/>
  <c r="N83" i="34" s="1"/>
  <c r="N84" i="34" s="1"/>
  <c r="H9" i="34"/>
  <c r="J9" i="34"/>
  <c r="L9" i="34"/>
  <c r="L10" i="34" s="1"/>
  <c r="L11" i="34" s="1"/>
  <c r="L12" i="34" s="1"/>
  <c r="L13" i="34" s="1"/>
  <c r="L14" i="34" s="1"/>
  <c r="L15" i="34" s="1"/>
  <c r="L16" i="34" s="1"/>
  <c r="L17" i="34" s="1"/>
  <c r="L18" i="34" s="1"/>
  <c r="L19" i="34" s="1"/>
  <c r="L20" i="34" s="1"/>
  <c r="L21" i="34" s="1"/>
  <c r="L22" i="34" s="1"/>
  <c r="L23" i="34" s="1"/>
  <c r="L24" i="34" s="1"/>
  <c r="L25" i="34" s="1"/>
  <c r="L26" i="34" s="1"/>
  <c r="L27" i="34" s="1"/>
  <c r="L28" i="34" s="1"/>
  <c r="L29" i="34" s="1"/>
  <c r="L30" i="34" s="1"/>
  <c r="L31" i="34" s="1"/>
  <c r="L32" i="34" s="1"/>
  <c r="L33" i="34" s="1"/>
  <c r="L34" i="34" s="1"/>
  <c r="L35" i="34" s="1"/>
  <c r="L36" i="34" s="1"/>
  <c r="L37" i="34" s="1"/>
  <c r="L38" i="34" s="1"/>
  <c r="L39" i="34" s="1"/>
  <c r="L40" i="34" s="1"/>
  <c r="L41" i="34" s="1"/>
  <c r="L42" i="34" s="1"/>
  <c r="L43" i="34" s="1"/>
  <c r="L44" i="34" s="1"/>
  <c r="L45" i="34" s="1"/>
  <c r="L46" i="34" s="1"/>
  <c r="L47" i="34" s="1"/>
  <c r="L48" i="34" s="1"/>
  <c r="L49" i="34" s="1"/>
  <c r="L50" i="34" s="1"/>
  <c r="L51" i="34" s="1"/>
  <c r="L52" i="34" s="1"/>
  <c r="L53" i="34" s="1"/>
  <c r="L54" i="34" s="1"/>
  <c r="L55" i="34" s="1"/>
  <c r="L56" i="34" s="1"/>
  <c r="L57" i="34" s="1"/>
  <c r="L58" i="34" s="1"/>
  <c r="O9" i="34"/>
  <c r="O10" i="34" s="1"/>
  <c r="O11" i="34" s="1"/>
  <c r="O12" i="34" s="1"/>
  <c r="O13" i="34" s="1"/>
  <c r="O14" i="34" s="1"/>
  <c r="O15" i="34" s="1"/>
  <c r="O16" i="34" s="1"/>
  <c r="O17" i="34" s="1"/>
  <c r="O18" i="34" s="1"/>
  <c r="O19" i="34" s="1"/>
  <c r="O20" i="34" s="1"/>
  <c r="O21" i="34" s="1"/>
  <c r="O22" i="34" s="1"/>
  <c r="O23" i="34" s="1"/>
  <c r="O24" i="34" s="1"/>
  <c r="O25" i="34" s="1"/>
  <c r="O26" i="34" s="1"/>
  <c r="O27" i="34" s="1"/>
  <c r="O28" i="34" s="1"/>
  <c r="O29" i="34" s="1"/>
  <c r="O30" i="34" s="1"/>
  <c r="O31" i="34" s="1"/>
  <c r="O32" i="34" s="1"/>
  <c r="O33" i="34" s="1"/>
  <c r="O34" i="34" s="1"/>
  <c r="O35" i="34" s="1"/>
  <c r="O36" i="34" s="1"/>
  <c r="O37" i="34" s="1"/>
  <c r="O38" i="34" s="1"/>
  <c r="O39" i="34" s="1"/>
  <c r="O40" i="34" s="1"/>
  <c r="O41" i="34" s="1"/>
  <c r="O42" i="34" s="1"/>
  <c r="O43" i="34" s="1"/>
  <c r="O44" i="34" s="1"/>
  <c r="O45" i="34" s="1"/>
  <c r="O46" i="34" s="1"/>
  <c r="O47" i="34" s="1"/>
  <c r="O48" i="34" s="1"/>
  <c r="O49" i="34" s="1"/>
  <c r="O50" i="34" s="1"/>
  <c r="O51" i="34" s="1"/>
  <c r="O52" i="34" s="1"/>
  <c r="O53" i="34" s="1"/>
  <c r="O54" i="34" s="1"/>
  <c r="O55" i="34" s="1"/>
  <c r="O56" i="34" s="1"/>
  <c r="O57" i="34" s="1"/>
  <c r="O58" i="34" s="1"/>
  <c r="O59" i="34" s="1"/>
  <c r="O60" i="34" s="1"/>
  <c r="O61" i="34" s="1"/>
  <c r="O62" i="34" s="1"/>
  <c r="O63" i="34" s="1"/>
  <c r="O64" i="34" s="1"/>
  <c r="O65" i="34" s="1"/>
  <c r="O66" i="34" s="1"/>
  <c r="O67" i="34" s="1"/>
  <c r="O68" i="34" s="1"/>
  <c r="O69" i="34" s="1"/>
  <c r="O70" i="34" s="1"/>
  <c r="O71" i="34" s="1"/>
  <c r="O72" i="34" s="1"/>
  <c r="O73" i="34" s="1"/>
  <c r="O74" i="34" s="1"/>
  <c r="O75" i="34" s="1"/>
  <c r="O76" i="34" s="1"/>
  <c r="O77" i="34" s="1"/>
  <c r="O78" i="34" s="1"/>
  <c r="O79" i="34" s="1"/>
  <c r="O80" i="34" s="1"/>
  <c r="O81" i="34" s="1"/>
  <c r="O82" i="34" s="1"/>
  <c r="O83" i="34" s="1"/>
  <c r="O84" i="34" s="1"/>
  <c r="F9" i="34"/>
  <c r="F10" i="34" s="1"/>
  <c r="F11" i="34" s="1"/>
  <c r="F12" i="34" s="1"/>
  <c r="F13" i="34" s="1"/>
  <c r="F14" i="34" s="1"/>
  <c r="F15" i="34" s="1"/>
  <c r="F16" i="34" s="1"/>
  <c r="F17" i="34" s="1"/>
  <c r="F18" i="34" s="1"/>
  <c r="F19" i="34" s="1"/>
  <c r="F20" i="34" s="1"/>
  <c r="F21" i="34" s="1"/>
  <c r="F22" i="34" s="1"/>
  <c r="F23" i="34" s="1"/>
  <c r="F24" i="34" s="1"/>
  <c r="F25" i="34" s="1"/>
  <c r="F26" i="34" s="1"/>
  <c r="F27" i="34" s="1"/>
  <c r="F28" i="34" s="1"/>
  <c r="F29" i="34" s="1"/>
  <c r="F30" i="34" s="1"/>
  <c r="F31" i="34" s="1"/>
  <c r="F32" i="34" s="1"/>
  <c r="F33" i="34" s="1"/>
  <c r="F34" i="34" s="1"/>
  <c r="F35" i="34" s="1"/>
  <c r="F36" i="34" s="1"/>
  <c r="F37" i="34" s="1"/>
  <c r="F38" i="34" s="1"/>
  <c r="F39" i="34" s="1"/>
  <c r="F40" i="34" s="1"/>
  <c r="F41" i="34" s="1"/>
  <c r="F42" i="34" s="1"/>
  <c r="F43" i="34" s="1"/>
  <c r="F44" i="34" s="1"/>
  <c r="F45" i="34" s="1"/>
  <c r="F46" i="34" s="1"/>
  <c r="F47" i="34" s="1"/>
  <c r="F48" i="34" s="1"/>
  <c r="F49" i="34" s="1"/>
  <c r="F50" i="34" s="1"/>
  <c r="F51" i="34" s="1"/>
  <c r="F52" i="34" s="1"/>
  <c r="G9" i="34"/>
  <c r="G10" i="34" s="1"/>
  <c r="G11" i="34" s="1"/>
  <c r="G12" i="34" s="1"/>
  <c r="G13" i="34" s="1"/>
  <c r="G14" i="34" s="1"/>
  <c r="G15" i="34" s="1"/>
  <c r="G16" i="34" s="1"/>
  <c r="G17" i="34" s="1"/>
  <c r="G18" i="34" s="1"/>
  <c r="G19" i="34" s="1"/>
  <c r="G20" i="34" s="1"/>
  <c r="G21" i="34" s="1"/>
  <c r="G22" i="34" s="1"/>
  <c r="G23" i="34" s="1"/>
  <c r="G24" i="34" s="1"/>
  <c r="G25" i="34" s="1"/>
  <c r="G26" i="34" s="1"/>
  <c r="G27" i="34" s="1"/>
  <c r="G28" i="34" s="1"/>
  <c r="G29" i="34" s="1"/>
  <c r="G30" i="34" s="1"/>
  <c r="G31" i="34" s="1"/>
  <c r="G32" i="34" s="1"/>
  <c r="G33" i="34" s="1"/>
  <c r="G34" i="34" s="1"/>
  <c r="G35" i="34" s="1"/>
  <c r="G36" i="34" s="1"/>
  <c r="G37" i="34" s="1"/>
  <c r="G38" i="34" s="1"/>
  <c r="G39" i="34" s="1"/>
  <c r="G40" i="34" s="1"/>
  <c r="G41" i="34" s="1"/>
  <c r="G42" i="34" s="1"/>
  <c r="G43" i="34" s="1"/>
  <c r="G44" i="34" s="1"/>
  <c r="G45" i="34" s="1"/>
  <c r="G46" i="34" s="1"/>
  <c r="G47" i="34" s="1"/>
  <c r="G48" i="34" s="1"/>
  <c r="G49" i="34" s="1"/>
  <c r="G50" i="34" s="1"/>
  <c r="G51" i="34" s="1"/>
  <c r="G52" i="34" s="1"/>
  <c r="G33" i="48" l="1"/>
  <c r="E31" i="48"/>
  <c r="E43" i="48" s="1"/>
  <c r="G32" i="48"/>
  <c r="E33" i="48"/>
  <c r="E45" i="48" s="1"/>
  <c r="F31" i="48"/>
  <c r="F43" i="48" s="1"/>
  <c r="F33" i="48"/>
  <c r="F45" i="48" s="1"/>
  <c r="N1" i="34"/>
  <c r="L12" i="40"/>
  <c r="F31" i="32"/>
  <c r="F43" i="32" s="1"/>
  <c r="E47" i="37"/>
  <c r="D45" i="37"/>
  <c r="F47" i="37"/>
  <c r="H10" i="34"/>
  <c r="D47" i="37"/>
  <c r="K10" i="34"/>
  <c r="F46" i="37"/>
  <c r="J10" i="34"/>
  <c r="E45" i="37"/>
  <c r="F33" i="32"/>
  <c r="F45" i="32" s="1"/>
  <c r="E33" i="32"/>
  <c r="E45" i="32" s="1"/>
  <c r="G33" i="32"/>
  <c r="E31" i="32"/>
  <c r="E43" i="32" s="1"/>
  <c r="G32" i="32"/>
  <c r="J33" i="48" l="1"/>
  <c r="G45" i="48"/>
  <c r="J32" i="48"/>
  <c r="G44" i="48"/>
  <c r="G44" i="32"/>
  <c r="J44" i="32" s="1"/>
  <c r="J32" i="32"/>
  <c r="G45" i="32"/>
  <c r="J45" i="32" s="1"/>
  <c r="J33" i="32"/>
  <c r="L13" i="40"/>
  <c r="H11" i="34"/>
  <c r="K11" i="34"/>
  <c r="K12" i="34" s="1"/>
  <c r="K13" i="34" s="1"/>
  <c r="K14" i="34" s="1"/>
  <c r="K15" i="34" s="1"/>
  <c r="K16" i="34" s="1"/>
  <c r="K17" i="34" s="1"/>
  <c r="K18" i="34" s="1"/>
  <c r="K19" i="34" s="1"/>
  <c r="K20" i="34" s="1"/>
  <c r="K21" i="34" s="1"/>
  <c r="K22" i="34" s="1"/>
  <c r="K23" i="34" s="1"/>
  <c r="K24" i="34" s="1"/>
  <c r="K25" i="34" s="1"/>
  <c r="K26" i="34" s="1"/>
  <c r="K27" i="34" s="1"/>
  <c r="K28" i="34" s="1"/>
  <c r="K29" i="34" s="1"/>
  <c r="K30" i="34" s="1"/>
  <c r="K31" i="34" s="1"/>
  <c r="K32" i="34" s="1"/>
  <c r="K33" i="34" s="1"/>
  <c r="K34" i="34" s="1"/>
  <c r="K35" i="34" s="1"/>
  <c r="K36" i="34" s="1"/>
  <c r="K37" i="34" s="1"/>
  <c r="K38" i="34" s="1"/>
  <c r="K39" i="34" s="1"/>
  <c r="K40" i="34" s="1"/>
  <c r="K41" i="34" s="1"/>
  <c r="K42" i="34" s="1"/>
  <c r="K43" i="34" s="1"/>
  <c r="K44" i="34" s="1"/>
  <c r="K45" i="34" s="1"/>
  <c r="K46" i="34" s="1"/>
  <c r="K47" i="34" s="1"/>
  <c r="K48" i="34" s="1"/>
  <c r="K49" i="34" s="1"/>
  <c r="K50" i="34" s="1"/>
  <c r="K51" i="34" s="1"/>
  <c r="K52" i="34" s="1"/>
  <c r="K53" i="34" s="1"/>
  <c r="K54" i="34" s="1"/>
  <c r="K55" i="34" s="1"/>
  <c r="K56" i="34" s="1"/>
  <c r="K57" i="34" s="1"/>
  <c r="K58" i="34" s="1"/>
  <c r="F32" i="48" s="1"/>
  <c r="F44" i="48" s="1"/>
  <c r="E46" i="37"/>
  <c r="F45" i="37"/>
  <c r="J11" i="34"/>
  <c r="J45" i="48" l="1"/>
  <c r="J44" i="48"/>
  <c r="H12" i="34"/>
  <c r="H13" i="34" s="1"/>
  <c r="H14" i="34" s="1"/>
  <c r="H15" i="34" s="1"/>
  <c r="H16" i="34" s="1"/>
  <c r="H17" i="34" s="1"/>
  <c r="H18" i="34" s="1"/>
  <c r="H19" i="34" s="1"/>
  <c r="H20" i="34" s="1"/>
  <c r="H21" i="34" s="1"/>
  <c r="H22" i="34" s="1"/>
  <c r="H23" i="34" s="1"/>
  <c r="H24" i="34" s="1"/>
  <c r="H25" i="34" s="1"/>
  <c r="H26" i="34" s="1"/>
  <c r="H27" i="34" s="1"/>
  <c r="H28" i="34" s="1"/>
  <c r="H29" i="34" s="1"/>
  <c r="H30" i="34" s="1"/>
  <c r="H31" i="34" s="1"/>
  <c r="H32" i="34" s="1"/>
  <c r="H33" i="34" s="1"/>
  <c r="H34" i="34" s="1"/>
  <c r="H35" i="34" s="1"/>
  <c r="H36" i="34" s="1"/>
  <c r="H37" i="34" s="1"/>
  <c r="H38" i="34" s="1"/>
  <c r="H39" i="34" s="1"/>
  <c r="H40" i="34" s="1"/>
  <c r="H41" i="34" s="1"/>
  <c r="H42" i="34" s="1"/>
  <c r="H43" i="34" s="1"/>
  <c r="H44" i="34" s="1"/>
  <c r="H45" i="34" s="1"/>
  <c r="H46" i="34" s="1"/>
  <c r="H47" i="34" s="1"/>
  <c r="H48" i="34" s="1"/>
  <c r="H49" i="34" s="1"/>
  <c r="H50" i="34" s="1"/>
  <c r="H51" i="34" s="1"/>
  <c r="H52" i="34" s="1"/>
  <c r="G31" i="48" s="1"/>
  <c r="L14" i="40"/>
  <c r="F32" i="32"/>
  <c r="F44" i="32" s="1"/>
  <c r="J12" i="34"/>
  <c r="E20" i="26"/>
  <c r="F20" i="26" s="1"/>
  <c r="E19" i="23"/>
  <c r="F19" i="23" s="1"/>
  <c r="E18" i="20"/>
  <c r="F18" i="20" s="1"/>
  <c r="I20" i="8"/>
  <c r="J20" i="8"/>
  <c r="I21" i="8"/>
  <c r="J21" i="8"/>
  <c r="I22" i="8"/>
  <c r="J22" i="8"/>
  <c r="I23" i="8"/>
  <c r="J23" i="8"/>
  <c r="I24" i="8"/>
  <c r="J24" i="8"/>
  <c r="J31" i="48" l="1"/>
  <c r="G43" i="48"/>
  <c r="J13" i="34"/>
  <c r="J14" i="34" s="1"/>
  <c r="J15" i="34" s="1"/>
  <c r="J16" i="34" s="1"/>
  <c r="J17" i="34" s="1"/>
  <c r="J18" i="34" s="1"/>
  <c r="J19" i="34" s="1"/>
  <c r="J20" i="34" s="1"/>
  <c r="J21" i="34" s="1"/>
  <c r="J22" i="34" s="1"/>
  <c r="J23" i="34" s="1"/>
  <c r="J24" i="34" s="1"/>
  <c r="J25" i="34" s="1"/>
  <c r="J26" i="34" s="1"/>
  <c r="J27" i="34" s="1"/>
  <c r="J28" i="34" s="1"/>
  <c r="J29" i="34" s="1"/>
  <c r="J30" i="34" s="1"/>
  <c r="J31" i="34" s="1"/>
  <c r="J32" i="34" s="1"/>
  <c r="J33" i="34" s="1"/>
  <c r="J34" i="34" s="1"/>
  <c r="J35" i="34" s="1"/>
  <c r="J36" i="34" s="1"/>
  <c r="J37" i="34" s="1"/>
  <c r="J38" i="34" s="1"/>
  <c r="J39" i="34" s="1"/>
  <c r="J40" i="34" s="1"/>
  <c r="J41" i="34" s="1"/>
  <c r="J42" i="34" s="1"/>
  <c r="J43" i="34" s="1"/>
  <c r="J44" i="34" s="1"/>
  <c r="J45" i="34" s="1"/>
  <c r="J46" i="34" s="1"/>
  <c r="J47" i="34" s="1"/>
  <c r="J48" i="34" s="1"/>
  <c r="J49" i="34" s="1"/>
  <c r="J50" i="34" s="1"/>
  <c r="J51" i="34" s="1"/>
  <c r="J52" i="34" s="1"/>
  <c r="J53" i="34" s="1"/>
  <c r="J54" i="34" s="1"/>
  <c r="J55" i="34" s="1"/>
  <c r="J56" i="34" s="1"/>
  <c r="J57" i="34" s="1"/>
  <c r="J58" i="34" s="1"/>
  <c r="J1" i="34" s="1"/>
  <c r="G31" i="32"/>
  <c r="G43" i="32" s="1"/>
  <c r="J43" i="32" s="1"/>
  <c r="L15" i="40"/>
  <c r="D46" i="37"/>
  <c r="I19" i="23"/>
  <c r="J19" i="23" s="1"/>
  <c r="G21" i="4"/>
  <c r="G20" i="4"/>
  <c r="G19" i="4"/>
  <c r="G22" i="4"/>
  <c r="I23" i="26"/>
  <c r="J23" i="26" s="1"/>
  <c r="I12" i="26"/>
  <c r="I14" i="26"/>
  <c r="I13" i="26"/>
  <c r="I11" i="26"/>
  <c r="I10" i="26"/>
  <c r="I9" i="26"/>
  <c r="I11" i="30"/>
  <c r="J11" i="30" s="1"/>
  <c r="I10" i="30"/>
  <c r="J10" i="30" s="1"/>
  <c r="I9" i="30"/>
  <c r="J9" i="30" s="1"/>
  <c r="I19" i="30"/>
  <c r="J19" i="30" s="1"/>
  <c r="I18" i="30"/>
  <c r="J18" i="30" s="1"/>
  <c r="I17" i="30"/>
  <c r="J17" i="30" s="1"/>
  <c r="I13" i="23"/>
  <c r="J13" i="23" s="1"/>
  <c r="I12" i="23"/>
  <c r="J12" i="23" s="1"/>
  <c r="I11" i="23"/>
  <c r="J11" i="23" s="1"/>
  <c r="I10" i="23"/>
  <c r="J10" i="23" s="1"/>
  <c r="I9" i="23"/>
  <c r="J9" i="23" s="1"/>
  <c r="J31" i="32" l="1"/>
  <c r="E32" i="48"/>
  <c r="E44" i="48" s="1"/>
  <c r="E32" i="32"/>
  <c r="E44" i="32" s="1"/>
  <c r="J43" i="48"/>
  <c r="L16" i="40"/>
  <c r="L17" i="40" s="1"/>
  <c r="L18" i="40" s="1"/>
  <c r="L19" i="40" s="1"/>
  <c r="L20" i="40" s="1"/>
  <c r="L21" i="40" s="1"/>
  <c r="L22" i="40" s="1"/>
  <c r="L23" i="40" s="1"/>
  <c r="L24" i="40" s="1"/>
  <c r="L25" i="40" s="1"/>
  <c r="L26" i="40" s="1"/>
  <c r="L27" i="40" s="1"/>
  <c r="L28" i="40" s="1"/>
  <c r="L29" i="40" s="1"/>
  <c r="L30" i="40" s="1"/>
  <c r="L31" i="40" s="1"/>
  <c r="L32" i="40" s="1"/>
  <c r="L33" i="40" s="1"/>
  <c r="L34" i="40" s="1"/>
  <c r="L35" i="40" s="1"/>
  <c r="L36" i="40" s="1"/>
  <c r="L37" i="40" s="1"/>
  <c r="L38" i="40" s="1"/>
  <c r="L39" i="40" s="1"/>
  <c r="L40" i="40" s="1"/>
  <c r="L41" i="40" s="1"/>
  <c r="L42" i="40" s="1"/>
  <c r="L43" i="40" s="1"/>
  <c r="L44" i="40" s="1"/>
  <c r="L45" i="40" s="1"/>
  <c r="L46" i="40" s="1"/>
  <c r="L47" i="40" s="1"/>
  <c r="L48" i="40" s="1"/>
  <c r="L49" i="40" s="1"/>
  <c r="L50" i="40" s="1"/>
  <c r="L51" i="40" s="1"/>
  <c r="L52" i="40" s="1"/>
  <c r="L53" i="40" s="1"/>
  <c r="L54" i="40" s="1"/>
  <c r="L55" i="40" s="1"/>
  <c r="L56" i="40" s="1"/>
  <c r="L57" i="40" s="1"/>
  <c r="F48" i="41" s="1"/>
  <c r="I16" i="28"/>
  <c r="J16" i="28" s="1"/>
  <c r="I17" i="28"/>
  <c r="J17" i="28" s="1"/>
  <c r="I9" i="28"/>
  <c r="J9" i="28" s="1"/>
  <c r="F37" i="38" l="1"/>
  <c r="F48" i="38" s="1"/>
  <c r="I13" i="8"/>
  <c r="J13" i="8" s="1"/>
  <c r="I12" i="8"/>
  <c r="J12" i="8" s="1"/>
  <c r="I11" i="8"/>
  <c r="J11" i="8" s="1"/>
  <c r="I10" i="8"/>
  <c r="J10" i="8" s="1"/>
  <c r="I9" i="8"/>
  <c r="J9" i="8" s="1"/>
  <c r="I10" i="5"/>
  <c r="J10" i="5" s="1"/>
  <c r="I13" i="5"/>
  <c r="J13" i="5" s="1"/>
  <c r="I12" i="5"/>
  <c r="J12" i="5" s="1"/>
  <c r="I11" i="5"/>
  <c r="J11" i="5" s="1"/>
  <c r="I9" i="5"/>
  <c r="J9" i="5" s="1"/>
  <c r="I20" i="5"/>
  <c r="J20" i="5" s="1"/>
  <c r="I19" i="5"/>
  <c r="J19" i="5" s="1"/>
  <c r="I18" i="5"/>
  <c r="J18" i="5" s="1"/>
  <c r="I17" i="5"/>
  <c r="J17" i="5" s="1"/>
  <c r="E14" i="5"/>
  <c r="J14" i="5" l="1"/>
  <c r="D37" i="16"/>
  <c r="D9" i="37" l="1"/>
  <c r="D13" i="37"/>
  <c r="E9" i="37"/>
  <c r="E13" i="37"/>
  <c r="E7" i="37"/>
  <c r="F9" i="37"/>
  <c r="F13" i="37"/>
  <c r="F11" i="37"/>
  <c r="F7" i="37"/>
  <c r="E6" i="37"/>
  <c r="F5" i="37"/>
  <c r="D5" i="37"/>
  <c r="F6" i="37"/>
  <c r="D11" i="37"/>
  <c r="D6" i="37"/>
  <c r="E5" i="37"/>
  <c r="E11" i="37"/>
  <c r="D7" i="37"/>
  <c r="H58" i="4"/>
  <c r="H59" i="4"/>
  <c r="I58" i="4"/>
  <c r="I59" i="4"/>
  <c r="I16" i="26"/>
  <c r="J16" i="26"/>
  <c r="J21" i="30"/>
  <c r="I19" i="20"/>
  <c r="J19" i="20" s="1"/>
  <c r="H20" i="4"/>
  <c r="I20" i="4" s="1"/>
  <c r="H21" i="4"/>
  <c r="I21" i="4" s="1"/>
  <c r="H22" i="4"/>
  <c r="I22" i="4" s="1"/>
  <c r="G12" i="32" l="1"/>
  <c r="G12" i="48"/>
  <c r="J12" i="48" s="1"/>
  <c r="E7" i="32"/>
  <c r="D7" i="49" s="1"/>
  <c r="E7" i="48"/>
  <c r="G14" i="32"/>
  <c r="F14" i="41" s="1"/>
  <c r="G14" i="48"/>
  <c r="J14" i="48" s="1"/>
  <c r="E12" i="32"/>
  <c r="E12" i="48"/>
  <c r="G10" i="32"/>
  <c r="G10" i="48"/>
  <c r="J10" i="48" s="1"/>
  <c r="G7" i="32"/>
  <c r="F7" i="38" s="1"/>
  <c r="G7" i="48"/>
  <c r="J7" i="48" s="1"/>
  <c r="F8" i="32"/>
  <c r="F8" i="48"/>
  <c r="E6" i="32"/>
  <c r="E6" i="48"/>
  <c r="F14" i="32"/>
  <c r="E14" i="49" s="1"/>
  <c r="F14" i="48"/>
  <c r="G6" i="32"/>
  <c r="F6" i="41" s="1"/>
  <c r="G6" i="48"/>
  <c r="J6" i="48" s="1"/>
  <c r="F10" i="32"/>
  <c r="E10" i="49" s="1"/>
  <c r="F10" i="48"/>
  <c r="F6" i="32"/>
  <c r="E6" i="38" s="1"/>
  <c r="F6" i="48"/>
  <c r="E8" i="32"/>
  <c r="D8" i="49" s="1"/>
  <c r="E8" i="48"/>
  <c r="F7" i="32"/>
  <c r="E7" i="49" s="1"/>
  <c r="F7" i="48"/>
  <c r="E14" i="32"/>
  <c r="E14" i="48"/>
  <c r="F12" i="32"/>
  <c r="F12" i="48"/>
  <c r="G8" i="32"/>
  <c r="F8" i="38" s="1"/>
  <c r="G8" i="48"/>
  <c r="J8" i="48" s="1"/>
  <c r="E10" i="32"/>
  <c r="D10" i="49" s="1"/>
  <c r="E10" i="48"/>
  <c r="J59" i="4"/>
  <c r="I60" i="4" s="1"/>
  <c r="J58" i="4"/>
  <c r="D7" i="41"/>
  <c r="D7" i="38"/>
  <c r="F14" i="38"/>
  <c r="F10" i="41"/>
  <c r="F10" i="38"/>
  <c r="E8" i="41"/>
  <c r="E14" i="41"/>
  <c r="E14" i="38"/>
  <c r="F12" i="41"/>
  <c r="F12" i="38"/>
  <c r="E10" i="41"/>
  <c r="D8" i="41"/>
  <c r="D8" i="38"/>
  <c r="E7" i="38"/>
  <c r="F8" i="41"/>
  <c r="I61" i="4"/>
  <c r="H60" i="4"/>
  <c r="J21" i="23"/>
  <c r="I21" i="23"/>
  <c r="I15" i="23"/>
  <c r="I21" i="30"/>
  <c r="I24" i="26"/>
  <c r="J24" i="26" s="1"/>
  <c r="I22" i="26"/>
  <c r="J22" i="26" s="1"/>
  <c r="I21" i="26"/>
  <c r="J21" i="26" s="1"/>
  <c r="I19" i="26"/>
  <c r="J19" i="26" s="1"/>
  <c r="I12" i="30"/>
  <c r="I18" i="24"/>
  <c r="J18" i="24" s="1"/>
  <c r="I17" i="24"/>
  <c r="J17" i="24" s="1"/>
  <c r="I16" i="24"/>
  <c r="J16" i="24" s="1"/>
  <c r="I15" i="28"/>
  <c r="J15" i="28" s="1"/>
  <c r="E10" i="38" l="1"/>
  <c r="F7" i="41"/>
  <c r="F6" i="38"/>
  <c r="D10" i="38"/>
  <c r="D10" i="41"/>
  <c r="E7" i="41"/>
  <c r="D12" i="38"/>
  <c r="D12" i="49"/>
  <c r="E12" i="38"/>
  <c r="E12" i="49"/>
  <c r="D14" i="38"/>
  <c r="D14" i="49"/>
  <c r="E8" i="38"/>
  <c r="E8" i="49"/>
  <c r="J14" i="32"/>
  <c r="F14" i="49"/>
  <c r="D6" i="38"/>
  <c r="D6" i="49"/>
  <c r="J6" i="32"/>
  <c r="F6" i="49"/>
  <c r="J7" i="32"/>
  <c r="F7" i="49"/>
  <c r="E6" i="41"/>
  <c r="E6" i="49"/>
  <c r="J8" i="32"/>
  <c r="F8" i="49"/>
  <c r="J10" i="32"/>
  <c r="F10" i="49"/>
  <c r="J12" i="32"/>
  <c r="F12" i="49"/>
  <c r="E12" i="41"/>
  <c r="D6" i="41"/>
  <c r="D12" i="41"/>
  <c r="D14" i="41"/>
  <c r="J12" i="30"/>
  <c r="J14" i="30" s="1"/>
  <c r="J25" i="30" s="1"/>
  <c r="J26" i="26"/>
  <c r="J30" i="26" s="1"/>
  <c r="I26" i="26"/>
  <c r="I30" i="26" s="1"/>
  <c r="I14" i="30"/>
  <c r="I25" i="30" s="1"/>
  <c r="I20" i="24"/>
  <c r="I23" i="23"/>
  <c r="J15" i="23"/>
  <c r="J23" i="23" s="1"/>
  <c r="J19" i="28"/>
  <c r="H36" i="4" l="1"/>
  <c r="I36" i="4" s="1"/>
  <c r="J19" i="8"/>
  <c r="J18" i="8"/>
  <c r="J26" i="8" l="1"/>
  <c r="H37" i="4" l="1"/>
  <c r="I37" i="4" s="1"/>
  <c r="H38" i="4"/>
  <c r="I38" i="4" s="1"/>
  <c r="I15" i="8"/>
  <c r="H19" i="4"/>
  <c r="I19" i="4" s="1"/>
  <c r="H15" i="4"/>
  <c r="I15" i="4" s="1"/>
  <c r="H16" i="4"/>
  <c r="I16" i="4" s="1"/>
  <c r="H17" i="4"/>
  <c r="I17" i="4" s="1"/>
  <c r="H18" i="4"/>
  <c r="I18" i="4" s="1"/>
  <c r="H13" i="4"/>
  <c r="I13" i="4" s="1"/>
  <c r="H14" i="4"/>
  <c r="I14" i="4" s="1"/>
  <c r="H44" i="4"/>
  <c r="H45" i="4"/>
  <c r="H46" i="4"/>
  <c r="H43" i="4"/>
  <c r="I43" i="4" s="1"/>
  <c r="F44" i="4"/>
  <c r="F45" i="4"/>
  <c r="F46" i="4"/>
  <c r="F43" i="4"/>
  <c r="H40" i="4" l="1"/>
  <c r="H49" i="4"/>
  <c r="I22" i="5"/>
  <c r="I18" i="20"/>
  <c r="J18" i="20" s="1"/>
  <c r="J21" i="20" s="1"/>
  <c r="I10" i="22"/>
  <c r="J10" i="22" s="1"/>
  <c r="I9" i="22"/>
  <c r="I19" i="8"/>
  <c r="I18" i="8"/>
  <c r="J9" i="22" l="1"/>
  <c r="I12" i="22"/>
  <c r="I21" i="20"/>
  <c r="I26" i="8"/>
  <c r="I28" i="8" s="1"/>
  <c r="I14" i="5"/>
  <c r="I11" i="24"/>
  <c r="J11" i="24" s="1"/>
  <c r="I9" i="24"/>
  <c r="J9" i="24" s="1"/>
  <c r="I10" i="24"/>
  <c r="J10" i="24" s="1"/>
  <c r="I19" i="28"/>
  <c r="I10" i="28"/>
  <c r="J10" i="28" s="1"/>
  <c r="J12" i="28" s="1"/>
  <c r="J21" i="28" s="1"/>
  <c r="I10" i="20"/>
  <c r="J10" i="20" s="1"/>
  <c r="I11" i="20"/>
  <c r="J11" i="20" s="1"/>
  <c r="I12" i="20"/>
  <c r="J12" i="20" s="1"/>
  <c r="I9" i="20"/>
  <c r="J9" i="20" s="1"/>
  <c r="I14" i="22" l="1"/>
  <c r="D12" i="37"/>
  <c r="F12" i="37"/>
  <c r="J14" i="20"/>
  <c r="J24" i="20" s="1"/>
  <c r="I13" i="24"/>
  <c r="I24" i="24" s="1"/>
  <c r="I14" i="20"/>
  <c r="I24" i="20" s="1"/>
  <c r="I12" i="28"/>
  <c r="I21" i="28" s="1"/>
  <c r="F18" i="8"/>
  <c r="G13" i="32" l="1"/>
  <c r="G13" i="48"/>
  <c r="J13" i="48" s="1"/>
  <c r="E13" i="32"/>
  <c r="D13" i="49" s="1"/>
  <c r="E13" i="48"/>
  <c r="F13" i="38"/>
  <c r="F13" i="41"/>
  <c r="D13" i="41"/>
  <c r="D13" i="38"/>
  <c r="I16" i="22"/>
  <c r="J15" i="8"/>
  <c r="J28" i="8" s="1"/>
  <c r="J13" i="32" l="1"/>
  <c r="F13" i="49"/>
  <c r="F26" i="4"/>
  <c r="F25" i="4"/>
  <c r="I11" i="4"/>
  <c r="I49" i="4" l="1"/>
  <c r="I40" i="4"/>
  <c r="I32" i="4"/>
  <c r="F14" i="5"/>
  <c r="I10" i="4"/>
  <c r="J12" i="22" l="1"/>
  <c r="J13" i="24" l="1"/>
  <c r="J20" i="24"/>
  <c r="H32" i="4"/>
  <c r="J22" i="5"/>
  <c r="J24" i="24" l="1"/>
  <c r="H52" i="4"/>
  <c r="H55" i="4" s="1"/>
  <c r="I52" i="4"/>
  <c r="D5" i="48" s="1"/>
  <c r="D4" i="37" l="1"/>
  <c r="E4" i="37"/>
  <c r="F4" i="37"/>
  <c r="H54" i="4"/>
  <c r="I55" i="4"/>
  <c r="I54" i="4"/>
  <c r="D5" i="32"/>
  <c r="J24" i="5"/>
  <c r="D6" i="48" s="1"/>
  <c r="D15" i="48" s="1"/>
  <c r="D16" i="48" s="1"/>
  <c r="G5" i="32" l="1"/>
  <c r="G5" i="48"/>
  <c r="F5" i="32"/>
  <c r="E5" i="49" s="1"/>
  <c r="E15" i="49" s="1"/>
  <c r="F5" i="48"/>
  <c r="F15" i="48" s="1"/>
  <c r="E5" i="32"/>
  <c r="E5" i="48"/>
  <c r="E15" i="48" s="1"/>
  <c r="F5" i="41"/>
  <c r="F15" i="41" s="1"/>
  <c r="F5" i="38"/>
  <c r="F15" i="38" s="1"/>
  <c r="F4" i="39" s="1"/>
  <c r="J54" i="4"/>
  <c r="J55" i="4"/>
  <c r="D6" i="32"/>
  <c r="D15" i="32" s="1"/>
  <c r="D16" i="32" s="1"/>
  <c r="G15" i="32"/>
  <c r="E14" i="37"/>
  <c r="D14" i="37"/>
  <c r="F14" i="37"/>
  <c r="I24" i="5"/>
  <c r="W4" i="39" l="1"/>
  <c r="W25" i="39" s="1"/>
  <c r="W28" i="39" s="1"/>
  <c r="AB4" i="39"/>
  <c r="E16" i="49"/>
  <c r="E18" i="49"/>
  <c r="E17" i="49"/>
  <c r="D5" i="41"/>
  <c r="D15" i="41" s="1"/>
  <c r="S6" i="42" s="1"/>
  <c r="D72" i="49" s="1"/>
  <c r="D5" i="49"/>
  <c r="D15" i="49" s="1"/>
  <c r="E15" i="32"/>
  <c r="F5" i="34" s="1"/>
  <c r="E66" i="48" s="1"/>
  <c r="E5" i="38"/>
  <c r="E15" i="38" s="1"/>
  <c r="E4" i="39" s="1"/>
  <c r="E5" i="41"/>
  <c r="E15" i="41" s="1"/>
  <c r="T6" i="42" s="1"/>
  <c r="E72" i="49" s="1"/>
  <c r="J5" i="32"/>
  <c r="F5" i="49"/>
  <c r="F15" i="49" s="1"/>
  <c r="O6" i="42"/>
  <c r="D71" i="49" s="1"/>
  <c r="AK5" i="34"/>
  <c r="Y5" i="34"/>
  <c r="AC5" i="34"/>
  <c r="AG5" i="34"/>
  <c r="AO5" i="34"/>
  <c r="Z5" i="34"/>
  <c r="AH5" i="34"/>
  <c r="AL5" i="34"/>
  <c r="AP5" i="34"/>
  <c r="AD5" i="34"/>
  <c r="E16" i="48"/>
  <c r="E17" i="48"/>
  <c r="E18" i="48"/>
  <c r="AM5" i="34"/>
  <c r="AE5" i="34"/>
  <c r="AA5" i="34"/>
  <c r="AI5" i="34"/>
  <c r="AQ5" i="34"/>
  <c r="D5" i="38"/>
  <c r="D15" i="38" s="1"/>
  <c r="B6" i="40" s="1"/>
  <c r="F16" i="48"/>
  <c r="F17" i="48"/>
  <c r="F18" i="48"/>
  <c r="U6" i="42"/>
  <c r="F72" i="49" s="1"/>
  <c r="M6" i="42"/>
  <c r="F70" i="49" s="1"/>
  <c r="I6" i="42"/>
  <c r="F69" i="49" s="1"/>
  <c r="Q6" i="42"/>
  <c r="F71" i="49" s="1"/>
  <c r="D6" i="42"/>
  <c r="F68" i="49" s="1"/>
  <c r="G15" i="48"/>
  <c r="J5" i="48"/>
  <c r="H6" i="42"/>
  <c r="E69" i="49" s="1"/>
  <c r="T5" i="34"/>
  <c r="G69" i="48" s="1"/>
  <c r="H5" i="34"/>
  <c r="G66" i="48" s="1"/>
  <c r="D5" i="34"/>
  <c r="G65" i="48" s="1"/>
  <c r="P5" i="34"/>
  <c r="G68" i="48" s="1"/>
  <c r="L5" i="34"/>
  <c r="G67" i="48" s="1"/>
  <c r="J15" i="32"/>
  <c r="G16" i="32"/>
  <c r="D5" i="43"/>
  <c r="N5" i="43" s="1"/>
  <c r="N12" i="43" s="1"/>
  <c r="D4" i="39"/>
  <c r="D16" i="41"/>
  <c r="D57" i="41" s="1"/>
  <c r="D18" i="41"/>
  <c r="E18" i="41"/>
  <c r="F16" i="41"/>
  <c r="F18" i="41"/>
  <c r="F17" i="41"/>
  <c r="O4" i="39"/>
  <c r="O25" i="39" s="1"/>
  <c r="O28" i="39" s="1"/>
  <c r="K4" i="39"/>
  <c r="K25" i="39" s="1"/>
  <c r="K28" i="39" s="1"/>
  <c r="F25" i="39"/>
  <c r="S4" i="39"/>
  <c r="D17" i="38"/>
  <c r="D16" i="38"/>
  <c r="D18" i="38"/>
  <c r="E17" i="38"/>
  <c r="F17" i="38"/>
  <c r="F18" i="38"/>
  <c r="F16" i="38"/>
  <c r="D17" i="37"/>
  <c r="D15" i="37"/>
  <c r="D16" i="37"/>
  <c r="F17" i="37"/>
  <c r="F16" i="37"/>
  <c r="F15" i="37"/>
  <c r="E17" i="37"/>
  <c r="E16" i="37"/>
  <c r="E15" i="37"/>
  <c r="F15" i="32"/>
  <c r="G18" i="32"/>
  <c r="G17" i="32"/>
  <c r="G6" i="42" l="1"/>
  <c r="D69" i="49" s="1"/>
  <c r="B6" i="42"/>
  <c r="D68" i="49" s="1"/>
  <c r="R5" i="34"/>
  <c r="E69" i="48" s="1"/>
  <c r="D17" i="41"/>
  <c r="B5" i="43"/>
  <c r="L5" i="43" s="1"/>
  <c r="K6" i="42"/>
  <c r="D70" i="49" s="1"/>
  <c r="U4" i="39"/>
  <c r="U25" i="39" s="1"/>
  <c r="U28" i="39" s="1"/>
  <c r="Z4" i="39"/>
  <c r="V4" i="39"/>
  <c r="V25" i="39" s="1"/>
  <c r="V28" i="39" s="1"/>
  <c r="AA4" i="39"/>
  <c r="P6" i="42"/>
  <c r="E71" i="49" s="1"/>
  <c r="D16" i="49"/>
  <c r="D18" i="49"/>
  <c r="G15" i="49"/>
  <c r="G16" i="49" s="1"/>
  <c r="G57" i="49" s="1"/>
  <c r="D17" i="49"/>
  <c r="N4" i="39"/>
  <c r="N25" i="39" s="1"/>
  <c r="N28" i="39" s="1"/>
  <c r="N5" i="34"/>
  <c r="E68" i="48" s="1"/>
  <c r="J4" i="39"/>
  <c r="J25" i="39" s="1"/>
  <c r="J28" i="39" s="1"/>
  <c r="L6" i="42"/>
  <c r="E70" i="49" s="1"/>
  <c r="E18" i="32"/>
  <c r="E16" i="32"/>
  <c r="E53" i="32" s="1"/>
  <c r="J5" i="34"/>
  <c r="E67" i="48" s="1"/>
  <c r="E64" i="49"/>
  <c r="E58" i="49"/>
  <c r="E16" i="41"/>
  <c r="E57" i="41" s="1"/>
  <c r="C6" i="42"/>
  <c r="E68" i="49" s="1"/>
  <c r="F16" i="49"/>
  <c r="F18" i="49"/>
  <c r="F17" i="49"/>
  <c r="E59" i="49"/>
  <c r="E65" i="49"/>
  <c r="E17" i="32"/>
  <c r="E61" i="32" s="1"/>
  <c r="E16" i="38"/>
  <c r="G6" i="40" s="1"/>
  <c r="R4" i="39"/>
  <c r="G15" i="41"/>
  <c r="B5" i="34"/>
  <c r="E65" i="48" s="1"/>
  <c r="E18" i="38"/>
  <c r="E25" i="39"/>
  <c r="E28" i="39" s="1"/>
  <c r="E17" i="41"/>
  <c r="E64" i="41" s="1"/>
  <c r="G15" i="38"/>
  <c r="E57" i="49"/>
  <c r="E63" i="49"/>
  <c r="E60" i="49"/>
  <c r="E62" i="49"/>
  <c r="E61" i="49"/>
  <c r="G16" i="41"/>
  <c r="G57" i="41" s="1"/>
  <c r="E6" i="42"/>
  <c r="G68" i="49" s="1"/>
  <c r="F62" i="48"/>
  <c r="F56" i="48"/>
  <c r="E60" i="48"/>
  <c r="E53" i="48"/>
  <c r="E57" i="48"/>
  <c r="E59" i="48"/>
  <c r="E58" i="48"/>
  <c r="F61" i="48"/>
  <c r="F55" i="48"/>
  <c r="E56" i="48"/>
  <c r="E62" i="48"/>
  <c r="G17" i="48"/>
  <c r="G16" i="48"/>
  <c r="J15" i="48"/>
  <c r="G18" i="48"/>
  <c r="F60" i="48"/>
  <c r="F53" i="48"/>
  <c r="F59" i="48"/>
  <c r="F57" i="48"/>
  <c r="F58" i="48"/>
  <c r="H15" i="48"/>
  <c r="E61" i="48"/>
  <c r="E55" i="48"/>
  <c r="G5" i="34"/>
  <c r="F66" i="48" s="1"/>
  <c r="C5" i="34"/>
  <c r="F65" i="48" s="1"/>
  <c r="O5" i="34"/>
  <c r="F68" i="48" s="1"/>
  <c r="K5" i="34"/>
  <c r="F67" i="48" s="1"/>
  <c r="S5" i="34"/>
  <c r="F69" i="48" s="1"/>
  <c r="J16" i="32"/>
  <c r="K6" i="40"/>
  <c r="C6" i="40"/>
  <c r="O6" i="40"/>
  <c r="S6" i="40"/>
  <c r="F16" i="32"/>
  <c r="C5" i="43"/>
  <c r="M5" i="43" s="1"/>
  <c r="M12" i="43" s="1"/>
  <c r="E69" i="41"/>
  <c r="E70" i="41"/>
  <c r="G5" i="43"/>
  <c r="Q5" i="43" s="1"/>
  <c r="Q12" i="43" s="1"/>
  <c r="E71" i="41"/>
  <c r="E71" i="37"/>
  <c r="E69" i="37"/>
  <c r="E67" i="37"/>
  <c r="E68" i="37"/>
  <c r="M4" i="39"/>
  <c r="M25" i="39" s="1"/>
  <c r="M28" i="39" s="1"/>
  <c r="H5" i="43"/>
  <c r="R5" i="43" s="1"/>
  <c r="R12" i="43" s="1"/>
  <c r="F71" i="41"/>
  <c r="F69" i="41"/>
  <c r="F72" i="41"/>
  <c r="F70" i="41"/>
  <c r="L6" i="40"/>
  <c r="D6" i="40"/>
  <c r="P6" i="40"/>
  <c r="H6" i="40"/>
  <c r="T6" i="40"/>
  <c r="F71" i="37"/>
  <c r="F69" i="37"/>
  <c r="F67" i="37"/>
  <c r="F70" i="37"/>
  <c r="G69" i="32"/>
  <c r="G67" i="32"/>
  <c r="D5" i="44"/>
  <c r="D70" i="37"/>
  <c r="D67" i="37"/>
  <c r="D68" i="37"/>
  <c r="D69" i="37"/>
  <c r="D70" i="41"/>
  <c r="D71" i="41"/>
  <c r="D72" i="41"/>
  <c r="F5" i="43"/>
  <c r="P5" i="43" s="1"/>
  <c r="P12" i="43" s="1"/>
  <c r="D69" i="41"/>
  <c r="B5" i="44"/>
  <c r="G5" i="44" s="1"/>
  <c r="J6" i="40"/>
  <c r="N6" i="40"/>
  <c r="R6" i="40"/>
  <c r="F6" i="40"/>
  <c r="D25" i="39"/>
  <c r="D28" i="39" s="1"/>
  <c r="I4" i="39"/>
  <c r="I25" i="39" s="1"/>
  <c r="I28" i="39" s="1"/>
  <c r="Q4" i="39"/>
  <c r="Q25" i="39" s="1"/>
  <c r="Q28" i="39" s="1"/>
  <c r="G4" i="39"/>
  <c r="G16" i="38"/>
  <c r="L12" i="43"/>
  <c r="H15" i="32"/>
  <c r="E5" i="34" s="1"/>
  <c r="H65" i="48" s="1"/>
  <c r="E72" i="41"/>
  <c r="F63" i="41"/>
  <c r="F57" i="41"/>
  <c r="F62" i="41"/>
  <c r="F60" i="41"/>
  <c r="F61" i="41"/>
  <c r="E65" i="41"/>
  <c r="E59" i="41"/>
  <c r="F65" i="41"/>
  <c r="F59" i="41"/>
  <c r="E63" i="41"/>
  <c r="E61" i="41"/>
  <c r="E62" i="41"/>
  <c r="D58" i="41"/>
  <c r="D64" i="41"/>
  <c r="D59" i="41"/>
  <c r="D65" i="41"/>
  <c r="F64" i="41"/>
  <c r="F58" i="41"/>
  <c r="D63" i="41"/>
  <c r="D61" i="41"/>
  <c r="D60" i="41"/>
  <c r="D62" i="41"/>
  <c r="F28" i="39"/>
  <c r="R25" i="39"/>
  <c r="R28" i="39" s="1"/>
  <c r="R32" i="39"/>
  <c r="R35" i="39" s="1"/>
  <c r="S25" i="39"/>
  <c r="S28" i="39" s="1"/>
  <c r="S32" i="39"/>
  <c r="S35" i="39" s="1"/>
  <c r="F58" i="38"/>
  <c r="F64" i="38"/>
  <c r="E57" i="38"/>
  <c r="E63" i="38"/>
  <c r="E62" i="38"/>
  <c r="E60" i="38"/>
  <c r="E61" i="38"/>
  <c r="E59" i="38"/>
  <c r="E65" i="38"/>
  <c r="E58" i="38"/>
  <c r="E64" i="38"/>
  <c r="D59" i="38"/>
  <c r="D65" i="38"/>
  <c r="E55" i="37"/>
  <c r="E70" i="37"/>
  <c r="F63" i="38"/>
  <c r="F57" i="38"/>
  <c r="F61" i="38"/>
  <c r="F62" i="38"/>
  <c r="F60" i="38"/>
  <c r="D63" i="38"/>
  <c r="D57" i="38"/>
  <c r="D62" i="38"/>
  <c r="D60" i="38"/>
  <c r="D61" i="38"/>
  <c r="F65" i="38"/>
  <c r="F59" i="38"/>
  <c r="D64" i="38"/>
  <c r="D58" i="38"/>
  <c r="F68" i="37"/>
  <c r="D71" i="37"/>
  <c r="E62" i="37"/>
  <c r="E61" i="37"/>
  <c r="E59" i="37"/>
  <c r="E60" i="37"/>
  <c r="F55" i="37"/>
  <c r="F62" i="37"/>
  <c r="F60" i="37"/>
  <c r="F61" i="37"/>
  <c r="F59" i="37"/>
  <c r="E56" i="37"/>
  <c r="E63" i="37"/>
  <c r="F56" i="37"/>
  <c r="F63" i="37"/>
  <c r="E64" i="37"/>
  <c r="E57" i="37"/>
  <c r="F64" i="37"/>
  <c r="F57" i="37"/>
  <c r="D56" i="37"/>
  <c r="D63" i="37"/>
  <c r="D55" i="37"/>
  <c r="D62" i="37"/>
  <c r="D59" i="37"/>
  <c r="D61" i="37"/>
  <c r="D60" i="37"/>
  <c r="D64" i="37"/>
  <c r="D57" i="37"/>
  <c r="F17" i="32"/>
  <c r="F61" i="32" s="1"/>
  <c r="F18" i="32"/>
  <c r="F62" i="32" s="1"/>
  <c r="E62" i="32"/>
  <c r="E56" i="32"/>
  <c r="E58" i="32"/>
  <c r="E59" i="32"/>
  <c r="E57" i="32"/>
  <c r="G61" i="32"/>
  <c r="G55" i="32"/>
  <c r="G56" i="32"/>
  <c r="G62" i="32"/>
  <c r="G60" i="32"/>
  <c r="G53" i="32"/>
  <c r="G58" i="32"/>
  <c r="G59" i="32"/>
  <c r="G57" i="32"/>
  <c r="E60" i="41" l="1"/>
  <c r="G68" i="41"/>
  <c r="E60" i="32"/>
  <c r="E58" i="41"/>
  <c r="X4" i="39"/>
  <c r="X25" i="39" s="1"/>
  <c r="X28" i="39" s="1"/>
  <c r="AC4" i="39"/>
  <c r="F58" i="49"/>
  <c r="F64" i="49"/>
  <c r="D64" i="49"/>
  <c r="D58" i="49"/>
  <c r="E68" i="32"/>
  <c r="F59" i="49"/>
  <c r="F65" i="49"/>
  <c r="F57" i="49"/>
  <c r="F63" i="49"/>
  <c r="F61" i="49"/>
  <c r="F60" i="49"/>
  <c r="F62" i="49"/>
  <c r="D59" i="49"/>
  <c r="D65" i="49"/>
  <c r="D63" i="49"/>
  <c r="D57" i="49"/>
  <c r="D61" i="49"/>
  <c r="D62" i="49"/>
  <c r="D60" i="49"/>
  <c r="E55" i="32"/>
  <c r="H18" i="48"/>
  <c r="H56" i="48" s="1"/>
  <c r="H17" i="48"/>
  <c r="H55" i="48" s="1"/>
  <c r="H16" i="48"/>
  <c r="H53" i="48" s="1"/>
  <c r="J16" i="48"/>
  <c r="G60" i="48"/>
  <c r="G53" i="48"/>
  <c r="G58" i="48"/>
  <c r="G59" i="48"/>
  <c r="G57" i="48"/>
  <c r="G61" i="48"/>
  <c r="G55" i="48"/>
  <c r="G56" i="48"/>
  <c r="G62" i="48"/>
  <c r="D68" i="41"/>
  <c r="E68" i="41"/>
  <c r="C5" i="44"/>
  <c r="F66" i="32"/>
  <c r="Q32" i="39"/>
  <c r="Q35" i="39" s="1"/>
  <c r="F68" i="41"/>
  <c r="G65" i="32"/>
  <c r="I5" i="44"/>
  <c r="L5" i="44"/>
  <c r="G6" i="44"/>
  <c r="H16" i="32"/>
  <c r="E5" i="44" s="1"/>
  <c r="H17" i="32"/>
  <c r="H55" i="32" s="1"/>
  <c r="H18" i="32"/>
  <c r="H56" i="32" s="1"/>
  <c r="E72" i="38"/>
  <c r="F70" i="38"/>
  <c r="E68" i="38"/>
  <c r="F69" i="38"/>
  <c r="E69" i="38"/>
  <c r="F68" i="38"/>
  <c r="D72" i="38"/>
  <c r="E70" i="38"/>
  <c r="F71" i="38"/>
  <c r="D68" i="38"/>
  <c r="E71" i="38"/>
  <c r="F72" i="38"/>
  <c r="D69" i="38"/>
  <c r="D70" i="38"/>
  <c r="D71" i="38"/>
  <c r="E67" i="32"/>
  <c r="E69" i="32"/>
  <c r="E65" i="32"/>
  <c r="G68" i="32"/>
  <c r="E66" i="32"/>
  <c r="G66" i="32"/>
  <c r="F59" i="32"/>
  <c r="F53" i="32"/>
  <c r="F55" i="32"/>
  <c r="F56" i="32"/>
  <c r="F58" i="32"/>
  <c r="F60" i="32"/>
  <c r="F57" i="32"/>
  <c r="F65" i="32" l="1"/>
  <c r="H5" i="44"/>
  <c r="H53" i="32"/>
  <c r="L6" i="44"/>
  <c r="G7" i="44"/>
  <c r="N5" i="44"/>
  <c r="I6" i="44"/>
  <c r="F68" i="32"/>
  <c r="F67" i="32"/>
  <c r="F69" i="32"/>
  <c r="L7" i="44" l="1"/>
  <c r="G8" i="44"/>
  <c r="J5" i="44"/>
  <c r="H65" i="32"/>
  <c r="M5" i="44"/>
  <c r="H6" i="44"/>
  <c r="N6" i="44"/>
  <c r="I7" i="44"/>
  <c r="N7" i="44" l="1"/>
  <c r="I8" i="44"/>
  <c r="H7" i="44"/>
  <c r="M6" i="44"/>
  <c r="O5" i="44"/>
  <c r="J6" i="44"/>
  <c r="G9" i="44"/>
  <c r="L8" i="44"/>
  <c r="H8" i="44" l="1"/>
  <c r="M7" i="44"/>
  <c r="I9" i="44"/>
  <c r="N8" i="44"/>
  <c r="L9" i="44"/>
  <c r="G10" i="44"/>
  <c r="J7" i="44"/>
  <c r="O6" i="44"/>
  <c r="O7" i="44" l="1"/>
  <c r="J8" i="44"/>
  <c r="L10" i="44"/>
  <c r="L13" i="44" a="1"/>
  <c r="L13" i="44" s="1"/>
  <c r="N9" i="44"/>
  <c r="I10" i="44"/>
  <c r="M8" i="44"/>
  <c r="H9" i="44"/>
  <c r="N10" i="44" l="1"/>
  <c r="N13" i="44" a="1"/>
  <c r="N13" i="44" s="1"/>
  <c r="J9" i="44"/>
  <c r="O8" i="44"/>
  <c r="H10" i="44"/>
  <c r="M9" i="44"/>
  <c r="M10" i="44" l="1"/>
  <c r="M13" i="44" a="1"/>
  <c r="M13" i="44" s="1"/>
  <c r="J10" i="44"/>
  <c r="O10" i="44" s="1"/>
  <c r="O9" i="44"/>
  <c r="O13" i="44" l="1" a="1"/>
  <c r="O13" i="4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YKashlan</author>
  </authors>
  <commentList>
    <comment ref="D25" authorId="0" shapeId="0" xr:uid="{72CF122B-AAC0-4299-AEAD-70D7BF4E764D}">
      <text>
        <r>
          <rPr>
            <b/>
            <sz val="9"/>
            <color indexed="81"/>
            <rFont val="Tahoma"/>
            <family val="2"/>
          </rPr>
          <t>YKashlan:</t>
        </r>
        <r>
          <rPr>
            <sz val="9"/>
            <color indexed="81"/>
            <rFont val="Tahoma"/>
            <family val="2"/>
          </rPr>
          <t xml:space="preserve">
Niger CPI WB data
https://data.worldbank.org/indicator/FP.CPI.TOTL?locations=NE</t>
        </r>
      </text>
    </comment>
    <comment ref="E25" authorId="0" shapeId="0" xr:uid="{5182CC3F-B6C4-40CF-ADDE-9EBB7EA2C70A}">
      <text>
        <r>
          <rPr>
            <b/>
            <sz val="9"/>
            <color indexed="81"/>
            <rFont val="Tahoma"/>
            <family val="2"/>
          </rPr>
          <t>YKashlan:</t>
        </r>
        <r>
          <rPr>
            <sz val="9"/>
            <color indexed="81"/>
            <rFont val="Tahoma"/>
            <family val="2"/>
          </rPr>
          <t xml:space="preserve">
USA CPI WB data
https://data.worldbank.org/indicator/FP.CPI.TOTL?end=2019&amp;locations=US&amp;start=2011</t>
        </r>
      </text>
    </comment>
    <comment ref="D30" authorId="0" shapeId="0" xr:uid="{7D9476A6-4478-46D8-B48E-6C7CC7BB9F1C}">
      <text>
        <r>
          <rPr>
            <b/>
            <sz val="9"/>
            <color indexed="81"/>
            <rFont val="Tahoma"/>
            <family val="2"/>
          </rPr>
          <t>YKashlan:</t>
        </r>
        <r>
          <rPr>
            <sz val="9"/>
            <color indexed="81"/>
            <rFont val="Tahoma"/>
            <family val="2"/>
          </rPr>
          <t xml:space="preserve">
Annual percent change from 2019 using IMF World Economic Outlook inflation data
https://www.imf.org/external/datamapper/PCPIPCH@WEO/NER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YKashlan</author>
  </authors>
  <commentList>
    <comment ref="G9" authorId="0" shapeId="0" xr:uid="{E12FE11C-F1D9-4ED7-AAF8-626BC924D0EC}">
      <text>
        <r>
          <rPr>
            <b/>
            <sz val="9"/>
            <color indexed="81"/>
            <rFont val="Tahoma"/>
            <family val="2"/>
          </rPr>
          <t>YKashlan:</t>
        </r>
        <r>
          <rPr>
            <sz val="9"/>
            <color indexed="81"/>
            <rFont val="Tahoma"/>
            <family val="2"/>
          </rPr>
          <t xml:space="preserve">
changed this from 11,420 to sum of capital and complet from introductory sheet on 01/28/2021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YKashlan</author>
  </authors>
  <commentList>
    <comment ref="B7" authorId="0" shapeId="0" xr:uid="{6D81B891-DC11-4DA5-89A0-76C1CD0F240A}">
      <text>
        <r>
          <rPr>
            <b/>
            <sz val="9"/>
            <color indexed="81"/>
            <rFont val="Tahoma"/>
            <family val="2"/>
          </rPr>
          <t>YKashlan:</t>
        </r>
        <r>
          <rPr>
            <sz val="9"/>
            <color indexed="81"/>
            <rFont val="Tahoma"/>
            <family val="2"/>
          </rPr>
          <t xml:space="preserve">
scaled back from year 2 to year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YKashlan</author>
  </authors>
  <commentList>
    <comment ref="B7" authorId="0" shapeId="0" xr:uid="{83292136-539D-4885-9597-A87883DC8E20}">
      <text>
        <r>
          <rPr>
            <b/>
            <sz val="9"/>
            <color indexed="81"/>
            <rFont val="Tahoma"/>
            <family val="2"/>
          </rPr>
          <t>YKashlan:</t>
        </r>
        <r>
          <rPr>
            <sz val="9"/>
            <color indexed="81"/>
            <rFont val="Tahoma"/>
            <family val="2"/>
          </rPr>
          <t xml:space="preserve">
scale back from year 2 to year 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<sst xmlns="http://schemas.openxmlformats.org/spreadsheetml/2006/main" count="992" uniqueCount="422">
  <si>
    <t>I</t>
  </si>
  <si>
    <t>II</t>
  </si>
  <si>
    <t>III</t>
  </si>
  <si>
    <t>Total:</t>
  </si>
  <si>
    <t>USD</t>
  </si>
  <si>
    <t>Notes</t>
  </si>
  <si>
    <t>Total</t>
  </si>
  <si>
    <t>Instructions</t>
  </si>
  <si>
    <t>Exemples</t>
  </si>
  <si>
    <t>Sous-total:</t>
  </si>
  <si>
    <t>Staff</t>
  </si>
  <si>
    <t>Consultant</t>
  </si>
  <si>
    <t>Transport</t>
  </si>
  <si>
    <t>Impressions</t>
  </si>
  <si>
    <t>Coaching</t>
  </si>
  <si>
    <t>….</t>
  </si>
  <si>
    <t>TOTAL</t>
  </si>
  <si>
    <t>1)</t>
  </si>
  <si>
    <t>2)</t>
  </si>
  <si>
    <t>3.0)</t>
  </si>
  <si>
    <t>3.1)</t>
  </si>
  <si>
    <t>3.2)</t>
  </si>
  <si>
    <t>3.3)</t>
  </si>
  <si>
    <t>3.4)</t>
  </si>
  <si>
    <t>3.5)</t>
  </si>
  <si>
    <t>3.6)</t>
  </si>
  <si>
    <t>3.7)</t>
  </si>
  <si>
    <t>Perdiems</t>
  </si>
  <si>
    <t>Kits</t>
  </si>
  <si>
    <t>Coach</t>
  </si>
  <si>
    <t>lot</t>
  </si>
  <si>
    <t>pause</t>
  </si>
  <si>
    <t>Groupes consultants</t>
  </si>
  <si>
    <t>AVEC</t>
  </si>
  <si>
    <t>Salle</t>
  </si>
  <si>
    <t>Pause</t>
  </si>
  <si>
    <t>Guide</t>
  </si>
  <si>
    <t>ONG</t>
  </si>
  <si>
    <t>Kit</t>
  </si>
  <si>
    <t>Bénéficiaire</t>
  </si>
  <si>
    <t>IMF</t>
  </si>
  <si>
    <t>Impression</t>
  </si>
  <si>
    <t>Tablettes</t>
  </si>
  <si>
    <t>Template_ Summary of the costs of the ASPP Project at Country level</t>
  </si>
  <si>
    <t>Template organization:</t>
  </si>
  <si>
    <t>1 Cost of program administration</t>
  </si>
  <si>
    <t>2 Costs of preparatory activities (communication, awareness, identification of beneficiaries)</t>
  </si>
  <si>
    <t>3 Implementation costs (including training of teams and beneficiaries), measure by measure</t>
  </si>
  <si>
    <r>
      <t>Currency conversion</t>
    </r>
    <r>
      <rPr>
        <sz val="10"/>
        <color theme="1"/>
        <rFont val="Arial"/>
        <family val="2"/>
      </rPr>
      <t xml:space="preserve"> (automatic in gray cells): the exchange rate must be in the format: XX USD / 1 unit of local currency.</t>
    </r>
  </si>
  <si>
    <t>Number of beneficiaries</t>
  </si>
  <si>
    <t>FILL</t>
  </si>
  <si>
    <t>Complete package</t>
  </si>
  <si>
    <t>Capital Package</t>
  </si>
  <si>
    <t>Social package</t>
  </si>
  <si>
    <t>Program administration</t>
  </si>
  <si>
    <t>Costs associated with the administration of the program: cost of people who worked on the entire intervention, management costs of service providers who took charge of several elements of the package (social workers in Senegal, NGOs in Mauritania, Trickle Up at BF), equipment used for all components of the production program</t>
  </si>
  <si>
    <t>Excludes costs of targeting, M&amp;E, impact assessment</t>
  </si>
  <si>
    <t>COST ITEM</t>
  </si>
  <si>
    <t>Unit</t>
  </si>
  <si>
    <t>Unit cost (local)</t>
  </si>
  <si>
    <t>Unit Cost (USD)</t>
  </si>
  <si>
    <t># of Units</t>
  </si>
  <si>
    <t>Total cost (local)</t>
  </si>
  <si>
    <t>Total cost (USD)</t>
  </si>
  <si>
    <t>Notes (Describe the employee's main missions)</t>
  </si>
  <si>
    <t>Field agents</t>
  </si>
  <si>
    <t>Regional accountants</t>
  </si>
  <si>
    <t>Regional monitoring and evaluation managers</t>
  </si>
  <si>
    <t>Regional coordinators</t>
  </si>
  <si>
    <t>Senior Accountant</t>
  </si>
  <si>
    <t>Financial and Administrative Manager</t>
  </si>
  <si>
    <t>Statistician</t>
  </si>
  <si>
    <t>Responsible for cash transfers</t>
  </si>
  <si>
    <t>National monitoring and evaluation manager</t>
  </si>
  <si>
    <t>National Coordinator</t>
  </si>
  <si>
    <t>Salaries and wages</t>
  </si>
  <si>
    <t>BM support</t>
  </si>
  <si>
    <t>Individual 2</t>
  </si>
  <si>
    <t>Individual 1</t>
  </si>
  <si>
    <t>Public Admin support, DGPSN (except IDA / TF donation)</t>
  </si>
  <si>
    <r>
      <rPr>
        <b/>
        <sz val="11"/>
        <color theme="1"/>
        <rFont val="Calibri"/>
        <family val="2"/>
        <scheme val="minor"/>
      </rPr>
      <t>Management team</t>
    </r>
    <r>
      <rPr>
        <sz val="11"/>
        <color theme="1"/>
        <rFont val="Calibri"/>
        <family val="2"/>
        <scheme val="minor"/>
      </rPr>
      <t xml:space="preserve"> (10% of the salary of staff involved in productive support during the 18 months of implementation)</t>
    </r>
  </si>
  <si>
    <t>Subtotal:</t>
  </si>
  <si>
    <t>Provider 4</t>
  </si>
  <si>
    <t>Provider 3</t>
  </si>
  <si>
    <t>Provider 2</t>
  </si>
  <si>
    <t>Provider 1</t>
  </si>
  <si>
    <t>Management fees for service providers</t>
  </si>
  <si>
    <t>Tablets</t>
  </si>
  <si>
    <t>Operation (water, electricity, internet, supplies, vehicle and motorcycle maintenance, etc.)</t>
  </si>
  <si>
    <t>Office rental</t>
  </si>
  <si>
    <t>Material and equipment</t>
  </si>
  <si>
    <t>month</t>
  </si>
  <si>
    <t xml:space="preserve">Additional costs may be incurred to target, identify and raise awareness of the beneficiaries of the productive package. DOES NOT INCLUDE the targeting of the social net program, NI costs directly related to impact assessment (lotteries etc). </t>
  </si>
  <si>
    <t>Identification and registration of beneficiaries</t>
  </si>
  <si>
    <t>Training of field agents</t>
  </si>
  <si>
    <t>Room rental</t>
  </si>
  <si>
    <t>Transport fuel</t>
  </si>
  <si>
    <t>Housing</t>
  </si>
  <si>
    <t>Identification of beneficiaries in the field</t>
  </si>
  <si>
    <t># days</t>
  </si>
  <si>
    <t>Total cost</t>
  </si>
  <si>
    <t>Unit cost</t>
  </si>
  <si>
    <t>Costs of training groups of beneficiaries during village/neighbourhood assemblies - possible clean-ups/reassignments of beneficiary lists</t>
  </si>
  <si>
    <t>Training of field agents in charge of information and group formation</t>
  </si>
  <si>
    <t>Gratification of Cachs</t>
  </si>
  <si>
    <t>Equipment</t>
  </si>
  <si>
    <t>Restoration</t>
  </si>
  <si>
    <t>Facilitators' salaries / wages</t>
  </si>
  <si>
    <t>The activity is carried out by field agents as part of the exercise of their functions so no additional cost</t>
  </si>
  <si>
    <t>Includes coaching and group coaching and individual coaching sessions. Does not include the accompaniment provided as part of the other measures.
Coaching retraining related to market access modules is in measure 7.</t>
  </si>
  <si>
    <t>Coach training</t>
  </si>
  <si>
    <t>Coach salaries / wages</t>
  </si>
  <si>
    <t>Equipment (coaching sheets, consumables)</t>
  </si>
  <si>
    <t>Community awareness of social aspirations and norms</t>
  </si>
  <si>
    <t>Facilitator training and upstream preparation</t>
  </si>
  <si>
    <t>Material (purchase of projection material, other equipment)</t>
  </si>
  <si>
    <t>Facilitation of sessions with beneficiaries</t>
  </si>
  <si>
    <t>Transport (vehicle rental, fuel)</t>
  </si>
  <si>
    <t>Management fees</t>
  </si>
  <si>
    <t>AVEC (Savings Groups)</t>
  </si>
  <si>
    <t>COST POST</t>
  </si>
  <si>
    <t>Facilitation of savings groups</t>
  </si>
  <si>
    <t>Materials (cases, notebooks and other materials WITH)</t>
  </si>
  <si>
    <t>Life Skills Workshops (ACV)</t>
  </si>
  <si>
    <t>POST COST</t>
  </si>
  <si>
    <t>Training of LCA trainers</t>
  </si>
  <si>
    <t>Impressions (LCA trainer guide)</t>
  </si>
  <si>
    <t>Beneficiary training</t>
  </si>
  <si>
    <t>Salaries / salaries of trainers</t>
  </si>
  <si>
    <t>Training of trainers Germ</t>
  </si>
  <si>
    <t>Impressions (Germe trainer guide)</t>
  </si>
  <si>
    <t>Germ Training</t>
  </si>
  <si>
    <t>Payment Operator</t>
  </si>
  <si>
    <t>Grant Payment</t>
  </si>
  <si>
    <t>Transferred Capital (subsidy)</t>
  </si>
  <si>
    <t>Training of trainers</t>
  </si>
  <si>
    <t>Coaching gratuity</t>
  </si>
  <si>
    <t>Facilitating market access and information</t>
  </si>
  <si>
    <t>Capital injection</t>
  </si>
  <si>
    <t>Niger</t>
  </si>
  <si>
    <t>Social</t>
  </si>
  <si>
    <t>Capital</t>
  </si>
  <si>
    <t>Joint</t>
  </si>
  <si>
    <t>Follow up round 1</t>
  </si>
  <si>
    <t>Follow up round 2</t>
  </si>
  <si>
    <t>Average Number of Adult equivalents per HH</t>
  </si>
  <si>
    <t>Discount rates</t>
  </si>
  <si>
    <t>Standard rate</t>
  </si>
  <si>
    <t>Discount rate at 7%</t>
  </si>
  <si>
    <t>Discount rate at 10%</t>
  </si>
  <si>
    <t xml:space="preserve">HIDE: Year 1 Gross Consumption Treatment Effect, using 7 % discount rate </t>
  </si>
  <si>
    <t xml:space="preserve">HIDE: Year 1 Gross Consumption Treatment Effect, using 10 % discount rate </t>
  </si>
  <si>
    <t>Includes facilitation of savings groups. Excludes group coaching activities or support activities of AGR that have sometimes taken place on the sidelines of the AVEC sessions.</t>
  </si>
  <si>
    <t>Year</t>
  </si>
  <si>
    <t>Total Benefits at 7%</t>
  </si>
  <si>
    <t>Total Benefits at 10%</t>
  </si>
  <si>
    <t>Year 3 Onward, assuming perpetuity at a 7% dicsount rate</t>
  </si>
  <si>
    <t>Year 3 Onward, assuming perpetuity at a 10% dicsount rate</t>
  </si>
  <si>
    <t>Niger in Perpetuity</t>
  </si>
  <si>
    <t>CPI 2016</t>
  </si>
  <si>
    <t>CPI 2017</t>
  </si>
  <si>
    <t>CPI 2018</t>
  </si>
  <si>
    <t>CPI 2019</t>
  </si>
  <si>
    <t>CPI 2020</t>
  </si>
  <si>
    <t>Inflation Data</t>
  </si>
  <si>
    <t>Niger with Decay of</t>
  </si>
  <si>
    <t>A:</t>
  </si>
  <si>
    <t>B1:</t>
  </si>
  <si>
    <t>B2:</t>
  </si>
  <si>
    <t>B3:</t>
  </si>
  <si>
    <t>C:</t>
  </si>
  <si>
    <t xml:space="preserve">    C:   assuming effects are sustained in perpetuity</t>
  </si>
  <si>
    <t>A: Benefit/Cost Ratio, at discount rate of 7%</t>
  </si>
  <si>
    <t>A: Benefit/Cost Ratio, at discount rate of 10%</t>
  </si>
  <si>
    <t>HIDE: Total Costs, Inflated to Year 2 at 7% annual discount rate</t>
  </si>
  <si>
    <t>HIDE: Total Costs, Inflated to Year 2 at 10% annual discount rate</t>
  </si>
  <si>
    <t>Panel 3: Benefit/Cost Ratios</t>
  </si>
  <si>
    <t>HIDE--FROM STATA Year 1 Gross Consumption Treatment Effect (2016 USD PPP/day/adult eq.)</t>
  </si>
  <si>
    <t>HIDE--FROM STATA Year 2 Gross Consumption Treatment Effect (2016 USD PPP/day/adult eq.)</t>
  </si>
  <si>
    <t>-</t>
  </si>
  <si>
    <t>XOF 2020</t>
  </si>
  <si>
    <t>Total costs, inflated to year 2 at 5% annual discount rate</t>
  </si>
  <si>
    <t>Total costs, calculated as if all incurred immediately at beginning of year 0</t>
  </si>
  <si>
    <t xml:space="preserve">    Program administration</t>
  </si>
  <si>
    <t xml:space="preserve">    Identification, Communication</t>
  </si>
  <si>
    <t xml:space="preserve">    Measure 0. Group formation</t>
  </si>
  <si>
    <t xml:space="preserve">    Measure 1. Coaching</t>
  </si>
  <si>
    <t xml:space="preserve">    Measure 2. Community sensitization on aspirations and social norms </t>
  </si>
  <si>
    <t xml:space="preserve">    Measure 3. Facilitation of community savings and loan groups</t>
  </si>
  <si>
    <t xml:space="preserve">    Measure 4. Life-skills training</t>
  </si>
  <si>
    <t xml:space="preserve">    Measure 5. Micro-entrepreneurship training</t>
  </si>
  <si>
    <t xml:space="preserve">    Measure 6. Cash grants</t>
  </si>
  <si>
    <t xml:space="preserve">    Measure 7. Facilitation of market and information access</t>
  </si>
  <si>
    <t>HIDE: Total Benefits at 7%</t>
  </si>
  <si>
    <t>HIDE: Total Benefits at 10%</t>
  </si>
  <si>
    <t>HIDE: C: Benefit/Cost Ratio, at discount rate of 7%</t>
  </si>
  <si>
    <t>HIDE: C: Benefit/Cost Ratio, at discount rate of 10%</t>
  </si>
  <si>
    <t>A</t>
  </si>
  <si>
    <t>A: Total Benefits/Total Costs Ratio: (6) / (1) = (9) at 5% discount rate</t>
  </si>
  <si>
    <t>Panel 1: Program costs per beneficiary, USD PPP 2016</t>
  </si>
  <si>
    <t>HIDE: Year 1 Gross Consumption Treatment Effect (2016 USD PPP/year/HH)</t>
  </si>
  <si>
    <t>Full</t>
  </si>
  <si>
    <t xml:space="preserve">  Administration du programme</t>
  </si>
  <si>
    <t xml:space="preserve">    Mesure 0. Formation de groupes</t>
  </si>
  <si>
    <t xml:space="preserve">    Mesure 3. Facilitation des groupes d'épargne et de crédit communautaires</t>
  </si>
  <si>
    <t xml:space="preserve">    Mesure 5. Formation au micro-entreprenariat</t>
  </si>
  <si>
    <t xml:space="preserve">    Mesure 6. Subventions en espèces</t>
  </si>
  <si>
    <t xml:space="preserve">    Mesure 7. Facilitation de l'accès au marché et à l'information</t>
  </si>
  <si>
    <t>Coûts totaux, calculés comme s'ils avaient tous été engagés immédiatement au début de l'année 0</t>
  </si>
  <si>
    <t xml:space="preserve">Effet du traitement sur la consommation brute à l'année 1 à un taux d'actualisation de 5% </t>
  </si>
  <si>
    <t xml:space="preserve">Effet du traitement sur la consommation brute à l'année 2 </t>
  </si>
  <si>
    <t>C: Bénéfices totaux: 0.5*(2) + (3) + (5) = (8) à un taux d'actualisation de 5%, en supposant que les gains de l'année 2 persistent à perpétuité</t>
  </si>
  <si>
    <t>A: Ratio Bénéfices/Coûts: (6) / (1) = (9) à un taux d'actualisation de 5%</t>
  </si>
  <si>
    <t>A: Ratio Bénéfices/Coûts, à un taux d'actualisation de 7%</t>
  </si>
  <si>
    <t>A: Ratio Bénéfices/Coûts, à un taux d'actualisation de 10%</t>
  </si>
  <si>
    <t>C: Ratio Bénéfices/Coûts: (8) / (1) = (11) à un taux d'actualisation de 5%, en supposant que les gains de l'année 2 persistent à perpétuité</t>
  </si>
  <si>
    <t xml:space="preserve">    B1: en supposant un taux de décroissance annuelle de 75%</t>
  </si>
  <si>
    <t xml:space="preserve">    C:   en supposant que les effets soient maintenus à perpétuité</t>
  </si>
  <si>
    <t xml:space="preserve">    B2: en supposant un taux de décroissance annuelle de 50%</t>
  </si>
  <si>
    <t xml:space="preserve">    B3: en supposant un taux de décroissance annuelle de 25%</t>
  </si>
  <si>
    <t>HIDE--FROM STATA Year 1 Gross Consumption Treatment Effect (2016 FCFA/day/adult eq.)</t>
  </si>
  <si>
    <t>HIDE--FROM STATA Year 2 Gross Consumption Treatment Effect (2016 FCFA/day/adult eq.)</t>
  </si>
  <si>
    <t>FCFA</t>
  </si>
  <si>
    <t>Panel 1: Coûts du programme par bénéficiaire, 1000 FCFA 2016</t>
  </si>
  <si>
    <t xml:space="preserve">    B1 : en supposant une décroissance de 75%</t>
  </si>
  <si>
    <t xml:space="preserve">    B1 : en supposant une décroissance de 50%</t>
  </si>
  <si>
    <t xml:space="preserve">    B1 : en supposant une décroissance de 25%</t>
  </si>
  <si>
    <t xml:space="preserve">    B1 : et un taux de décroissance à 75%</t>
  </si>
  <si>
    <t>Bénéfices totaux: 0.5*(2) + (3) + (4) = (7) à un taux d'actualisation de 5%</t>
  </si>
  <si>
    <t xml:space="preserve">    B2 : et un taux de décroissance à 50%</t>
  </si>
  <si>
    <t xml:space="preserve">    B3 : et un taux de décroissance à 25% </t>
  </si>
  <si>
    <t xml:space="preserve">    B1 : et un taux de décroissance de 75%</t>
  </si>
  <si>
    <t xml:space="preserve">Ratio Bénéfices/Coûts: (7) / (1) = (10), à un taux d'actualisation de 5% </t>
  </si>
  <si>
    <t xml:space="preserve">    B2 : et un taux de décroissance de 50%</t>
  </si>
  <si>
    <t xml:space="preserve">    B3 : et un taux de décroissance de 25%</t>
  </si>
  <si>
    <t xml:space="preserve">    A:   en supposant un taux de décroissance de 100% après l'année 2</t>
  </si>
  <si>
    <t>Notes : Nous utilisons des estimations de consommation winsorisées à 98% dans le calcul des bénéfices. Notez que dans les lignes 6, 7 et 8, nous réduisons de moitié les bénéfices de la consommation au cours de la première année puisque nous mesurons ces bénéfices 6 mois après l'intervention en moyenne. La consommation comprend les dépenses en biens durables et non durables. Tous les montants monétaires sont indiqués en FCFA, déflatés aux prix de 2016 en utilisant l'IPC publié par la Banque mondiale.</t>
  </si>
  <si>
    <t>Nominal (2018)</t>
  </si>
  <si>
    <t>Real (2016)</t>
  </si>
  <si>
    <t>CPI 2016/2018</t>
  </si>
  <si>
    <t>(3) = (1)*(2)</t>
  </si>
  <si>
    <t>Psychosocial</t>
  </si>
  <si>
    <t>Real Internal Rate of Return (IRR)</t>
  </si>
  <si>
    <t>FCFA/capita</t>
  </si>
  <si>
    <t>HIDE--FROM STATA Year 1 Gross Consumption TE (2016 USD PPP/month/HH)</t>
  </si>
  <si>
    <t>HIDE--FROM STATA Year 2 Gross Consumption TE (2016 USD PPP/month/HH)</t>
  </si>
  <si>
    <t>year</t>
  </si>
  <si>
    <t>Assume FU1 monthly benefits for months 1 - 6</t>
  </si>
  <si>
    <t>Assume linear growth between FU1 and FU2 monthly benefits</t>
  </si>
  <si>
    <t>Copied</t>
  </si>
  <si>
    <t>Interpolated</t>
  </si>
  <si>
    <t>Assume FU2 monthly benefits for month 18</t>
  </si>
  <si>
    <t xml:space="preserve">Costs </t>
  </si>
  <si>
    <t>NPV at year 2 (5% discount rate)</t>
  </si>
  <si>
    <t>Benefits</t>
  </si>
  <si>
    <t>B/C</t>
  </si>
  <si>
    <t>Cash Flow (2016 USD PPP)</t>
  </si>
  <si>
    <t>sum</t>
  </si>
  <si>
    <t>Strongest assumptions: approach 3
(DON'T interpolate &amp; NPV w/n yr)</t>
  </si>
  <si>
    <t>Weakest assumptions: approach 2 
(lin. interpolation &amp; SUM w/n yr)</t>
  </si>
  <si>
    <t>by1</t>
  </si>
  <si>
    <t>by2</t>
  </si>
  <si>
    <t>NPV at year 1.5 (5% discount rate)</t>
  </si>
  <si>
    <t>Do we like this?</t>
  </si>
  <si>
    <t>HIDE: Year 3 Onward, assuming perpetuity at a 7% dicsount rate</t>
  </si>
  <si>
    <t>HIDE: Year 3 Onward, assuming perpetuity at a 10% dicsount rate</t>
  </si>
  <si>
    <t>Using interpolated monthly benefits for TE at year 2</t>
  </si>
  <si>
    <t>Using interpolated monthly benefits for TE at years 1 and 2</t>
  </si>
  <si>
    <t>(2) yr 1</t>
  </si>
  <si>
    <t>(3) yr 2</t>
  </si>
  <si>
    <t>(4) dissip</t>
  </si>
  <si>
    <t>(1) cost</t>
  </si>
  <si>
    <t>(7) tot benef</t>
  </si>
  <si>
    <t>(10) B/C</t>
  </si>
  <si>
    <t>Dissipation rate fo B/C == 1</t>
  </si>
  <si>
    <t>pooled</t>
  </si>
  <si>
    <t>Cummulative</t>
  </si>
  <si>
    <t>ratios</t>
  </si>
  <si>
    <t>Payback periods</t>
  </si>
  <si>
    <t xml:space="preserve">Year 2 Gross Consumption Treatment Effect (linear growth for months 7-18) </t>
  </si>
  <si>
    <t xml:space="preserve">Year 1 Gross Consumption Treatment Effect (constant for months 1-6) </t>
  </si>
  <si>
    <t xml:space="preserve">HIDE: Year 1 Gross Consumption TE (constant for months 1-6), using 7 % discount rate </t>
  </si>
  <si>
    <t xml:space="preserve">HIDE: Year 1 Gross Consumption TE (constant for months 1-6), using 10 % discount rate </t>
  </si>
  <si>
    <t>Panel 2: Benefits per Household, USD PPP 2016, All Values Inflated to Year 2 at 5% annual social discount rate</t>
  </si>
  <si>
    <t xml:space="preserve">HIDE: Year 2 Gross Consumption TE (linear growth for months 7-18), using 7% discount rate </t>
  </si>
  <si>
    <t xml:space="preserve">HIDE: Year 2 Gross Consumption TE (linear growth for months 7-18), using 10% discount rate </t>
  </si>
  <si>
    <t>B1: Total Benefits: (2) + (3) + (4) = (7) 5% discount rate, 75% annual dissipation</t>
  </si>
  <si>
    <t>B2: Total Benefits using 5% discount rate, 50% annual dissipation</t>
  </si>
  <si>
    <t>B3: Total Benefits using 5% discount rate, 25% annual dissipation</t>
  </si>
  <si>
    <t>B1: Total Benefits/Total Costs: (7) / (1) = (10), 5% discount, 75% annual dissipation</t>
  </si>
  <si>
    <t>B2: Benefit/Cost Ratio using 5% discount rate, 50% annual dissipation</t>
  </si>
  <si>
    <t>B3: Benefit/Cost Ratio using 5% discount rate, 25% annual dissipation</t>
  </si>
  <si>
    <t>B1: Year 3 Onward Gross Consumption Treatment Effect, assuming dissipation of 75%</t>
  </si>
  <si>
    <t>B2: Year 3 Onward Gross Consumption Treatment Effect, assuming dissipation of 50%</t>
  </si>
  <si>
    <t>B3: Year 3 Onward Gross Consumption Treatment Effect, assuming dissipation of 25%</t>
  </si>
  <si>
    <t xml:space="preserve">    A:   assuming dissipation of 100% after year 2, at 5% discount rate</t>
  </si>
  <si>
    <t xml:space="preserve">    B1: assuming annual dissipation of 75%</t>
  </si>
  <si>
    <t xml:space="preserve">    B2: assuming annual dissipation of 50%</t>
  </si>
  <si>
    <t xml:space="preserve">    B3: assuming annual dissipation of 25%</t>
  </si>
  <si>
    <t>C: Total Benefits: (2) + (3) + (5) = (8) using 5% discount rate,
    assuming year 2 gains persist in perpetuity</t>
  </si>
  <si>
    <t>C: Year 3 Onward Gross Consumption Treatment Effect, 
    assuming year 2 gains persist in perpetuity</t>
  </si>
  <si>
    <t>C: Total Benefits/Total Costs Ratio: (8) / (1) = (11) using 5% discount rate,
    assuming year 2 gains persist in perpetuity</t>
  </si>
  <si>
    <t>A: Total Benefits/Total Costs Ratio: 95% confidence interval</t>
  </si>
  <si>
    <t>Control</t>
  </si>
  <si>
    <t>Pooled</t>
  </si>
  <si>
    <t>Notes: We use 98% winsorized consumption estimates in our benefits calculation. Note that we measure benefits 6 months after the intervention on average in year 1 and 18 months on average in year 2. All monetary amounts are PPP-adjusted USD terms, set at 2016 prices and deflated using CPI published by the World Bank. In 2016, 1 USD = 242.553 XOF PPP. We assume linear growth of impacts by month between year 1 and 2.</t>
  </si>
  <si>
    <t>A: Total Benefits: (2) + (3) = (6) using 5%, no impact after year 2</t>
  </si>
  <si>
    <t>deflation</t>
  </si>
  <si>
    <t>United States</t>
  </si>
  <si>
    <t>PPP LCU/USD</t>
  </si>
  <si>
    <t>Not used</t>
  </si>
  <si>
    <t>PPP Exchange Rate</t>
  </si>
  <si>
    <t>New approach for table 17
(lin. interpolation &amp; NPV w/n yr)</t>
  </si>
  <si>
    <t>New approach
(lin. interpolation &amp; NPV w/n yr)</t>
  </si>
  <si>
    <t>Old kink approach  (t14)
(DON'T interpolate &amp; SUM w/n yr)</t>
  </si>
  <si>
    <t>A: Bénéfices totaux: 0.5*(2) + (3) = (6) à un taux d'actualisation de 5%, aucun impact après l'année 2</t>
  </si>
  <si>
    <t>Dissptn rt</t>
  </si>
  <si>
    <t>already&gt;1</t>
  </si>
  <si>
    <t>all in year 2 NPV</t>
  </si>
  <si>
    <t>table 14</t>
  </si>
  <si>
    <t>table a17</t>
  </si>
  <si>
    <t>don't use NPV in given year because adding them up instead of calculating NPV or IRR</t>
  </si>
  <si>
    <t>Panel 3 : Ratios bénéfices-coûts</t>
  </si>
  <si>
    <t>Complet</t>
  </si>
  <si>
    <t xml:space="preserve">    Mesure 1. Coaching</t>
  </si>
  <si>
    <t xml:space="preserve">    Mesure 2. Sensibilisation communautaire aux aspirations et aux normes sociales </t>
  </si>
  <si>
    <t xml:space="preserve">    Mesure 4. Formation aux compétences de vie</t>
  </si>
  <si>
    <t>Coûts totaux, calculés à l'année 2 avec un taux d'actualisation annuel de 5</t>
  </si>
  <si>
    <t>Panel 2 : Bénéfices par ménage, 1000 FCFA 2016, toutes valeurs calculées à l'année 2 à un taux d'actualisation social annuel de 5%.</t>
  </si>
  <si>
    <t>Effet du traitement sur la consommation brute ultérieure à l'année 3</t>
  </si>
  <si>
    <t>C: Effet du traitement sur la consommation brute ultérieure à l'année 3, en supposant que les gains de l'année 2 persistent à perpétuité</t>
  </si>
  <si>
    <t>grant</t>
  </si>
  <si>
    <t>Representative rates for the period  January 01, 2016 - January 01, 2021</t>
  </si>
  <si>
    <t>Date</t>
  </si>
  <si>
    <t xml:space="preserve">Euro   (EUR)                     </t>
  </si>
  <si>
    <t>USER SELECTIONS</t>
  </si>
  <si>
    <t>EXCHANGE RATE TYPE</t>
  </si>
  <si>
    <t>Representative rates</t>
  </si>
  <si>
    <t>FROM DATE</t>
  </si>
  <si>
    <t>January 01, 2016</t>
  </si>
  <si>
    <t>TO DATE</t>
  </si>
  <si>
    <t>January 01, 2021</t>
  </si>
  <si>
    <t>CURRENCIES</t>
  </si>
  <si>
    <t>Euro</t>
  </si>
  <si>
    <t xml:space="preserve">               Disclaimer             </t>
  </si>
  <si>
    <t xml:space="preserve">               The International Monetary Fund makes no warranties, express or             </t>
  </si>
  <si>
    <t xml:space="preserve">               implied, regarding these tables or the performance of this site.             </t>
  </si>
  <si>
    <t xml:space="preserve">               The Fund shall not be liable for any losses or damages incurred              </t>
  </si>
  <si>
    <t xml:space="preserve">               in connection with this site.             </t>
  </si>
  <si>
    <t>Source: https://www.imf.org/external/np/fin/ert/GUI/Pages/CountryDataBase.aspx</t>
  </si>
  <si>
    <t>IMF Exchange Rates - Country Database</t>
  </si>
  <si>
    <t>https://www.diplomatie.gouv.fr/en/country-files/africa/franc-zone/</t>
  </si>
  <si>
    <t>Currency</t>
  </si>
  <si>
    <t>FCFA/Euro (peg)</t>
  </si>
  <si>
    <t>IMF representative rates</t>
  </si>
  <si>
    <t>benefs</t>
  </si>
  <si>
    <t>total grants</t>
  </si>
  <si>
    <t>op</t>
  </si>
  <si>
    <t>total with op</t>
  </si>
  <si>
    <t>total per benef</t>
  </si>
  <si>
    <t>FCFA 2018</t>
  </si>
  <si>
    <t>FCFA 2016</t>
  </si>
  <si>
    <t>Panel 2: Benefits per household, USD PPP 2016, all values inflated to year 2 at 5% annual social discount rate</t>
  </si>
  <si>
    <t xml:space="preserve">Year 1 gross consumption treatment effect, using 5% discount rate </t>
  </si>
  <si>
    <t>Year 2 gross consumption treatment effect</t>
  </si>
  <si>
    <t>B1: Year 3 onward gross consumption treatment effect, assuming dissipation of 75%</t>
  </si>
  <si>
    <t>B2: Year 3 onward gross consumption treatment effect, assuming dissipation of 50%</t>
  </si>
  <si>
    <t>B3: Year 3 onward gross consumption treatment effect, assuming dissipation of 25%</t>
  </si>
  <si>
    <t>C: Year 3 onward gross consumption treatment effect, 
    assuming year 2 gains persist in perpetuity</t>
  </si>
  <si>
    <t>A: Total benefits: 0.5*(2) + (3) = (6) using 5%, no impact after year 2</t>
  </si>
  <si>
    <t>B1: Total benefits: 0.5*(2) + (3) + (4) = (7) 5% discount rate, 75% annual dissipation</t>
  </si>
  <si>
    <t>B2: Total benefits using 5% discount rate, 50% annual dissipation</t>
  </si>
  <si>
    <t>B3: Total benefits using 5% discount rate, 25% annual dissipation</t>
  </si>
  <si>
    <t>C: Total benefits: 0.5*(2) + (3) + (5) = (8) using 5% discount rate,
    assuming year 2 gains persist in perpetuity</t>
  </si>
  <si>
    <t>Panel 3: Benefit/cost ratios</t>
  </si>
  <si>
    <t>A: Total benefits/total costs ratio: (6) / (1) = (9) at 5% discount rate</t>
  </si>
  <si>
    <t>A: Benefit/cost ratio, at discount rate of 7%</t>
  </si>
  <si>
    <t>A: Benefit/cost ratio, at discount rate of 10%</t>
  </si>
  <si>
    <t>B1: Total Benefits/Total costs: (7) / (1) = (10), 5% discount, 75% annual dissipation</t>
  </si>
  <si>
    <t>B2: Benefit/cost ratio using 5% discount rate, 50% annual dissipation</t>
  </si>
  <si>
    <t>B3: Benefit/cost ratio using 5% discount rate, 25% annual dissipation</t>
  </si>
  <si>
    <t>C: Total benefits/total costs ratio: (8) / (1) = (11) using 5% discount rate,
    assuming year 2 gains persist in perpetuity</t>
  </si>
  <si>
    <t>Real internal rate of return (IRR)</t>
  </si>
  <si>
    <t xml:space="preserve">    B1: Assuming annual dissipation of 75%</t>
  </si>
  <si>
    <t xml:space="preserve">    B2: Assuming annual dissipation of 50%</t>
  </si>
  <si>
    <t xml:space="preserve">    B3: Assuming annual dissipation of 25%</t>
  </si>
  <si>
    <t xml:space="preserve">    C:   Assuming effects are sustained in perpetuity</t>
  </si>
  <si>
    <t xml:space="preserve">Year 1 gross consumption treatment effect (linear growth for months 1-6) </t>
  </si>
  <si>
    <t xml:space="preserve">Year 2 gross consumption treatment effect (linear growth for months 7-18) </t>
  </si>
  <si>
    <t>B1: Year 3 onward gross consumption treatment effect, assumed dissipation of 75%</t>
  </si>
  <si>
    <t>B2: Year 3 onward gross consumption treatment effect, assumed dissipation of 50%</t>
  </si>
  <si>
    <t>B3: Year 3 onward gross consumption treatment effect, assumed dissipation of 25%</t>
  </si>
  <si>
    <t>A: Total benefits: (2) + (3) = (6) using 5%, no impact after year 2</t>
  </si>
  <si>
    <t>B1: Total benefits: (2) + (3) + (4) = (7) 5% discount rate, 75% annual dissipation</t>
  </si>
  <si>
    <t>C: Total benefits: (2) + (3) + (5) = (8) using 5% discount rate,
    assuming year 2 gains persist in perpetuity</t>
  </si>
  <si>
    <t xml:space="preserve">    A:   Assuming dissipation of 100% after year 2</t>
  </si>
  <si>
    <t>Internal rate of return (IRR)</t>
  </si>
  <si>
    <t>Taux de Rendement Interne (TRI)</t>
  </si>
  <si>
    <t>updated 11/5/2021</t>
  </si>
  <si>
    <t>Notes: We use 98% winsorized consumption estimates in our benefits calculation. Note that in rows 6, 7, and 8 we halve consumption benefits in year 1 since we measure these benefits 6 months after the intervention on average. We assume yearly impacts post-intervention. All monetary amounts are PPP-adjusted USD terms, set at 2016 prices and deflated using CPI published by the World Bank. In 2016, 1 USD = 242.553 XOF PPP. In nominal terms, in 2016, 1 US dollar = 592.445 XOF. We consider the costs to be incurred in 2018, with an inflation rate of 5.85%. Hence 10,000 XOF in 2018 = 10000 / (592.4 * 1.0585) = $15.95 in 2016.</t>
  </si>
  <si>
    <t>Notes: We use 98% winsorized consumption estimates in our benefits calculation. Note that we measure benefits 6 months after the intervention on average in year 1 and 18 months on average in year 2. All monetary amounts are PPP-adjusted USD terms, set at 2016 prices and deflated using CPI published by the World Bank. In 2016, 1 USD = 242.553 XOF PPP. We assume linear growth of impacts by month post-intervention. In nominal terms, in 2016, 1 US dollar = 592.445 XOF. We consider the costs to be incurred in 2018, with an inflation rate of 5.85%. Hence 10,000 XOF in 2018 = 10000 / (592.4 * 1.0585) = $15.95 in 2016.</t>
  </si>
  <si>
    <t>HIDE--FROM STATA Year 1 Gross Consumption Treatment Effect (2016 USD PPP yearly HH level)</t>
  </si>
  <si>
    <t>HIDE--FROM STATA Year 2 Gross Consumption Treatment Effect (2016 USD PPP yearly HH level)</t>
  </si>
  <si>
    <t>Yearly numbers</t>
  </si>
  <si>
    <t>a</t>
  </si>
  <si>
    <t>irr not done</t>
  </si>
  <si>
    <t>Table X: Costs and Psychosocial Effects</t>
  </si>
  <si>
    <t>Treatment group</t>
  </si>
  <si>
    <t>Year 0 cost per beneficiary</t>
  </si>
  <si>
    <t>DALYs averted, attributable to depression</t>
  </si>
  <si>
    <t>Cost per DALY averted</t>
  </si>
  <si>
    <t>Cost per 0.1 standard deviations</t>
  </si>
  <si>
    <t>No. of depression cases averted</t>
  </si>
  <si>
    <t>Depression (years 1 &amp; 2)</t>
  </si>
  <si>
    <t>Disability Adjusted Life Years (years 1 &amp; 2)</t>
  </si>
  <si>
    <t>Treatment effect in standard deviations</t>
  </si>
  <si>
    <t>Life satisfaction (year 2)</t>
  </si>
  <si>
    <t>Cost per case of depression averted</t>
  </si>
  <si>
    <t>Notes: Depressive symptoms were assessed with the CES-D-10 screening tool (Radloff, 1977) and a score of 13 or more on a 0-30 point scale was considered high risk for depression (Baron, Davies, &amp; Lund, 2017). DALYs are calculated using 0.145 disability weights and assuming depression lasts for 6 months. Life satisfaction is defined using the 1-10 Cantril Scale (Cantril, 1965; Deaton, 2008). We use the benchmark of 0.10 SD given it is the meta-analytic effect of economic interventions on psychological well-being (Romero et al., 2021).</t>
  </si>
  <si>
    <t>Notes: We use 98% winsorized consumption estimates in our benefits calculation. Note that in rows 6, 7, and 8 we halve consumption benefits in year 1 since we measure them 6 months after the intervention on average. We assume yearly impacts post-intervention. We show results assuming linear growth of impacts by month in Supplementary Table SI.27. All monetary amounts are PPP-adjusted USD terms, set at 2016 prices and deflated using Niger CPI published by the World Bank. In 2016, 1 USD = 242.553 XOF PPP. In nominal terms, in 2016, 1 US dollar = 592.445 XOF. We consider the costs to be incurred in 2018, with an inflation rate of 5.85%. Hence 10,000 XOF in 2018 = 10000 / (592.4 * 1.0585) = $15.95 in 2016.</t>
  </si>
  <si>
    <t>Notes: We use 98% winsorized consumption estimates in our benefits calculation. Note that we measure benefits 6 months after the intervention on average in year 1 and 18 months on average in year 2. All monetary amounts are PPP-adjusted USD terms, set at 2016 prices and deflated using Niger CPI published by the World Bank. In 2016, 1 USD = 242.553 XOF PPP. We assume linear growth of impacts by month post-intervention. In nominal terms, in 2016, 1 US dollar = 592.445 XOF. We consider the costs to be incurred in 2018, with an inflation rate of 5.85%. Hence 10,000 XOF in 2018 = 10000 / (592.4 * 1.0585) = $15.95 in 2016.</t>
  </si>
  <si>
    <t>Training and group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</si>
</sst>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0"/>
    <numFmt numFmtId="167" formatCode="_(* #,##0_);_(* \(#,##0\);_(* &quot;-&quot;??_);_(@_)"/>
    <numFmt numFmtId="168" formatCode="0.000"/>
    <numFmt numFmtId="169" formatCode="0.0000"/>
    <numFmt numFmtId="170" formatCode="0.00000"/>
    <numFmt numFmtId="171" formatCode="0.0"/>
    <numFmt numFmtId="172" formatCode="#,##0.0"/>
    <numFmt numFmtId="173" formatCode="0.0%"/>
    <numFmt numFmtId="174" formatCode="0.0000000"/>
    <numFmt numFmtId="175" formatCode="_(* #,##0.0000_);_(* \(#,##0.0000\);_(* &quot;-&quot;??_);_(@_)"/>
    <numFmt numFmtId="176" formatCode="&quot;$&quot;#,##0.0000"/>
    <numFmt numFmtId="177" formatCode="_(* #,##0.000_);_(* \(#,##0.000\);_(* &quot;-&quot;??_);_(@_)"/>
    <numFmt numFmtId="178" formatCode="[$-409]d\-mmm\-yyyy;@"/>
    <numFmt numFmtId="179" formatCode="_(* #,##0.0_);_(* \(#,##0.0\);_(* &quot;-&quot;??_);_(@_)"/>
    <numFmt numFmtId="180" formatCode="_(* #,##0.00000_);_(* \(#,##0.00000\);_(* &quot;-&quot;??_);_(@_)"/>
    <numFmt numFmtId="181" formatCode="_(&quot;$&quot;* #,##0_);_(&quot;$&quot;* \(#,##0\);_(&quot;$&quot;* &quot;-&quot;??_);_(@_)"/>
  </numFmts>
  <fonts count="61">
    <font>
      <sz val="11"/>
      <color theme="1"/>
      <name val="Calibri"/>
      <family val="2"/>
      <scheme val="minor"/>
    </font>
    <font>
      <sz val="10"/>
      <color indexed="8"/>
      <name val="Arial"/>
      <family val="2"/>
    </font>
    <font>
      <sz val="11"/>
      <color theme="1"/>
      <name val="Calibri"/>
      <family val="2"/>
      <scheme val="minor"/>
    </font>
    <font>
      <sz val="10"/>
      <color theme="1"/>
      <name val="Calibri"/>
      <family val="2"/>
    </font>
    <font>
      <b/>
      <sz val="10"/>
      <color theme="1"/>
      <name val="Calibri"/>
      <family val="2"/>
    </font>
    <font>
      <b/>
      <sz val="14"/>
      <color theme="1"/>
      <name val="Calibri"/>
      <family val="2"/>
    </font>
    <font>
      <i/>
      <sz val="10"/>
      <color theme="1"/>
      <name val="Calibri"/>
      <family val="2"/>
    </font>
    <font>
      <sz val="11"/>
      <color theme="1"/>
      <name val="Calibri"/>
      <family val="2"/>
    </font>
    <font>
      <sz val="10"/>
      <color theme="1"/>
      <name val="Calibri"/>
      <family val="2"/>
      <scheme val="minor"/>
    </font>
    <font>
      <b/>
      <sz val="10"/>
      <color theme="1"/>
      <name val="Calibri"/>
      <family val="2"/>
      <scheme val="minor"/>
    </font>
    <font>
      <b/>
      <sz val="14"/>
      <color theme="1"/>
      <name val="Calibri"/>
      <family val="2"/>
      <scheme val="minor"/>
    </font>
    <font>
      <i/>
      <sz val="10"/>
      <color theme="1"/>
      <name val="Calibri"/>
      <family val="2"/>
      <scheme val="minor"/>
    </font>
    <font>
      <b/>
      <sz val="16"/>
      <color theme="1"/>
      <name val="Calibri"/>
      <family val="2"/>
      <scheme val="minor"/>
    </font>
    <font>
      <sz val="18"/>
      <color theme="1"/>
      <name val="Calibri"/>
      <family val="2"/>
    </font>
    <font>
      <sz val="11"/>
      <color theme="1"/>
      <name val="Arial"/>
      <family val="2"/>
    </font>
    <font>
      <sz val="10"/>
      <color theme="1"/>
      <name val="Arial"/>
      <family val="2"/>
    </font>
    <font>
      <b/>
      <sz val="18"/>
      <color theme="1"/>
      <name val="Arial"/>
      <family val="2"/>
    </font>
    <font>
      <b/>
      <sz val="10"/>
      <color theme="1"/>
      <name val="Arial"/>
      <family val="2"/>
    </font>
    <font>
      <b/>
      <sz val="11"/>
      <color theme="1"/>
      <name val="Arial"/>
      <family val="2"/>
    </font>
    <font>
      <sz val="11"/>
      <color rgb="FF000000"/>
      <name val="Calibri"/>
      <family val="2"/>
      <scheme val="minor"/>
    </font>
    <font>
      <i/>
      <sz val="10"/>
      <color theme="1"/>
      <name val="Arial"/>
      <family val="2"/>
    </font>
    <font>
      <sz val="11"/>
      <color rgb="FF000000"/>
      <name val="Arial"/>
      <family val="2"/>
    </font>
    <font>
      <sz val="11"/>
      <color theme="1"/>
      <name val="Times New Roman"/>
      <family val="1"/>
    </font>
    <font>
      <sz val="11"/>
      <color theme="4"/>
      <name val="Times New Roman"/>
      <family val="1"/>
    </font>
    <font>
      <sz val="10"/>
      <color theme="4"/>
      <name val="Calibri"/>
      <family val="2"/>
      <scheme val="minor"/>
    </font>
    <font>
      <sz val="10"/>
      <color rgb="FFFF0000"/>
      <name val="Arial"/>
      <family val="2"/>
    </font>
    <font>
      <b/>
      <sz val="11"/>
      <color theme="1"/>
      <name val="Calibri"/>
      <family val="2"/>
      <scheme val="minor"/>
    </font>
    <font>
      <b/>
      <sz val="11"/>
      <color rgb="FFFF0000"/>
      <name val="Arial"/>
      <family val="2"/>
    </font>
    <font>
      <b/>
      <sz val="11"/>
      <color theme="1"/>
      <name val="Calibri (Corps)"/>
    </font>
    <font>
      <sz val="10"/>
      <color theme="9"/>
      <name val="Calibri (Corps)"/>
    </font>
    <font>
      <sz val="10"/>
      <color theme="9"/>
      <name val="Calibri"/>
      <family val="2"/>
      <scheme val="minor"/>
    </font>
    <font>
      <sz val="11"/>
      <color theme="9"/>
      <name val="Calibri (Corps)"/>
    </font>
    <font>
      <sz val="11"/>
      <color theme="9"/>
      <name val="Calibri"/>
      <family val="2"/>
    </font>
    <font>
      <sz val="11"/>
      <color theme="1"/>
      <name val="Calibri (Corps)"/>
    </font>
    <font>
      <i/>
      <sz val="11"/>
      <color theme="1"/>
      <name val="Calibri"/>
      <family val="2"/>
      <scheme val="minor"/>
    </font>
    <font>
      <b/>
      <u/>
      <sz val="11"/>
      <color theme="1"/>
      <name val="Arial"/>
      <family val="2"/>
    </font>
    <font>
      <b/>
      <u/>
      <sz val="10"/>
      <color theme="1"/>
      <name val="Arial"/>
      <family val="2"/>
    </font>
    <font>
      <b/>
      <sz val="10"/>
      <color theme="0"/>
      <name val="Calibri"/>
      <family val="2"/>
    </font>
    <font>
      <b/>
      <sz val="11"/>
      <color theme="0"/>
      <name val="Calibri"/>
      <family val="2"/>
    </font>
    <font>
      <b/>
      <sz val="10"/>
      <color rgb="FFFF0000"/>
      <name val="Arial"/>
      <family val="2"/>
    </font>
    <font>
      <b/>
      <sz val="11"/>
      <color theme="1"/>
      <name val="Calibri"/>
      <family val="2"/>
    </font>
    <font>
      <i/>
      <sz val="11"/>
      <color theme="1"/>
      <name val="Segoe UI"/>
      <family val="2"/>
    </font>
    <font>
      <b/>
      <sz val="10"/>
      <color theme="1"/>
      <name val="Times New Roman"/>
      <family val="1"/>
    </font>
    <font>
      <sz val="8"/>
      <name val="Calibri"/>
      <family val="2"/>
      <scheme val="minor"/>
    </font>
    <font>
      <sz val="9"/>
      <color theme="1"/>
      <name val="Times New Roman"/>
      <family val="1"/>
    </font>
    <font>
      <b/>
      <sz val="9"/>
      <color theme="1"/>
      <name val="Times New Roman"/>
      <family val="1"/>
    </font>
    <font>
      <sz val="8"/>
      <color theme="0"/>
      <name val="Times New Roman"/>
      <family val="1"/>
    </font>
    <font>
      <sz val="8"/>
      <color theme="1"/>
      <name val="Times New Roman"/>
      <family val="1"/>
    </font>
    <font>
      <sz val="8.5"/>
      <color theme="1"/>
      <name val="Times New Roman"/>
      <family val="1"/>
    </font>
    <font>
      <b/>
      <sz val="8.5"/>
      <color theme="1"/>
      <name val="Times New Roman"/>
      <family val="1"/>
    </font>
    <font>
      <sz val="8.5"/>
      <color theme="0"/>
      <name val="Times New Roman"/>
      <family val="1"/>
    </font>
    <font>
      <sz val="8.5"/>
      <name val="Times New Roman"/>
      <family val="1"/>
    </font>
    <font>
      <sz val="11"/>
      <color rgb="FFFF0000"/>
      <name val="Calibri"/>
      <family val="2"/>
      <scheme val="minor"/>
    </font>
    <font>
      <sz val="9"/>
      <color indexed="81"/>
      <name val="Tahoma"/>
      <family val="2"/>
    </font>
    <font>
      <b/>
      <sz val="9"/>
      <color indexed="81"/>
      <name val="Tahoma"/>
      <family val="2"/>
    </font>
    <font>
      <b/>
      <sz val="10"/>
      <name val="Arial"/>
      <family val="2"/>
    </font>
    <font>
      <sz val="9"/>
      <color theme="1"/>
      <name val="Calibri"/>
      <family val="2"/>
      <scheme val="minor"/>
    </font>
    <font>
      <b/>
      <sz val="9"/>
      <color theme="1"/>
      <name val="Calibri"/>
      <family val="2"/>
      <scheme val="minor"/>
    </font>
    <font>
      <sz val="8.5"/>
      <color theme="1"/>
      <name val="Calibri"/>
      <family val="2"/>
      <scheme val="minor"/>
    </font>
    <font>
      <sz val="8"/>
      <color theme="0"/>
      <name val="Calibri"/>
      <family val="2"/>
      <scheme val="minor"/>
    </font>
    <font>
      <sz val="8"/>
      <color theme="1"/>
      <name val="Calibri"/>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CCCFF"/>
        <bgColor indexed="64"/>
      </patternFill>
    </fill>
  </fills>
  <borders count="30">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auto="1"/>
      </bottom>
      <diagonal/>
    </border>
    <border>
      <left/>
      <right/>
      <top style="double">
        <color auto="1"/>
      </top>
      <bottom/>
      <diagonal/>
    </border>
    <border>
      <left/>
      <right/>
      <top style="double">
        <color indexed="64"/>
      </top>
      <bottom style="thin">
        <color indexed="64"/>
      </bottom>
      <diagonal/>
    </border>
    <border>
      <left/>
      <right style="thin">
        <color indexed="64"/>
      </right>
      <top style="thin">
        <color indexed="64"/>
      </top>
      <bottom/>
      <diagonal/>
    </border>
    <border>
      <left style="thin">
        <color indexed="64"/>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702">
    <xf numFmtId="0" fontId="0" fillId="0" borderId="0" xfId="0"/>
    <xf numFmtId="0" fontId="0" fillId="0" borderId="1" xfId="0" applyFont="1" applyBorder="1"/>
    <xf numFmtId="0" fontId="0" fillId="0" borderId="0" xfId="0" applyFont="1"/>
    <xf numFmtId="0" fontId="0" fillId="0" borderId="1" xfId="0" applyFont="1" applyBorder="1" applyAlignment="1">
      <alignment horizontal="center"/>
    </xf>
    <xf numFmtId="0" fontId="0" fillId="0" borderId="0" xfId="0" applyFont="1" applyAlignment="1">
      <alignment horizontal="center"/>
    </xf>
    <xf numFmtId="0" fontId="0" fillId="0" borderId="0" xfId="0" applyFont="1" applyBorder="1"/>
    <xf numFmtId="0" fontId="3" fillId="0" borderId="0" xfId="0" applyFont="1" applyAlignment="1">
      <alignment vertical="top"/>
    </xf>
    <xf numFmtId="0" fontId="5" fillId="0" borderId="0" xfId="0" applyFont="1" applyAlignment="1">
      <alignment horizontal="center" vertical="top"/>
    </xf>
    <xf numFmtId="0" fontId="3" fillId="0" borderId="0" xfId="0" applyFont="1" applyFill="1" applyAlignment="1">
      <alignment vertical="top"/>
    </xf>
    <xf numFmtId="0" fontId="6" fillId="0" borderId="0" xfId="0" applyFont="1" applyAlignment="1">
      <alignment vertical="top" wrapText="1"/>
    </xf>
    <xf numFmtId="0" fontId="3" fillId="0" borderId="0" xfId="0" applyFont="1" applyAlignment="1">
      <alignment horizontal="center" vertical="top"/>
    </xf>
    <xf numFmtId="0" fontId="3" fillId="0" borderId="1" xfId="0" applyFont="1" applyFill="1" applyBorder="1" applyAlignment="1">
      <alignment vertical="top"/>
    </xf>
    <xf numFmtId="0" fontId="7" fillId="0" borderId="0" xfId="0" applyFont="1" applyAlignment="1">
      <alignment vertical="top"/>
    </xf>
    <xf numFmtId="0" fontId="7" fillId="0" borderId="0" xfId="0" applyFont="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horizontal="center" vertical="top"/>
    </xf>
    <xf numFmtId="0" fontId="7" fillId="0" borderId="0" xfId="0" applyFont="1" applyAlignment="1">
      <alignment vertical="top" wrapText="1"/>
    </xf>
    <xf numFmtId="0" fontId="7" fillId="0" borderId="0" xfId="0" applyFont="1" applyAlignment="1">
      <alignment horizontal="center" vertical="top"/>
    </xf>
    <xf numFmtId="0" fontId="5" fillId="0" borderId="0" xfId="0" applyFont="1" applyAlignment="1">
      <alignment wrapText="1"/>
    </xf>
    <xf numFmtId="0" fontId="3" fillId="0" borderId="0" xfId="0" applyFont="1" applyFill="1" applyAlignment="1">
      <alignment vertical="top" wrapText="1"/>
    </xf>
    <xf numFmtId="0" fontId="3" fillId="0" borderId="1" xfId="0" applyFont="1" applyFill="1" applyBorder="1" applyAlignment="1">
      <alignment vertical="top" wrapText="1"/>
    </xf>
    <xf numFmtId="0" fontId="8" fillId="0" borderId="0" xfId="0" applyFont="1" applyAlignment="1">
      <alignment wrapText="1"/>
    </xf>
    <xf numFmtId="0" fontId="9" fillId="0" borderId="0" xfId="0" applyFont="1" applyAlignment="1">
      <alignment horizontal="center" wrapText="1"/>
    </xf>
    <xf numFmtId="0" fontId="8" fillId="0" borderId="0" xfId="0" applyFont="1" applyBorder="1"/>
    <xf numFmtId="0" fontId="8" fillId="0" borderId="0" xfId="0" applyFont="1"/>
    <xf numFmtId="0" fontId="8" fillId="0" borderId="0" xfId="0" applyFont="1" applyAlignment="1">
      <alignment horizontal="center"/>
    </xf>
    <xf numFmtId="0" fontId="10" fillId="0" borderId="0" xfId="0" applyFont="1" applyAlignment="1">
      <alignment horizontal="center" vertical="top"/>
    </xf>
    <xf numFmtId="0" fontId="10" fillId="0" borderId="0" xfId="0" applyFont="1" applyAlignment="1">
      <alignment vertical="top"/>
    </xf>
    <xf numFmtId="0" fontId="8" fillId="0" borderId="0" xfId="0" applyFont="1" applyFill="1" applyAlignment="1">
      <alignment vertical="top"/>
    </xf>
    <xf numFmtId="0" fontId="8" fillId="0" borderId="0" xfId="0" applyFont="1" applyAlignment="1">
      <alignment vertical="top" wrapText="1"/>
    </xf>
    <xf numFmtId="0" fontId="8" fillId="0" borderId="0" xfId="0" applyFont="1" applyAlignment="1">
      <alignment horizontal="left" vertical="top" wrapText="1" indent="2"/>
    </xf>
    <xf numFmtId="0" fontId="9" fillId="0" borderId="0" xfId="0" applyFont="1" applyAlignment="1">
      <alignment horizontal="center"/>
    </xf>
    <xf numFmtId="0" fontId="9" fillId="0" borderId="0" xfId="0" applyFont="1" applyFill="1" applyAlignment="1">
      <alignment horizontal="center"/>
    </xf>
    <xf numFmtId="0" fontId="8" fillId="0" borderId="0" xfId="0" applyFont="1" applyFill="1"/>
    <xf numFmtId="0" fontId="0" fillId="2" borderId="0" xfId="0" applyFont="1" applyFill="1"/>
    <xf numFmtId="0" fontId="12" fillId="2" borderId="0" xfId="0" applyFont="1" applyFill="1"/>
    <xf numFmtId="0" fontId="0" fillId="2" borderId="0" xfId="0" applyFont="1" applyFill="1" applyBorder="1"/>
    <xf numFmtId="0" fontId="0" fillId="2" borderId="1" xfId="0" applyFont="1" applyFill="1" applyBorder="1"/>
    <xf numFmtId="0" fontId="10" fillId="0" borderId="0" xfId="0" applyFont="1"/>
    <xf numFmtId="0" fontId="11" fillId="0" borderId="0" xfId="0" applyFont="1" applyAlignment="1">
      <alignment wrapText="1"/>
    </xf>
    <xf numFmtId="164" fontId="3" fillId="0" borderId="0" xfId="0" applyNumberFormat="1" applyFont="1" applyAlignment="1">
      <alignment vertical="top"/>
    </xf>
    <xf numFmtId="164" fontId="7" fillId="0" borderId="1" xfId="0" applyNumberFormat="1" applyFont="1" applyBorder="1" applyAlignment="1">
      <alignment vertical="top"/>
    </xf>
    <xf numFmtId="164" fontId="7" fillId="0" borderId="0" xfId="0" applyNumberFormat="1" applyFont="1" applyAlignment="1">
      <alignment vertical="top"/>
    </xf>
    <xf numFmtId="0" fontId="8" fillId="3" borderId="0" xfId="0" applyFont="1" applyFill="1"/>
    <xf numFmtId="0" fontId="8" fillId="3" borderId="0" xfId="0" applyFont="1" applyFill="1" applyBorder="1"/>
    <xf numFmtId="0" fontId="8" fillId="3" borderId="1" xfId="0" applyFont="1" applyFill="1" applyBorder="1"/>
    <xf numFmtId="0" fontId="8" fillId="3" borderId="1" xfId="0" applyFont="1" applyFill="1" applyBorder="1" applyAlignment="1">
      <alignment horizontal="center"/>
    </xf>
    <xf numFmtId="0" fontId="13" fillId="4" borderId="0" xfId="0" applyFont="1" applyFill="1" applyAlignment="1">
      <alignment vertical="top"/>
    </xf>
    <xf numFmtId="0" fontId="13" fillId="4" borderId="0" xfId="0" applyFont="1" applyFill="1" applyAlignment="1">
      <alignment vertical="top" wrapText="1"/>
    </xf>
    <xf numFmtId="0" fontId="13" fillId="4" borderId="0" xfId="0" applyFont="1" applyFill="1" applyAlignment="1">
      <alignment horizontal="center" vertical="top"/>
    </xf>
    <xf numFmtId="0" fontId="13" fillId="4" borderId="0" xfId="0" applyFont="1" applyFill="1" applyBorder="1" applyAlignment="1">
      <alignment vertical="top"/>
    </xf>
    <xf numFmtId="0" fontId="7" fillId="4" borderId="0" xfId="0" applyFont="1" applyFill="1" applyAlignment="1">
      <alignment vertical="top"/>
    </xf>
    <xf numFmtId="0" fontId="7" fillId="4" borderId="0" xfId="0" applyFont="1" applyFill="1" applyAlignment="1">
      <alignment horizontal="center" vertical="top"/>
    </xf>
    <xf numFmtId="0" fontId="7" fillId="4" borderId="0" xfId="0" applyFont="1" applyFill="1" applyAlignment="1">
      <alignment vertical="top" wrapText="1"/>
    </xf>
    <xf numFmtId="0" fontId="7" fillId="4" borderId="0" xfId="0" applyFont="1" applyFill="1" applyBorder="1" applyAlignment="1">
      <alignment vertical="top"/>
    </xf>
    <xf numFmtId="0" fontId="7" fillId="4" borderId="1" xfId="0" applyFont="1" applyFill="1" applyBorder="1" applyAlignment="1">
      <alignment vertical="top"/>
    </xf>
    <xf numFmtId="0" fontId="7" fillId="4" borderId="1" xfId="0" applyFont="1" applyFill="1" applyBorder="1" applyAlignment="1">
      <alignment vertical="top" wrapText="1"/>
    </xf>
    <xf numFmtId="0" fontId="7" fillId="4" borderId="1" xfId="0" applyFont="1" applyFill="1" applyBorder="1" applyAlignment="1">
      <alignment horizontal="center" vertical="top"/>
    </xf>
    <xf numFmtId="0" fontId="0" fillId="0" borderId="0" xfId="0" applyFont="1" applyFill="1" applyBorder="1"/>
    <xf numFmtId="0" fontId="8" fillId="0" borderId="0" xfId="0" applyFont="1" applyFill="1" applyBorder="1"/>
    <xf numFmtId="0" fontId="8" fillId="0" borderId="0" xfId="0" applyFont="1" applyFill="1" applyAlignment="1">
      <alignment wrapText="1"/>
    </xf>
    <xf numFmtId="0" fontId="8" fillId="0" borderId="0" xfId="0" applyFont="1" applyFill="1" applyAlignment="1">
      <alignment horizontal="center"/>
    </xf>
    <xf numFmtId="0" fontId="3" fillId="5" borderId="0" xfId="0" applyFont="1" applyFill="1" applyAlignment="1">
      <alignment horizontal="right" vertical="top" wrapText="1"/>
    </xf>
    <xf numFmtId="0" fontId="3" fillId="5"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horizontal="center" vertical="top"/>
    </xf>
    <xf numFmtId="0" fontId="4" fillId="5" borderId="0" xfId="0" applyFont="1" applyFill="1" applyAlignment="1">
      <alignment horizontal="right" vertical="top" wrapText="1"/>
    </xf>
    <xf numFmtId="0" fontId="7" fillId="5" borderId="0" xfId="0" applyFont="1" applyFill="1" applyAlignment="1">
      <alignment horizontal="center" vertical="top"/>
    </xf>
    <xf numFmtId="0" fontId="7" fillId="5" borderId="0" xfId="0" applyFont="1" applyFill="1" applyAlignment="1">
      <alignment vertical="top"/>
    </xf>
    <xf numFmtId="0" fontId="8" fillId="5" borderId="0" xfId="0" applyFont="1" applyFill="1"/>
    <xf numFmtId="0" fontId="8" fillId="5" borderId="0" xfId="0" applyFont="1" applyFill="1" applyAlignment="1">
      <alignment vertical="top" wrapText="1"/>
    </xf>
    <xf numFmtId="0" fontId="8" fillId="5" borderId="0" xfId="0" applyFont="1" applyFill="1" applyAlignment="1">
      <alignment horizontal="center"/>
    </xf>
    <xf numFmtId="0" fontId="8" fillId="5" borderId="0" xfId="0" applyFont="1" applyFill="1" applyAlignment="1">
      <alignment wrapText="1"/>
    </xf>
    <xf numFmtId="0" fontId="10" fillId="0" borderId="0" xfId="0" applyFont="1" applyFill="1" applyAlignment="1">
      <alignment horizontal="center" vertical="top"/>
    </xf>
    <xf numFmtId="0" fontId="0" fillId="5" borderId="0" xfId="0" applyFont="1" applyFill="1"/>
    <xf numFmtId="0" fontId="7" fillId="0" borderId="0" xfId="0" applyFont="1" applyBorder="1" applyAlignment="1">
      <alignment vertical="top" wrapText="1"/>
    </xf>
    <xf numFmtId="0" fontId="3" fillId="0" borderId="0" xfId="0" applyFont="1" applyFill="1" applyAlignment="1">
      <alignment horizontal="right" vertical="top" wrapText="1"/>
    </xf>
    <xf numFmtId="0" fontId="3" fillId="0" borderId="0" xfId="0" applyFont="1" applyFill="1" applyAlignment="1">
      <alignment horizontal="center" vertical="top"/>
    </xf>
    <xf numFmtId="0" fontId="7" fillId="0" borderId="0" xfId="0" applyFont="1" applyFill="1" applyBorder="1" applyAlignment="1">
      <alignment vertical="top"/>
    </xf>
    <xf numFmtId="0" fontId="3" fillId="0" borderId="1" xfId="0" applyFont="1" applyFill="1" applyBorder="1" applyAlignment="1">
      <alignment horizontal="right" vertical="top" wrapText="1"/>
    </xf>
    <xf numFmtId="0" fontId="3" fillId="0" borderId="1" xfId="0" applyFont="1" applyFill="1" applyBorder="1" applyAlignment="1">
      <alignment horizontal="center" vertical="top"/>
    </xf>
    <xf numFmtId="0" fontId="3" fillId="0" borderId="0" xfId="0" applyFont="1" applyBorder="1" applyAlignment="1">
      <alignment vertical="top"/>
    </xf>
    <xf numFmtId="0" fontId="3" fillId="0" borderId="0" xfId="0" applyFont="1" applyFill="1" applyBorder="1" applyAlignment="1">
      <alignment vertical="top"/>
    </xf>
    <xf numFmtId="0" fontId="8" fillId="0" borderId="0" xfId="0" applyFont="1" applyFill="1" applyBorder="1" applyAlignment="1">
      <alignment vertical="top"/>
    </xf>
    <xf numFmtId="0" fontId="10" fillId="0" borderId="0" xfId="0" applyFont="1" applyAlignment="1">
      <alignment horizontal="right" vertical="center"/>
    </xf>
    <xf numFmtId="0" fontId="10" fillId="0" borderId="0" xfId="0" applyFont="1" applyFill="1" applyAlignment="1">
      <alignment vertical="top"/>
    </xf>
    <xf numFmtId="0" fontId="8" fillId="0" borderId="0" xfId="0" applyFont="1" applyFill="1" applyAlignment="1">
      <alignment vertical="top" wrapText="1"/>
    </xf>
    <xf numFmtId="0" fontId="8" fillId="0" borderId="0" xfId="0" applyFont="1" applyFill="1" applyAlignment="1">
      <alignment horizontal="center" vertical="top"/>
    </xf>
    <xf numFmtId="164" fontId="8" fillId="0" borderId="0" xfId="0" applyNumberFormat="1" applyFont="1" applyFill="1"/>
    <xf numFmtId="0" fontId="8" fillId="5" borderId="0" xfId="0" applyFont="1" applyFill="1" applyAlignment="1">
      <alignment vertical="top"/>
    </xf>
    <xf numFmtId="0" fontId="8" fillId="5" borderId="0" xfId="0" applyFont="1" applyFill="1" applyAlignment="1">
      <alignment horizontal="center" vertical="top"/>
    </xf>
    <xf numFmtId="0" fontId="14" fillId="6" borderId="1" xfId="0" applyFont="1" applyFill="1" applyBorder="1"/>
    <xf numFmtId="0" fontId="15"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Border="1" applyAlignment="1">
      <alignment vertical="center"/>
    </xf>
    <xf numFmtId="0" fontId="14" fillId="6" borderId="0" xfId="0" applyFont="1" applyFill="1" applyBorder="1"/>
    <xf numFmtId="0" fontId="16" fillId="6" borderId="0" xfId="0" applyFont="1" applyFill="1" applyBorder="1" applyAlignment="1"/>
    <xf numFmtId="0" fontId="14" fillId="0" borderId="0" xfId="0" applyFont="1" applyFill="1" applyBorder="1" applyAlignment="1">
      <alignment horizontal="center"/>
    </xf>
    <xf numFmtId="0" fontId="14" fillId="0" borderId="0" xfId="0" applyFont="1" applyFill="1" applyBorder="1"/>
    <xf numFmtId="0" fontId="15" fillId="0" borderId="0" xfId="0" applyFont="1" applyFill="1" applyBorder="1"/>
    <xf numFmtId="0" fontId="14" fillId="0" borderId="0" xfId="0" applyFont="1" applyFill="1" applyBorder="1"/>
    <xf numFmtId="0" fontId="14" fillId="0" borderId="0" xfId="0" applyFont="1"/>
    <xf numFmtId="0" fontId="16" fillId="4" borderId="0" xfId="0" applyFont="1" applyFill="1" applyAlignment="1">
      <alignment vertical="top"/>
    </xf>
    <xf numFmtId="0" fontId="16" fillId="3" borderId="0" xfId="0" applyFont="1" applyFill="1" applyAlignment="1">
      <alignment horizontal="left"/>
    </xf>
    <xf numFmtId="0" fontId="16" fillId="2" borderId="0" xfId="0" applyFont="1" applyFill="1"/>
    <xf numFmtId="0" fontId="13" fillId="3" borderId="0" xfId="0" applyFont="1" applyFill="1" applyAlignment="1">
      <alignment horizontal="center" vertical="top"/>
    </xf>
    <xf numFmtId="0" fontId="7" fillId="3" borderId="1" xfId="0" applyFont="1" applyFill="1" applyBorder="1" applyAlignment="1">
      <alignment horizontal="center" vertical="top"/>
    </xf>
    <xf numFmtId="0" fontId="3" fillId="0" borderId="0" xfId="0" applyFont="1" applyBorder="1" applyAlignment="1" applyProtection="1">
      <alignment vertical="top" wrapText="1"/>
      <protection locked="0"/>
    </xf>
    <xf numFmtId="0" fontId="8" fillId="0" borderId="0" xfId="0" applyFont="1" applyFill="1" applyAlignment="1" applyProtection="1">
      <alignment vertical="top"/>
      <protection locked="0"/>
    </xf>
    <xf numFmtId="0" fontId="8" fillId="0" borderId="0" xfId="0" applyFont="1" applyFill="1" applyBorder="1" applyAlignment="1" applyProtection="1">
      <alignment vertical="top"/>
      <protection locked="0"/>
    </xf>
    <xf numFmtId="0" fontId="8" fillId="0" borderId="0" xfId="0" applyFont="1" applyProtection="1">
      <protection locked="0"/>
    </xf>
    <xf numFmtId="0" fontId="8" fillId="0" borderId="0" xfId="0" applyFont="1" applyFill="1" applyProtection="1">
      <protection locked="0"/>
    </xf>
    <xf numFmtId="0" fontId="8" fillId="0" borderId="0" xfId="0" applyFont="1" applyAlignment="1" applyProtection="1">
      <alignment vertical="top"/>
      <protection locked="0"/>
    </xf>
    <xf numFmtId="0" fontId="0" fillId="0" borderId="0" xfId="0" applyFont="1" applyBorder="1" applyProtection="1">
      <protection locked="0"/>
    </xf>
    <xf numFmtId="0" fontId="14" fillId="0" borderId="0" xfId="0" applyFont="1" applyFill="1" applyBorder="1"/>
    <xf numFmtId="0" fontId="17" fillId="0" borderId="0" xfId="0" applyFont="1" applyFill="1" applyBorder="1" applyAlignment="1">
      <alignment vertical="center" wrapText="1"/>
    </xf>
    <xf numFmtId="0" fontId="4" fillId="0" borderId="0" xfId="0" applyFont="1" applyAlignment="1" applyProtection="1">
      <alignment vertical="top" wrapText="1"/>
      <protection locked="0"/>
    </xf>
    <xf numFmtId="0" fontId="23" fillId="0" borderId="0" xfId="0" applyFont="1" applyBorder="1" applyAlignment="1">
      <alignment wrapText="1"/>
    </xf>
    <xf numFmtId="0" fontId="22" fillId="0" borderId="0" xfId="0" applyFont="1" applyBorder="1" applyAlignment="1">
      <alignment wrapText="1"/>
    </xf>
    <xf numFmtId="0" fontId="8" fillId="0" borderId="0" xfId="0" applyFont="1" applyFill="1" applyBorder="1" applyProtection="1">
      <protection locked="0"/>
    </xf>
    <xf numFmtId="0" fontId="25" fillId="0" borderId="0" xfId="0" applyFont="1" applyFill="1" applyBorder="1"/>
    <xf numFmtId="0" fontId="21" fillId="0" borderId="0" xfId="0" applyFont="1"/>
    <xf numFmtId="0" fontId="8" fillId="0" borderId="0" xfId="0" applyFont="1" applyAlignment="1">
      <alignment horizontal="left" indent="1"/>
    </xf>
    <xf numFmtId="0" fontId="8" fillId="0" borderId="0" xfId="0" applyFont="1" applyBorder="1" applyProtection="1">
      <protection locked="0"/>
    </xf>
    <xf numFmtId="0" fontId="26" fillId="0" borderId="0" xfId="0" applyFont="1"/>
    <xf numFmtId="0" fontId="24" fillId="0" borderId="0" xfId="0" applyFont="1" applyBorder="1" applyAlignment="1" applyProtection="1">
      <alignment vertical="top" wrapText="1"/>
      <protection locked="0"/>
    </xf>
    <xf numFmtId="3" fontId="3" fillId="0" borderId="0" xfId="0" applyNumberFormat="1" applyFont="1" applyAlignment="1">
      <alignment horizontal="center" vertical="top"/>
    </xf>
    <xf numFmtId="3" fontId="3" fillId="5" borderId="2" xfId="0" applyNumberFormat="1" applyFont="1" applyFill="1" applyBorder="1" applyAlignment="1">
      <alignment horizontal="center" vertical="top"/>
    </xf>
    <xf numFmtId="3" fontId="7" fillId="0" borderId="0" xfId="0" applyNumberFormat="1" applyFont="1" applyAlignment="1">
      <alignment horizontal="center" vertical="top"/>
    </xf>
    <xf numFmtId="3" fontId="7" fillId="5" borderId="2" xfId="0" applyNumberFormat="1" applyFont="1" applyFill="1" applyBorder="1" applyAlignment="1">
      <alignment horizontal="center" vertical="top"/>
    </xf>
    <xf numFmtId="3" fontId="8" fillId="0" borderId="0" xfId="0" applyNumberFormat="1" applyFont="1"/>
    <xf numFmtId="3" fontId="8" fillId="0" borderId="0" xfId="0" applyNumberFormat="1" applyFont="1" applyProtection="1">
      <protection locked="0"/>
    </xf>
    <xf numFmtId="3" fontId="0" fillId="0" borderId="0" xfId="0" applyNumberFormat="1" applyFont="1" applyBorder="1"/>
    <xf numFmtId="3" fontId="3" fillId="5" borderId="0" xfId="0" applyNumberFormat="1" applyFont="1" applyFill="1" applyAlignment="1">
      <alignment vertical="top"/>
    </xf>
    <xf numFmtId="3" fontId="3" fillId="5" borderId="0" xfId="0" applyNumberFormat="1" applyFont="1" applyFill="1" applyAlignment="1">
      <alignment horizontal="center" vertical="top"/>
    </xf>
    <xf numFmtId="3" fontId="0" fillId="0" borderId="1" xfId="0" applyNumberFormat="1" applyFont="1" applyBorder="1"/>
    <xf numFmtId="3" fontId="0" fillId="0" borderId="0" xfId="0" applyNumberFormat="1" applyFont="1"/>
    <xf numFmtId="3" fontId="8" fillId="0" borderId="0" xfId="0" applyNumberFormat="1" applyFont="1" applyFill="1" applyProtection="1">
      <protection locked="0"/>
    </xf>
    <xf numFmtId="3" fontId="8" fillId="0" borderId="0" xfId="0" applyNumberFormat="1" applyFont="1" applyAlignment="1" applyProtection="1">
      <alignment vertical="top"/>
      <protection locked="0"/>
    </xf>
    <xf numFmtId="3" fontId="8" fillId="0" borderId="0" xfId="0" applyNumberFormat="1" applyFont="1" applyBorder="1" applyProtection="1">
      <protection locked="0"/>
    </xf>
    <xf numFmtId="3" fontId="3" fillId="0" borderId="0" xfId="0" applyNumberFormat="1" applyFont="1" applyFill="1" applyAlignment="1">
      <alignment horizontal="center" vertical="top"/>
    </xf>
    <xf numFmtId="3" fontId="7" fillId="5" borderId="0" xfId="0" applyNumberFormat="1" applyFont="1" applyFill="1" applyAlignment="1">
      <alignment vertical="top"/>
    </xf>
    <xf numFmtId="3" fontId="7" fillId="5" borderId="0" xfId="0" applyNumberFormat="1" applyFont="1" applyFill="1" applyAlignment="1">
      <alignment horizontal="center" vertical="top"/>
    </xf>
    <xf numFmtId="3" fontId="8" fillId="5" borderId="0" xfId="0" applyNumberFormat="1" applyFont="1" applyFill="1"/>
    <xf numFmtId="3" fontId="3" fillId="5" borderId="2" xfId="0" applyNumberFormat="1" applyFont="1" applyFill="1" applyBorder="1" applyAlignment="1">
      <alignment vertical="top"/>
    </xf>
    <xf numFmtId="3" fontId="8" fillId="0" borderId="1" xfId="0" applyNumberFormat="1" applyFont="1" applyBorder="1"/>
    <xf numFmtId="0" fontId="0" fillId="0" borderId="0" xfId="0" applyAlignment="1">
      <alignment vertical="center" wrapText="1"/>
    </xf>
    <xf numFmtId="3" fontId="8" fillId="0" borderId="0" xfId="0" applyNumberFormat="1" applyFont="1" applyFill="1" applyBorder="1" applyAlignment="1" applyProtection="1">
      <alignment vertical="top"/>
      <protection locked="0"/>
    </xf>
    <xf numFmtId="3" fontId="8" fillId="0" borderId="0" xfId="0" applyNumberFormat="1" applyFont="1" applyFill="1" applyBorder="1"/>
    <xf numFmtId="3" fontId="24" fillId="0" borderId="0" xfId="0" applyNumberFormat="1" applyFont="1" applyFill="1" applyBorder="1" applyAlignment="1">
      <alignment vertical="top"/>
    </xf>
    <xf numFmtId="3" fontId="0" fillId="0" borderId="0" xfId="0" applyNumberFormat="1" applyFont="1" applyFill="1" applyBorder="1"/>
    <xf numFmtId="0" fontId="0" fillId="0" borderId="0" xfId="0" applyFont="1" applyFill="1" applyBorder="1" applyAlignment="1">
      <alignment vertical="top"/>
    </xf>
    <xf numFmtId="1" fontId="23" fillId="0" borderId="0" xfId="1" applyNumberFormat="1" applyFont="1" applyFill="1" applyBorder="1"/>
    <xf numFmtId="1" fontId="24" fillId="0" borderId="0" xfId="0" applyNumberFormat="1" applyFont="1" applyFill="1" applyBorder="1" applyAlignment="1">
      <alignment vertical="top"/>
    </xf>
    <xf numFmtId="0" fontId="30" fillId="0" borderId="0" xfId="0" applyFont="1" applyFill="1" applyProtection="1">
      <protection locked="0"/>
    </xf>
    <xf numFmtId="0" fontId="6" fillId="0" borderId="0" xfId="0" quotePrefix="1" applyFont="1" applyAlignment="1">
      <alignment vertical="top" wrapText="1"/>
    </xf>
    <xf numFmtId="0" fontId="31" fillId="0" borderId="0" xfId="0" applyFont="1" applyBorder="1" applyAlignment="1">
      <alignment vertical="center" wrapText="1"/>
    </xf>
    <xf numFmtId="0" fontId="29" fillId="0" borderId="0" xfId="0" applyFont="1" applyFill="1" applyProtection="1">
      <protection locked="0"/>
    </xf>
    <xf numFmtId="165" fontId="3" fillId="5" borderId="2" xfId="0" applyNumberFormat="1" applyFont="1" applyFill="1" applyBorder="1" applyAlignment="1">
      <alignment vertical="top"/>
    </xf>
    <xf numFmtId="165" fontId="3" fillId="0" borderId="1" xfId="0" applyNumberFormat="1" applyFont="1" applyFill="1" applyBorder="1" applyAlignment="1">
      <alignment vertical="top"/>
    </xf>
    <xf numFmtId="165" fontId="3" fillId="0" borderId="0" xfId="0" applyNumberFormat="1" applyFont="1" applyFill="1" applyBorder="1" applyAlignment="1">
      <alignment vertical="top"/>
    </xf>
    <xf numFmtId="165" fontId="7" fillId="5" borderId="2" xfId="0" applyNumberFormat="1" applyFont="1" applyFill="1" applyBorder="1" applyAlignment="1">
      <alignment vertical="top"/>
    </xf>
    <xf numFmtId="3" fontId="3" fillId="0" borderId="1" xfId="0" applyNumberFormat="1" applyFont="1" applyFill="1" applyBorder="1" applyAlignment="1">
      <alignment horizontal="center" vertical="top"/>
    </xf>
    <xf numFmtId="0" fontId="3" fillId="0" borderId="0" xfId="0" applyFont="1" applyAlignment="1" applyProtection="1">
      <alignment horizontal="left" vertical="top" wrapText="1" indent="1"/>
      <protection locked="0"/>
    </xf>
    <xf numFmtId="0" fontId="33" fillId="0" borderId="0" xfId="0" applyFont="1" applyFill="1" applyAlignment="1">
      <alignment vertical="top"/>
    </xf>
    <xf numFmtId="0" fontId="28" fillId="0" borderId="0" xfId="0" applyFont="1" applyFill="1" applyAlignment="1">
      <alignment vertical="top" wrapText="1"/>
    </xf>
    <xf numFmtId="0" fontId="33" fillId="0" borderId="0" xfId="0" applyFont="1" applyFill="1" applyBorder="1" applyAlignment="1">
      <alignment vertical="top"/>
    </xf>
    <xf numFmtId="3" fontId="33" fillId="0" borderId="0" xfId="0" applyNumberFormat="1" applyFont="1" applyAlignment="1">
      <alignment horizontal="center" vertical="top"/>
    </xf>
    <xf numFmtId="0" fontId="33" fillId="0" borderId="0" xfId="0" applyFont="1" applyFill="1" applyAlignment="1">
      <alignment vertical="top" wrapText="1"/>
    </xf>
    <xf numFmtId="0" fontId="28" fillId="0" borderId="0" xfId="0" applyFont="1" applyFill="1" applyAlignment="1">
      <alignment vertical="top"/>
    </xf>
    <xf numFmtId="0" fontId="28" fillId="0" borderId="0" xfId="0" applyFont="1" applyFill="1" applyBorder="1" applyAlignment="1">
      <alignment vertical="top"/>
    </xf>
    <xf numFmtId="3" fontId="33" fillId="0" borderId="0" xfId="0" applyNumberFormat="1" applyFont="1" applyFill="1" applyAlignment="1">
      <alignment vertical="top"/>
    </xf>
    <xf numFmtId="0" fontId="8" fillId="0" borderId="0" xfId="0" applyFont="1" applyAlignment="1">
      <alignment horizontal="left"/>
    </xf>
    <xf numFmtId="0" fontId="10" fillId="0" borderId="0" xfId="0" applyFont="1" applyAlignment="1">
      <alignment horizontal="left" vertical="top"/>
    </xf>
    <xf numFmtId="0" fontId="33" fillId="0" borderId="0" xfId="0" applyFont="1" applyFill="1" applyAlignment="1">
      <alignment horizontal="left" vertical="top"/>
    </xf>
    <xf numFmtId="0" fontId="10" fillId="0" borderId="0" xfId="0" applyFont="1" applyFill="1" applyAlignment="1">
      <alignment horizontal="left" vertical="top"/>
    </xf>
    <xf numFmtId="0" fontId="0" fillId="2" borderId="0" xfId="0" applyFill="1"/>
    <xf numFmtId="0" fontId="0" fillId="2" borderId="1" xfId="0" applyFill="1" applyBorder="1"/>
    <xf numFmtId="3" fontId="0" fillId="0" borderId="0" xfId="0" applyNumberFormat="1"/>
    <xf numFmtId="0" fontId="0" fillId="5" borderId="0" xfId="0" applyFill="1"/>
    <xf numFmtId="3" fontId="24" fillId="0" borderId="0" xfId="0" applyNumberFormat="1" applyFont="1" applyAlignment="1">
      <alignment vertical="top"/>
    </xf>
    <xf numFmtId="0" fontId="23" fillId="0" borderId="0" xfId="0" applyFont="1" applyAlignment="1">
      <alignment wrapText="1"/>
    </xf>
    <xf numFmtId="1" fontId="24" fillId="0" borderId="0" xfId="0" applyNumberFormat="1" applyFont="1" applyAlignment="1">
      <alignment vertical="top"/>
    </xf>
    <xf numFmtId="0" fontId="0" fillId="2" borderId="1" xfId="0" applyFill="1" applyBorder="1" applyAlignment="1">
      <alignment horizontal="left"/>
    </xf>
    <xf numFmtId="0" fontId="0" fillId="0" borderId="0" xfId="0" applyAlignment="1">
      <alignment horizontal="left"/>
    </xf>
    <xf numFmtId="0" fontId="8" fillId="5" borderId="0" xfId="0" applyFont="1" applyFill="1" applyAlignment="1">
      <alignment horizontal="left"/>
    </xf>
    <xf numFmtId="0" fontId="0" fillId="5" borderId="0" xfId="0" applyFill="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0" fillId="0" borderId="0" xfId="0" applyFont="1" applyAlignment="1">
      <alignment horizontal="left"/>
    </xf>
    <xf numFmtId="0" fontId="16" fillId="2" borderId="0" xfId="0" applyFont="1" applyFill="1" applyAlignment="1"/>
    <xf numFmtId="0" fontId="12" fillId="2" borderId="0" xfId="0" applyFont="1" applyFill="1" applyAlignment="1"/>
    <xf numFmtId="0" fontId="0" fillId="2" borderId="1" xfId="0" applyFont="1" applyFill="1" applyBorder="1" applyAlignment="1"/>
    <xf numFmtId="0" fontId="8" fillId="0" borderId="0" xfId="0" applyFont="1" applyAlignment="1"/>
    <xf numFmtId="0" fontId="0" fillId="0" borderId="1" xfId="0" applyFont="1" applyBorder="1" applyAlignment="1"/>
    <xf numFmtId="0" fontId="0" fillId="0" borderId="0" xfId="0" applyFont="1" applyAlignment="1"/>
    <xf numFmtId="0" fontId="8" fillId="5" borderId="0" xfId="0" applyFont="1" applyFill="1" applyAlignment="1"/>
    <xf numFmtId="0" fontId="8" fillId="0" borderId="0" xfId="0" applyFont="1" applyBorder="1" applyAlignment="1"/>
    <xf numFmtId="0" fontId="0" fillId="5" borderId="0" xfId="0" applyFont="1" applyFill="1" applyAlignment="1"/>
    <xf numFmtId="0" fontId="27" fillId="0" borderId="0" xfId="0" applyFont="1"/>
    <xf numFmtId="0" fontId="0" fillId="0" borderId="0" xfId="0" applyFont="1" applyBorder="1" applyAlignment="1">
      <alignment horizontal="center"/>
    </xf>
    <xf numFmtId="3" fontId="8" fillId="0" borderId="0" xfId="0" applyNumberFormat="1" applyFont="1" applyBorder="1"/>
    <xf numFmtId="3" fontId="8" fillId="8" borderId="0" xfId="0" applyNumberFormat="1" applyFont="1" applyFill="1"/>
    <xf numFmtId="3" fontId="8" fillId="0" borderId="0" xfId="0" applyNumberFormat="1" applyFont="1" applyFill="1"/>
    <xf numFmtId="3" fontId="0" fillId="0" borderId="0" xfId="0" applyNumberFormat="1" applyFont="1" applyFill="1" applyAlignment="1">
      <alignment vertical="top"/>
    </xf>
    <xf numFmtId="3" fontId="0" fillId="0" borderId="0" xfId="0" applyNumberFormat="1" applyFont="1" applyFill="1"/>
    <xf numFmtId="0" fontId="0" fillId="0" borderId="0" xfId="0" applyFont="1" applyFill="1"/>
    <xf numFmtId="3" fontId="8" fillId="0" borderId="0" xfId="0" applyNumberFormat="1" applyFont="1" applyFill="1" applyAlignment="1">
      <alignment horizontal="center" vertical="center"/>
    </xf>
    <xf numFmtId="3" fontId="34" fillId="7" borderId="0" xfId="0" applyNumberFormat="1" applyFont="1" applyFill="1"/>
    <xf numFmtId="3" fontId="34" fillId="0" borderId="0" xfId="0" applyNumberFormat="1" applyFont="1" applyAlignment="1">
      <alignment horizontal="right"/>
    </xf>
    <xf numFmtId="3" fontId="0" fillId="0" borderId="0" xfId="0" applyNumberFormat="1" applyFill="1" applyAlignment="1">
      <alignment horizontal="center" vertical="center"/>
    </xf>
    <xf numFmtId="0" fontId="8" fillId="0" borderId="0" xfId="0" applyFont="1" applyFill="1" applyAlignment="1">
      <alignment horizontal="left" vertical="top" wrapText="1" indent="2"/>
    </xf>
    <xf numFmtId="0" fontId="11" fillId="0" borderId="0" xfId="0" applyFont="1"/>
    <xf numFmtId="0" fontId="3" fillId="0" borderId="0" xfId="0" applyFont="1" applyFill="1" applyBorder="1" applyAlignment="1" applyProtection="1">
      <alignment vertical="top" wrapText="1"/>
      <protection locked="0"/>
    </xf>
    <xf numFmtId="0" fontId="4" fillId="0" borderId="0" xfId="0" applyFont="1" applyFill="1" applyAlignment="1" applyProtection="1">
      <alignment vertical="top" wrapText="1"/>
      <protection locked="0"/>
    </xf>
    <xf numFmtId="0" fontId="3" fillId="0" borderId="0" xfId="0" applyFont="1" applyFill="1" applyAlignment="1" applyProtection="1">
      <alignment horizontal="center" vertical="top"/>
      <protection locked="0"/>
    </xf>
    <xf numFmtId="0" fontId="3" fillId="0" borderId="0" xfId="0" applyFont="1" applyFill="1" applyAlignment="1" applyProtection="1">
      <alignment vertical="top"/>
      <protection locked="0"/>
    </xf>
    <xf numFmtId="6" fontId="3" fillId="0" borderId="0" xfId="0" applyNumberFormat="1" applyFont="1" applyFill="1" applyAlignment="1">
      <alignment vertical="top"/>
    </xf>
    <xf numFmtId="0" fontId="7" fillId="0" borderId="0" xfId="0" applyFont="1" applyFill="1" applyAlignment="1">
      <alignment vertical="top" wrapText="1"/>
    </xf>
    <xf numFmtId="0" fontId="3" fillId="0" borderId="0" xfId="0" applyFont="1" applyFill="1" applyAlignment="1" applyProtection="1">
      <alignment vertical="top" wrapText="1"/>
      <protection locked="0"/>
    </xf>
    <xf numFmtId="0" fontId="32" fillId="0" borderId="0" xfId="0" applyFont="1" applyFill="1" applyAlignment="1">
      <alignment vertical="top" wrapText="1"/>
    </xf>
    <xf numFmtId="166" fontId="3" fillId="5" borderId="2" xfId="0" applyNumberFormat="1" applyFont="1" applyFill="1" applyBorder="1" applyAlignment="1">
      <alignment vertical="top"/>
    </xf>
    <xf numFmtId="0" fontId="14" fillId="0" borderId="0" xfId="0" applyFont="1" applyFill="1"/>
    <xf numFmtId="0" fontId="17" fillId="0" borderId="0" xfId="0" applyFont="1" applyFill="1" applyAlignment="1">
      <alignment horizontal="left" vertical="center" wrapText="1"/>
    </xf>
    <xf numFmtId="0" fontId="1" fillId="0" borderId="0" xfId="0" applyFont="1" applyFill="1" applyAlignment="1">
      <alignment horizontal="left" vertical="top" wrapText="1"/>
    </xf>
    <xf numFmtId="0" fontId="15" fillId="0" borderId="0" xfId="0" applyFont="1" applyFill="1" applyAlignment="1">
      <alignment horizontal="left" vertical="top" wrapText="1"/>
    </xf>
    <xf numFmtId="0" fontId="1" fillId="0" borderId="0" xfId="0" applyFont="1" applyAlignment="1">
      <alignment vertical="top" wrapText="1"/>
    </xf>
    <xf numFmtId="0" fontId="15" fillId="0" borderId="0" xfId="0" applyFont="1" applyAlignment="1">
      <alignment vertical="top" wrapText="1"/>
    </xf>
    <xf numFmtId="0" fontId="35" fillId="0" borderId="0" xfId="0" applyFont="1" applyFill="1" applyBorder="1" applyAlignment="1">
      <alignment horizontal="left"/>
    </xf>
    <xf numFmtId="0" fontId="15" fillId="0" borderId="4" xfId="0" applyFont="1" applyFill="1" applyBorder="1"/>
    <xf numFmtId="0" fontId="25" fillId="0" borderId="4" xfId="0" applyFont="1" applyFill="1" applyBorder="1"/>
    <xf numFmtId="0" fontId="10" fillId="2" borderId="0" xfId="0" applyFont="1" applyFill="1" applyAlignment="1">
      <alignment horizontal="right" vertical="center"/>
    </xf>
    <xf numFmtId="0" fontId="10" fillId="2" borderId="1" xfId="0" applyFont="1" applyFill="1" applyBorder="1" applyAlignment="1">
      <alignment horizontal="right" vertical="center"/>
    </xf>
    <xf numFmtId="0" fontId="10" fillId="0" borderId="0" xfId="0" applyFont="1" applyFill="1" applyAlignment="1">
      <alignment horizontal="right" vertical="center"/>
    </xf>
    <xf numFmtId="0" fontId="10" fillId="5" borderId="0" xfId="0" applyFont="1" applyFill="1" applyAlignment="1">
      <alignment horizontal="right" vertical="center"/>
    </xf>
    <xf numFmtId="0" fontId="10" fillId="0" borderId="0" xfId="0" applyFont="1" applyAlignment="1">
      <alignment horizontal="left" vertical="center"/>
    </xf>
    <xf numFmtId="0" fontId="10" fillId="0" borderId="0" xfId="0" applyFont="1" applyFill="1" applyAlignment="1">
      <alignment horizontal="left" vertical="center"/>
    </xf>
    <xf numFmtId="0" fontId="0" fillId="0" borderId="0" xfId="0" applyFont="1" applyBorder="1" applyAlignment="1"/>
    <xf numFmtId="0" fontId="11" fillId="0" borderId="0" xfId="0" applyFont="1" applyFill="1" applyBorder="1" applyAlignment="1">
      <alignment vertical="top"/>
    </xf>
    <xf numFmtId="0" fontId="11" fillId="0" borderId="0" xfId="0" applyFont="1" applyFill="1"/>
    <xf numFmtId="0" fontId="3" fillId="0" borderId="0" xfId="0" quotePrefix="1" applyFont="1" applyFill="1" applyAlignment="1" applyProtection="1">
      <alignment horizontal="center" vertical="top"/>
      <protection locked="0"/>
    </xf>
    <xf numFmtId="0" fontId="6" fillId="0" borderId="0" xfId="0" applyFont="1" applyAlignment="1">
      <alignment horizontal="left" vertical="top"/>
    </xf>
    <xf numFmtId="6" fontId="6" fillId="0" borderId="0" xfId="0" applyNumberFormat="1" applyFont="1" applyFill="1" applyAlignment="1">
      <alignment horizontal="left" vertical="top"/>
    </xf>
    <xf numFmtId="0" fontId="6" fillId="0" borderId="0" xfId="0" quotePrefix="1" applyFont="1" applyAlignment="1">
      <alignment horizontal="left" vertical="top" wrapText="1"/>
    </xf>
    <xf numFmtId="0" fontId="4" fillId="0" borderId="0" xfId="0" applyFont="1" applyAlignment="1">
      <alignment horizontal="left" vertical="top" wrapText="1"/>
    </xf>
    <xf numFmtId="0" fontId="37" fillId="9" borderId="0" xfId="0" applyFont="1" applyFill="1" applyAlignment="1">
      <alignment horizontal="right" vertical="top" wrapText="1"/>
    </xf>
    <xf numFmtId="0" fontId="38" fillId="9" borderId="0" xfId="0" applyFont="1" applyFill="1" applyAlignment="1">
      <alignment vertical="top"/>
    </xf>
    <xf numFmtId="0" fontId="38" fillId="9" borderId="0" xfId="0" applyFont="1" applyFill="1" applyAlignment="1">
      <alignment horizontal="center" vertical="top"/>
    </xf>
    <xf numFmtId="3" fontId="38" fillId="9" borderId="2" xfId="0" applyNumberFormat="1" applyFont="1" applyFill="1" applyBorder="1" applyAlignment="1">
      <alignment horizontal="center" vertical="top"/>
    </xf>
    <xf numFmtId="165" fontId="38" fillId="9" borderId="2" xfId="0" applyNumberFormat="1" applyFont="1" applyFill="1" applyBorder="1" applyAlignment="1">
      <alignment vertical="top"/>
    </xf>
    <xf numFmtId="0" fontId="38" fillId="9" borderId="0" xfId="0" applyFont="1" applyFill="1" applyAlignment="1">
      <alignment vertical="top" wrapText="1"/>
    </xf>
    <xf numFmtId="0" fontId="10" fillId="0" borderId="0" xfId="0" applyFont="1" applyAlignment="1">
      <alignment horizontal="center" vertical="center"/>
    </xf>
    <xf numFmtId="3" fontId="3" fillId="0" borderId="0" xfId="0" applyNumberFormat="1" applyFont="1" applyAlignment="1">
      <alignment horizontal="right" vertical="top"/>
    </xf>
    <xf numFmtId="3" fontId="8" fillId="0" borderId="0" xfId="0" applyNumberFormat="1" applyFont="1" applyAlignment="1" applyProtection="1">
      <alignment horizontal="right"/>
      <protection locked="0"/>
    </xf>
    <xf numFmtId="3" fontId="0" fillId="0" borderId="0" xfId="0" applyNumberFormat="1" applyFont="1" applyFill="1" applyAlignment="1">
      <alignment horizontal="right"/>
    </xf>
    <xf numFmtId="167" fontId="6" fillId="0" borderId="0" xfId="1" applyNumberFormat="1" applyFont="1" applyAlignment="1">
      <alignment horizontal="left" vertical="top"/>
    </xf>
    <xf numFmtId="167" fontId="3" fillId="0" borderId="0" xfId="0" applyNumberFormat="1" applyFont="1" applyFill="1" applyBorder="1" applyAlignment="1">
      <alignment vertical="top"/>
    </xf>
    <xf numFmtId="0" fontId="6" fillId="0" borderId="0" xfId="0" applyFont="1" applyAlignment="1">
      <alignment horizontal="right" vertical="top"/>
    </xf>
    <xf numFmtId="167" fontId="7" fillId="5" borderId="2" xfId="1" applyNumberFormat="1" applyFont="1" applyFill="1" applyBorder="1" applyAlignment="1">
      <alignment horizontal="center" vertical="top"/>
    </xf>
    <xf numFmtId="6" fontId="6" fillId="0" borderId="0" xfId="0" applyNumberFormat="1" applyFont="1" applyFill="1" applyAlignment="1">
      <alignment horizontal="right" vertical="top"/>
    </xf>
    <xf numFmtId="0" fontId="8" fillId="5" borderId="0" xfId="0" applyFont="1" applyFill="1" applyBorder="1"/>
    <xf numFmtId="0" fontId="3" fillId="0" borderId="0" xfId="0" applyFont="1" applyFill="1" applyAlignment="1" applyProtection="1">
      <alignment horizontal="left" vertical="top" wrapText="1" indent="1"/>
      <protection locked="0"/>
    </xf>
    <xf numFmtId="3" fontId="8" fillId="7" borderId="0" xfId="0" applyNumberFormat="1" applyFont="1" applyFill="1" applyProtection="1">
      <protection locked="0"/>
    </xf>
    <xf numFmtId="167" fontId="3" fillId="7" borderId="0" xfId="1" applyNumberFormat="1" applyFont="1" applyFill="1" applyAlignment="1" applyProtection="1">
      <alignment vertical="top"/>
      <protection locked="0"/>
    </xf>
    <xf numFmtId="167" fontId="3" fillId="7" borderId="0" xfId="0" applyNumberFormat="1" applyFont="1" applyFill="1" applyBorder="1" applyAlignment="1">
      <alignment vertical="top"/>
    </xf>
    <xf numFmtId="0" fontId="7" fillId="7" borderId="0" xfId="0" applyFont="1" applyFill="1" applyAlignment="1">
      <alignment vertical="top"/>
    </xf>
    <xf numFmtId="167" fontId="3" fillId="7" borderId="0" xfId="0" applyNumberFormat="1" applyFont="1" applyFill="1" applyAlignment="1">
      <alignment horizontal="center" vertical="top"/>
    </xf>
    <xf numFmtId="3" fontId="3" fillId="7" borderId="0" xfId="0" applyNumberFormat="1" applyFont="1" applyFill="1" applyAlignment="1">
      <alignment horizontal="right" vertical="top"/>
    </xf>
    <xf numFmtId="0" fontId="8" fillId="7" borderId="0" xfId="0" applyFont="1" applyFill="1" applyAlignment="1">
      <alignment vertical="top"/>
    </xf>
    <xf numFmtId="167" fontId="0" fillId="7" borderId="0" xfId="0" applyNumberFormat="1" applyFont="1" applyFill="1" applyBorder="1"/>
    <xf numFmtId="3" fontId="0" fillId="7" borderId="0" xfId="0" applyNumberFormat="1" applyFont="1" applyFill="1" applyAlignment="1" applyProtection="1">
      <alignment horizontal="right"/>
      <protection locked="0"/>
    </xf>
    <xf numFmtId="3" fontId="8" fillId="7" borderId="0" xfId="0" applyNumberFormat="1" applyFont="1" applyFill="1" applyBorder="1" applyProtection="1">
      <protection locked="0"/>
    </xf>
    <xf numFmtId="3" fontId="0" fillId="7" borderId="0" xfId="0" applyNumberFormat="1" applyFill="1" applyProtection="1">
      <protection locked="0"/>
    </xf>
    <xf numFmtId="167" fontId="0" fillId="7" borderId="0" xfId="1" applyNumberFormat="1" applyFont="1" applyFill="1" applyBorder="1"/>
    <xf numFmtId="0" fontId="0" fillId="7" borderId="0" xfId="0" applyFont="1" applyFill="1" applyBorder="1"/>
    <xf numFmtId="0" fontId="3" fillId="0" borderId="0" xfId="0" applyFont="1" applyAlignment="1">
      <alignment horizontal="center" vertical="center"/>
    </xf>
    <xf numFmtId="0" fontId="7" fillId="0" borderId="0" xfId="0" applyFont="1" applyBorder="1" applyAlignment="1">
      <alignment horizontal="center" vertical="center"/>
    </xf>
    <xf numFmtId="0" fontId="11" fillId="0" borderId="0" xfId="0" applyFont="1" applyFill="1" applyAlignment="1">
      <alignment horizontal="center" vertical="center" wrapText="1"/>
    </xf>
    <xf numFmtId="0" fontId="9"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Border="1" applyAlignment="1">
      <alignment horizontal="center" vertical="center" wrapText="1"/>
    </xf>
    <xf numFmtId="0" fontId="10"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Fill="1" applyAlignment="1">
      <alignment horizontal="center" vertical="center"/>
    </xf>
    <xf numFmtId="0" fontId="0" fillId="0" borderId="0" xfId="0" applyFont="1" applyBorder="1" applyAlignment="1">
      <alignment horizontal="center" vertical="center"/>
    </xf>
    <xf numFmtId="0" fontId="0" fillId="0" borderId="0" xfId="0" applyAlignment="1">
      <alignment horizontal="center" vertical="center"/>
    </xf>
    <xf numFmtId="0" fontId="8" fillId="0" borderId="0" xfId="0" applyFont="1" applyFill="1" applyAlignment="1"/>
    <xf numFmtId="0" fontId="0" fillId="7" borderId="0" xfId="0" applyFill="1" applyBorder="1"/>
    <xf numFmtId="0" fontId="17" fillId="0" borderId="0" xfId="0" applyFont="1" applyFill="1" applyBorder="1" applyAlignment="1">
      <alignment vertical="center" wrapText="1"/>
    </xf>
    <xf numFmtId="0" fontId="17" fillId="0" borderId="0" xfId="0" applyFont="1" applyAlignment="1">
      <alignment horizontal="left" vertical="center"/>
    </xf>
    <xf numFmtId="0" fontId="15" fillId="0" borderId="0" xfId="0" applyFont="1" applyFill="1" applyBorder="1" applyAlignment="1"/>
    <xf numFmtId="0" fontId="15" fillId="0" borderId="4" xfId="0" applyFont="1" applyFill="1" applyBorder="1" applyAlignment="1"/>
    <xf numFmtId="0" fontId="14" fillId="0" borderId="0" xfId="0" applyFont="1" applyFill="1" applyBorder="1" applyAlignment="1">
      <alignment horizontal="left"/>
    </xf>
    <xf numFmtId="0" fontId="40" fillId="0" borderId="0" xfId="0" applyFont="1" applyAlignment="1">
      <alignment vertical="top" wrapText="1"/>
    </xf>
    <xf numFmtId="0" fontId="4" fillId="0" borderId="0" xfId="0" quotePrefix="1" applyFont="1" applyAlignment="1">
      <alignment horizontal="left" vertical="top" wrapText="1"/>
    </xf>
    <xf numFmtId="0" fontId="0" fillId="0" borderId="0" xfId="0" applyAlignment="1">
      <alignment wrapText="1"/>
    </xf>
    <xf numFmtId="0" fontId="41" fillId="0" borderId="0" xfId="0" applyFont="1" applyAlignment="1">
      <alignment horizontal="left" vertical="center" indent="1"/>
    </xf>
    <xf numFmtId="0" fontId="0" fillId="0" borderId="3" xfId="0" applyBorder="1" applyAlignment="1"/>
    <xf numFmtId="0" fontId="0" fillId="0" borderId="5" xfId="0" applyBorder="1"/>
    <xf numFmtId="0" fontId="0" fillId="0" borderId="1" xfId="0" applyBorder="1"/>
    <xf numFmtId="0" fontId="0" fillId="0" borderId="3" xfId="0" applyBorder="1" applyAlignment="1">
      <alignment horizontal="center"/>
    </xf>
    <xf numFmtId="0" fontId="42" fillId="0" borderId="6" xfId="0" applyFont="1" applyBorder="1" applyAlignment="1">
      <alignment horizontal="left"/>
    </xf>
    <xf numFmtId="1" fontId="0" fillId="0" borderId="0" xfId="0" applyNumberFormat="1"/>
    <xf numFmtId="0" fontId="0" fillId="0" borderId="0" xfId="0" applyBorder="1"/>
    <xf numFmtId="168" fontId="0" fillId="0" borderId="0" xfId="0" applyNumberFormat="1"/>
    <xf numFmtId="169" fontId="0" fillId="0" borderId="0" xfId="0" applyNumberFormat="1"/>
    <xf numFmtId="0" fontId="14" fillId="0" borderId="0" xfId="0" applyFont="1" applyFill="1" applyBorder="1" applyAlignment="1" applyProtection="1">
      <alignment vertical="center"/>
      <protection locked="0"/>
    </xf>
    <xf numFmtId="0" fontId="17" fillId="0" borderId="3" xfId="0" applyFont="1" applyFill="1" applyBorder="1" applyAlignment="1">
      <alignment vertical="center" wrapText="1"/>
    </xf>
    <xf numFmtId="0" fontId="14" fillId="0" borderId="1" xfId="0" applyFont="1" applyFill="1" applyBorder="1" applyAlignment="1" applyProtection="1">
      <alignment vertical="center"/>
      <protection locked="0"/>
    </xf>
    <xf numFmtId="0" fontId="14" fillId="0" borderId="5" xfId="0" applyFont="1" applyFill="1" applyBorder="1" applyAlignment="1" applyProtection="1">
      <alignment vertical="center"/>
      <protection locked="0"/>
    </xf>
    <xf numFmtId="0" fontId="15" fillId="0" borderId="5" xfId="0" applyFont="1" applyFill="1" applyBorder="1"/>
    <xf numFmtId="0" fontId="15" fillId="0" borderId="1" xfId="0" applyFont="1" applyFill="1" applyBorder="1"/>
    <xf numFmtId="0" fontId="15" fillId="0" borderId="3" xfId="0" applyFont="1" applyFill="1" applyBorder="1"/>
    <xf numFmtId="167" fontId="14" fillId="0" borderId="0" xfId="1" applyNumberFormat="1" applyFont="1" applyFill="1" applyBorder="1" applyAlignment="1">
      <alignment horizontal="center"/>
    </xf>
    <xf numFmtId="0" fontId="17" fillId="0" borderId="5" xfId="0" applyFont="1" applyFill="1" applyBorder="1"/>
    <xf numFmtId="0" fontId="14" fillId="0" borderId="5" xfId="0" applyFont="1" applyFill="1" applyBorder="1"/>
    <xf numFmtId="0" fontId="39" fillId="0" borderId="1" xfId="0" applyFont="1" applyFill="1" applyBorder="1"/>
    <xf numFmtId="0" fontId="14" fillId="0" borderId="1" xfId="0" applyFont="1" applyFill="1" applyBorder="1"/>
    <xf numFmtId="167" fontId="14" fillId="0" borderId="5" xfId="1" applyNumberFormat="1" applyFont="1" applyFill="1" applyBorder="1" applyAlignment="1">
      <alignment horizontal="center"/>
    </xf>
    <xf numFmtId="167" fontId="14" fillId="0" borderId="1" xfId="1" applyNumberFormat="1" applyFont="1" applyFill="1" applyBorder="1" applyAlignment="1">
      <alignment horizontal="center"/>
    </xf>
    <xf numFmtId="167" fontId="14" fillId="0" borderId="3" xfId="1" applyNumberFormat="1" applyFont="1" applyFill="1" applyBorder="1" applyAlignment="1">
      <alignment horizontal="center"/>
    </xf>
    <xf numFmtId="0" fontId="14" fillId="0" borderId="3" xfId="0" applyFont="1" applyFill="1" applyBorder="1"/>
    <xf numFmtId="0" fontId="0" fillId="0" borderId="0" xfId="0" applyBorder="1" applyAlignment="1">
      <alignment horizontal="center"/>
    </xf>
    <xf numFmtId="9" fontId="0" fillId="0" borderId="3" xfId="0" applyNumberFormat="1" applyBorder="1" applyAlignment="1"/>
    <xf numFmtId="0" fontId="0" fillId="10" borderId="0" xfId="0" applyFill="1"/>
    <xf numFmtId="1" fontId="0" fillId="10" borderId="0" xfId="0" applyNumberFormat="1" applyFill="1"/>
    <xf numFmtId="0" fontId="0" fillId="10" borderId="5" xfId="0" applyFill="1" applyBorder="1" applyAlignment="1">
      <alignment horizontal="center"/>
    </xf>
    <xf numFmtId="0" fontId="0" fillId="10" borderId="3" xfId="0" applyFill="1" applyBorder="1" applyAlignment="1">
      <alignment horizontal="center"/>
    </xf>
    <xf numFmtId="168" fontId="14" fillId="0" borderId="1" xfId="0" applyNumberFormat="1" applyFont="1" applyFill="1" applyBorder="1" applyAlignment="1" applyProtection="1">
      <alignment vertical="center"/>
      <protection locked="0"/>
    </xf>
    <xf numFmtId="0" fontId="3" fillId="0" borderId="0" xfId="0" applyFont="1" applyAlignment="1" applyProtection="1">
      <alignment horizontal="center" vertical="top"/>
      <protection locked="0"/>
    </xf>
    <xf numFmtId="169" fontId="14" fillId="0" borderId="1" xfId="0" applyNumberFormat="1" applyFont="1" applyFill="1" applyBorder="1" applyAlignment="1" applyProtection="1">
      <alignment vertical="center"/>
      <protection locked="0"/>
    </xf>
    <xf numFmtId="43" fontId="8" fillId="0" borderId="0" xfId="0" applyNumberFormat="1" applyFont="1" applyProtection="1">
      <protection locked="0"/>
    </xf>
    <xf numFmtId="9" fontId="0" fillId="0" borderId="0" xfId="0" applyNumberFormat="1"/>
    <xf numFmtId="168" fontId="14" fillId="0" borderId="0" xfId="0" applyNumberFormat="1" applyFont="1" applyFill="1" applyBorder="1"/>
    <xf numFmtId="1" fontId="44" fillId="0" borderId="0" xfId="0" applyNumberFormat="1" applyFont="1"/>
    <xf numFmtId="1" fontId="44" fillId="0" borderId="5" xfId="0" applyNumberFormat="1" applyFont="1" applyBorder="1"/>
    <xf numFmtId="1" fontId="44" fillId="0" borderId="0" xfId="0" applyNumberFormat="1" applyFont="1" applyBorder="1"/>
    <xf numFmtId="9" fontId="44" fillId="0" borderId="0" xfId="2" applyFont="1" applyFill="1"/>
    <xf numFmtId="9" fontId="44" fillId="7" borderId="0" xfId="2" applyFont="1" applyFill="1"/>
    <xf numFmtId="9" fontId="44" fillId="5" borderId="0" xfId="2" applyFont="1" applyFill="1"/>
    <xf numFmtId="9" fontId="44" fillId="8" borderId="0" xfId="2" applyFont="1" applyFill="1"/>
    <xf numFmtId="9" fontId="44" fillId="0" borderId="0" xfId="2" applyFont="1" applyAlignment="1">
      <alignment horizontal="right"/>
    </xf>
    <xf numFmtId="9" fontId="44" fillId="7" borderId="0" xfId="2" applyFont="1" applyFill="1" applyAlignment="1">
      <alignment horizontal="right"/>
    </xf>
    <xf numFmtId="1" fontId="44" fillId="0" borderId="0" xfId="3" applyNumberFormat="1" applyFont="1" applyAlignment="1">
      <alignment horizontal="right"/>
    </xf>
    <xf numFmtId="1" fontId="44" fillId="0" borderId="0" xfId="3" applyNumberFormat="1" applyFont="1" applyFill="1" applyAlignment="1">
      <alignment horizontal="right"/>
    </xf>
    <xf numFmtId="1" fontId="44" fillId="8" borderId="0" xfId="0" applyNumberFormat="1" applyFont="1" applyFill="1" applyAlignment="1">
      <alignment horizontal="right"/>
    </xf>
    <xf numFmtId="1" fontId="44" fillId="0" borderId="0" xfId="0" applyNumberFormat="1" applyFont="1" applyAlignment="1">
      <alignment horizontal="right"/>
    </xf>
    <xf numFmtId="1" fontId="44" fillId="0" borderId="5" xfId="0" applyNumberFormat="1" applyFont="1" applyBorder="1" applyAlignment="1">
      <alignment horizontal="right"/>
    </xf>
    <xf numFmtId="0" fontId="22" fillId="0" borderId="0" xfId="0" applyFont="1"/>
    <xf numFmtId="0" fontId="22" fillId="0" borderId="6" xfId="0" applyFont="1" applyBorder="1" applyAlignment="1">
      <alignment horizontal="left" wrapText="1"/>
    </xf>
    <xf numFmtId="0" fontId="22" fillId="0" borderId="6" xfId="0" applyFont="1" applyBorder="1"/>
    <xf numFmtId="0" fontId="44" fillId="0" borderId="1" xfId="0" applyFont="1" applyBorder="1" applyAlignment="1">
      <alignment horizontal="left"/>
    </xf>
    <xf numFmtId="0" fontId="44" fillId="0" borderId="1" xfId="0" applyFont="1" applyBorder="1" applyAlignment="1">
      <alignment horizontal="left" wrapText="1"/>
    </xf>
    <xf numFmtId="0" fontId="45" fillId="0" borderId="0" xfId="0" applyFont="1" applyAlignment="1">
      <alignment horizontal="left"/>
    </xf>
    <xf numFmtId="0" fontId="44" fillId="0" borderId="0" xfId="0" applyFont="1" applyAlignment="1">
      <alignment horizontal="left" vertical="top" wrapText="1"/>
    </xf>
    <xf numFmtId="0" fontId="44" fillId="0" borderId="0" xfId="0" applyFont="1"/>
    <xf numFmtId="0" fontId="44" fillId="0" borderId="0" xfId="0" applyFont="1" applyBorder="1" applyAlignment="1">
      <alignment vertical="top" wrapText="1"/>
    </xf>
    <xf numFmtId="0" fontId="44" fillId="0" borderId="0" xfId="0" applyFont="1" applyAlignment="1">
      <alignment horizontal="left"/>
    </xf>
    <xf numFmtId="37" fontId="44" fillId="0" borderId="0" xfId="0" applyNumberFormat="1" applyFont="1" applyAlignment="1">
      <alignment horizontal="center"/>
    </xf>
    <xf numFmtId="37" fontId="45" fillId="0" borderId="5" xfId="0" applyNumberFormat="1" applyFont="1" applyBorder="1" applyAlignment="1">
      <alignment horizontal="left"/>
    </xf>
    <xf numFmtId="0" fontId="44" fillId="0" borderId="5" xfId="0" applyFont="1" applyBorder="1" applyAlignment="1">
      <alignment horizontal="left" vertical="top" wrapText="1"/>
    </xf>
    <xf numFmtId="0" fontId="22" fillId="0" borderId="0" xfId="0" applyFont="1" applyAlignment="1">
      <alignment horizontal="left"/>
    </xf>
    <xf numFmtId="0" fontId="46" fillId="0" borderId="0" xfId="0" applyFont="1" applyAlignment="1">
      <alignment horizontal="left" wrapText="1"/>
    </xf>
    <xf numFmtId="37" fontId="44" fillId="0" borderId="0" xfId="0" applyNumberFormat="1" applyFont="1" applyBorder="1" applyAlignment="1">
      <alignment horizontal="left"/>
    </xf>
    <xf numFmtId="8" fontId="22" fillId="0" borderId="0" xfId="0" applyNumberFormat="1" applyFont="1"/>
    <xf numFmtId="37" fontId="44" fillId="0" borderId="0" xfId="0" applyNumberFormat="1" applyFont="1" applyFill="1" applyAlignment="1">
      <alignment horizontal="center"/>
    </xf>
    <xf numFmtId="0" fontId="44" fillId="0" borderId="0" xfId="0" applyFont="1" applyFill="1" applyAlignment="1">
      <alignment horizontal="left" vertical="top" wrapText="1"/>
    </xf>
    <xf numFmtId="0" fontId="44" fillId="7" borderId="0" xfId="0" applyFont="1" applyFill="1" applyBorder="1" applyAlignment="1">
      <alignment horizontal="left" vertical="top" wrapText="1"/>
    </xf>
    <xf numFmtId="0" fontId="44" fillId="5" borderId="0" xfId="0" applyFont="1" applyFill="1" applyBorder="1" applyAlignment="1">
      <alignment horizontal="left" vertical="top" wrapText="1"/>
    </xf>
    <xf numFmtId="0" fontId="22" fillId="0" borderId="0" xfId="0" applyFont="1" applyBorder="1"/>
    <xf numFmtId="0" fontId="22" fillId="0" borderId="0" xfId="0" applyFont="1" applyBorder="1" applyAlignment="1">
      <alignment vertical="top"/>
    </xf>
    <xf numFmtId="37" fontId="44" fillId="0" borderId="0" xfId="0" applyNumberFormat="1" applyFont="1" applyBorder="1" applyAlignment="1">
      <alignment horizontal="center"/>
    </xf>
    <xf numFmtId="0" fontId="44" fillId="0" borderId="0" xfId="0" applyFont="1" applyBorder="1" applyAlignment="1">
      <alignment horizontal="left" vertical="top" wrapText="1"/>
    </xf>
    <xf numFmtId="0" fontId="44" fillId="7" borderId="0" xfId="0" applyFont="1" applyFill="1" applyAlignment="1">
      <alignment horizontal="left" vertical="top" wrapText="1"/>
    </xf>
    <xf numFmtId="9" fontId="22" fillId="0" borderId="0" xfId="0" applyNumberFormat="1" applyFont="1"/>
    <xf numFmtId="0" fontId="44" fillId="5" borderId="0" xfId="0" applyFont="1" applyFill="1" applyAlignment="1">
      <alignment horizontal="left" vertical="top" wrapText="1"/>
    </xf>
    <xf numFmtId="0" fontId="45" fillId="0" borderId="5" xfId="0" applyFont="1" applyBorder="1"/>
    <xf numFmtId="0" fontId="44" fillId="0" borderId="0" xfId="0" applyFont="1" applyBorder="1"/>
    <xf numFmtId="0" fontId="44" fillId="0" borderId="0" xfId="0" applyFont="1" applyAlignment="1">
      <alignment vertical="top" wrapText="1"/>
    </xf>
    <xf numFmtId="0" fontId="44" fillId="7" borderId="0" xfId="0" applyFont="1" applyFill="1" applyAlignment="1">
      <alignment vertical="top" wrapText="1"/>
    </xf>
    <xf numFmtId="0" fontId="44" fillId="5" borderId="0" xfId="0" applyFont="1" applyFill="1" applyAlignment="1">
      <alignment vertical="top" wrapText="1"/>
    </xf>
    <xf numFmtId="0" fontId="44" fillId="0" borderId="0" xfId="0" applyFont="1" applyFill="1" applyAlignment="1">
      <alignment vertical="top" wrapText="1"/>
    </xf>
    <xf numFmtId="0" fontId="44" fillId="0" borderId="6" xfId="0" applyFont="1" applyBorder="1"/>
    <xf numFmtId="0" fontId="44" fillId="5" borderId="6" xfId="0" applyFont="1" applyFill="1" applyBorder="1" applyAlignment="1">
      <alignment vertical="top" wrapText="1"/>
    </xf>
    <xf numFmtId="9" fontId="44" fillId="5" borderId="6" xfId="2" applyFont="1" applyFill="1" applyBorder="1"/>
    <xf numFmtId="0" fontId="22" fillId="0" borderId="0" xfId="0" applyFont="1" applyAlignment="1">
      <alignment horizontal="left" wrapText="1"/>
    </xf>
    <xf numFmtId="167" fontId="20" fillId="0" borderId="0" xfId="0" applyNumberFormat="1" applyFont="1" applyAlignment="1">
      <alignment vertical="center"/>
    </xf>
    <xf numFmtId="170" fontId="14" fillId="0" borderId="0" xfId="0" applyNumberFormat="1" applyFont="1" applyFill="1" applyBorder="1" applyAlignment="1">
      <alignment vertical="center"/>
    </xf>
    <xf numFmtId="2" fontId="44" fillId="0" borderId="0" xfId="3" applyNumberFormat="1" applyFont="1" applyBorder="1" applyAlignment="1">
      <alignment horizontal="right"/>
    </xf>
    <xf numFmtId="9" fontId="22" fillId="0" borderId="0" xfId="2" applyFont="1"/>
    <xf numFmtId="0" fontId="0" fillId="0" borderId="3" xfId="0" applyBorder="1" applyAlignment="1">
      <alignment horizontal="center"/>
    </xf>
    <xf numFmtId="0" fontId="0" fillId="0" borderId="3" xfId="0" applyBorder="1" applyAlignment="1">
      <alignment horizontal="center"/>
    </xf>
    <xf numFmtId="168" fontId="22" fillId="0" borderId="0" xfId="0" applyNumberFormat="1" applyFont="1"/>
    <xf numFmtId="2" fontId="22" fillId="0" borderId="0" xfId="0" applyNumberFormat="1" applyFont="1"/>
    <xf numFmtId="171" fontId="22" fillId="0" borderId="0" xfId="0" applyNumberFormat="1" applyFont="1"/>
    <xf numFmtId="1" fontId="22" fillId="0" borderId="0" xfId="0" applyNumberFormat="1" applyFont="1"/>
    <xf numFmtId="169" fontId="44" fillId="0" borderId="0" xfId="3" applyNumberFormat="1" applyFont="1" applyBorder="1" applyAlignment="1">
      <alignment horizontal="right"/>
    </xf>
    <xf numFmtId="0" fontId="48" fillId="0" borderId="0" xfId="0" applyFont="1" applyAlignment="1">
      <alignment horizontal="left"/>
    </xf>
    <xf numFmtId="0" fontId="48" fillId="0" borderId="0" xfId="0" applyFont="1" applyAlignment="1">
      <alignment horizontal="left" wrapText="1"/>
    </xf>
    <xf numFmtId="0" fontId="48" fillId="0" borderId="0" xfId="0" applyFont="1"/>
    <xf numFmtId="0" fontId="48" fillId="0" borderId="8" xfId="0" applyFont="1" applyBorder="1" applyAlignment="1">
      <alignment horizontal="left"/>
    </xf>
    <xf numFmtId="0" fontId="48" fillId="0" borderId="8" xfId="0" applyFont="1" applyBorder="1" applyAlignment="1">
      <alignment horizontal="left" wrapText="1"/>
    </xf>
    <xf numFmtId="0" fontId="49" fillId="0" borderId="0" xfId="0" applyFont="1" applyAlignment="1">
      <alignment horizontal="left"/>
    </xf>
    <xf numFmtId="0" fontId="48" fillId="0" borderId="0" xfId="0" applyFont="1" applyAlignment="1">
      <alignment horizontal="left" vertical="top" wrapText="1"/>
    </xf>
    <xf numFmtId="0" fontId="48" fillId="0" borderId="0" xfId="0" applyFont="1" applyBorder="1" applyAlignment="1">
      <alignment vertical="top" wrapText="1"/>
    </xf>
    <xf numFmtId="1" fontId="48" fillId="0" borderId="0" xfId="3" applyNumberFormat="1" applyFont="1" applyAlignment="1">
      <alignment horizontal="right"/>
    </xf>
    <xf numFmtId="171" fontId="48" fillId="0" borderId="0" xfId="3" applyNumberFormat="1" applyFont="1" applyAlignment="1">
      <alignment horizontal="right"/>
    </xf>
    <xf numFmtId="37" fontId="48" fillId="0" borderId="0" xfId="0" applyNumberFormat="1" applyFont="1" applyAlignment="1">
      <alignment horizontal="center"/>
    </xf>
    <xf numFmtId="1" fontId="48" fillId="0" borderId="0" xfId="3" applyNumberFormat="1" applyFont="1" applyFill="1" applyAlignment="1">
      <alignment horizontal="right"/>
    </xf>
    <xf numFmtId="1" fontId="48" fillId="8" borderId="0" xfId="0" applyNumberFormat="1" applyFont="1" applyFill="1" applyAlignment="1">
      <alignment horizontal="right"/>
    </xf>
    <xf numFmtId="1" fontId="48" fillId="0" borderId="0" xfId="0" applyNumberFormat="1" applyFont="1" applyAlignment="1">
      <alignment horizontal="right"/>
    </xf>
    <xf numFmtId="9" fontId="48" fillId="0" borderId="0" xfId="2" applyFont="1"/>
    <xf numFmtId="37" fontId="49" fillId="0" borderId="5" xfId="0" applyNumberFormat="1" applyFont="1" applyBorder="1" applyAlignment="1">
      <alignment horizontal="left"/>
    </xf>
    <xf numFmtId="0" fontId="48" fillId="0" borderId="5" xfId="0" applyFont="1" applyBorder="1" applyAlignment="1">
      <alignment horizontal="left" vertical="top" wrapText="1"/>
    </xf>
    <xf numFmtId="1" fontId="48" fillId="0" borderId="5" xfId="0" applyNumberFormat="1" applyFont="1" applyBorder="1" applyAlignment="1">
      <alignment horizontal="right"/>
    </xf>
    <xf numFmtId="0" fontId="50" fillId="0" borderId="0" xfId="0" applyFont="1" applyAlignment="1">
      <alignment horizontal="left" wrapText="1"/>
    </xf>
    <xf numFmtId="37" fontId="48" fillId="0" borderId="0" xfId="0" applyNumberFormat="1" applyFont="1" applyBorder="1" applyAlignment="1">
      <alignment horizontal="left"/>
    </xf>
    <xf numFmtId="170" fontId="48" fillId="0" borderId="0" xfId="0" applyNumberFormat="1" applyFont="1"/>
    <xf numFmtId="2" fontId="48" fillId="0" borderId="0" xfId="3" applyNumberFormat="1" applyFont="1" applyBorder="1" applyAlignment="1">
      <alignment horizontal="right"/>
    </xf>
    <xf numFmtId="8" fontId="48" fillId="0" borderId="0" xfId="0" applyNumberFormat="1" applyFont="1"/>
    <xf numFmtId="37" fontId="48" fillId="0" borderId="0" xfId="0" applyNumberFormat="1" applyFont="1" applyFill="1" applyAlignment="1">
      <alignment horizontal="center"/>
    </xf>
    <xf numFmtId="0" fontId="48" fillId="0" borderId="0" xfId="0" applyFont="1" applyFill="1" applyAlignment="1">
      <alignment horizontal="left" vertical="top" wrapText="1"/>
    </xf>
    <xf numFmtId="1" fontId="48" fillId="0" borderId="0" xfId="0" applyNumberFormat="1" applyFont="1" applyFill="1" applyAlignment="1">
      <alignment horizontal="right"/>
    </xf>
    <xf numFmtId="0" fontId="48" fillId="7" borderId="0" xfId="0" applyFont="1" applyFill="1" applyBorder="1" applyAlignment="1">
      <alignment horizontal="left" vertical="top" wrapText="1"/>
    </xf>
    <xf numFmtId="1" fontId="48" fillId="7" borderId="0" xfId="3" applyNumberFormat="1" applyFont="1" applyFill="1" applyAlignment="1">
      <alignment horizontal="right"/>
    </xf>
    <xf numFmtId="1" fontId="48" fillId="7" borderId="0" xfId="3" applyNumberFormat="1" applyFont="1" applyFill="1" applyBorder="1" applyAlignment="1">
      <alignment horizontal="right"/>
    </xf>
    <xf numFmtId="37" fontId="48" fillId="0" borderId="0" xfId="0" applyNumberFormat="1" applyFont="1" applyFill="1" applyAlignment="1">
      <alignment horizontal="center" vertical="top"/>
    </xf>
    <xf numFmtId="0" fontId="48" fillId="5" borderId="0" xfId="0" applyFont="1" applyFill="1" applyBorder="1" applyAlignment="1">
      <alignment horizontal="left" vertical="top" wrapText="1"/>
    </xf>
    <xf numFmtId="1" fontId="48" fillId="5" borderId="0" xfId="3" applyNumberFormat="1" applyFont="1" applyFill="1" applyBorder="1" applyAlignment="1">
      <alignment horizontal="right"/>
    </xf>
    <xf numFmtId="0" fontId="48" fillId="0" borderId="0" xfId="0" applyFont="1" applyBorder="1"/>
    <xf numFmtId="0" fontId="48" fillId="0" borderId="0" xfId="0" applyFont="1" applyBorder="1" applyAlignment="1">
      <alignment vertical="top"/>
    </xf>
    <xf numFmtId="1" fontId="48" fillId="0" borderId="0" xfId="0" applyNumberFormat="1" applyFont="1" applyBorder="1"/>
    <xf numFmtId="0" fontId="48" fillId="0" borderId="0" xfId="0" applyFont="1" applyBorder="1" applyAlignment="1">
      <alignment horizontal="left" vertical="top" wrapText="1"/>
    </xf>
    <xf numFmtId="1" fontId="48" fillId="0" borderId="0" xfId="3" applyNumberFormat="1" applyFont="1" applyFill="1" applyBorder="1" applyAlignment="1">
      <alignment horizontal="right"/>
    </xf>
    <xf numFmtId="1" fontId="48" fillId="8" borderId="0" xfId="0" applyNumberFormat="1" applyFont="1" applyFill="1" applyBorder="1" applyAlignment="1">
      <alignment horizontal="right"/>
    </xf>
    <xf numFmtId="0" fontId="48" fillId="7" borderId="0" xfId="0" applyFont="1" applyFill="1" applyAlignment="1">
      <alignment horizontal="left" vertical="top" wrapText="1"/>
    </xf>
    <xf numFmtId="9" fontId="48" fillId="0" borderId="0" xfId="0" applyNumberFormat="1" applyFont="1"/>
    <xf numFmtId="0" fontId="48" fillId="5" borderId="0" xfId="0" applyFont="1" applyFill="1" applyAlignment="1">
      <alignment horizontal="left" vertical="top" wrapText="1"/>
    </xf>
    <xf numFmtId="1" fontId="48" fillId="5" borderId="0" xfId="3" applyNumberFormat="1" applyFont="1" applyFill="1" applyAlignment="1">
      <alignment horizontal="right"/>
    </xf>
    <xf numFmtId="1" fontId="48" fillId="8" borderId="0" xfId="0" applyNumberFormat="1" applyFont="1" applyFill="1"/>
    <xf numFmtId="1" fontId="48" fillId="0" borderId="0" xfId="0" applyNumberFormat="1" applyFont="1"/>
    <xf numFmtId="0" fontId="49" fillId="0" borderId="5" xfId="0" applyFont="1" applyBorder="1"/>
    <xf numFmtId="1" fontId="48" fillId="0" borderId="5" xfId="0" applyNumberFormat="1" applyFont="1" applyBorder="1"/>
    <xf numFmtId="0" fontId="48" fillId="0" borderId="0" xfId="0" applyFont="1" applyAlignment="1">
      <alignment vertical="top" wrapText="1"/>
    </xf>
    <xf numFmtId="9" fontId="48" fillId="0" borderId="0" xfId="2" applyFont="1" applyFill="1"/>
    <xf numFmtId="9" fontId="48" fillId="0" borderId="0" xfId="2" applyNumberFormat="1" applyFont="1" applyFill="1"/>
    <xf numFmtId="0" fontId="48" fillId="7" borderId="0" xfId="0" applyFont="1" applyFill="1" applyAlignment="1">
      <alignment vertical="top" wrapText="1"/>
    </xf>
    <xf numFmtId="9" fontId="48" fillId="7" borderId="0" xfId="2" applyFont="1" applyFill="1"/>
    <xf numFmtId="0" fontId="48" fillId="5" borderId="0" xfId="0" applyFont="1" applyFill="1" applyAlignment="1">
      <alignment vertical="top" wrapText="1"/>
    </xf>
    <xf numFmtId="9" fontId="48" fillId="5" borderId="0" xfId="2" applyFont="1" applyFill="1"/>
    <xf numFmtId="0" fontId="48" fillId="0" borderId="0" xfId="0" applyFont="1" applyFill="1" applyAlignment="1">
      <alignment vertical="top" wrapText="1"/>
    </xf>
    <xf numFmtId="9" fontId="48" fillId="8" borderId="0" xfId="2" applyFont="1" applyFill="1"/>
    <xf numFmtId="9" fontId="48" fillId="0" borderId="0" xfId="2" applyFont="1" applyAlignment="1">
      <alignment horizontal="right"/>
    </xf>
    <xf numFmtId="9" fontId="48" fillId="7" borderId="0" xfId="2" applyFont="1" applyFill="1" applyAlignment="1">
      <alignment horizontal="right"/>
    </xf>
    <xf numFmtId="0" fontId="48" fillId="0" borderId="6" xfId="0" applyFont="1" applyBorder="1"/>
    <xf numFmtId="0" fontId="48" fillId="5" borderId="6" xfId="0" applyFont="1" applyFill="1" applyBorder="1" applyAlignment="1">
      <alignment vertical="top" wrapText="1"/>
    </xf>
    <xf numFmtId="9" fontId="48" fillId="5" borderId="6" xfId="2" applyFont="1" applyFill="1" applyBorder="1"/>
    <xf numFmtId="169" fontId="22" fillId="0" borderId="0" xfId="0" applyNumberFormat="1" applyFont="1"/>
    <xf numFmtId="172" fontId="0" fillId="0" borderId="0" xfId="0" applyNumberFormat="1" applyFont="1"/>
    <xf numFmtId="4" fontId="0" fillId="0" borderId="0" xfId="0" applyNumberFormat="1" applyFont="1"/>
    <xf numFmtId="37" fontId="0" fillId="0" borderId="0" xfId="0" applyNumberFormat="1" applyFont="1" applyAlignment="1">
      <alignment horizontal="left"/>
    </xf>
    <xf numFmtId="2" fontId="0" fillId="0" borderId="0" xfId="0" applyNumberFormat="1"/>
    <xf numFmtId="1" fontId="26" fillId="0" borderId="0" xfId="0" applyNumberFormat="1" applyFont="1"/>
    <xf numFmtId="0" fontId="48" fillId="0" borderId="8" xfId="0" applyFont="1" applyBorder="1" applyAlignment="1">
      <alignment horizontal="right"/>
    </xf>
    <xf numFmtId="0" fontId="0" fillId="0" borderId="3" xfId="0" applyBorder="1" applyAlignment="1">
      <alignment horizontal="center"/>
    </xf>
    <xf numFmtId="170" fontId="22" fillId="0" borderId="0" xfId="0" applyNumberFormat="1" applyFont="1"/>
    <xf numFmtId="0" fontId="0" fillId="0" borderId="3" xfId="0" applyBorder="1" applyAlignment="1">
      <alignment horizontal="center"/>
    </xf>
    <xf numFmtId="1" fontId="0" fillId="5" borderId="0" xfId="0" applyNumberFormat="1" applyFill="1"/>
    <xf numFmtId="2" fontId="0" fillId="5" borderId="0" xfId="0" applyNumberFormat="1" applyFill="1"/>
    <xf numFmtId="0" fontId="0" fillId="11" borderId="0" xfId="0" applyFill="1"/>
    <xf numFmtId="2" fontId="0" fillId="11" borderId="0" xfId="0" applyNumberFormat="1" applyFill="1"/>
    <xf numFmtId="0" fontId="26" fillId="0" borderId="0" xfId="0" applyFont="1" applyBorder="1"/>
    <xf numFmtId="0" fontId="26" fillId="0" borderId="1" xfId="0" applyFont="1" applyBorder="1"/>
    <xf numFmtId="173" fontId="0" fillId="0" borderId="0" xfId="2" applyNumberFormat="1" applyFont="1"/>
    <xf numFmtId="9" fontId="0" fillId="0" borderId="0" xfId="2" applyNumberFormat="1" applyFont="1"/>
    <xf numFmtId="0" fontId="0" fillId="0" borderId="9" xfId="0" applyBorder="1"/>
    <xf numFmtId="0" fontId="0" fillId="0" borderId="10" xfId="0" applyBorder="1"/>
    <xf numFmtId="2" fontId="0" fillId="0" borderId="0" xfId="0" applyNumberFormat="1" applyBorder="1"/>
    <xf numFmtId="167" fontId="44" fillId="8" borderId="0" xfId="1" applyNumberFormat="1" applyFont="1" applyFill="1" applyAlignment="1">
      <alignment horizontal="right"/>
    </xf>
    <xf numFmtId="173" fontId="0" fillId="0" borderId="0" xfId="2" applyNumberFormat="1" applyFont="1" applyBorder="1"/>
    <xf numFmtId="0" fontId="52"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2" fontId="0" fillId="0" borderId="15" xfId="0" applyNumberFormat="1" applyBorder="1"/>
    <xf numFmtId="173" fontId="0" fillId="0" borderId="15" xfId="2" applyNumberFormat="1" applyFont="1" applyBorder="1"/>
    <xf numFmtId="0" fontId="0" fillId="0" borderId="16" xfId="0" applyBorder="1"/>
    <xf numFmtId="9" fontId="0" fillId="0" borderId="17" xfId="2" applyNumberFormat="1" applyFont="1" applyBorder="1"/>
    <xf numFmtId="9" fontId="0" fillId="0" borderId="18" xfId="2" applyNumberFormat="1" applyFont="1" applyBorder="1"/>
    <xf numFmtId="0" fontId="0" fillId="0" borderId="0" xfId="0" applyFill="1"/>
    <xf numFmtId="2" fontId="0" fillId="0" borderId="0" xfId="0" applyNumberFormat="1" applyFill="1"/>
    <xf numFmtId="1" fontId="44" fillId="0" borderId="0" xfId="1" applyNumberFormat="1" applyFont="1" applyFill="1" applyAlignment="1">
      <alignment horizontal="right"/>
    </xf>
    <xf numFmtId="1" fontId="44" fillId="0" borderId="0" xfId="1" applyNumberFormat="1" applyFont="1" applyAlignment="1">
      <alignment horizontal="right"/>
    </xf>
    <xf numFmtId="1" fontId="44" fillId="7" borderId="0" xfId="1" applyNumberFormat="1" applyFont="1" applyFill="1" applyAlignment="1">
      <alignment horizontal="right"/>
    </xf>
    <xf numFmtId="1" fontId="44" fillId="7" borderId="0" xfId="1" applyNumberFormat="1" applyFont="1" applyFill="1" applyBorder="1" applyAlignment="1">
      <alignment horizontal="right"/>
    </xf>
    <xf numFmtId="1" fontId="44" fillId="5" borderId="0" xfId="1" applyNumberFormat="1" applyFont="1" applyFill="1" applyBorder="1" applyAlignment="1">
      <alignment horizontal="right"/>
    </xf>
    <xf numFmtId="1" fontId="44" fillId="8" borderId="0" xfId="1" applyNumberFormat="1" applyFont="1" applyFill="1" applyAlignment="1">
      <alignment horizontal="right"/>
    </xf>
    <xf numFmtId="1" fontId="22" fillId="0" borderId="0" xfId="1" applyNumberFormat="1" applyFont="1" applyBorder="1"/>
    <xf numFmtId="1" fontId="44" fillId="0" borderId="0" xfId="1" applyNumberFormat="1" applyFont="1" applyFill="1" applyBorder="1" applyAlignment="1">
      <alignment horizontal="right"/>
    </xf>
    <xf numFmtId="1" fontId="44" fillId="5" borderId="0" xfId="1" applyNumberFormat="1" applyFont="1" applyFill="1" applyAlignment="1">
      <alignment horizontal="right"/>
    </xf>
    <xf numFmtId="0" fontId="0" fillId="5" borderId="0" xfId="0" applyFill="1" applyBorder="1" applyAlignment="1"/>
    <xf numFmtId="0" fontId="0" fillId="0" borderId="0" xfId="0" applyAlignment="1">
      <alignment horizontal="center"/>
    </xf>
    <xf numFmtId="0" fontId="0" fillId="5" borderId="1" xfId="0" applyFill="1" applyBorder="1" applyAlignment="1"/>
    <xf numFmtId="0" fontId="0" fillId="0" borderId="3" xfId="0" applyBorder="1" applyAlignment="1">
      <alignment horizontal="left"/>
    </xf>
    <xf numFmtId="0" fontId="44" fillId="0" borderId="3" xfId="0" applyFont="1" applyBorder="1" applyAlignment="1">
      <alignment horizontal="right"/>
    </xf>
    <xf numFmtId="6" fontId="0" fillId="0" borderId="0" xfId="0" applyNumberFormat="1"/>
    <xf numFmtId="9" fontId="0" fillId="0" borderId="0" xfId="2" applyFont="1"/>
    <xf numFmtId="9" fontId="0" fillId="12" borderId="0" xfId="0" applyNumberFormat="1" applyFill="1"/>
    <xf numFmtId="0" fontId="0" fillId="0" borderId="0" xfId="0" applyFill="1" applyBorder="1" applyAlignment="1">
      <alignment horizontal="center"/>
    </xf>
    <xf numFmtId="0" fontId="0" fillId="0" borderId="19" xfId="0" applyBorder="1" applyAlignment="1"/>
    <xf numFmtId="0" fontId="0" fillId="0" borderId="19" xfId="0" applyBorder="1" applyAlignment="1">
      <alignment horizontal="center"/>
    </xf>
    <xf numFmtId="1" fontId="0" fillId="10" borderId="10" xfId="0" applyNumberFormat="1" applyFill="1" applyBorder="1"/>
    <xf numFmtId="1" fontId="0" fillId="0" borderId="10" xfId="0" applyNumberFormat="1" applyBorder="1"/>
    <xf numFmtId="0" fontId="0" fillId="0" borderId="0" xfId="0" applyAlignment="1"/>
    <xf numFmtId="2" fontId="0" fillId="12" borderId="0" xfId="0" applyNumberFormat="1" applyFill="1" applyAlignment="1"/>
    <xf numFmtId="0" fontId="26" fillId="0" borderId="0" xfId="0" applyFont="1" applyBorder="1" applyAlignment="1">
      <alignment horizontal="center"/>
    </xf>
    <xf numFmtId="0" fontId="0" fillId="12" borderId="0" xfId="0" applyFill="1" applyAlignment="1">
      <alignment horizontal="center" wrapText="1"/>
    </xf>
    <xf numFmtId="8" fontId="0" fillId="0" borderId="0" xfId="0" applyNumberFormat="1"/>
    <xf numFmtId="0" fontId="0" fillId="0" borderId="0" xfId="0" applyAlignment="1">
      <alignment horizontal="right"/>
    </xf>
    <xf numFmtId="175" fontId="14" fillId="0" borderId="5" xfId="1" applyNumberFormat="1" applyFont="1" applyFill="1" applyBorder="1" applyAlignment="1">
      <alignment horizontal="center"/>
    </xf>
    <xf numFmtId="175" fontId="14" fillId="0" borderId="1" xfId="1" applyNumberFormat="1" applyFont="1" applyFill="1" applyBorder="1" applyAlignment="1">
      <alignment horizontal="center"/>
    </xf>
    <xf numFmtId="9" fontId="0" fillId="0" borderId="0" xfId="0" applyNumberFormat="1" applyBorder="1" applyAlignment="1"/>
    <xf numFmtId="43" fontId="6" fillId="0" borderId="0" xfId="0" applyNumberFormat="1" applyFont="1" applyAlignment="1">
      <alignment vertical="top" wrapText="1"/>
    </xf>
    <xf numFmtId="164" fontId="7" fillId="0" borderId="0" xfId="0" applyNumberFormat="1" applyFont="1" applyAlignment="1">
      <alignment vertical="top" wrapText="1"/>
    </xf>
    <xf numFmtId="43" fontId="7" fillId="0" borderId="0" xfId="1" applyFont="1" applyAlignment="1">
      <alignment horizontal="center" vertical="top"/>
    </xf>
    <xf numFmtId="43" fontId="7" fillId="0" borderId="0" xfId="0" applyNumberFormat="1" applyFont="1" applyAlignment="1">
      <alignment horizontal="center" vertical="top"/>
    </xf>
    <xf numFmtId="176" fontId="7" fillId="0" borderId="0" xfId="0" applyNumberFormat="1" applyFont="1" applyAlignment="1">
      <alignment vertical="top"/>
    </xf>
    <xf numFmtId="0" fontId="15" fillId="0" borderId="3" xfId="0" applyFont="1" applyFill="1" applyBorder="1" applyAlignment="1">
      <alignment vertical="center" wrapText="1"/>
    </xf>
    <xf numFmtId="169" fontId="14" fillId="0" borderId="0" xfId="0" applyNumberFormat="1" applyFont="1" applyFill="1" applyBorder="1"/>
    <xf numFmtId="169" fontId="14" fillId="0" borderId="0" xfId="0" applyNumberFormat="1" applyFont="1"/>
    <xf numFmtId="168" fontId="48" fillId="0" borderId="0" xfId="0" applyNumberFormat="1" applyFont="1"/>
    <xf numFmtId="2" fontId="48" fillId="0" borderId="0" xfId="0" applyNumberFormat="1" applyFont="1"/>
    <xf numFmtId="9" fontId="0" fillId="12" borderId="3" xfId="0" applyNumberFormat="1" applyFill="1" applyBorder="1" applyAlignment="1"/>
    <xf numFmtId="1" fontId="0" fillId="0" borderId="0" xfId="0" applyNumberFormat="1" applyFill="1"/>
    <xf numFmtId="37" fontId="48" fillId="0" borderId="0" xfId="0" applyNumberFormat="1" applyFont="1" applyAlignment="1">
      <alignment horizontal="center" vertical="top"/>
    </xf>
    <xf numFmtId="37" fontId="48" fillId="0" borderId="0" xfId="0" applyNumberFormat="1" applyFont="1" applyBorder="1" applyAlignment="1">
      <alignment horizontal="center" vertical="top"/>
    </xf>
    <xf numFmtId="0" fontId="48" fillId="0" borderId="0" xfId="0" applyFont="1" applyAlignment="1">
      <alignment horizontal="left" vertical="top"/>
    </xf>
    <xf numFmtId="167" fontId="14" fillId="0" borderId="0" xfId="0" applyNumberFormat="1" applyFont="1" applyFill="1" applyBorder="1"/>
    <xf numFmtId="0" fontId="55" fillId="13" borderId="20" xfId="0" applyFont="1" applyFill="1" applyBorder="1" applyAlignment="1">
      <alignment wrapText="1"/>
    </xf>
    <xf numFmtId="0" fontId="55" fillId="0" borderId="0" xfId="0" applyFont="1"/>
    <xf numFmtId="178" fontId="0" fillId="0" borderId="20" xfId="0" applyNumberFormat="1" applyBorder="1"/>
    <xf numFmtId="0" fontId="0" fillId="0" borderId="20" xfId="0" applyBorder="1"/>
    <xf numFmtId="0" fontId="55" fillId="13" borderId="21" xfId="0" applyFont="1" applyFill="1" applyBorder="1" applyAlignment="1">
      <alignment wrapText="1"/>
    </xf>
    <xf numFmtId="0" fontId="55" fillId="13" borderId="22" xfId="0" applyFont="1" applyFill="1" applyBorder="1" applyAlignment="1">
      <alignment wrapText="1"/>
    </xf>
    <xf numFmtId="0" fontId="55" fillId="13" borderId="23" xfId="0" applyFont="1" applyFill="1" applyBorder="1" applyAlignment="1">
      <alignment wrapText="1"/>
    </xf>
    <xf numFmtId="0" fontId="0" fillId="0" borderId="24" xfId="0" applyBorder="1"/>
    <xf numFmtId="0" fontId="55" fillId="0" borderId="24" xfId="0" applyFont="1" applyBorder="1"/>
    <xf numFmtId="0" fontId="0" fillId="0" borderId="26" xfId="0" applyBorder="1"/>
    <xf numFmtId="0" fontId="0" fillId="0" borderId="27" xfId="0" applyBorder="1"/>
    <xf numFmtId="0" fontId="0" fillId="0" borderId="28" xfId="0" applyBorder="1"/>
    <xf numFmtId="0" fontId="55" fillId="0" borderId="0" xfId="0" applyFont="1" applyAlignment="1">
      <alignment horizontal="left"/>
    </xf>
    <xf numFmtId="0" fontId="17" fillId="0" borderId="1" xfId="0" applyFont="1" applyFill="1" applyBorder="1" applyAlignment="1">
      <alignment vertical="center" wrapText="1"/>
    </xf>
    <xf numFmtId="167" fontId="8" fillId="0" borderId="0" xfId="0" applyNumberFormat="1" applyFont="1" applyFill="1" applyBorder="1" applyProtection="1">
      <protection locked="0"/>
    </xf>
    <xf numFmtId="43" fontId="8" fillId="0" borderId="0" xfId="0" applyNumberFormat="1" applyFont="1" applyFill="1" applyBorder="1" applyProtection="1">
      <protection locked="0"/>
    </xf>
    <xf numFmtId="43" fontId="0" fillId="0" borderId="0" xfId="0" applyNumberFormat="1" applyFont="1"/>
    <xf numFmtId="179" fontId="8" fillId="0" borderId="0" xfId="0" applyNumberFormat="1" applyFont="1" applyFill="1" applyBorder="1" applyProtection="1">
      <protection locked="0"/>
    </xf>
    <xf numFmtId="177" fontId="8" fillId="0" borderId="0" xfId="0" applyNumberFormat="1" applyFont="1" applyFill="1" applyBorder="1" applyProtection="1">
      <protection locked="0"/>
    </xf>
    <xf numFmtId="180" fontId="8" fillId="0" borderId="0" xfId="0" applyNumberFormat="1" applyFont="1" applyFill="1" applyBorder="1" applyProtection="1">
      <protection locked="0"/>
    </xf>
    <xf numFmtId="2" fontId="14" fillId="0" borderId="0" xfId="0" applyNumberFormat="1" applyFont="1" applyFill="1" applyBorder="1"/>
    <xf numFmtId="0" fontId="14" fillId="6" borderId="27" xfId="0" applyFont="1" applyFill="1" applyBorder="1"/>
    <xf numFmtId="0" fontId="9" fillId="0" borderId="6" xfId="0" applyFont="1" applyBorder="1" applyAlignment="1">
      <alignment horizontal="left"/>
    </xf>
    <xf numFmtId="0" fontId="0" fillId="0" borderId="6" xfId="0" applyFont="1" applyBorder="1" applyAlignment="1">
      <alignment horizontal="left" wrapText="1"/>
    </xf>
    <xf numFmtId="0" fontId="0" fillId="0" borderId="6" xfId="0" applyFont="1" applyBorder="1"/>
    <xf numFmtId="0" fontId="56" fillId="0" borderId="1" xfId="0" applyFont="1" applyBorder="1" applyAlignment="1">
      <alignment horizontal="left"/>
    </xf>
    <xf numFmtId="0" fontId="56" fillId="0" borderId="1" xfId="0" applyFont="1" applyBorder="1" applyAlignment="1">
      <alignment horizontal="left" wrapText="1"/>
    </xf>
    <xf numFmtId="0" fontId="56" fillId="0" borderId="3" xfId="0" applyFont="1" applyBorder="1" applyAlignment="1">
      <alignment horizontal="right"/>
    </xf>
    <xf numFmtId="0" fontId="57" fillId="0" borderId="0" xfId="0" applyFont="1" applyAlignment="1">
      <alignment horizontal="left"/>
    </xf>
    <xf numFmtId="0" fontId="56" fillId="0" borderId="0" xfId="0" applyFont="1" applyAlignment="1">
      <alignment horizontal="left" vertical="top" wrapText="1"/>
    </xf>
    <xf numFmtId="0" fontId="56" fillId="0" borderId="0" xfId="0" applyFont="1"/>
    <xf numFmtId="0" fontId="56" fillId="0" borderId="0" xfId="0" applyFont="1" applyBorder="1" applyAlignment="1">
      <alignment vertical="top" wrapText="1"/>
    </xf>
    <xf numFmtId="1" fontId="56" fillId="0" borderId="0" xfId="3" applyNumberFormat="1" applyFont="1" applyAlignment="1">
      <alignment horizontal="right"/>
    </xf>
    <xf numFmtId="2" fontId="0" fillId="0" borderId="0" xfId="0" applyNumberFormat="1" applyFont="1"/>
    <xf numFmtId="0" fontId="58" fillId="0" borderId="0" xfId="0" applyFont="1"/>
    <xf numFmtId="1" fontId="0" fillId="0" borderId="0" xfId="0" applyNumberFormat="1" applyFont="1"/>
    <xf numFmtId="171" fontId="0" fillId="0" borderId="0" xfId="0" applyNumberFormat="1" applyFont="1"/>
    <xf numFmtId="0" fontId="0" fillId="0" borderId="0" xfId="0" applyFont="1" applyAlignment="1">
      <alignment horizontal="right"/>
    </xf>
    <xf numFmtId="6" fontId="0" fillId="0" borderId="0" xfId="0" applyNumberFormat="1" applyFont="1" applyAlignment="1">
      <alignment horizontal="right"/>
    </xf>
    <xf numFmtId="9" fontId="0" fillId="0" borderId="0" xfId="0" applyNumberFormat="1" applyFont="1" applyAlignment="1">
      <alignment horizontal="right"/>
    </xf>
    <xf numFmtId="168" fontId="0" fillId="0" borderId="0" xfId="0" applyNumberFormat="1" applyFont="1"/>
    <xf numFmtId="0" fontId="56" fillId="0" borderId="0" xfId="0" applyFont="1" applyAlignment="1">
      <alignment horizontal="left"/>
    </xf>
    <xf numFmtId="37" fontId="56" fillId="0" borderId="0" xfId="0" applyNumberFormat="1" applyFont="1" applyAlignment="1">
      <alignment horizontal="center" vertical="top"/>
    </xf>
    <xf numFmtId="1" fontId="56" fillId="0" borderId="0" xfId="3" applyNumberFormat="1" applyFont="1" applyFill="1" applyAlignment="1">
      <alignment horizontal="right"/>
    </xf>
    <xf numFmtId="37" fontId="56" fillId="0" borderId="0" xfId="0" applyNumberFormat="1" applyFont="1" applyAlignment="1">
      <alignment horizontal="center"/>
    </xf>
    <xf numFmtId="1" fontId="56" fillId="8" borderId="0" xfId="0" applyNumberFormat="1" applyFont="1" applyFill="1" applyAlignment="1">
      <alignment horizontal="right"/>
    </xf>
    <xf numFmtId="1" fontId="56" fillId="0" borderId="0" xfId="0" applyNumberFormat="1" applyFont="1" applyAlignment="1">
      <alignment horizontal="right"/>
    </xf>
    <xf numFmtId="37" fontId="57" fillId="0" borderId="5" xfId="0" applyNumberFormat="1" applyFont="1" applyBorder="1" applyAlignment="1">
      <alignment horizontal="left"/>
    </xf>
    <xf numFmtId="0" fontId="56" fillId="0" borderId="5" xfId="0" applyFont="1" applyBorder="1" applyAlignment="1">
      <alignment horizontal="left" vertical="top" wrapText="1"/>
    </xf>
    <xf numFmtId="1" fontId="56" fillId="0" borderId="5" xfId="0" applyNumberFormat="1" applyFont="1" applyBorder="1" applyAlignment="1">
      <alignment horizontal="right"/>
    </xf>
    <xf numFmtId="0" fontId="59" fillId="0" borderId="0" xfId="0" applyFont="1" applyAlignment="1">
      <alignment horizontal="left" wrapText="1"/>
    </xf>
    <xf numFmtId="37" fontId="56" fillId="0" borderId="0" xfId="0" applyNumberFormat="1" applyFont="1" applyBorder="1" applyAlignment="1">
      <alignment horizontal="left"/>
    </xf>
    <xf numFmtId="169" fontId="0" fillId="0" borderId="0" xfId="0" applyNumberFormat="1" applyFont="1"/>
    <xf numFmtId="170" fontId="56" fillId="0" borderId="0" xfId="3" applyNumberFormat="1" applyFont="1" applyBorder="1" applyAlignment="1">
      <alignment horizontal="right"/>
    </xf>
    <xf numFmtId="169" fontId="56" fillId="0" borderId="0" xfId="3" applyNumberFormat="1" applyFont="1" applyBorder="1" applyAlignment="1">
      <alignment horizontal="right"/>
    </xf>
    <xf numFmtId="2" fontId="56" fillId="0" borderId="0" xfId="3" applyNumberFormat="1" applyFont="1" applyBorder="1" applyAlignment="1">
      <alignment horizontal="right"/>
    </xf>
    <xf numFmtId="8" fontId="0" fillId="0" borderId="0" xfId="0" applyNumberFormat="1" applyFont="1"/>
    <xf numFmtId="37" fontId="56" fillId="0" borderId="0" xfId="0" applyNumberFormat="1" applyFont="1" applyFill="1" applyAlignment="1">
      <alignment horizontal="center" vertical="top"/>
    </xf>
    <xf numFmtId="0" fontId="56" fillId="7" borderId="0" xfId="0" applyFont="1" applyFill="1" applyBorder="1" applyAlignment="1">
      <alignment horizontal="left" vertical="top" wrapText="1"/>
    </xf>
    <xf numFmtId="1" fontId="56" fillId="7" borderId="0" xfId="3" applyNumberFormat="1" applyFont="1" applyFill="1" applyAlignment="1">
      <alignment horizontal="right"/>
    </xf>
    <xf numFmtId="0" fontId="56" fillId="0" borderId="0" xfId="0" applyFont="1" applyAlignment="1">
      <alignment horizontal="left" vertical="top"/>
    </xf>
    <xf numFmtId="1" fontId="56" fillId="7" borderId="0" xfId="3" applyNumberFormat="1" applyFont="1" applyFill="1" applyBorder="1" applyAlignment="1">
      <alignment horizontal="right"/>
    </xf>
    <xf numFmtId="0" fontId="56" fillId="5" borderId="0" xfId="0" applyFont="1" applyFill="1" applyBorder="1" applyAlignment="1">
      <alignment horizontal="left" vertical="top" wrapText="1"/>
    </xf>
    <xf numFmtId="1" fontId="56" fillId="5" borderId="0" xfId="3" applyNumberFormat="1" applyFont="1" applyFill="1" applyBorder="1" applyAlignment="1">
      <alignment horizontal="right"/>
    </xf>
    <xf numFmtId="0" fontId="56" fillId="0" borderId="0" xfId="0" applyFont="1" applyFill="1" applyAlignment="1">
      <alignment horizontal="left" vertical="top" wrapText="1"/>
    </xf>
    <xf numFmtId="0" fontId="0" fillId="0" borderId="0" xfId="0" applyFont="1" applyBorder="1" applyAlignment="1">
      <alignment vertical="top"/>
    </xf>
    <xf numFmtId="37" fontId="56" fillId="0" borderId="0" xfId="0" applyNumberFormat="1" applyFont="1" applyBorder="1" applyAlignment="1">
      <alignment horizontal="center" vertical="top"/>
    </xf>
    <xf numFmtId="0" fontId="56" fillId="0" borderId="0" xfId="0" applyFont="1" applyBorder="1" applyAlignment="1">
      <alignment horizontal="left" vertical="top" wrapText="1"/>
    </xf>
    <xf numFmtId="1" fontId="56" fillId="0" borderId="0" xfId="3" applyNumberFormat="1" applyFont="1" applyFill="1" applyBorder="1" applyAlignment="1">
      <alignment horizontal="right"/>
    </xf>
    <xf numFmtId="1" fontId="56" fillId="8" borderId="0" xfId="0" applyNumberFormat="1" applyFont="1" applyFill="1" applyBorder="1" applyAlignment="1">
      <alignment horizontal="right"/>
    </xf>
    <xf numFmtId="0" fontId="56" fillId="7" borderId="0" xfId="0" applyFont="1" applyFill="1" applyAlignment="1">
      <alignment horizontal="left" vertical="top" wrapText="1"/>
    </xf>
    <xf numFmtId="37" fontId="56" fillId="0" borderId="0" xfId="0" applyNumberFormat="1" applyFont="1" applyFill="1" applyAlignment="1">
      <alignment horizontal="center"/>
    </xf>
    <xf numFmtId="9" fontId="0" fillId="0" borderId="0" xfId="0" applyNumberFormat="1" applyFont="1"/>
    <xf numFmtId="0" fontId="56" fillId="5" borderId="0" xfId="0" applyFont="1" applyFill="1" applyAlignment="1">
      <alignment horizontal="left" vertical="top" wrapText="1"/>
    </xf>
    <xf numFmtId="1" fontId="56" fillId="5" borderId="0" xfId="3" applyNumberFormat="1" applyFont="1" applyFill="1" applyAlignment="1">
      <alignment horizontal="right"/>
    </xf>
    <xf numFmtId="1" fontId="56" fillId="8" borderId="0" xfId="0" applyNumberFormat="1" applyFont="1" applyFill="1"/>
    <xf numFmtId="1" fontId="56" fillId="0" borderId="0" xfId="0" applyNumberFormat="1" applyFont="1"/>
    <xf numFmtId="0" fontId="57" fillId="0" borderId="5" xfId="0" applyFont="1" applyBorder="1"/>
    <xf numFmtId="1" fontId="56" fillId="0" borderId="5" xfId="0" applyNumberFormat="1" applyFont="1" applyBorder="1"/>
    <xf numFmtId="0" fontId="56" fillId="0" borderId="0" xfId="0" applyFont="1" applyBorder="1"/>
    <xf numFmtId="1" fontId="56" fillId="0" borderId="0" xfId="0" applyNumberFormat="1" applyFont="1" applyBorder="1"/>
    <xf numFmtId="0" fontId="56" fillId="0" borderId="0" xfId="0" applyFont="1" applyAlignment="1">
      <alignment vertical="top" wrapText="1"/>
    </xf>
    <xf numFmtId="9" fontId="56" fillId="0" borderId="0" xfId="2" applyNumberFormat="1" applyFont="1" applyFill="1"/>
    <xf numFmtId="9" fontId="56" fillId="12" borderId="0" xfId="2" applyNumberFormat="1" applyFont="1" applyFill="1" applyAlignment="1">
      <alignment horizontal="right"/>
    </xf>
    <xf numFmtId="174" fontId="0" fillId="0" borderId="0" xfId="0" applyNumberFormat="1" applyFont="1"/>
    <xf numFmtId="9" fontId="56" fillId="0" borderId="0" xfId="2" applyFont="1" applyFill="1"/>
    <xf numFmtId="0" fontId="56" fillId="7" borderId="0" xfId="0" applyFont="1" applyFill="1" applyAlignment="1">
      <alignment vertical="top" wrapText="1"/>
    </xf>
    <xf numFmtId="9" fontId="56" fillId="7" borderId="0" xfId="2" applyFont="1" applyFill="1"/>
    <xf numFmtId="0" fontId="56" fillId="5" borderId="0" xfId="0" applyFont="1" applyFill="1" applyAlignment="1">
      <alignment vertical="top" wrapText="1"/>
    </xf>
    <xf numFmtId="9" fontId="56" fillId="5" borderId="0" xfId="2" applyFont="1" applyFill="1"/>
    <xf numFmtId="0" fontId="56" fillId="0" borderId="0" xfId="0" applyFont="1" applyFill="1" applyAlignment="1">
      <alignment vertical="top" wrapText="1"/>
    </xf>
    <xf numFmtId="9" fontId="56" fillId="8" borderId="0" xfId="2" applyFont="1" applyFill="1"/>
    <xf numFmtId="9" fontId="56" fillId="0" borderId="0" xfId="2" applyFont="1" applyAlignment="1">
      <alignment horizontal="right"/>
    </xf>
    <xf numFmtId="9" fontId="56" fillId="7" borderId="0" xfId="2" applyFont="1" applyFill="1" applyAlignment="1">
      <alignment horizontal="right"/>
    </xf>
    <xf numFmtId="0" fontId="56" fillId="0" borderId="6" xfId="0" applyFont="1" applyBorder="1"/>
    <xf numFmtId="0" fontId="56" fillId="5" borderId="6" xfId="0" applyFont="1" applyFill="1" applyBorder="1" applyAlignment="1">
      <alignment vertical="top" wrapText="1"/>
    </xf>
    <xf numFmtId="9" fontId="56" fillId="5" borderId="6" xfId="2" applyFont="1" applyFill="1" applyBorder="1"/>
    <xf numFmtId="0" fontId="60" fillId="0" borderId="0" xfId="0" applyFont="1" applyBorder="1" applyAlignment="1">
      <alignment vertical="center" wrapText="1"/>
    </xf>
    <xf numFmtId="0" fontId="0" fillId="0" borderId="0" xfId="0" applyFont="1" applyAlignment="1">
      <alignment horizontal="left" wrapText="1"/>
    </xf>
    <xf numFmtId="1" fontId="56" fillId="0" borderId="0" xfId="1" applyNumberFormat="1" applyFont="1" applyFill="1" applyAlignment="1">
      <alignment horizontal="right"/>
    </xf>
    <xf numFmtId="1" fontId="56" fillId="0" borderId="0" xfId="1" applyNumberFormat="1" applyFont="1" applyAlignment="1">
      <alignment horizontal="right"/>
    </xf>
    <xf numFmtId="1" fontId="56" fillId="7" borderId="0" xfId="1" applyNumberFormat="1" applyFont="1" applyFill="1" applyAlignment="1">
      <alignment horizontal="right"/>
    </xf>
    <xf numFmtId="1" fontId="56" fillId="7" borderId="0" xfId="1" applyNumberFormat="1" applyFont="1" applyFill="1" applyBorder="1" applyAlignment="1">
      <alignment horizontal="right"/>
    </xf>
    <xf numFmtId="1" fontId="56" fillId="5" borderId="0" xfId="1" applyNumberFormat="1" applyFont="1" applyFill="1" applyBorder="1" applyAlignment="1">
      <alignment horizontal="right"/>
    </xf>
    <xf numFmtId="1" fontId="56" fillId="8" borderId="0" xfId="1" applyNumberFormat="1" applyFont="1" applyFill="1" applyAlignment="1">
      <alignment horizontal="right"/>
    </xf>
    <xf numFmtId="1" fontId="0" fillId="0" borderId="0" xfId="1" applyNumberFormat="1" applyFont="1" applyBorder="1"/>
    <xf numFmtId="37" fontId="56" fillId="0" borderId="0" xfId="0" applyNumberFormat="1" applyFont="1" applyBorder="1" applyAlignment="1">
      <alignment horizontal="center"/>
    </xf>
    <xf numFmtId="1" fontId="56" fillId="0" borderId="0" xfId="1" applyNumberFormat="1" applyFont="1" applyFill="1" applyBorder="1" applyAlignment="1">
      <alignment horizontal="right"/>
    </xf>
    <xf numFmtId="1" fontId="56" fillId="5" borderId="0" xfId="1" applyNumberFormat="1" applyFont="1" applyFill="1" applyAlignment="1">
      <alignment horizontal="right"/>
    </xf>
    <xf numFmtId="167" fontId="56" fillId="8" borderId="0" xfId="1" applyNumberFormat="1" applyFont="1" applyFill="1" applyAlignment="1">
      <alignment horizontal="right"/>
    </xf>
    <xf numFmtId="0" fontId="60" fillId="0" borderId="0" xfId="0" applyFont="1" applyBorder="1" applyAlignment="1">
      <alignment horizontal="left" vertical="center" wrapText="1"/>
    </xf>
    <xf numFmtId="44" fontId="14" fillId="0" borderId="0" xfId="3" applyFont="1" applyFill="1" applyBorder="1"/>
    <xf numFmtId="10" fontId="0" fillId="0" borderId="0" xfId="2" applyNumberFormat="1" applyFont="1"/>
    <xf numFmtId="171" fontId="0" fillId="0" borderId="0" xfId="0" applyNumberFormat="1"/>
    <xf numFmtId="170" fontId="0" fillId="0" borderId="0" xfId="0" applyNumberFormat="1"/>
    <xf numFmtId="2" fontId="0" fillId="0" borderId="10" xfId="0" applyNumberFormat="1" applyBorder="1"/>
    <xf numFmtId="9" fontId="56" fillId="0" borderId="0" xfId="2" applyNumberFormat="1" applyFont="1" applyAlignment="1">
      <alignment horizontal="right"/>
    </xf>
    <xf numFmtId="0" fontId="26" fillId="0" borderId="0" xfId="0" applyFont="1" applyBorder="1" applyAlignment="1">
      <alignment horizontal="center"/>
    </xf>
    <xf numFmtId="0" fontId="0" fillId="12" borderId="0" xfId="0" applyFill="1" applyAlignment="1">
      <alignment horizontal="center" wrapText="1"/>
    </xf>
    <xf numFmtId="168" fontId="56" fillId="0" borderId="0" xfId="3" applyNumberFormat="1" applyFont="1" applyBorder="1" applyAlignment="1">
      <alignment horizontal="right"/>
    </xf>
    <xf numFmtId="167" fontId="0" fillId="0" borderId="0" xfId="0" applyNumberFormat="1" applyBorder="1"/>
    <xf numFmtId="2" fontId="0" fillId="0" borderId="0" xfId="2" applyNumberFormat="1" applyFont="1"/>
    <xf numFmtId="0" fontId="0" fillId="0" borderId="29" xfId="0" applyBorder="1"/>
    <xf numFmtId="167" fontId="0" fillId="0" borderId="25" xfId="0" applyNumberFormat="1" applyBorder="1"/>
    <xf numFmtId="167" fontId="0" fillId="0" borderId="27" xfId="0" applyNumberFormat="1" applyBorder="1"/>
    <xf numFmtId="167" fontId="0" fillId="0" borderId="28" xfId="0" applyNumberFormat="1" applyBorder="1"/>
    <xf numFmtId="0" fontId="0" fillId="0" borderId="5" xfId="0" applyBorder="1" applyAlignment="1">
      <alignment horizontal="left"/>
    </xf>
    <xf numFmtId="0" fontId="0" fillId="0" borderId="22" xfId="0" applyBorder="1" applyAlignment="1">
      <alignment horizontal="right"/>
    </xf>
    <xf numFmtId="5" fontId="0" fillId="0" borderId="0" xfId="3" applyNumberFormat="1" applyFont="1" applyBorder="1"/>
    <xf numFmtId="5" fontId="0" fillId="0" borderId="0" xfId="0" applyNumberFormat="1"/>
    <xf numFmtId="0" fontId="0" fillId="0" borderId="27" xfId="0" applyBorder="1" applyAlignment="1">
      <alignment horizontal="center"/>
    </xf>
    <xf numFmtId="0" fontId="0" fillId="0" borderId="27" xfId="0" applyBorder="1" applyAlignment="1">
      <alignment horizontal="left"/>
    </xf>
    <xf numFmtId="181" fontId="0" fillId="0" borderId="0" xfId="0" applyNumberFormat="1"/>
    <xf numFmtId="165" fontId="0" fillId="0" borderId="0" xfId="3" applyNumberFormat="1" applyFont="1" applyBorder="1"/>
    <xf numFmtId="165" fontId="0" fillId="0" borderId="27" xfId="3" applyNumberFormat="1" applyFont="1" applyBorder="1"/>
    <xf numFmtId="164" fontId="0" fillId="0" borderId="0" xfId="0" applyNumberFormat="1"/>
    <xf numFmtId="0" fontId="60" fillId="0" borderId="0" xfId="0" applyFont="1" applyBorder="1" applyAlignment="1">
      <alignment vertical="top" wrapText="1"/>
    </xf>
    <xf numFmtId="0" fontId="18" fillId="0" borderId="0" xfId="0" applyFont="1" applyFill="1" applyBorder="1" applyAlignment="1">
      <alignment horizontal="center" wrapText="1"/>
    </xf>
    <xf numFmtId="0" fontId="20" fillId="0" borderId="0" xfId="0" applyFont="1" applyFill="1" applyBorder="1" applyAlignment="1">
      <alignment vertical="center" wrapText="1"/>
    </xf>
    <xf numFmtId="0" fontId="36" fillId="0" borderId="0" xfId="0" applyFont="1" applyFill="1" applyBorder="1" applyAlignment="1">
      <alignment vertical="center" wrapText="1"/>
    </xf>
    <xf numFmtId="0" fontId="17" fillId="0" borderId="0" xfId="0" applyFont="1" applyFill="1" applyBorder="1" applyAlignment="1">
      <alignment vertical="center" wrapText="1"/>
    </xf>
    <xf numFmtId="0" fontId="21" fillId="4" borderId="0" xfId="0" applyFont="1" applyFill="1" applyAlignment="1">
      <alignment vertical="top" wrapText="1"/>
    </xf>
    <xf numFmtId="0" fontId="21" fillId="3" borderId="0" xfId="0" applyFont="1" applyFill="1" applyAlignment="1">
      <alignment wrapText="1"/>
    </xf>
    <xf numFmtId="0" fontId="0" fillId="2" borderId="0" xfId="0" applyFont="1" applyFill="1" applyAlignment="1">
      <alignment wrapText="1"/>
    </xf>
    <xf numFmtId="0" fontId="19" fillId="0" borderId="0" xfId="0" applyFont="1" applyBorder="1" applyAlignment="1">
      <alignment vertical="center" wrapText="1"/>
    </xf>
    <xf numFmtId="0" fontId="51" fillId="0" borderId="7" xfId="0" applyFont="1" applyBorder="1" applyAlignment="1">
      <alignment horizontal="left" vertical="center" wrapText="1"/>
    </xf>
    <xf numFmtId="0" fontId="51" fillId="0" borderId="0" xfId="0" applyFont="1" applyBorder="1" applyAlignment="1">
      <alignment horizontal="left" vertical="center" wrapText="1"/>
    </xf>
    <xf numFmtId="0" fontId="60" fillId="0" borderId="7" xfId="0" applyFont="1" applyBorder="1" applyAlignment="1">
      <alignment horizontal="left" vertical="top" wrapText="1"/>
    </xf>
    <xf numFmtId="0" fontId="60" fillId="0" borderId="0" xfId="0" applyFont="1" applyBorder="1" applyAlignment="1">
      <alignment horizontal="left" vertical="top" wrapText="1"/>
    </xf>
    <xf numFmtId="0" fontId="47" fillId="0" borderId="7" xfId="0" applyFont="1" applyBorder="1" applyAlignment="1">
      <alignment horizontal="left" vertical="center" wrapText="1"/>
    </xf>
    <xf numFmtId="0" fontId="47" fillId="0" borderId="0" xfId="0" applyFont="1" applyBorder="1" applyAlignment="1">
      <alignment horizontal="left" vertical="center" wrapText="1"/>
    </xf>
    <xf numFmtId="0" fontId="0" fillId="12" borderId="0" xfId="0" applyFill="1" applyAlignment="1">
      <alignment horizontal="center" wrapText="1"/>
    </xf>
    <xf numFmtId="0" fontId="26" fillId="0" borderId="0" xfId="0" applyFont="1" applyBorder="1" applyAlignment="1">
      <alignment horizont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wrapText="1"/>
    </xf>
    <xf numFmtId="0" fontId="0" fillId="0" borderId="0" xfId="0" applyAlignment="1">
      <alignment wrapText="1"/>
    </xf>
    <xf numFmtId="0" fontId="0" fillId="0" borderId="25" xfId="0" applyBorder="1" applyAlignment="1">
      <alignment wrapText="1"/>
    </xf>
    <xf numFmtId="0" fontId="55" fillId="0" borderId="0" xfId="0" applyFont="1" applyAlignment="1">
      <alignment horizontal="left"/>
    </xf>
    <xf numFmtId="0" fontId="0" fillId="0" borderId="25" xfId="0" applyBorder="1"/>
  </cellXfs>
  <cellStyles count="4">
    <cellStyle name="Comma" xfId="1" builtinId="3"/>
    <cellStyle name="Currency" xfId="3" builtinId="4"/>
    <cellStyle name="Normal" xfId="0" builtinId="0"/>
    <cellStyle name="Percent" xfId="2" builtinId="5"/>
  </cellStyles>
  <dxfs count="235">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CE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Monthly</a:t>
            </a:r>
            <a:r>
              <a:rPr lang="en-US" sz="1100" baseline="0"/>
              <a:t> c</a:t>
            </a:r>
            <a:r>
              <a:rPr lang="en-US" sz="1100"/>
              <a:t>ash flow used in </a:t>
            </a:r>
            <a:r>
              <a:rPr lang="en-US" sz="1100" b="0" i="0" u="none" strike="noStrike" baseline="0">
                <a:effectLst/>
              </a:rPr>
              <a:t>Table 15 </a:t>
            </a:r>
            <a:r>
              <a:rPr lang="en-US" sz="1100"/>
              <a:t>(showing benefits</a:t>
            </a:r>
            <a:r>
              <a:rPr lang="en-US" sz="1100" baseline="0"/>
              <a:t> only)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0"/>
          <c:tx>
            <c:strRef>
              <c:f>'4.1.1 smooth cashflow'!$F$3</c:f>
              <c:strCache>
                <c:ptCount val="1"/>
                <c:pt idx="0">
                  <c:v>Full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cashflow'!$F$5:$F$22</c:f>
              <c:numCache>
                <c:formatCode>0.00</c:formatCode>
                <c:ptCount val="18"/>
                <c:pt idx="0">
                  <c:v>40.323529762674546</c:v>
                </c:pt>
                <c:pt idx="1">
                  <c:v>40.323529762674546</c:v>
                </c:pt>
                <c:pt idx="2">
                  <c:v>40.323529762674546</c:v>
                </c:pt>
                <c:pt idx="3">
                  <c:v>40.323529762674546</c:v>
                </c:pt>
                <c:pt idx="4">
                  <c:v>40.323529762674546</c:v>
                </c:pt>
                <c:pt idx="5">
                  <c:v>40.323529762674546</c:v>
                </c:pt>
                <c:pt idx="6">
                  <c:v>40.896936876948594</c:v>
                </c:pt>
                <c:pt idx="7">
                  <c:v>41.470343991222641</c:v>
                </c:pt>
                <c:pt idx="8">
                  <c:v>42.043751105496689</c:v>
                </c:pt>
                <c:pt idx="9">
                  <c:v>42.617158219770737</c:v>
                </c:pt>
                <c:pt idx="10">
                  <c:v>43.190565334044784</c:v>
                </c:pt>
                <c:pt idx="11">
                  <c:v>43.763972448318832</c:v>
                </c:pt>
                <c:pt idx="12">
                  <c:v>44.337379562592879</c:v>
                </c:pt>
                <c:pt idx="13">
                  <c:v>44.910786676866927</c:v>
                </c:pt>
                <c:pt idx="14">
                  <c:v>45.484193791140974</c:v>
                </c:pt>
                <c:pt idx="15">
                  <c:v>46.057600905415022</c:v>
                </c:pt>
                <c:pt idx="16">
                  <c:v>46.631008019689069</c:v>
                </c:pt>
                <c:pt idx="17">
                  <c:v>47.204415133963117</c:v>
                </c:pt>
              </c:numCache>
            </c:numRef>
          </c:yVal>
          <c:smooth val="0"/>
          <c:extLst>
            <c:ext xmlns:c16="http://schemas.microsoft.com/office/drawing/2014/chart" uri="{C3380CC4-5D6E-409C-BE32-E72D297353CC}">
              <c16:uniqueId val="{00000002-EF65-4174-86F8-E9B29878EF58}"/>
            </c:ext>
          </c:extLst>
        </c:ser>
        <c:ser>
          <c:idx val="1"/>
          <c:order val="1"/>
          <c:tx>
            <c:strRef>
              <c:f>'4.1.1 smooth cashflow'!$D$3</c:f>
              <c:strCache>
                <c:ptCount val="1"/>
                <c:pt idx="0">
                  <c:v>Capital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cashflow'!$D$5:$D$22</c:f>
              <c:numCache>
                <c:formatCode>0.00</c:formatCode>
                <c:ptCount val="18"/>
                <c:pt idx="0">
                  <c:v>24.66450851129861</c:v>
                </c:pt>
                <c:pt idx="1">
                  <c:v>24.66450851129861</c:v>
                </c:pt>
                <c:pt idx="2">
                  <c:v>24.66450851129861</c:v>
                </c:pt>
                <c:pt idx="3">
                  <c:v>24.66450851129861</c:v>
                </c:pt>
                <c:pt idx="4">
                  <c:v>24.66450851129861</c:v>
                </c:pt>
                <c:pt idx="5">
                  <c:v>24.66450851129861</c:v>
                </c:pt>
                <c:pt idx="6">
                  <c:v>24.466332075524413</c:v>
                </c:pt>
                <c:pt idx="7">
                  <c:v>24.268155639750216</c:v>
                </c:pt>
                <c:pt idx="8">
                  <c:v>24.069979203976018</c:v>
                </c:pt>
                <c:pt idx="9">
                  <c:v>23.871802768201821</c:v>
                </c:pt>
                <c:pt idx="10">
                  <c:v>23.673626332427624</c:v>
                </c:pt>
                <c:pt idx="11">
                  <c:v>23.475449896653426</c:v>
                </c:pt>
                <c:pt idx="12">
                  <c:v>23.277273460879229</c:v>
                </c:pt>
                <c:pt idx="13">
                  <c:v>23.079097025105032</c:v>
                </c:pt>
                <c:pt idx="14">
                  <c:v>22.880920589330835</c:v>
                </c:pt>
                <c:pt idx="15">
                  <c:v>22.682744153556637</c:v>
                </c:pt>
                <c:pt idx="16">
                  <c:v>22.48456771778244</c:v>
                </c:pt>
                <c:pt idx="17">
                  <c:v>22.28639128200826</c:v>
                </c:pt>
              </c:numCache>
            </c:numRef>
          </c:yVal>
          <c:smooth val="0"/>
          <c:extLst>
            <c:ext xmlns:c16="http://schemas.microsoft.com/office/drawing/2014/chart" uri="{C3380CC4-5D6E-409C-BE32-E72D297353CC}">
              <c16:uniqueId val="{00000001-EF65-4174-86F8-E9B29878EF58}"/>
            </c:ext>
          </c:extLst>
        </c:ser>
        <c:ser>
          <c:idx val="0"/>
          <c:order val="2"/>
          <c:tx>
            <c:strRef>
              <c:f>'4.1.1 smooth cashflow'!$E$3</c:f>
              <c:strCache>
                <c:ptCount val="1"/>
                <c:pt idx="0">
                  <c:v>Psychosocial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cashflow'!$E$5:$E$22</c:f>
              <c:numCache>
                <c:formatCode>0.00</c:formatCode>
                <c:ptCount val="18"/>
                <c:pt idx="0">
                  <c:v>14.226207538449586</c:v>
                </c:pt>
                <c:pt idx="1">
                  <c:v>14.226207538449586</c:v>
                </c:pt>
                <c:pt idx="2">
                  <c:v>14.226207538449586</c:v>
                </c:pt>
                <c:pt idx="3">
                  <c:v>14.226207538449586</c:v>
                </c:pt>
                <c:pt idx="4">
                  <c:v>14.226207538449586</c:v>
                </c:pt>
                <c:pt idx="5">
                  <c:v>14.226207538449586</c:v>
                </c:pt>
                <c:pt idx="6">
                  <c:v>15.855307349696877</c:v>
                </c:pt>
                <c:pt idx="7">
                  <c:v>17.484407160944169</c:v>
                </c:pt>
                <c:pt idx="8">
                  <c:v>19.113506972191463</c:v>
                </c:pt>
                <c:pt idx="9">
                  <c:v>20.742606783438756</c:v>
                </c:pt>
                <c:pt idx="10">
                  <c:v>22.371706594686049</c:v>
                </c:pt>
                <c:pt idx="11">
                  <c:v>24.000806405933343</c:v>
                </c:pt>
                <c:pt idx="12">
                  <c:v>25.629906217180636</c:v>
                </c:pt>
                <c:pt idx="13">
                  <c:v>27.25900602842793</c:v>
                </c:pt>
                <c:pt idx="14">
                  <c:v>28.888105839675223</c:v>
                </c:pt>
                <c:pt idx="15">
                  <c:v>30.517205650922516</c:v>
                </c:pt>
                <c:pt idx="16">
                  <c:v>32.146305462169806</c:v>
                </c:pt>
                <c:pt idx="17">
                  <c:v>33.775405273417093</c:v>
                </c:pt>
              </c:numCache>
            </c:numRef>
          </c:yVal>
          <c:smooth val="0"/>
          <c:extLst>
            <c:ext xmlns:c16="http://schemas.microsoft.com/office/drawing/2014/chart" uri="{C3380CC4-5D6E-409C-BE32-E72D297353CC}">
              <c16:uniqueId val="{00000000-EF65-4174-86F8-E9B29878EF58}"/>
            </c:ext>
          </c:extLst>
        </c:ser>
        <c:ser>
          <c:idx val="3"/>
          <c:order val="3"/>
          <c:tx>
            <c:strRef>
              <c:f>'4.1.1 smooth cashflow'!$G$3</c:f>
              <c:strCache>
                <c:ptCount val="1"/>
                <c:pt idx="0">
                  <c:v>Pooled</c:v>
                </c:pt>
              </c:strCache>
            </c:strRef>
          </c:tx>
          <c:spPr>
            <a:ln w="28575" cap="rnd">
              <a:solidFill>
                <a:schemeClr val="accent4"/>
              </a:solidFill>
              <a:prstDash val="dash"/>
              <a:round/>
            </a:ln>
            <a:effectLst/>
          </c:spPr>
          <c:marker>
            <c:symbol val="circle"/>
            <c:size val="5"/>
            <c:spPr>
              <a:solidFill>
                <a:schemeClr val="accent4"/>
              </a:solidFill>
              <a:ln w="9525">
                <a:solidFill>
                  <a:schemeClr val="accent4"/>
                </a:solidFill>
              </a:ln>
              <a:effectLst/>
            </c:spPr>
          </c:marker>
          <c:yVal>
            <c:numRef>
              <c:f>'4.1.1 smooth cashflow'!$G$5:$G$22</c:f>
              <c:numCache>
                <c:formatCode>0.00</c:formatCode>
                <c:ptCount val="18"/>
                <c:pt idx="0">
                  <c:v>26.430406655238841</c:v>
                </c:pt>
                <c:pt idx="1">
                  <c:v>26.430406655238841</c:v>
                </c:pt>
                <c:pt idx="2">
                  <c:v>26.430406655238841</c:v>
                </c:pt>
                <c:pt idx="3">
                  <c:v>26.430406655238841</c:v>
                </c:pt>
                <c:pt idx="4">
                  <c:v>26.430406655238841</c:v>
                </c:pt>
                <c:pt idx="5">
                  <c:v>26.430406655238841</c:v>
                </c:pt>
                <c:pt idx="6">
                  <c:v>27.072946251019285</c:v>
                </c:pt>
                <c:pt idx="7">
                  <c:v>27.71548584679973</c:v>
                </c:pt>
                <c:pt idx="8">
                  <c:v>28.358025442580175</c:v>
                </c:pt>
                <c:pt idx="9">
                  <c:v>29.000565038360619</c:v>
                </c:pt>
                <c:pt idx="10">
                  <c:v>29.643104634141064</c:v>
                </c:pt>
                <c:pt idx="11">
                  <c:v>30.285644229921509</c:v>
                </c:pt>
                <c:pt idx="12">
                  <c:v>30.928183825701954</c:v>
                </c:pt>
                <c:pt idx="13">
                  <c:v>31.570723421482398</c:v>
                </c:pt>
                <c:pt idx="14">
                  <c:v>32.213263017262847</c:v>
                </c:pt>
                <c:pt idx="15">
                  <c:v>32.855802613043295</c:v>
                </c:pt>
                <c:pt idx="16">
                  <c:v>33.498342208823743</c:v>
                </c:pt>
                <c:pt idx="17">
                  <c:v>34.140881804604192</c:v>
                </c:pt>
              </c:numCache>
            </c:numRef>
          </c:yVal>
          <c:smooth val="0"/>
          <c:extLst>
            <c:ext xmlns:c16="http://schemas.microsoft.com/office/drawing/2014/chart" uri="{C3380CC4-5D6E-409C-BE32-E72D297353CC}">
              <c16:uniqueId val="{00000000-422B-40C5-8502-53366883FB05}"/>
            </c:ext>
          </c:extLst>
        </c:ser>
        <c:dLbls>
          <c:showLegendKey val="0"/>
          <c:showVal val="0"/>
          <c:showCatName val="0"/>
          <c:showSerName val="0"/>
          <c:showPercent val="0"/>
          <c:showBubbleSize val="0"/>
        </c:dLbls>
        <c:axId val="730484872"/>
        <c:axId val="730485528"/>
      </c:scatterChart>
      <c:valAx>
        <c:axId val="730484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Months after cash transfer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5528"/>
        <c:crosses val="autoZero"/>
        <c:crossBetween val="midCat"/>
        <c:majorUnit val="1"/>
      </c:valAx>
      <c:valAx>
        <c:axId val="730485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2016 USD PPP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48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Monthly</a:t>
            </a:r>
            <a:r>
              <a:rPr lang="en-US" sz="1100" baseline="0"/>
              <a:t> c</a:t>
            </a:r>
            <a:r>
              <a:rPr lang="en-US" sz="1100"/>
              <a:t>ash flow used in </a:t>
            </a:r>
            <a:r>
              <a:rPr lang="en-US" sz="1100" b="0" i="0" u="none" strike="noStrike" baseline="0">
                <a:effectLst/>
              </a:rPr>
              <a:t>Table SI.25 </a:t>
            </a:r>
            <a:r>
              <a:rPr lang="en-US" sz="1100"/>
              <a:t>(showing benefits</a:t>
            </a:r>
            <a:r>
              <a:rPr lang="en-US" sz="1100" baseline="0"/>
              <a:t> only)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0"/>
          <c:tx>
            <c:strRef>
              <c:f>'4.1.1 smooth cashflow'!$W$3</c:f>
              <c:strCache>
                <c:ptCount val="1"/>
                <c:pt idx="0">
                  <c:v>Full</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cashflow'!$W$5:$W$22</c:f>
              <c:numCache>
                <c:formatCode>0.00</c:formatCode>
                <c:ptCount val="18"/>
                <c:pt idx="0">
                  <c:v>6.7205882937790911</c:v>
                </c:pt>
                <c:pt idx="1">
                  <c:v>13.441176587558182</c:v>
                </c:pt>
                <c:pt idx="2">
                  <c:v>20.161764881337273</c:v>
                </c:pt>
                <c:pt idx="3">
                  <c:v>26.882353175116364</c:v>
                </c:pt>
                <c:pt idx="4">
                  <c:v>33.602941468895452</c:v>
                </c:pt>
                <c:pt idx="5">
                  <c:v>40.323529762674546</c:v>
                </c:pt>
                <c:pt idx="6">
                  <c:v>40.896936876948594</c:v>
                </c:pt>
                <c:pt idx="7">
                  <c:v>41.470343991222641</c:v>
                </c:pt>
                <c:pt idx="8">
                  <c:v>42.043751105496689</c:v>
                </c:pt>
                <c:pt idx="9">
                  <c:v>42.617158219770737</c:v>
                </c:pt>
                <c:pt idx="10">
                  <c:v>43.190565334044784</c:v>
                </c:pt>
                <c:pt idx="11">
                  <c:v>43.763972448318832</c:v>
                </c:pt>
                <c:pt idx="12">
                  <c:v>44.337379562592879</c:v>
                </c:pt>
                <c:pt idx="13">
                  <c:v>44.910786676866927</c:v>
                </c:pt>
                <c:pt idx="14">
                  <c:v>45.484193791140974</c:v>
                </c:pt>
                <c:pt idx="15">
                  <c:v>46.057600905415022</c:v>
                </c:pt>
                <c:pt idx="16">
                  <c:v>46.631008019689069</c:v>
                </c:pt>
                <c:pt idx="17">
                  <c:v>47.204415133963117</c:v>
                </c:pt>
              </c:numCache>
            </c:numRef>
          </c:yVal>
          <c:smooth val="0"/>
          <c:extLst>
            <c:ext xmlns:c16="http://schemas.microsoft.com/office/drawing/2014/chart" uri="{C3380CC4-5D6E-409C-BE32-E72D297353CC}">
              <c16:uniqueId val="{00000002-962D-4C29-B79D-60C750098BB3}"/>
            </c:ext>
          </c:extLst>
        </c:ser>
        <c:ser>
          <c:idx val="1"/>
          <c:order val="1"/>
          <c:tx>
            <c:strRef>
              <c:f>'4.1.1 smooth cashflow'!$U$3</c:f>
              <c:strCache>
                <c:ptCount val="1"/>
                <c:pt idx="0">
                  <c:v>Capital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cashflow'!$U$5:$U$22</c:f>
              <c:numCache>
                <c:formatCode>0.00</c:formatCode>
                <c:ptCount val="18"/>
                <c:pt idx="0">
                  <c:v>4.1107514185497687</c:v>
                </c:pt>
                <c:pt idx="1">
                  <c:v>8.2215028370995373</c:v>
                </c:pt>
                <c:pt idx="2">
                  <c:v>12.332254255649307</c:v>
                </c:pt>
                <c:pt idx="3">
                  <c:v>16.443005674199075</c:v>
                </c:pt>
                <c:pt idx="4">
                  <c:v>20.553757092748842</c:v>
                </c:pt>
                <c:pt idx="5">
                  <c:v>24.66450851129861</c:v>
                </c:pt>
                <c:pt idx="6">
                  <c:v>24.466332075524413</c:v>
                </c:pt>
                <c:pt idx="7">
                  <c:v>24.268155639750216</c:v>
                </c:pt>
                <c:pt idx="8">
                  <c:v>24.069979203976018</c:v>
                </c:pt>
                <c:pt idx="9">
                  <c:v>23.871802768201821</c:v>
                </c:pt>
                <c:pt idx="10">
                  <c:v>23.673626332427624</c:v>
                </c:pt>
                <c:pt idx="11">
                  <c:v>23.475449896653426</c:v>
                </c:pt>
                <c:pt idx="12">
                  <c:v>23.277273460879229</c:v>
                </c:pt>
                <c:pt idx="13">
                  <c:v>23.079097025105032</c:v>
                </c:pt>
                <c:pt idx="14">
                  <c:v>22.880920589330835</c:v>
                </c:pt>
                <c:pt idx="15">
                  <c:v>22.682744153556637</c:v>
                </c:pt>
                <c:pt idx="16">
                  <c:v>22.48456771778244</c:v>
                </c:pt>
                <c:pt idx="17">
                  <c:v>22.28639128200826</c:v>
                </c:pt>
              </c:numCache>
            </c:numRef>
          </c:yVal>
          <c:smooth val="0"/>
          <c:extLst>
            <c:ext xmlns:c16="http://schemas.microsoft.com/office/drawing/2014/chart" uri="{C3380CC4-5D6E-409C-BE32-E72D297353CC}">
              <c16:uniqueId val="{00000001-962D-4C29-B79D-60C750098BB3}"/>
            </c:ext>
          </c:extLst>
        </c:ser>
        <c:ser>
          <c:idx val="0"/>
          <c:order val="2"/>
          <c:tx>
            <c:strRef>
              <c:f>'4.1.1 smooth cashflow'!$V$3</c:f>
              <c:strCache>
                <c:ptCount val="1"/>
                <c:pt idx="0">
                  <c:v>Psychosocial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cashflow'!$V$5:$V$22</c:f>
              <c:numCache>
                <c:formatCode>0.00</c:formatCode>
                <c:ptCount val="18"/>
                <c:pt idx="0">
                  <c:v>2.3710345897415976</c:v>
                </c:pt>
                <c:pt idx="1">
                  <c:v>4.7420691794831953</c:v>
                </c:pt>
                <c:pt idx="2">
                  <c:v>7.1131037692247929</c:v>
                </c:pt>
                <c:pt idx="3">
                  <c:v>9.4841383589663906</c:v>
                </c:pt>
                <c:pt idx="4">
                  <c:v>11.855172948707988</c:v>
                </c:pt>
                <c:pt idx="5">
                  <c:v>14.226207538449586</c:v>
                </c:pt>
                <c:pt idx="6">
                  <c:v>15.855307349696877</c:v>
                </c:pt>
                <c:pt idx="7">
                  <c:v>17.484407160944169</c:v>
                </c:pt>
                <c:pt idx="8">
                  <c:v>19.113506972191463</c:v>
                </c:pt>
                <c:pt idx="9">
                  <c:v>20.742606783438756</c:v>
                </c:pt>
                <c:pt idx="10">
                  <c:v>22.371706594686049</c:v>
                </c:pt>
                <c:pt idx="11">
                  <c:v>24.000806405933343</c:v>
                </c:pt>
                <c:pt idx="12">
                  <c:v>25.629906217180636</c:v>
                </c:pt>
                <c:pt idx="13">
                  <c:v>27.25900602842793</c:v>
                </c:pt>
                <c:pt idx="14">
                  <c:v>28.888105839675223</c:v>
                </c:pt>
                <c:pt idx="15">
                  <c:v>30.517205650922516</c:v>
                </c:pt>
                <c:pt idx="16">
                  <c:v>32.146305462169806</c:v>
                </c:pt>
                <c:pt idx="17">
                  <c:v>33.775405273417093</c:v>
                </c:pt>
              </c:numCache>
            </c:numRef>
          </c:yVal>
          <c:smooth val="0"/>
          <c:extLst>
            <c:ext xmlns:c16="http://schemas.microsoft.com/office/drawing/2014/chart" uri="{C3380CC4-5D6E-409C-BE32-E72D297353CC}">
              <c16:uniqueId val="{00000000-962D-4C29-B79D-60C750098BB3}"/>
            </c:ext>
          </c:extLst>
        </c:ser>
        <c:ser>
          <c:idx val="3"/>
          <c:order val="3"/>
          <c:tx>
            <c:strRef>
              <c:f>'4.1.1 smooth cashflow'!$X$3</c:f>
              <c:strCache>
                <c:ptCount val="1"/>
                <c:pt idx="0">
                  <c:v>Pooled</c:v>
                </c:pt>
              </c:strCache>
            </c:strRef>
          </c:tx>
          <c:spPr>
            <a:ln w="28575" cap="rnd">
              <a:solidFill>
                <a:schemeClr val="accent4"/>
              </a:solidFill>
              <a:prstDash val="dash"/>
              <a:round/>
            </a:ln>
            <a:effectLst/>
          </c:spPr>
          <c:marker>
            <c:symbol val="circle"/>
            <c:size val="5"/>
            <c:spPr>
              <a:solidFill>
                <a:schemeClr val="accent4"/>
              </a:solidFill>
              <a:ln w="9525">
                <a:solidFill>
                  <a:schemeClr val="accent4"/>
                </a:solidFill>
              </a:ln>
              <a:effectLst/>
            </c:spPr>
          </c:marker>
          <c:yVal>
            <c:numRef>
              <c:f>'4.1.1 smooth cashflow'!$X$5:$X$22</c:f>
              <c:numCache>
                <c:formatCode>0.00</c:formatCode>
                <c:ptCount val="18"/>
                <c:pt idx="0">
                  <c:v>4.4050677758731398</c:v>
                </c:pt>
                <c:pt idx="1">
                  <c:v>8.8101355517462796</c:v>
                </c:pt>
                <c:pt idx="2">
                  <c:v>13.21520332761942</c:v>
                </c:pt>
                <c:pt idx="3">
                  <c:v>17.620271103492559</c:v>
                </c:pt>
                <c:pt idx="4">
                  <c:v>22.025338879365698</c:v>
                </c:pt>
                <c:pt idx="5">
                  <c:v>26.430406655238841</c:v>
                </c:pt>
                <c:pt idx="6">
                  <c:v>27.072946251019285</c:v>
                </c:pt>
                <c:pt idx="7">
                  <c:v>27.71548584679973</c:v>
                </c:pt>
                <c:pt idx="8">
                  <c:v>28.358025442580175</c:v>
                </c:pt>
                <c:pt idx="9">
                  <c:v>29.000565038360619</c:v>
                </c:pt>
                <c:pt idx="10">
                  <c:v>29.643104634141064</c:v>
                </c:pt>
                <c:pt idx="11">
                  <c:v>30.285644229921509</c:v>
                </c:pt>
                <c:pt idx="12">
                  <c:v>30.928183825701954</c:v>
                </c:pt>
                <c:pt idx="13">
                  <c:v>31.570723421482398</c:v>
                </c:pt>
                <c:pt idx="14">
                  <c:v>32.213263017262847</c:v>
                </c:pt>
                <c:pt idx="15">
                  <c:v>32.855802613043295</c:v>
                </c:pt>
                <c:pt idx="16">
                  <c:v>33.498342208823743</c:v>
                </c:pt>
                <c:pt idx="17">
                  <c:v>34.140881804604192</c:v>
                </c:pt>
              </c:numCache>
            </c:numRef>
          </c:yVal>
          <c:smooth val="0"/>
          <c:extLst>
            <c:ext xmlns:c16="http://schemas.microsoft.com/office/drawing/2014/chart" uri="{C3380CC4-5D6E-409C-BE32-E72D297353CC}">
              <c16:uniqueId val="{00000000-0446-4ECE-9B20-A990E50E88DF}"/>
            </c:ext>
          </c:extLst>
        </c:ser>
        <c:dLbls>
          <c:showLegendKey val="0"/>
          <c:showVal val="0"/>
          <c:showCatName val="0"/>
          <c:showSerName val="0"/>
          <c:showPercent val="0"/>
          <c:showBubbleSize val="0"/>
        </c:dLbls>
        <c:axId val="730484872"/>
        <c:axId val="730485528"/>
      </c:scatterChart>
      <c:valAx>
        <c:axId val="730484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Months after cash transfer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5528"/>
        <c:crosses val="autoZero"/>
        <c:crossBetween val="midCat"/>
        <c:majorUnit val="1"/>
      </c:valAx>
      <c:valAx>
        <c:axId val="730485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2016 USD PPP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4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0" i="0" baseline="0">
                <a:effectLst/>
              </a:rPr>
              <a:t>Yearly cash flow used in Table ED.7 (showing benefits only)</a:t>
            </a:r>
            <a:endParaRPr lang="en-US" sz="1100">
              <a:effectLst/>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'4.1.1 smooth cashflow'!$L$33</c:f>
              <c:strCache>
                <c:ptCount val="1"/>
                <c:pt idx="0">
                  <c:v>Full</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'4.1.1 smooth cashflow'!$I$34:$I$35</c:f>
              <c:numCache>
                <c:formatCode>General</c:formatCode>
                <c:ptCount val="2"/>
                <c:pt idx="0">
                  <c:v>6</c:v>
                </c:pt>
                <c:pt idx="1">
                  <c:v>18</c:v>
                </c:pt>
              </c:numCache>
            </c:numRef>
          </c:cat>
          <c:val>
            <c:numRef>
              <c:f>'4.1.1 smooth cashflow'!$L$34:$L$35</c:f>
              <c:numCache>
                <c:formatCode>_(* #,##0_);_(* \(#,##0\);_(* "-"??_);_(@_)</c:formatCode>
                <c:ptCount val="2"/>
                <c:pt idx="0">
                  <c:v>241.94091343532028</c:v>
                </c:pt>
                <c:pt idx="1">
                  <c:v>566.45236083784698</c:v>
                </c:pt>
              </c:numCache>
            </c:numRef>
          </c:val>
          <c:smooth val="0"/>
          <c:extLst>
            <c:ext xmlns:c16="http://schemas.microsoft.com/office/drawing/2014/chart" uri="{C3380CC4-5D6E-409C-BE32-E72D297353CC}">
              <c16:uniqueId val="{00000002-A604-435E-8397-5C66CDAF21A8}"/>
            </c:ext>
          </c:extLst>
        </c:ser>
        <c:ser>
          <c:idx val="0"/>
          <c:order val="1"/>
          <c:tx>
            <c:strRef>
              <c:f>'4.1.1 smooth cashflow'!$J$33</c:f>
              <c:strCache>
                <c:ptCount val="1"/>
                <c:pt idx="0">
                  <c:v>Capital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'4.1.1 smooth cashflow'!$I$34:$I$35</c:f>
              <c:numCache>
                <c:formatCode>General</c:formatCode>
                <c:ptCount val="2"/>
                <c:pt idx="0">
                  <c:v>6</c:v>
                </c:pt>
                <c:pt idx="1">
                  <c:v>18</c:v>
                </c:pt>
              </c:numCache>
            </c:numRef>
          </c:cat>
          <c:val>
            <c:numRef>
              <c:f>'4.1.1 smooth cashflow'!$J$34:$J$35</c:f>
              <c:numCache>
                <c:formatCode>_(* #,##0_);_(* \(#,##0\);_(* "-"??_);_(@_)</c:formatCode>
                <c:ptCount val="2"/>
                <c:pt idx="0">
                  <c:v>147.98688889037919</c:v>
                </c:pt>
                <c:pt idx="1">
                  <c:v>267.4364023031103</c:v>
                </c:pt>
              </c:numCache>
            </c:numRef>
          </c:val>
          <c:smooth val="0"/>
          <c:extLst>
            <c:ext xmlns:c16="http://schemas.microsoft.com/office/drawing/2014/chart" uri="{C3380CC4-5D6E-409C-BE32-E72D297353CC}">
              <c16:uniqueId val="{00000000-A604-435E-8397-5C66CDAF21A8}"/>
            </c:ext>
          </c:extLst>
        </c:ser>
        <c:ser>
          <c:idx val="1"/>
          <c:order val="2"/>
          <c:tx>
            <c:strRef>
              <c:f>'4.1.1 smooth cashflow'!$K$33</c:f>
              <c:strCache>
                <c:ptCount val="1"/>
                <c:pt idx="0">
                  <c:v>Psychosocial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'4.1.1 smooth cashflow'!$I$34:$I$35</c:f>
              <c:numCache>
                <c:formatCode>General</c:formatCode>
                <c:ptCount val="2"/>
                <c:pt idx="0">
                  <c:v>6</c:v>
                </c:pt>
                <c:pt idx="1">
                  <c:v>18</c:v>
                </c:pt>
              </c:numCache>
            </c:numRef>
          </c:cat>
          <c:val>
            <c:numRef>
              <c:f>'4.1.1 smooth cashflow'!$K$34:$K$35</c:f>
              <c:numCache>
                <c:formatCode>_(* #,##0_);_(* \(#,##0\);_(* "-"??_);_(@_)</c:formatCode>
                <c:ptCount val="2"/>
                <c:pt idx="0">
                  <c:v>85.357151688613484</c:v>
                </c:pt>
                <c:pt idx="1">
                  <c:v>405.30441911177871</c:v>
                </c:pt>
              </c:numCache>
            </c:numRef>
          </c:val>
          <c:smooth val="0"/>
          <c:extLst>
            <c:ext xmlns:c16="http://schemas.microsoft.com/office/drawing/2014/chart" uri="{C3380CC4-5D6E-409C-BE32-E72D297353CC}">
              <c16:uniqueId val="{00000001-A604-435E-8397-5C66CDAF21A8}"/>
            </c:ext>
          </c:extLst>
        </c:ser>
        <c:ser>
          <c:idx val="3"/>
          <c:order val="3"/>
          <c:tx>
            <c:strRef>
              <c:f>'4.1.1 smooth cashflow'!$M$33</c:f>
              <c:strCache>
                <c:ptCount val="1"/>
                <c:pt idx="0">
                  <c:v>Pooled</c:v>
                </c:pt>
              </c:strCache>
            </c:strRef>
          </c:tx>
          <c:spPr>
            <a:ln w="28575" cap="rnd">
              <a:solidFill>
                <a:schemeClr val="accent4"/>
              </a:solidFill>
              <a:prstDash val="dash"/>
              <a:round/>
            </a:ln>
            <a:effectLst/>
          </c:spPr>
          <c:marker>
            <c:symbol val="circle"/>
            <c:size val="5"/>
            <c:spPr>
              <a:solidFill>
                <a:schemeClr val="accent4"/>
              </a:solidFill>
              <a:ln w="9525">
                <a:solidFill>
                  <a:schemeClr val="accent4"/>
                </a:solidFill>
              </a:ln>
              <a:effectLst/>
            </c:spPr>
          </c:marker>
          <c:val>
            <c:numRef>
              <c:f>'4.1.1 smooth cashflow'!$M$34:$M$35</c:f>
              <c:numCache>
                <c:formatCode>_(* #,##0_);_(* \(#,##0\);_(* "-"??_);_(@_)</c:formatCode>
                <c:ptCount val="2"/>
                <c:pt idx="0">
                  <c:v>158.58226614264825</c:v>
                </c:pt>
                <c:pt idx="1">
                  <c:v>409.69013267976254</c:v>
                </c:pt>
              </c:numCache>
            </c:numRef>
          </c:val>
          <c:smooth val="0"/>
          <c:extLst>
            <c:ext xmlns:c16="http://schemas.microsoft.com/office/drawing/2014/chart" uri="{C3380CC4-5D6E-409C-BE32-E72D297353CC}">
              <c16:uniqueId val="{00000001-BA39-40A7-AF90-DFE23B331184}"/>
            </c:ext>
          </c:extLst>
        </c:ser>
        <c:dLbls>
          <c:showLegendKey val="0"/>
          <c:showVal val="0"/>
          <c:showCatName val="0"/>
          <c:showSerName val="0"/>
          <c:showPercent val="0"/>
          <c:showBubbleSize val="0"/>
        </c:dLbls>
        <c:marker val="1"/>
        <c:smooth val="0"/>
        <c:axId val="747937240"/>
        <c:axId val="747936584"/>
      </c:lineChart>
      <c:catAx>
        <c:axId val="747937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Months after cash transfer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936584"/>
        <c:crosses val="autoZero"/>
        <c:auto val="1"/>
        <c:lblAlgn val="ctr"/>
        <c:lblOffset val="100"/>
        <c:tickMarkSkip val="1"/>
        <c:noMultiLvlLbl val="0"/>
      </c:catAx>
      <c:valAx>
        <c:axId val="747936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2016 USD PPP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937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c</a:t>
            </a:r>
            <a:r>
              <a:rPr lang="en-US"/>
              <a:t>ash flow used in </a:t>
            </a:r>
            <a:r>
              <a:rPr lang="en-US" sz="1400" b="0" i="0" u="none" strike="noStrike" baseline="0">
                <a:effectLst/>
              </a:rPr>
              <a:t>Table 16 </a:t>
            </a:r>
            <a:r>
              <a:rPr lang="en-US"/>
              <a:t>(showing benefits</a:t>
            </a:r>
            <a:r>
              <a:rPr lang="en-US" baseline="0"/>
              <a:t> only)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0"/>
          <c:tx>
            <c:strRef>
              <c:f>'4.1.1 smooth cashflow'!$AB$3</c:f>
              <c:strCache>
                <c:ptCount val="1"/>
                <c:pt idx="0">
                  <c:v>Full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cashflow'!$AB$5:$AB$22</c:f>
              <c:numCache>
                <c:formatCode>0.00</c:formatCode>
                <c:ptCount val="18"/>
                <c:pt idx="0">
                  <c:v>6.8323899968382271</c:v>
                </c:pt>
                <c:pt idx="1">
                  <c:v>13.664779993676454</c:v>
                </c:pt>
                <c:pt idx="2">
                  <c:v>20.497169990514681</c:v>
                </c:pt>
                <c:pt idx="3">
                  <c:v>27.329559987352908</c:v>
                </c:pt>
                <c:pt idx="4">
                  <c:v>34.161949984191139</c:v>
                </c:pt>
                <c:pt idx="5">
                  <c:v>40.994339981029363</c:v>
                </c:pt>
                <c:pt idx="6">
                  <c:v>41.916934115439851</c:v>
                </c:pt>
                <c:pt idx="7">
                  <c:v>42.839528249850339</c:v>
                </c:pt>
                <c:pt idx="8">
                  <c:v>43.762122384260827</c:v>
                </c:pt>
                <c:pt idx="9">
                  <c:v>44.684716518671316</c:v>
                </c:pt>
                <c:pt idx="10">
                  <c:v>45.607310653081804</c:v>
                </c:pt>
                <c:pt idx="11">
                  <c:v>46.529904787492292</c:v>
                </c:pt>
                <c:pt idx="12">
                  <c:v>47.45249892190278</c:v>
                </c:pt>
                <c:pt idx="13">
                  <c:v>48.375093056313268</c:v>
                </c:pt>
                <c:pt idx="14">
                  <c:v>49.297687190723757</c:v>
                </c:pt>
                <c:pt idx="15">
                  <c:v>50.220281325134245</c:v>
                </c:pt>
                <c:pt idx="16">
                  <c:v>51.142875459544733</c:v>
                </c:pt>
                <c:pt idx="17">
                  <c:v>52.065469593955221</c:v>
                </c:pt>
              </c:numCache>
            </c:numRef>
          </c:yVal>
          <c:smooth val="0"/>
          <c:extLst>
            <c:ext xmlns:c16="http://schemas.microsoft.com/office/drawing/2014/chart" uri="{C3380CC4-5D6E-409C-BE32-E72D297353CC}">
              <c16:uniqueId val="{00000000-2B7E-4F28-96B7-A873A338BED1}"/>
            </c:ext>
          </c:extLst>
        </c:ser>
        <c:ser>
          <c:idx val="1"/>
          <c:order val="1"/>
          <c:tx>
            <c:strRef>
              <c:f>'4.1.1 smooth cashflow'!$Z$3</c:f>
              <c:strCache>
                <c:ptCount val="1"/>
                <c:pt idx="0">
                  <c:v>Capital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cashflow'!$Z$5:$Z$22</c:f>
              <c:numCache>
                <c:formatCode>0.00</c:formatCode>
                <c:ptCount val="18"/>
                <c:pt idx="0">
                  <c:v>3.6811966944624661</c:v>
                </c:pt>
                <c:pt idx="1">
                  <c:v>7.3623933889249322</c:v>
                </c:pt>
                <c:pt idx="2">
                  <c:v>11.043590083387398</c:v>
                </c:pt>
                <c:pt idx="3">
                  <c:v>14.724786777849864</c:v>
                </c:pt>
                <c:pt idx="4">
                  <c:v>18.405983472312329</c:v>
                </c:pt>
                <c:pt idx="5">
                  <c:v>22.087180166774797</c:v>
                </c:pt>
                <c:pt idx="6">
                  <c:v>22.020815129453357</c:v>
                </c:pt>
                <c:pt idx="7">
                  <c:v>21.954450092131918</c:v>
                </c:pt>
                <c:pt idx="8">
                  <c:v>21.888085054810478</c:v>
                </c:pt>
                <c:pt idx="9">
                  <c:v>21.821720017489039</c:v>
                </c:pt>
                <c:pt idx="10">
                  <c:v>21.755354980167599</c:v>
                </c:pt>
                <c:pt idx="11">
                  <c:v>21.68898994284616</c:v>
                </c:pt>
                <c:pt idx="12">
                  <c:v>21.62262490552472</c:v>
                </c:pt>
                <c:pt idx="13">
                  <c:v>21.556259868203281</c:v>
                </c:pt>
                <c:pt idx="14">
                  <c:v>21.489894830881841</c:v>
                </c:pt>
                <c:pt idx="15">
                  <c:v>21.423529793560402</c:v>
                </c:pt>
                <c:pt idx="16">
                  <c:v>21.357164756238962</c:v>
                </c:pt>
                <c:pt idx="17">
                  <c:v>21.290799718917533</c:v>
                </c:pt>
              </c:numCache>
            </c:numRef>
          </c:yVal>
          <c:smooth val="0"/>
          <c:extLst>
            <c:ext xmlns:c16="http://schemas.microsoft.com/office/drawing/2014/chart" uri="{C3380CC4-5D6E-409C-BE32-E72D297353CC}">
              <c16:uniqueId val="{00000001-2B7E-4F28-96B7-A873A338BED1}"/>
            </c:ext>
          </c:extLst>
        </c:ser>
        <c:ser>
          <c:idx val="0"/>
          <c:order val="2"/>
          <c:tx>
            <c:strRef>
              <c:f>'4.1.1 smooth cashflow'!$AA$3</c:f>
              <c:strCache>
                <c:ptCount val="1"/>
                <c:pt idx="0">
                  <c:v>Psychosocial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'4.1.1 smooth cashflow'!$C$5:$C$22</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'4.1.1 smooth cashflow'!$AA$5:$AA$22</c:f>
              <c:numCache>
                <c:formatCode>0.00</c:formatCode>
                <c:ptCount val="18"/>
                <c:pt idx="0">
                  <c:v>1.7556957447506407</c:v>
                </c:pt>
                <c:pt idx="1">
                  <c:v>3.5113914895012814</c:v>
                </c:pt>
                <c:pt idx="2">
                  <c:v>5.2670872342519219</c:v>
                </c:pt>
                <c:pt idx="3">
                  <c:v>7.0227829790025629</c:v>
                </c:pt>
                <c:pt idx="4">
                  <c:v>8.7784787237532029</c:v>
                </c:pt>
                <c:pt idx="5">
                  <c:v>10.534174468503844</c:v>
                </c:pt>
                <c:pt idx="6">
                  <c:v>11.923774339271267</c:v>
                </c:pt>
                <c:pt idx="7">
                  <c:v>13.31337421003869</c:v>
                </c:pt>
                <c:pt idx="8">
                  <c:v>14.702974080806113</c:v>
                </c:pt>
                <c:pt idx="9">
                  <c:v>16.092573951573534</c:v>
                </c:pt>
                <c:pt idx="10">
                  <c:v>17.482173822340958</c:v>
                </c:pt>
                <c:pt idx="11">
                  <c:v>18.871773693108381</c:v>
                </c:pt>
                <c:pt idx="12">
                  <c:v>20.261373563875804</c:v>
                </c:pt>
                <c:pt idx="13">
                  <c:v>21.650973434643227</c:v>
                </c:pt>
                <c:pt idx="14">
                  <c:v>23.04057330541065</c:v>
                </c:pt>
                <c:pt idx="15">
                  <c:v>24.430173176178073</c:v>
                </c:pt>
                <c:pt idx="16">
                  <c:v>25.819773046945496</c:v>
                </c:pt>
                <c:pt idx="17">
                  <c:v>27.209372917712912</c:v>
                </c:pt>
              </c:numCache>
            </c:numRef>
          </c:yVal>
          <c:smooth val="0"/>
          <c:extLst>
            <c:ext xmlns:c16="http://schemas.microsoft.com/office/drawing/2014/chart" uri="{C3380CC4-5D6E-409C-BE32-E72D297353CC}">
              <c16:uniqueId val="{00000002-2B7E-4F28-96B7-A873A338BED1}"/>
            </c:ext>
          </c:extLst>
        </c:ser>
        <c:ser>
          <c:idx val="3"/>
          <c:order val="3"/>
          <c:tx>
            <c:strRef>
              <c:f>'4.1.1 smooth cashflow'!$AC$3</c:f>
              <c:strCache>
                <c:ptCount val="1"/>
                <c:pt idx="0">
                  <c:v>Pooled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yVal>
            <c:numRef>
              <c:f>'4.1.1 smooth cashflow'!$AC$5:$AC$22</c:f>
              <c:numCache>
                <c:formatCode>0.00</c:formatCode>
                <c:ptCount val="18"/>
                <c:pt idx="0">
                  <c:v>4.0936501500476057</c:v>
                </c:pt>
                <c:pt idx="1">
                  <c:v>8.1873003000952114</c:v>
                </c:pt>
                <c:pt idx="2">
                  <c:v>12.280950450142818</c:v>
                </c:pt>
                <c:pt idx="3">
                  <c:v>16.374600600190423</c:v>
                </c:pt>
                <c:pt idx="4">
                  <c:v>20.468250750238028</c:v>
                </c:pt>
                <c:pt idx="5">
                  <c:v>24.561900900285636</c:v>
                </c:pt>
                <c:pt idx="6">
                  <c:v>25.282908220250352</c:v>
                </c:pt>
                <c:pt idx="7">
                  <c:v>26.003915540215068</c:v>
                </c:pt>
                <c:pt idx="8">
                  <c:v>26.724922860179785</c:v>
                </c:pt>
                <c:pt idx="9">
                  <c:v>27.445930180144501</c:v>
                </c:pt>
                <c:pt idx="10">
                  <c:v>28.166937500109217</c:v>
                </c:pt>
                <c:pt idx="11">
                  <c:v>28.887944820073933</c:v>
                </c:pt>
                <c:pt idx="12">
                  <c:v>29.60895214003865</c:v>
                </c:pt>
                <c:pt idx="13">
                  <c:v>30.329959460003366</c:v>
                </c:pt>
                <c:pt idx="14">
                  <c:v>31.050966779968082</c:v>
                </c:pt>
                <c:pt idx="15">
                  <c:v>31.771974099932798</c:v>
                </c:pt>
                <c:pt idx="16">
                  <c:v>32.492981419897518</c:v>
                </c:pt>
                <c:pt idx="17">
                  <c:v>33.213988739862238</c:v>
                </c:pt>
              </c:numCache>
            </c:numRef>
          </c:yVal>
          <c:smooth val="0"/>
          <c:extLst>
            <c:ext xmlns:c16="http://schemas.microsoft.com/office/drawing/2014/chart" uri="{C3380CC4-5D6E-409C-BE32-E72D297353CC}">
              <c16:uniqueId val="{00000003-2B7E-4F28-96B7-A873A338BED1}"/>
            </c:ext>
          </c:extLst>
        </c:ser>
        <c:dLbls>
          <c:showLegendKey val="0"/>
          <c:showVal val="0"/>
          <c:showCatName val="0"/>
          <c:showSerName val="0"/>
          <c:showPercent val="0"/>
          <c:showBubbleSize val="0"/>
        </c:dLbls>
        <c:axId val="730484872"/>
        <c:axId val="730485528"/>
      </c:scatterChart>
      <c:valAx>
        <c:axId val="730484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Months after cash transfer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5528"/>
        <c:crosses val="autoZero"/>
        <c:crossBetween val="midCat"/>
        <c:majorUnit val="1"/>
      </c:valAx>
      <c:valAx>
        <c:axId val="730485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2016 USD PPP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848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60</xdr:row>
      <xdr:rowOff>0</xdr:rowOff>
    </xdr:from>
    <xdr:to>
      <xdr:col>4</xdr:col>
      <xdr:colOff>304800</xdr:colOff>
      <xdr:row>61</xdr:row>
      <xdr:rowOff>114300</xdr:rowOff>
    </xdr:to>
    <xdr:sp macro="" textlink="">
      <xdr:nvSpPr>
        <xdr:cNvPr id="1025" name="Picture 4" descr="/var/folders/99/10z9rt955vl2qy63799975qw0000gn/T/com.microsoft.Excel/WebArchiveCopyPasteTempFiles/GetAttachmentThumbnail?id=AAMkADBjNTExODU3LTg5ODUtNDE1Zi05N2Q1LTIzZWFkYmU0NDlmNgBGAAAAAABhN%2BtQPeftSZZcnjOLx%2BAzBwD7JPHOSb8BQZFKc1S3fyVuAAAAAAEMAAD7JPHOSb8BQZFKc1S3fyVuAAAzzAxOAAABEgAQAM7fMvgSzc5MkoC5ww9sNSM%3D&amp;thumbnailType=2&amp;owa=outlook.office.com&amp;scriptVer=2019111801.06&amp;X-OWA-CANARY=U01WxT9KPEm5cgeOkmPMXjC5oHMuc9cYD4gwjnCE0Zgl_hZQ1t7BG3tIAHe7OZ08YVDRAQ63DMw.&amp;token=eyJhbGciOiJSUzI1NiIsImtpZCI6IjA2MDBGOUY2NzQ2MjA3MzdFNzM0MDRFMjg3QzQ1QTgxOENCN0NFQjgiLCJ4NXQiOiJCZ0Q1OW5SaUJ6Zm5OQVRpaDhSYWdZeTN6cmciLCJ0eXAiOiJKV1QifQ.eyJvcmlnaW4iOiJodHRwczovL291dGxvb2sub2ZmaWNlLmNvbSIsInZlciI6IkV4Y2hhbmdlLkNhbGxiYWNrLlYxIiwiYXBwY3R4c2VuZGVyIjoiT3dhRG93bmxvYWRAMzFhMmZlYzAtMjY2Yi00YzY3LWI1NmUtMjc5NmQ4ZjU5YzM2IiwiaXNzcmluZyI6IldXIiwiYXBwY3R4Ijoie1wibXNleGNocHJvdFwiOlwib3dhXCIsXCJwcmltYXJ5c2lkXCI6XCJTLTEtNS0yMS0xODU5OTY0OTA0LTMyNTE2ODg4ODEtMTQ4ODg0NTQ4OC0yMzU3Mjc2MVwiLFwicHVpZFwiOlwiMTE1MzgwMTExNTYzMzMzMDIzMlwiLFwib2lkXCI6XCIxNzMyOTY5MC1kZWVmLTRjOTItYTJhMS00OTEyMzllNjZjNmNcIixcInNjb3BlXCI6XCJPd2FEb3dubG9hZFwifSIsIm5iZiI6MTU3NDg1NDU1MSwiZXhwIjoxNTc0ODU1MTUxLCJpc3MiOiIwMDAwMDAwMi0wMDAwLTBmZjEtY2UwMC0wMDAwMDAwMDAwMDBAMzFhMmZlYzAtMjY2Yi00YzY3LWI1NmUtMjc5NmQ4ZjU5YzM2IiwiYXVkIjoiMDAwMDAwMDItMDAwMC0wZmYxLWNlMDAtMDAwMDAwMDAwMDAwL2F0dGFjaG1lbnRzLm9mZmljZS5uZXRAMzFhMmZlYzAtMjY2Yi00YzY3LWI1NmUtMjc5NmQ4ZjU5YzM2In0.YcuAJVnvoBXlfE1-RooXs4vq2flFBno7CbxtiJTfrYF8TDp4xO88NmJbw7rWuHrev6cT0h_FVl1FZE8gmF-k0ZL4ZuS1pNvVU-lb2JK2UOSd0pgVuNunpUh5MJL1YLWE4kdN0KFZzQfQofz-oNftv-ulwbuogLWRT1D8Ls3oB2SWJxEft02J5IqtTg5vLVu0fnzYXcUv0K8-ipwts3Ac534FtqMQdzuHqTUfkwn7wcEMvRXP-bMSTqLV-tTlESmdfXkQPduheIb1IX3rJn-rm36sOfk4BcdrgjJ2D7kuadn64Spn77Dh2uY5VpG5zDVVmEQaKGu5xPqHfmpHUNFxPg&amp;animation=true">
          <a:extLst>
            <a:ext uri="{FF2B5EF4-FFF2-40B4-BE49-F238E27FC236}">
              <a16:creationId xmlns:a16="http://schemas.microsoft.com/office/drawing/2014/main" id="{1379E08D-8255-3142-AB9F-6D9247CB5EBA}"/>
            </a:ext>
          </a:extLst>
        </xdr:cNvPr>
        <xdr:cNvSpPr>
          <a:spLocks noChangeAspect="1" noChangeArrowheads="1"/>
        </xdr:cNvSpPr>
      </xdr:nvSpPr>
      <xdr:spPr bwMode="auto">
        <a:xfrm>
          <a:off x="3035300" y="362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61</xdr:row>
      <xdr:rowOff>0</xdr:rowOff>
    </xdr:from>
    <xdr:to>
      <xdr:col>4</xdr:col>
      <xdr:colOff>304800</xdr:colOff>
      <xdr:row>62</xdr:row>
      <xdr:rowOff>114301</xdr:rowOff>
    </xdr:to>
    <xdr:sp macro="" textlink="">
      <xdr:nvSpPr>
        <xdr:cNvPr id="1026" name="Picture 4" descr="/var/folders/99/10z9rt955vl2qy63799975qw0000gn/T/com.microsoft.Excel/WebArchiveCopyPasteTempFiles/GetAttachmentThumbnail?id=AAMkADBjNTExODU3LTg5ODUtNDE1Zi05N2Q1LTIzZWFkYmU0NDlmNgBGAAAAAABhN%2BtQPeftSZZcnjOLx%2BAzBwD7JPHOSb8BQZFKc1S3fyVuAAAAAAEMAAD7JPHOSb8BQZFKc1S3fyVuAAAzzAxOAAABEgAQAM7fMvgSzc5MkoC5ww9sNSM%3D&amp;thumbnailType=2&amp;owa=outlook.office.com&amp;scriptVer=2019111801.06&amp;X-OWA-CANARY=U01WxT9KPEm5cgeOkmPMXjC5oHMuc9cYD4gwjnCE0Zgl_hZQ1t7BG3tIAHe7OZ08YVDRAQ63DMw.&amp;token=eyJhbGciOiJSUzI1NiIsImtpZCI6IjA2MDBGOUY2NzQ2MjA3MzdFNzM0MDRFMjg3QzQ1QTgxOENCN0NFQjgiLCJ4NXQiOiJCZ0Q1OW5SaUJ6Zm5OQVRpaDhSYWdZeTN6cmciLCJ0eXAiOiJKV1QifQ.eyJvcmlnaW4iOiJodHRwczovL291dGxvb2sub2ZmaWNlLmNvbSIsInZlciI6IkV4Y2hhbmdlLkNhbGxiYWNrLlYxIiwiYXBwY3R4c2VuZGVyIjoiT3dhRG93bmxvYWRAMzFhMmZlYzAtMjY2Yi00YzY3LWI1NmUtMjc5NmQ4ZjU5YzM2IiwiaXNzcmluZyI6IldXIiwiYXBwY3R4Ijoie1wibXNleGNocHJvdFwiOlwib3dhXCIsXCJwcmltYXJ5c2lkXCI6XCJTLTEtNS0yMS0xODU5OTY0OTA0LTMyNTE2ODg4ODEtMTQ4ODg0NTQ4OC0yMzU3Mjc2MVwiLFwicHVpZFwiOlwiMTE1MzgwMTExNTYzMzMzMDIzMlwiLFwib2lkXCI6XCIxNzMyOTY5MC1kZWVmLTRjOTItYTJhMS00OTEyMzllNjZjNmNcIixcInNjb3BlXCI6XCJPd2FEb3dubG9hZFwifSIsIm5iZiI6MTU3NDg1NDU1MSwiZXhwIjoxNTc0ODU1MTUxLCJpc3MiOiIwMDAwMDAwMi0wMDAwLTBmZjEtY2UwMC0wMDAwMDAwMDAwMDBAMzFhMmZlYzAtMjY2Yi00YzY3LWI1NmUtMjc5NmQ4ZjU5YzM2IiwiYXVkIjoiMDAwMDAwMDItMDAwMC0wZmYxLWNlMDAtMDAwMDAwMDAwMDAwL2F0dGFjaG1lbnRzLm9mZmljZS5uZXRAMzFhMmZlYzAtMjY2Yi00YzY3LWI1NmUtMjc5NmQ4ZjU5YzM2In0.YcuAJVnvoBXlfE1-RooXs4vq2flFBno7CbxtiJTfrYF8TDp4xO88NmJbw7rWuHrev6cT0h_FVl1FZE8gmF-k0ZL4ZuS1pNvVU-lb2JK2UOSd0pgVuNunpUh5MJL1YLWE4kdN0KFZzQfQofz-oNftv-ulwbuogLWRT1D8Ls3oB2SWJxEft02J5IqtTg5vLVu0fnzYXcUv0K8-ipwts3Ac534FtqMQdzuHqTUfkwn7wcEMvRXP-bMSTqLV-tTlESmdfXkQPduheIb1IX3rJn-rm36sOfk4BcdrgjJ2D7kuadn64Spn77Dh2uY5VpG5zDVVmEQaKGu5xPqHfmpHUNFxPg&amp;animation=true">
          <a:extLst>
            <a:ext uri="{FF2B5EF4-FFF2-40B4-BE49-F238E27FC236}">
              <a16:creationId xmlns:a16="http://schemas.microsoft.com/office/drawing/2014/main" id="{2373A0E0-2894-4045-A68F-AE3E0BD9A1CF}"/>
            </a:ext>
          </a:extLst>
        </xdr:cNvPr>
        <xdr:cNvSpPr>
          <a:spLocks noChangeAspect="1" noChangeArrowheads="1"/>
        </xdr:cNvSpPr>
      </xdr:nvSpPr>
      <xdr:spPr bwMode="auto">
        <a:xfrm>
          <a:off x="3035300" y="364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54</xdr:row>
      <xdr:rowOff>0</xdr:rowOff>
    </xdr:from>
    <xdr:to>
      <xdr:col>2</xdr:col>
      <xdr:colOff>304800</xdr:colOff>
      <xdr:row>55</xdr:row>
      <xdr:rowOff>114301</xdr:rowOff>
    </xdr:to>
    <xdr:sp macro="" textlink="">
      <xdr:nvSpPr>
        <xdr:cNvPr id="2050" name="AutoShape 2">
          <a:extLst>
            <a:ext uri="{FF2B5EF4-FFF2-40B4-BE49-F238E27FC236}">
              <a16:creationId xmlns:a16="http://schemas.microsoft.com/office/drawing/2014/main" id="{2C223C8B-D9C6-3E43-B105-89F238AF78BD}"/>
            </a:ext>
          </a:extLst>
        </xdr:cNvPr>
        <xdr:cNvSpPr>
          <a:spLocks noChangeAspect="1" noChangeArrowheads="1"/>
        </xdr:cNvSpPr>
      </xdr:nvSpPr>
      <xdr:spPr bwMode="auto">
        <a:xfrm>
          <a:off x="1219200" y="1931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983876" cy="277906"/>
    <xdr:pic>
      <xdr:nvPicPr>
        <xdr:cNvPr id="22" name="Picture 2">
          <a:extLst>
            <a:ext uri="{FF2B5EF4-FFF2-40B4-BE49-F238E27FC236}">
              <a16:creationId xmlns:a16="http://schemas.microsoft.com/office/drawing/2014/main" id="{424197AB-BA9F-DD49-B107-284CB77F9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3" name="Picture 2">
          <a:extLst>
            <a:ext uri="{FF2B5EF4-FFF2-40B4-BE49-F238E27FC236}">
              <a16:creationId xmlns:a16="http://schemas.microsoft.com/office/drawing/2014/main" id="{CF6DDD1A-E4B9-044E-AE38-AAF4097B0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4" name="Picture 2">
          <a:extLst>
            <a:ext uri="{FF2B5EF4-FFF2-40B4-BE49-F238E27FC236}">
              <a16:creationId xmlns:a16="http://schemas.microsoft.com/office/drawing/2014/main" id="{8B88671C-969B-6D45-9FAD-9D0B90AE7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5" name="Picture 2">
          <a:extLst>
            <a:ext uri="{FF2B5EF4-FFF2-40B4-BE49-F238E27FC236}">
              <a16:creationId xmlns:a16="http://schemas.microsoft.com/office/drawing/2014/main" id="{2BB8CA33-5455-134A-85F4-FED26A6AA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6" name="Picture 2">
          <a:extLst>
            <a:ext uri="{FF2B5EF4-FFF2-40B4-BE49-F238E27FC236}">
              <a16:creationId xmlns:a16="http://schemas.microsoft.com/office/drawing/2014/main" id="{73A70329-CF0A-2843-8845-F7D39DCAA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7" name="Picture 2">
          <a:extLst>
            <a:ext uri="{FF2B5EF4-FFF2-40B4-BE49-F238E27FC236}">
              <a16:creationId xmlns:a16="http://schemas.microsoft.com/office/drawing/2014/main" id="{48C368CC-4C04-0F4E-8E07-5E15BE2D2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8" name="Picture 2">
          <a:extLst>
            <a:ext uri="{FF2B5EF4-FFF2-40B4-BE49-F238E27FC236}">
              <a16:creationId xmlns:a16="http://schemas.microsoft.com/office/drawing/2014/main" id="{B6560906-3993-5245-BB57-83F6F5D872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29" name="Picture 2">
          <a:extLst>
            <a:ext uri="{FF2B5EF4-FFF2-40B4-BE49-F238E27FC236}">
              <a16:creationId xmlns:a16="http://schemas.microsoft.com/office/drawing/2014/main" id="{4920B106-4EB7-9648-A231-0EF4E50F5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14</xdr:row>
      <xdr:rowOff>0</xdr:rowOff>
    </xdr:from>
    <xdr:ext cx="983876" cy="277906"/>
    <xdr:pic>
      <xdr:nvPicPr>
        <xdr:cNvPr id="30" name="Picture 2">
          <a:extLst>
            <a:ext uri="{FF2B5EF4-FFF2-40B4-BE49-F238E27FC236}">
              <a16:creationId xmlns:a16="http://schemas.microsoft.com/office/drawing/2014/main" id="{176BB9B4-4CA3-E846-8D56-D95E83D44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69412" y="7963647"/>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1" name="Picture 2">
          <a:extLst>
            <a:ext uri="{FF2B5EF4-FFF2-40B4-BE49-F238E27FC236}">
              <a16:creationId xmlns:a16="http://schemas.microsoft.com/office/drawing/2014/main" id="{8A271A79-0798-4C3E-89CF-E6F30A502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2" name="Picture 2">
          <a:extLst>
            <a:ext uri="{FF2B5EF4-FFF2-40B4-BE49-F238E27FC236}">
              <a16:creationId xmlns:a16="http://schemas.microsoft.com/office/drawing/2014/main" id="{2DEA839A-0D78-48A4-8DB5-8E3CCD4C51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3" name="Picture 2">
          <a:extLst>
            <a:ext uri="{FF2B5EF4-FFF2-40B4-BE49-F238E27FC236}">
              <a16:creationId xmlns:a16="http://schemas.microsoft.com/office/drawing/2014/main" id="{1C7C488B-B7C8-41EC-AEA9-2590FE21D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4" name="Picture 2">
          <a:extLst>
            <a:ext uri="{FF2B5EF4-FFF2-40B4-BE49-F238E27FC236}">
              <a16:creationId xmlns:a16="http://schemas.microsoft.com/office/drawing/2014/main" id="{0AA09D90-C05C-40C7-A618-DE6C572E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5" name="Picture 2">
          <a:extLst>
            <a:ext uri="{FF2B5EF4-FFF2-40B4-BE49-F238E27FC236}">
              <a16:creationId xmlns:a16="http://schemas.microsoft.com/office/drawing/2014/main" id="{910D12F1-048B-4391-B7EB-365BE1E06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6" name="Picture 2">
          <a:extLst>
            <a:ext uri="{FF2B5EF4-FFF2-40B4-BE49-F238E27FC236}">
              <a16:creationId xmlns:a16="http://schemas.microsoft.com/office/drawing/2014/main" id="{71CCDBEF-214B-46CB-B845-693C8BE64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7" name="Picture 2">
          <a:extLst>
            <a:ext uri="{FF2B5EF4-FFF2-40B4-BE49-F238E27FC236}">
              <a16:creationId xmlns:a16="http://schemas.microsoft.com/office/drawing/2014/main" id="{ECDFC753-0402-40B9-812D-EDEE15A53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25</xdr:row>
      <xdr:rowOff>0</xdr:rowOff>
    </xdr:from>
    <xdr:ext cx="983876" cy="277906"/>
    <xdr:pic>
      <xdr:nvPicPr>
        <xdr:cNvPr id="38" name="Picture 2">
          <a:extLst>
            <a:ext uri="{FF2B5EF4-FFF2-40B4-BE49-F238E27FC236}">
              <a16:creationId xmlns:a16="http://schemas.microsoft.com/office/drawing/2014/main" id="{C06CBE58-512B-4E63-96B5-5AB1E8E78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853" y="3989294"/>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32</xdr:row>
      <xdr:rowOff>0</xdr:rowOff>
    </xdr:from>
    <xdr:ext cx="983876" cy="277906"/>
    <xdr:pic>
      <xdr:nvPicPr>
        <xdr:cNvPr id="12" name="Picture 2">
          <a:extLst>
            <a:ext uri="{FF2B5EF4-FFF2-40B4-BE49-F238E27FC236}">
              <a16:creationId xmlns:a16="http://schemas.microsoft.com/office/drawing/2014/main" id="{E52CF251-4CD9-DC45-B5B1-EE4C075A6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5200" y="21742400"/>
          <a:ext cx="983876" cy="277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11588</xdr:colOff>
      <xdr:row>32</xdr:row>
      <xdr:rowOff>36269</xdr:rowOff>
    </xdr:from>
    <xdr:to>
      <xdr:col>7</xdr:col>
      <xdr:colOff>450273</xdr:colOff>
      <xdr:row>46</xdr:row>
      <xdr:rowOff>40099</xdr:rowOff>
    </xdr:to>
    <xdr:graphicFrame macro="">
      <xdr:nvGraphicFramePr>
        <xdr:cNvPr id="3" name="Chart 2">
          <a:extLst>
            <a:ext uri="{FF2B5EF4-FFF2-40B4-BE49-F238E27FC236}">
              <a16:creationId xmlns:a16="http://schemas.microsoft.com/office/drawing/2014/main" id="{35C9261E-DAA5-4932-B074-0CA045A95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617799</xdr:colOff>
      <xdr:row>49</xdr:row>
      <xdr:rowOff>124909</xdr:rowOff>
    </xdr:from>
    <xdr:to>
      <xdr:col>17</xdr:col>
      <xdr:colOff>215265</xdr:colOff>
      <xdr:row>64</xdr:row>
      <xdr:rowOff>91440</xdr:rowOff>
    </xdr:to>
    <xdr:graphicFrame macro="">
      <xdr:nvGraphicFramePr>
        <xdr:cNvPr id="4" name="Chart 3">
          <a:extLst>
            <a:ext uri="{FF2B5EF4-FFF2-40B4-BE49-F238E27FC236}">
              <a16:creationId xmlns:a16="http://schemas.microsoft.com/office/drawing/2014/main" id="{7130D63E-D18F-49EE-BD91-8E8B1A903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615774</xdr:colOff>
      <xdr:row>34</xdr:row>
      <xdr:rowOff>77233</xdr:rowOff>
    </xdr:from>
    <xdr:to>
      <xdr:col>17</xdr:col>
      <xdr:colOff>226252</xdr:colOff>
      <xdr:row>49</xdr:row>
      <xdr:rowOff>35834</xdr:rowOff>
    </xdr:to>
    <xdr:graphicFrame macro="">
      <xdr:nvGraphicFramePr>
        <xdr:cNvPr id="5" name="Chart 4">
          <a:extLst>
            <a:ext uri="{FF2B5EF4-FFF2-40B4-BE49-F238E27FC236}">
              <a16:creationId xmlns:a16="http://schemas.microsoft.com/office/drawing/2014/main" id="{5C86FD71-35BC-40FD-8FE1-6D535DB10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86590</xdr:colOff>
      <xdr:row>36</xdr:row>
      <xdr:rowOff>69272</xdr:rowOff>
    </xdr:from>
    <xdr:to>
      <xdr:col>30</xdr:col>
      <xdr:colOff>455024</xdr:colOff>
      <xdr:row>50</xdr:row>
      <xdr:rowOff>57085</xdr:rowOff>
    </xdr:to>
    <xdr:graphicFrame macro="">
      <xdr:nvGraphicFramePr>
        <xdr:cNvPr id="6" name="Chart 5">
          <a:extLst>
            <a:ext uri="{FF2B5EF4-FFF2-40B4-BE49-F238E27FC236}">
              <a16:creationId xmlns:a16="http://schemas.microsoft.com/office/drawing/2014/main" id="{B6F34F01-98F0-4BA0-89FF-F0261C9B6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eonoresidos/Documents/STAGE_Dakar_BM/Mission3.CoutYKK/cout_Niger_112019_v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wb364850/AppData/Local/Microsoft/Windows/INetCache/Content.Outlook/0JZIRMED/cout_YKK_112019_v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0eb2a1fef04957db/Documents/IPA/Work/ASP%20General/CEA/ASPP_Productive%20costing%20Niger%2020200710%20Dam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ba_sta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1 - Administration Programme"/>
      <sheetName val="2 - Coûts ciblage"/>
      <sheetName val="3.0. Mise en œuvre group acc"/>
      <sheetName val="3.1. Mise en œuvre coaching"/>
      <sheetName val="3.2.Mise en œuvre sensibilisati"/>
      <sheetName val="3.3.Mise en œuvre ACEC"/>
      <sheetName val="3.4. Mise en œuvre ACV"/>
      <sheetName val="3.5. Mise en œuvre GERME"/>
      <sheetName val="3.6 Mise en œuvre Injection cap"/>
      <sheetName val="3.7. Mise en œuvre acces marche"/>
      <sheetName val="4 - Coûts autres"/>
      <sheetName val="Résumé Coûts"/>
      <sheetName val="A supprimer (suivi-contrôle)"/>
    </sheetNames>
    <sheetDataSet>
      <sheetData sheetId="0">
        <row r="38">
          <cell r="D38">
            <v>1.6999999999999999E-3</v>
          </cell>
        </row>
      </sheetData>
      <sheetData sheetId="1">
        <row r="54">
          <cell r="H54">
            <v>24717485</v>
          </cell>
          <cell r="I54">
            <v>17680</v>
          </cell>
        </row>
      </sheetData>
      <sheetData sheetId="2">
        <row r="49">
          <cell r="I49" t="e">
            <v>#REF!</v>
          </cell>
          <cell r="J49" t="e">
            <v>#REF!</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 sheetId="11">
        <row r="33">
          <cell r="H33" t="e">
            <v>#REF!</v>
          </cell>
          <cell r="I33" t="e">
            <v>#REF!</v>
          </cell>
        </row>
      </sheetData>
      <sheetData sheetId="12">
        <row r="12">
          <cell r="F12" t="e">
            <v>#REF!</v>
          </cell>
        </row>
      </sheetData>
      <sheetData sheetId="13">
        <row r="51">
          <cell r="H51">
            <v>0</v>
          </cell>
          <cell r="I51">
            <v>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1 - Administration Programme"/>
      <sheetName val="2 - Identification-enregistr."/>
      <sheetName val="3.0. Info et constit. des gpes"/>
      <sheetName val="3.1. Mise en œuvre coaching"/>
      <sheetName val="3.2.Mise en œuvre sensibilisati"/>
      <sheetName val="3.3.Mise en œuvre AVEC"/>
      <sheetName val="3.4. Mise en œuvre ACV"/>
      <sheetName val="3.5. Mise en œuvre Germe"/>
      <sheetName val="3.6 Mise en œuvre Injection cap"/>
      <sheetName val="3.7. Mise en œuvre acces marche"/>
      <sheetName val="STRUCTURE DES COUTS"/>
    </sheetNames>
    <sheetDataSet>
      <sheetData sheetId="0">
        <row r="16">
          <cell r="D16">
            <v>1.6999999999999999E-3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ba_stats"/>
    </sheetNames>
    <sheetDataSet>
      <sheetData sheetId="0">
        <row r="4">
          <cell r="A4">
            <v>5.3128686521711694</v>
          </cell>
          <cell r="B4">
            <v>6.1359981513704893</v>
          </cell>
        </row>
        <row r="5">
          <cell r="A5">
            <v>0.15262697339254899</v>
          </cell>
          <cell r="B5">
            <v>0.11941047796757651</v>
          </cell>
        </row>
        <row r="6">
          <cell r="A6">
            <v>8.8033499570979432E-2</v>
          </cell>
          <cell r="B6">
            <v>0.1809686115716401</v>
          </cell>
        </row>
        <row r="7">
          <cell r="A7">
            <v>0.24952689818903459</v>
          </cell>
          <cell r="B7">
            <v>0.25292124247486092</v>
          </cell>
        </row>
        <row r="9">
          <cell r="A9">
            <v>37.020130256397437</v>
          </cell>
          <cell r="B9">
            <v>28.963369654146369</v>
          </cell>
        </row>
        <row r="10">
          <cell r="A10">
            <v>21.352789368672859</v>
          </cell>
          <cell r="B10">
            <v>43.894479645774112</v>
          </cell>
        </row>
        <row r="11">
          <cell r="A11">
            <v>60.523497717189628</v>
          </cell>
          <cell r="B11">
            <v>61.346806093858653</v>
          </cell>
        </row>
        <row r="13">
          <cell r="A13">
            <v>0.1635545655197406</v>
          </cell>
          <cell r="B13">
            <v>0.18292683471879517</v>
          </cell>
        </row>
        <row r="15">
          <cell r="A15">
            <v>265.04616200129755</v>
          </cell>
          <cell r="B15">
            <v>255.4895966270104</v>
          </cell>
        </row>
        <row r="16">
          <cell r="A16">
            <v>126.41009362204613</v>
          </cell>
          <cell r="B16">
            <v>326.51247501255494</v>
          </cell>
        </row>
        <row r="17">
          <cell r="A17">
            <v>491.93207977235238</v>
          </cell>
          <cell r="B17">
            <v>624.78563512746268</v>
          </cell>
        </row>
        <row r="19">
          <cell r="A19">
            <v>294.74281080342763</v>
          </cell>
          <cell r="B19">
            <v>398.56786487834682</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
  <sheetViews>
    <sheetView topLeftCell="A7" workbookViewId="0">
      <selection activeCell="D40" sqref="D40"/>
    </sheetView>
  </sheetViews>
  <sheetFormatPr defaultColWidth="8.77734375" defaultRowHeight="13.8"/>
  <cols>
    <col min="1" max="2" width="2.44140625" style="98" customWidth="1"/>
    <col min="3" max="3" width="16.109375" style="99" customWidth="1"/>
    <col min="4" max="4" width="13.21875" style="99" bestFit="1" customWidth="1"/>
    <col min="5" max="5" width="21.33203125" style="99" customWidth="1"/>
    <col min="6" max="6" width="22.21875" style="99" customWidth="1"/>
    <col min="7" max="7" width="19.44140625" style="99" customWidth="1"/>
    <col min="8" max="8" width="16" style="99" bestFit="1" customWidth="1"/>
    <col min="9" max="9" width="8.77734375" style="115"/>
    <col min="10" max="10" width="16.33203125" style="99" hidden="1" customWidth="1"/>
    <col min="11" max="12" width="8.77734375" style="99"/>
    <col min="13" max="13" width="8.44140625" style="99" customWidth="1"/>
    <col min="14" max="14" width="1.44140625" style="99" customWidth="1"/>
    <col min="15" max="15" width="25.77734375" style="99" customWidth="1"/>
    <col min="16" max="16384" width="8.77734375" style="99"/>
  </cols>
  <sheetData>
    <row r="1" spans="1:13" s="96" customFormat="1" ht="22.8">
      <c r="B1" s="97" t="s">
        <v>43</v>
      </c>
    </row>
    <row r="2" spans="1:13" s="92" customFormat="1" ht="22.8">
      <c r="A2" s="96"/>
      <c r="B2" s="97"/>
      <c r="C2" s="96"/>
      <c r="D2" s="96"/>
      <c r="E2" s="96"/>
      <c r="F2" s="96"/>
      <c r="I2" s="563"/>
    </row>
    <row r="3" spans="1:13">
      <c r="C3" s="679"/>
      <c r="D3" s="679"/>
      <c r="E3" s="679"/>
      <c r="F3" s="115"/>
    </row>
    <row r="4" spans="1:13" s="101" customFormat="1">
      <c r="A4" s="115"/>
      <c r="B4" s="93"/>
      <c r="C4" s="116"/>
      <c r="D4" s="116"/>
      <c r="E4" s="116"/>
      <c r="F4" s="115"/>
      <c r="I4" s="115"/>
    </row>
    <row r="5" spans="1:13">
      <c r="B5" s="295" t="s">
        <v>44</v>
      </c>
      <c r="C5" s="229"/>
      <c r="D5" s="115"/>
      <c r="E5" s="115"/>
      <c r="F5" s="115"/>
    </row>
    <row r="6" spans="1:13" s="115" customFormat="1">
      <c r="A6" s="98"/>
      <c r="B6" s="229"/>
    </row>
    <row r="7" spans="1:13" s="102" customFormat="1">
      <c r="B7" s="292"/>
      <c r="C7" s="292" t="s">
        <v>45</v>
      </c>
      <c r="D7" s="292"/>
      <c r="E7" s="292"/>
      <c r="F7" s="227"/>
      <c r="G7" s="228"/>
      <c r="H7" s="228"/>
      <c r="I7" s="228"/>
      <c r="J7" s="228"/>
      <c r="K7" s="228"/>
      <c r="L7" s="228"/>
      <c r="M7" s="228"/>
    </row>
    <row r="8" spans="1:13" s="102" customFormat="1">
      <c r="B8" s="292"/>
      <c r="C8" s="292" t="s">
        <v>46</v>
      </c>
      <c r="D8" s="292"/>
      <c r="E8" s="292"/>
      <c r="F8" s="227"/>
      <c r="G8" s="228"/>
      <c r="H8" s="228"/>
      <c r="I8" s="228"/>
      <c r="J8" s="228"/>
      <c r="K8" s="228"/>
      <c r="L8" s="228"/>
      <c r="M8" s="228"/>
    </row>
    <row r="9" spans="1:13" s="102" customFormat="1" ht="13.8" customHeight="1">
      <c r="B9" s="292"/>
      <c r="C9" s="292" t="s">
        <v>47</v>
      </c>
      <c r="D9" s="292"/>
      <c r="E9" s="292"/>
      <c r="F9" s="227"/>
      <c r="G9" s="228"/>
      <c r="H9" s="228"/>
      <c r="I9" s="228"/>
      <c r="J9" s="228"/>
      <c r="K9" s="228"/>
      <c r="L9" s="228"/>
      <c r="M9" s="228"/>
    </row>
    <row r="10" spans="1:13" s="223" customFormat="1">
      <c r="B10" s="93"/>
      <c r="C10" s="224"/>
      <c r="D10" s="224"/>
      <c r="E10" s="224"/>
      <c r="F10" s="225"/>
      <c r="G10" s="226"/>
      <c r="H10" s="226"/>
      <c r="I10" s="226"/>
      <c r="J10" s="226"/>
      <c r="K10" s="226"/>
      <c r="L10" s="226"/>
      <c r="M10" s="226"/>
    </row>
    <row r="11" spans="1:13" s="115" customFormat="1">
      <c r="B11" s="93"/>
      <c r="C11" s="291"/>
      <c r="D11" s="291"/>
      <c r="E11" s="291"/>
      <c r="J11" s="653">
        <f>10000*(15.9*F19*CPI_2018/CPI_2016)</f>
        <v>99706519.393557489</v>
      </c>
    </row>
    <row r="12" spans="1:13">
      <c r="B12" s="93"/>
      <c r="C12" s="681" t="s">
        <v>48</v>
      </c>
      <c r="D12" s="682"/>
      <c r="E12" s="682"/>
    </row>
    <row r="13" spans="1:13" s="95" customFormat="1">
      <c r="A13" s="94"/>
      <c r="B13" s="93"/>
      <c r="C13" s="680"/>
      <c r="D13" s="680"/>
      <c r="E13" s="680"/>
    </row>
    <row r="14" spans="1:13" s="95" customFormat="1">
      <c r="A14" s="94"/>
      <c r="B14" s="93"/>
      <c r="C14" s="310" t="s">
        <v>352</v>
      </c>
      <c r="D14" s="310"/>
    </row>
    <row r="15" spans="1:13" s="95" customFormat="1">
      <c r="A15" s="94"/>
      <c r="B15" s="93"/>
      <c r="C15" s="555" t="s">
        <v>353</v>
      </c>
      <c r="D15" s="555">
        <v>655.95699999999999</v>
      </c>
      <c r="E15" s="95" t="s">
        <v>351</v>
      </c>
    </row>
    <row r="16" spans="1:13" s="95" customFormat="1">
      <c r="A16" s="94"/>
      <c r="B16" s="93"/>
      <c r="C16" s="311" t="s">
        <v>180</v>
      </c>
      <c r="D16" s="333">
        <v>1.6999999999999999E-3</v>
      </c>
      <c r="E16" s="95" t="s">
        <v>310</v>
      </c>
    </row>
    <row r="17" spans="1:12" s="115" customFormat="1" ht="14.4">
      <c r="A17" s="98"/>
      <c r="B17" s="98"/>
      <c r="C17" s="100"/>
      <c r="D17" s="100"/>
      <c r="E17"/>
      <c r="F17"/>
      <c r="G17"/>
      <c r="I17" s="95"/>
      <c r="J17" s="95"/>
      <c r="K17" s="95"/>
    </row>
    <row r="18" spans="1:12" s="115" customFormat="1" ht="14.4">
      <c r="A18" s="98"/>
      <c r="B18" s="98"/>
      <c r="C18" s="115" t="s">
        <v>153</v>
      </c>
      <c r="D18" s="315" t="s">
        <v>309</v>
      </c>
      <c r="E18" s="531" t="s">
        <v>311</v>
      </c>
      <c r="F18" s="531" t="s">
        <v>354</v>
      </c>
      <c r="G18"/>
      <c r="I18" s="95"/>
      <c r="J18" s="95"/>
      <c r="K18" s="95"/>
      <c r="L18"/>
    </row>
    <row r="19" spans="1:12" s="115" customFormat="1">
      <c r="A19" s="98"/>
      <c r="B19" s="98"/>
      <c r="C19" s="312">
        <v>2016</v>
      </c>
      <c r="D19" s="312">
        <v>242.553</v>
      </c>
      <c r="E19" s="390">
        <f>1/conv_ppp_2016</f>
        <v>4.1228102723940745E-3</v>
      </c>
      <c r="F19" s="336">
        <f>$D$15/AVERAGEIFS(USDtoEuro!$B$5:$B$1230,USDtoEuro!$C$5:$C$1230,C19)</f>
        <v>592.44499328239738</v>
      </c>
      <c r="I19" s="95"/>
      <c r="J19" s="95"/>
      <c r="K19" s="95"/>
    </row>
    <row r="20" spans="1:12" s="115" customFormat="1">
      <c r="A20" s="98"/>
      <c r="B20" s="98"/>
      <c r="C20" s="309">
        <v>2017</v>
      </c>
      <c r="D20" s="336">
        <v>245.16</v>
      </c>
      <c r="E20" s="390">
        <f>1/conv_ppp_2017</f>
        <v>4.0789688366780876E-3</v>
      </c>
      <c r="F20" s="336">
        <f>$D$15/AVERAGEIFS(USDtoEuro!$B$5:$B$1230,USDtoEuro!$C$5:$C$1230,C20)</f>
        <v>580.50067853534586</v>
      </c>
      <c r="I20" s="95"/>
      <c r="J20" s="95"/>
      <c r="K20" s="95"/>
      <c r="L20" s="562"/>
    </row>
    <row r="21" spans="1:12" s="115" customFormat="1">
      <c r="A21" s="98"/>
      <c r="B21" s="98"/>
      <c r="C21" s="309">
        <v>2018</v>
      </c>
      <c r="D21" s="336">
        <v>246.416</v>
      </c>
      <c r="E21" s="390">
        <f>1/conv_ppp_2018</f>
        <v>4.058178040386988E-3</v>
      </c>
      <c r="F21" s="336">
        <f>$D$15/AVERAGEIFS(USDtoEuro!$B$5:$B$1230,USDtoEuro!$C$5:$C$1230,C21)</f>
        <v>555.1735186428175</v>
      </c>
      <c r="I21" s="95"/>
      <c r="J21" s="95"/>
      <c r="K21" s="95"/>
      <c r="L21" s="562"/>
    </row>
    <row r="22" spans="1:12" s="115" customFormat="1">
      <c r="A22" s="98"/>
      <c r="B22" s="98"/>
      <c r="C22" s="309">
        <v>2019</v>
      </c>
      <c r="D22" s="336">
        <v>236.00399999999999</v>
      </c>
      <c r="E22" s="390">
        <f>1/conv_ppp_2019</f>
        <v>4.2372163183674854E-3</v>
      </c>
      <c r="F22" s="336">
        <f>$D$15/AVERAGEIFS(USDtoEuro!$B$5:$B$1230,USDtoEuro!$C$5:$C$1230,C22)</f>
        <v>585.85011067431162</v>
      </c>
      <c r="I22" s="95"/>
      <c r="J22" s="95"/>
      <c r="K22" s="95"/>
    </row>
    <row r="23" spans="1:12" s="115" customFormat="1" ht="14.4">
      <c r="A23" s="98"/>
      <c r="B23" s="98"/>
      <c r="C23" s="311">
        <v>2020</v>
      </c>
      <c r="D23" s="331" t="s">
        <v>179</v>
      </c>
      <c r="E23" s="311" t="s">
        <v>179</v>
      </c>
      <c r="F23" s="336">
        <f>$D$15/AVERAGEIFS(USDtoEuro!$B$5:$B$1230,USDtoEuro!$C$5:$C$1230,C23)</f>
        <v>575.22635766950509</v>
      </c>
      <c r="H23" s="307"/>
      <c r="I23" s="95"/>
      <c r="J23" s="95"/>
      <c r="K23" s="95"/>
    </row>
    <row r="24" spans="1:12" s="115" customFormat="1" ht="14.4">
      <c r="A24" s="98"/>
      <c r="B24" s="98"/>
      <c r="C24" s="100"/>
      <c r="D24" s="100"/>
      <c r="E24" s="100"/>
      <c r="F24"/>
      <c r="G24"/>
      <c r="I24" s="95"/>
      <c r="J24" s="95"/>
      <c r="K24" s="95"/>
    </row>
    <row r="25" spans="1:12" s="115" customFormat="1" ht="14.4">
      <c r="A25" s="98"/>
      <c r="B25" s="98"/>
      <c r="C25" s="315" t="s">
        <v>164</v>
      </c>
      <c r="D25" s="315" t="s">
        <v>139</v>
      </c>
      <c r="E25" s="315" t="s">
        <v>308</v>
      </c>
      <c r="F25"/>
      <c r="G25"/>
      <c r="H25"/>
      <c r="I25"/>
      <c r="J25"/>
      <c r="K25"/>
    </row>
    <row r="26" spans="1:12" s="115" customFormat="1" ht="14.4">
      <c r="A26" s="98"/>
      <c r="B26" s="98"/>
      <c r="C26" s="309" t="s">
        <v>159</v>
      </c>
      <c r="D26" s="533">
        <v>105.92190708147901</v>
      </c>
      <c r="E26" s="532">
        <v>110.06700893427001</v>
      </c>
      <c r="G26"/>
      <c r="J26"/>
      <c r="K26"/>
    </row>
    <row r="27" spans="1:12" s="115" customFormat="1" ht="14.4">
      <c r="A27" s="98"/>
      <c r="B27" s="98"/>
      <c r="C27" s="309" t="s">
        <v>160</v>
      </c>
      <c r="D27" s="533">
        <v>108.883878892078</v>
      </c>
      <c r="E27" s="532">
        <v>112.411557302308</v>
      </c>
      <c r="G27"/>
      <c r="J27"/>
      <c r="K27"/>
    </row>
    <row r="28" spans="1:12" s="115" customFormat="1" ht="14.4">
      <c r="A28" s="98"/>
      <c r="B28" s="98"/>
      <c r="C28" s="309" t="s">
        <v>161</v>
      </c>
      <c r="D28" s="533">
        <v>112.11512086727799</v>
      </c>
      <c r="E28" s="533">
        <v>115.15730322479099</v>
      </c>
      <c r="F28"/>
      <c r="G28"/>
      <c r="J28"/>
      <c r="K28"/>
    </row>
    <row r="29" spans="1:12" s="115" customFormat="1" ht="14.4">
      <c r="A29" s="98"/>
      <c r="B29" s="98"/>
      <c r="C29" s="309" t="s">
        <v>162</v>
      </c>
      <c r="D29" s="533">
        <v>109.323686827592</v>
      </c>
      <c r="E29" s="533">
        <v>117.244195476228</v>
      </c>
      <c r="F29"/>
      <c r="G29"/>
      <c r="J29">
        <v>38.950000000000003</v>
      </c>
      <c r="K29"/>
    </row>
    <row r="30" spans="1:12" s="115" customFormat="1" ht="14.4">
      <c r="A30" s="98"/>
      <c r="B30" s="98"/>
      <c r="C30" s="311" t="s">
        <v>163</v>
      </c>
      <c r="D30" s="333">
        <f>D29*1.044</f>
        <v>114.13392904800605</v>
      </c>
      <c r="E30" s="311"/>
      <c r="F30"/>
      <c r="H30" s="307"/>
      <c r="I30" s="307"/>
      <c r="J30" t="e">
        <f>J29/J28</f>
        <v>#DIV/0!</v>
      </c>
      <c r="K30"/>
    </row>
    <row r="31" spans="1:12" s="115" customFormat="1" ht="14.4">
      <c r="A31" s="98"/>
      <c r="B31" s="98"/>
      <c r="C31" s="100"/>
      <c r="D31" s="100"/>
      <c r="E31" s="100"/>
      <c r="F31"/>
      <c r="G31"/>
      <c r="H31" s="307"/>
      <c r="I31" s="307"/>
      <c r="J31"/>
      <c r="K31"/>
    </row>
    <row r="32" spans="1:12" s="115" customFormat="1">
      <c r="A32" s="98"/>
      <c r="B32" s="98"/>
      <c r="C32" s="317" t="s">
        <v>49</v>
      </c>
      <c r="D32" s="318"/>
    </row>
    <row r="33" spans="1:6" s="115" customFormat="1">
      <c r="A33" s="98"/>
      <c r="B33" s="98"/>
      <c r="C33" s="319" t="s">
        <v>50</v>
      </c>
      <c r="D33" s="320"/>
    </row>
    <row r="34" spans="1:6" s="115" customFormat="1">
      <c r="A34" s="98"/>
      <c r="B34" s="98"/>
      <c r="C34" s="313" t="s">
        <v>51</v>
      </c>
      <c r="D34" s="321">
        <f>5641-4</f>
        <v>5637</v>
      </c>
      <c r="E34" s="389"/>
      <c r="F34" s="541"/>
    </row>
    <row r="35" spans="1:6" s="115" customFormat="1">
      <c r="A35" s="98"/>
      <c r="B35" s="98"/>
      <c r="C35" s="100" t="s">
        <v>52</v>
      </c>
      <c r="D35" s="316">
        <f>5624-4</f>
        <v>5620</v>
      </c>
      <c r="E35" s="541"/>
    </row>
    <row r="36" spans="1:6" s="115" customFormat="1">
      <c r="A36" s="98"/>
      <c r="B36" s="98"/>
      <c r="C36" s="314" t="s">
        <v>53</v>
      </c>
      <c r="D36" s="322">
        <v>5432</v>
      </c>
      <c r="F36" s="541"/>
    </row>
    <row r="37" spans="1:6" s="115" customFormat="1">
      <c r="A37" s="98"/>
      <c r="B37" s="98"/>
      <c r="C37" s="315" t="s">
        <v>16</v>
      </c>
      <c r="D37" s="323">
        <f>SUM(D34:D36)</f>
        <v>16689</v>
      </c>
    </row>
    <row r="38" spans="1:6" s="115" customFormat="1">
      <c r="A38" s="98"/>
      <c r="B38" s="98"/>
      <c r="C38" s="100"/>
    </row>
    <row r="39" spans="1:6" s="115" customFormat="1">
      <c r="A39" s="98"/>
      <c r="B39" s="98"/>
      <c r="C39" s="315" t="s">
        <v>145</v>
      </c>
      <c r="D39" s="324"/>
    </row>
    <row r="40" spans="1:6" s="115" customFormat="1">
      <c r="A40" s="98"/>
      <c r="B40" s="98"/>
      <c r="C40" s="313" t="s">
        <v>143</v>
      </c>
      <c r="D40" s="523">
        <f>[4]Sheet1!$A$4</f>
        <v>5.3128686521711694</v>
      </c>
    </row>
    <row r="41" spans="1:6" s="115" customFormat="1">
      <c r="A41" s="98"/>
      <c r="B41" s="98"/>
      <c r="C41" s="314" t="s">
        <v>144</v>
      </c>
      <c r="D41" s="524">
        <f>[4]Sheet1!$B$4</f>
        <v>6.1359981513704893</v>
      </c>
    </row>
    <row r="42" spans="1:6" s="115" customFormat="1">
      <c r="A42" s="98"/>
      <c r="B42" s="98"/>
      <c r="C42" s="100"/>
    </row>
    <row r="43" spans="1:6" s="115" customFormat="1">
      <c r="A43" s="98"/>
      <c r="B43" s="98"/>
      <c r="C43" s="100"/>
    </row>
    <row r="44" spans="1:6" s="100" customFormat="1" ht="13.2">
      <c r="B44" s="293"/>
    </row>
    <row r="45" spans="1:6" s="230" customFormat="1" thickBot="1">
      <c r="B45" s="294"/>
      <c r="C45" s="231"/>
    </row>
    <row r="46" spans="1:6" s="100" customFormat="1" ht="13.2">
      <c r="B46" s="293"/>
      <c r="C46" s="121"/>
    </row>
    <row r="47" spans="1:6" s="100" customFormat="1" ht="13.2">
      <c r="B47" s="293"/>
      <c r="C47" s="121"/>
    </row>
    <row r="48" spans="1:6" s="100" customFormat="1" ht="13.2">
      <c r="B48" s="293"/>
      <c r="C48" s="121"/>
    </row>
    <row r="49" spans="1:12" s="100" customFormat="1" ht="13.2">
      <c r="B49" s="293"/>
      <c r="C49" s="121"/>
    </row>
    <row r="50" spans="1:12" s="100" customFormat="1" ht="13.2">
      <c r="B50" s="293"/>
      <c r="C50" s="121"/>
    </row>
    <row r="51" spans="1:12" s="100" customFormat="1" ht="13.2">
      <c r="B51" s="293"/>
      <c r="C51" s="121"/>
    </row>
    <row r="52" spans="1:12" s="100" customFormat="1" ht="13.2">
      <c r="B52" s="293"/>
      <c r="C52" s="121"/>
    </row>
    <row r="53" spans="1:12" s="100" customFormat="1" ht="13.2">
      <c r="B53" s="293"/>
      <c r="C53" s="121"/>
    </row>
    <row r="54" spans="1:12" s="100" customFormat="1" ht="13.2">
      <c r="B54" s="293"/>
      <c r="C54" s="121"/>
    </row>
    <row r="55" spans="1:12" s="100" customFormat="1" ht="13.2">
      <c r="B55" s="293"/>
      <c r="C55" s="121"/>
    </row>
    <row r="56" spans="1:12">
      <c r="A56" s="99"/>
      <c r="J56" s="115"/>
      <c r="K56" s="115"/>
      <c r="L56" s="115"/>
    </row>
    <row r="57" spans="1:12">
      <c r="A57" s="99"/>
      <c r="J57" s="115"/>
      <c r="K57" s="115"/>
      <c r="L57" s="115"/>
    </row>
    <row r="58" spans="1:12">
      <c r="A58" s="99"/>
      <c r="J58" s="115"/>
      <c r="K58" s="115"/>
      <c r="L58" s="115"/>
    </row>
    <row r="59" spans="1:12">
      <c r="A59" s="99"/>
      <c r="J59" s="115"/>
      <c r="K59" s="115"/>
      <c r="L59" s="115"/>
    </row>
    <row r="60" spans="1:12">
      <c r="A60" s="99"/>
      <c r="J60" s="115"/>
      <c r="K60" s="115"/>
      <c r="L60" s="115"/>
    </row>
    <row r="61" spans="1:12" ht="14.4">
      <c r="A61" s="99"/>
      <c r="E61"/>
      <c r="J61" s="115"/>
      <c r="K61" s="115"/>
      <c r="L61" s="115"/>
    </row>
    <row r="62" spans="1:12" ht="14.4">
      <c r="A62" s="99"/>
      <c r="E62"/>
      <c r="J62" s="115"/>
      <c r="K62" s="115"/>
      <c r="L62" s="115"/>
    </row>
    <row r="63" spans="1:12">
      <c r="A63" s="99"/>
      <c r="J63" s="115"/>
      <c r="K63" s="115"/>
      <c r="L63" s="115"/>
    </row>
    <row r="64" spans="1:12">
      <c r="A64" s="99"/>
      <c r="J64" s="115"/>
      <c r="K64" s="115"/>
      <c r="L64" s="115"/>
    </row>
    <row r="65" spans="1:12">
      <c r="A65" s="99"/>
      <c r="B65" s="99"/>
      <c r="J65" s="115"/>
      <c r="K65" s="115"/>
      <c r="L65" s="115"/>
    </row>
    <row r="66" spans="1:12">
      <c r="A66" s="99"/>
      <c r="B66" s="99"/>
      <c r="J66" s="115"/>
      <c r="K66" s="115"/>
      <c r="L66" s="115"/>
    </row>
    <row r="67" spans="1:12">
      <c r="A67" s="99"/>
      <c r="B67" s="99"/>
      <c r="J67" s="115"/>
      <c r="K67" s="115"/>
      <c r="L67" s="115"/>
    </row>
    <row r="68" spans="1:12">
      <c r="A68" s="99"/>
      <c r="B68" s="99"/>
      <c r="J68" s="115"/>
      <c r="K68" s="115"/>
      <c r="L68" s="115"/>
    </row>
    <row r="69" spans="1:12">
      <c r="A69" s="99"/>
      <c r="B69" s="99"/>
      <c r="J69" s="115"/>
      <c r="K69" s="115"/>
      <c r="L69" s="115"/>
    </row>
    <row r="70" spans="1:12">
      <c r="A70" s="99"/>
      <c r="B70" s="99"/>
      <c r="J70" s="115"/>
      <c r="K70" s="115"/>
      <c r="L70" s="115"/>
    </row>
  </sheetData>
  <mergeCells count="3">
    <mergeCell ref="C3:E3"/>
    <mergeCell ref="C13:E13"/>
    <mergeCell ref="C12:E12"/>
  </mergeCells>
  <phoneticPr fontId="43" type="noConversion"/>
  <conditionalFormatting sqref="A25:D25 C42:C44 A31:E31 C31:C39 A26:B30 A19:C19 D18">
    <cfRule type="expression" dxfId="234" priority="53">
      <formula>IF(Impact_Estimate="No",1,0)</formula>
    </cfRule>
  </conditionalFormatting>
  <conditionalFormatting sqref="A12:E13 A17:D17 A16:B16 A24:E24 A18:B22 C30:E30 C19:D19 C21 C23 A14:C15 D18:E22 C26:C29">
    <cfRule type="expression" dxfId="233" priority="52">
      <formula>IF(Other_Currency="No",1,0)</formula>
    </cfRule>
  </conditionalFormatting>
  <conditionalFormatting sqref="A11:E11">
    <cfRule type="expression" dxfId="232" priority="39">
      <formula>IF(Tab_6_Answer="No",1,0)</formula>
    </cfRule>
  </conditionalFormatting>
  <conditionalFormatting sqref="A10:C10 A7:A9">
    <cfRule type="expression" dxfId="231" priority="28">
      <formula>IF(Tab_2_Answer="No",1,0)</formula>
    </cfRule>
  </conditionalFormatting>
  <conditionalFormatting sqref="C34 E34">
    <cfRule type="expression" dxfId="230" priority="23">
      <formula>IF(Tab_6_Answer="No",1,0)</formula>
    </cfRule>
  </conditionalFormatting>
  <conditionalFormatting sqref="B7:B9">
    <cfRule type="expression" dxfId="229" priority="22">
      <formula>IF(Tab_2_Answer="No",1,0)</formula>
    </cfRule>
  </conditionalFormatting>
  <conditionalFormatting sqref="C7:E9">
    <cfRule type="expression" dxfId="228" priority="21">
      <formula>IF(Tab_2_Answer="No",1,0)</formula>
    </cfRule>
  </conditionalFormatting>
  <conditionalFormatting sqref="C40:C41">
    <cfRule type="expression" dxfId="227" priority="20">
      <formula>IF(Impact_Estimate="No",1,0)</formula>
    </cfRule>
  </conditionalFormatting>
  <conditionalFormatting sqref="E25">
    <cfRule type="expression" dxfId="226" priority="18">
      <formula>IF(Impact_Estimate="No",1,0)</formula>
    </cfRule>
  </conditionalFormatting>
  <conditionalFormatting sqref="C16:D16">
    <cfRule type="expression" dxfId="225" priority="15">
      <formula>IF(Other_Currency="No",1,0)</formula>
    </cfRule>
  </conditionalFormatting>
  <conditionalFormatting sqref="C20 C22">
    <cfRule type="expression" dxfId="224" priority="10">
      <formula>IF(Other_Currency="No",1,0)</formula>
    </cfRule>
  </conditionalFormatting>
  <conditionalFormatting sqref="C21 C23">
    <cfRule type="expression" dxfId="223" priority="11">
      <formula>IF(Impact_Estimate="No",1,0)</formula>
    </cfRule>
  </conditionalFormatting>
  <conditionalFormatting sqref="E23">
    <cfRule type="expression" dxfId="222" priority="7">
      <formula>IF(Other_Currency="No",1,0)</formula>
    </cfRule>
  </conditionalFormatting>
  <conditionalFormatting sqref="A23:B23">
    <cfRule type="expression" dxfId="221" priority="9">
      <formula>IF(Impact_Estimate="No",1,0)</formula>
    </cfRule>
  </conditionalFormatting>
  <conditionalFormatting sqref="D23">
    <cfRule type="expression" dxfId="220" priority="8">
      <formula>IF(Other_Currency="No",1,0)</formula>
    </cfRule>
  </conditionalFormatting>
  <conditionalFormatting sqref="D14:D15">
    <cfRule type="expression" dxfId="219" priority="5">
      <formula>IF(Other_Currency="No",1,0)</formula>
    </cfRule>
  </conditionalFormatting>
  <conditionalFormatting sqref="F18">
    <cfRule type="expression" dxfId="218" priority="4">
      <formula>IF(Other_Currency="No",1,0)</formula>
    </cfRule>
  </conditionalFormatting>
  <dataValidations xWindow="257" yWindow="464" count="2">
    <dataValidation allowBlank="1" showInputMessage="1" showErrorMessage="1" prompt="Enter the exchange rate in the format: XX USD/1 unit of local currency" sqref="E19:E22 D16" xr:uid="{00000000-0002-0000-0000-000001000000}"/>
    <dataValidation allowBlank="1" showInputMessage="1" showErrorMessage="1" prompt="Enter the name or code for the local currency" sqref="C16" xr:uid="{00000000-0002-0000-0000-000000000000}"/>
  </dataValidations>
  <pageMargins left="0.78740157499999996" right="0.78740157499999996" top="0.984251969" bottom="0.984251969" header="0.3" footer="0.3"/>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1:M61"/>
  <sheetViews>
    <sheetView workbookViewId="0"/>
  </sheetViews>
  <sheetFormatPr defaultColWidth="8.77734375" defaultRowHeight="14.4"/>
  <cols>
    <col min="1" max="1" width="4.44140625" style="12" bestFit="1" customWidth="1"/>
    <col min="2" max="2" width="9" style="12" customWidth="1"/>
    <col min="3" max="3" width="48.44140625" style="17" customWidth="1"/>
    <col min="4" max="4" width="8.109375" style="17" bestFit="1" customWidth="1"/>
    <col min="5" max="6" width="12.44140625" style="12" customWidth="1"/>
    <col min="7" max="7" width="13.77734375" style="18" customWidth="1"/>
    <col min="8" max="8" width="21.6640625" style="18" bestFit="1" customWidth="1"/>
    <col min="9" max="9" width="21" style="43" bestFit="1" customWidth="1"/>
    <col min="10" max="10" width="44.44140625" style="17" customWidth="1"/>
    <col min="11" max="16384" width="8.77734375" style="79"/>
  </cols>
  <sheetData>
    <row r="1" spans="1:11" s="51" customFormat="1" ht="24" customHeight="1">
      <c r="A1" s="103" t="s">
        <v>17</v>
      </c>
      <c r="B1" s="103" t="s">
        <v>54</v>
      </c>
      <c r="C1" s="49"/>
      <c r="D1" s="49"/>
      <c r="E1" s="48"/>
      <c r="F1" s="48"/>
      <c r="G1" s="50"/>
      <c r="H1" s="50"/>
      <c r="I1" s="48"/>
      <c r="J1" s="49"/>
    </row>
    <row r="2" spans="1:11" s="55" customFormat="1" ht="29.55" customHeight="1">
      <c r="A2" s="52"/>
      <c r="B2" s="683" t="s">
        <v>55</v>
      </c>
      <c r="C2" s="683"/>
      <c r="D2" s="683"/>
      <c r="E2" s="683"/>
      <c r="F2" s="683"/>
      <c r="G2" s="683"/>
      <c r="H2" s="683"/>
      <c r="I2" s="683"/>
      <c r="J2" s="54"/>
    </row>
    <row r="3" spans="1:11" s="55" customFormat="1" ht="29.55" customHeight="1">
      <c r="A3" s="52"/>
      <c r="B3" s="683"/>
      <c r="C3" s="683"/>
      <c r="D3" s="683"/>
      <c r="E3" s="683"/>
      <c r="F3" s="683"/>
      <c r="G3" s="683"/>
      <c r="H3" s="683"/>
      <c r="I3" s="683"/>
      <c r="J3" s="54"/>
    </row>
    <row r="4" spans="1:11" s="55" customFormat="1" ht="15" customHeight="1">
      <c r="A4" s="52"/>
      <c r="B4" s="52" t="s">
        <v>56</v>
      </c>
      <c r="C4" s="54"/>
      <c r="D4" s="54"/>
      <c r="E4" s="52"/>
      <c r="F4" s="52"/>
      <c r="G4" s="53"/>
      <c r="H4" s="53"/>
      <c r="I4" s="52"/>
    </row>
    <row r="5" spans="1:11" s="56" customFormat="1" ht="15" customHeight="1">
      <c r="C5" s="57"/>
      <c r="D5" s="57"/>
      <c r="G5" s="58"/>
      <c r="H5" s="58"/>
      <c r="J5" s="57"/>
    </row>
    <row r="6" spans="1:11" s="277" customFormat="1" ht="28.8">
      <c r="A6" s="276"/>
      <c r="C6" s="297" t="s">
        <v>57</v>
      </c>
      <c r="D6" s="296" t="s">
        <v>58</v>
      </c>
      <c r="E6" s="296" t="s">
        <v>59</v>
      </c>
      <c r="F6" s="296" t="s">
        <v>60</v>
      </c>
      <c r="G6" s="296" t="s">
        <v>61</v>
      </c>
      <c r="H6" s="296" t="s">
        <v>62</v>
      </c>
      <c r="I6" s="296" t="s">
        <v>63</v>
      </c>
      <c r="J6" s="296" t="s">
        <v>64</v>
      </c>
    </row>
    <row r="7" spans="1:11" s="13" customFormat="1">
      <c r="A7" s="12"/>
      <c r="B7" s="12"/>
      <c r="C7" s="17"/>
      <c r="D7" s="18"/>
      <c r="E7" s="12"/>
      <c r="F7" s="12"/>
      <c r="G7" s="18"/>
      <c r="H7" s="18"/>
      <c r="I7" s="12"/>
      <c r="J7" s="17"/>
    </row>
    <row r="8" spans="1:11" s="13" customFormat="1" ht="18">
      <c r="A8" s="12"/>
      <c r="B8" s="7" t="s">
        <v>0</v>
      </c>
      <c r="C8" t="s">
        <v>75</v>
      </c>
      <c r="D8" s="10"/>
      <c r="E8" s="6"/>
      <c r="F8" s="6"/>
      <c r="G8" s="10"/>
      <c r="H8" s="10"/>
      <c r="I8" s="41"/>
      <c r="J8" s="156"/>
    </row>
    <row r="9" spans="1:11" s="13" customFormat="1" ht="18">
      <c r="A9" s="12"/>
      <c r="B9" s="7"/>
      <c r="C9"/>
      <c r="D9" s="10"/>
      <c r="E9" s="6"/>
      <c r="F9" s="6"/>
      <c r="G9" s="10"/>
      <c r="H9" s="10"/>
      <c r="I9" s="41"/>
      <c r="J9" s="156"/>
    </row>
    <row r="10" spans="1:11" s="13" customFormat="1">
      <c r="A10" s="12"/>
      <c r="B10" s="242"/>
      <c r="C10"/>
      <c r="D10" s="258"/>
      <c r="E10" s="256"/>
      <c r="F10" s="243"/>
      <c r="G10" s="258"/>
      <c r="H10" s="256"/>
      <c r="I10" s="260" t="str">
        <f>IF(ISBLANK(H10), "", H10*Introduction!$E$19)</f>
        <v/>
      </c>
      <c r="J10" s="244"/>
    </row>
    <row r="11" spans="1:11" s="13" customFormat="1" ht="18">
      <c r="A11" s="12"/>
      <c r="B11" s="7"/>
      <c r="C11"/>
      <c r="D11" s="19"/>
      <c r="E11" s="6"/>
      <c r="F11" s="6"/>
      <c r="G11" s="10"/>
      <c r="H11" s="10"/>
      <c r="I11" s="243" t="str">
        <f>IF(ISBLANK(H11), "", H11*Introduction!$E$19)</f>
        <v/>
      </c>
      <c r="J11" s="156"/>
    </row>
    <row r="12" spans="1:11" ht="43.2">
      <c r="A12" s="8"/>
      <c r="B12" s="8"/>
      <c r="C12" s="298" t="s">
        <v>80</v>
      </c>
      <c r="D12" s="215"/>
      <c r="E12" s="215"/>
      <c r="F12" s="215"/>
      <c r="G12" s="215"/>
      <c r="H12" s="215"/>
      <c r="I12" s="215"/>
      <c r="J12" s="221"/>
    </row>
    <row r="13" spans="1:11" ht="16.8" customHeight="1">
      <c r="A13" s="6"/>
      <c r="B13" s="6"/>
      <c r="C13" t="s">
        <v>74</v>
      </c>
      <c r="D13" s="258" t="s">
        <v>91</v>
      </c>
      <c r="E13" s="264">
        <v>200000</v>
      </c>
      <c r="F13" s="203">
        <f>IF(ISBLANK($E13), "", $E13*Introduction!$E$21)</f>
        <v>811.63560807739759</v>
      </c>
      <c r="G13" s="216">
        <v>18</v>
      </c>
      <c r="H13" s="267">
        <f>G13*E13</f>
        <v>3600000</v>
      </c>
      <c r="I13" s="203">
        <f>IF(ISBLANK(H13), "", H13*Introduction!$E$21)</f>
        <v>14609.440945393157</v>
      </c>
    </row>
    <row r="14" spans="1:11" ht="16.8" customHeight="1">
      <c r="A14" s="6"/>
      <c r="B14" s="6"/>
      <c r="C14" t="s">
        <v>73</v>
      </c>
      <c r="D14" s="258" t="s">
        <v>91</v>
      </c>
      <c r="E14" s="264">
        <v>150000</v>
      </c>
      <c r="F14" s="203">
        <f>IF(ISBLANK($E14), "", $E14*Introduction!$E$21)</f>
        <v>608.72670605804819</v>
      </c>
      <c r="G14" s="216">
        <v>18</v>
      </c>
      <c r="H14" s="267">
        <f>G14*E14</f>
        <v>2700000</v>
      </c>
      <c r="I14" s="203">
        <f>IF(ISBLANK(H14), "", H14*Introduction!$E$21)</f>
        <v>10957.080709044867</v>
      </c>
    </row>
    <row r="15" spans="1:11" ht="16.8" customHeight="1">
      <c r="A15" s="6"/>
      <c r="B15" s="6"/>
      <c r="C15" t="s">
        <v>72</v>
      </c>
      <c r="D15" s="258" t="s">
        <v>91</v>
      </c>
      <c r="E15" s="264">
        <v>125000</v>
      </c>
      <c r="F15" s="203">
        <f>IF(ISBLANK($E15), "", $E15*Introduction!$E$21)</f>
        <v>507.27225504837349</v>
      </c>
      <c r="G15" s="216">
        <v>18</v>
      </c>
      <c r="H15" s="267">
        <f t="shared" ref="H15:H19" si="0">G15*E15</f>
        <v>2250000</v>
      </c>
      <c r="I15" s="203">
        <f>IF(ISBLANK(H15), "", H15*Introduction!$E$21)</f>
        <v>9130.9005908707222</v>
      </c>
      <c r="K15" s="200"/>
    </row>
    <row r="16" spans="1:11" ht="16.8" customHeight="1">
      <c r="A16" s="6"/>
      <c r="B16" s="6"/>
      <c r="C16" t="s">
        <v>71</v>
      </c>
      <c r="D16" s="258" t="s">
        <v>91</v>
      </c>
      <c r="E16" s="264">
        <v>75000</v>
      </c>
      <c r="F16" s="203">
        <f>IF(ISBLANK($E16), "", $E16*Introduction!$E$21)</f>
        <v>304.3633530290241</v>
      </c>
      <c r="G16" s="241">
        <v>18</v>
      </c>
      <c r="H16" s="267">
        <f t="shared" si="0"/>
        <v>1350000</v>
      </c>
      <c r="I16" s="203">
        <f>IF(ISBLANK(H16), "", H16*Introduction!$E$21)</f>
        <v>5478.5403545224335</v>
      </c>
      <c r="K16" s="122"/>
    </row>
    <row r="17" spans="1:11" ht="16.8" customHeight="1">
      <c r="A17" s="6"/>
      <c r="B17" s="6"/>
      <c r="C17" t="s">
        <v>70</v>
      </c>
      <c r="D17" s="258" t="s">
        <v>91</v>
      </c>
      <c r="E17" s="264">
        <v>150000</v>
      </c>
      <c r="F17" s="203">
        <f>IF(ISBLANK($E17), "", $E17*Introduction!$E$21)</f>
        <v>608.72670605804819</v>
      </c>
      <c r="G17" s="216">
        <v>18</v>
      </c>
      <c r="H17" s="267">
        <f t="shared" si="0"/>
        <v>2700000</v>
      </c>
      <c r="I17" s="203">
        <f>IF(ISBLANK(H17), "", H17*Introduction!$E$21)</f>
        <v>10957.080709044867</v>
      </c>
      <c r="K17" s="122"/>
    </row>
    <row r="18" spans="1:11" ht="16.8" customHeight="1">
      <c r="A18" s="6"/>
      <c r="B18" s="6"/>
      <c r="C18" t="s">
        <v>69</v>
      </c>
      <c r="D18" s="258" t="s">
        <v>91</v>
      </c>
      <c r="E18" s="264">
        <v>75000</v>
      </c>
      <c r="F18" s="203">
        <f>IF(ISBLANK($E18), "", $E18*Introduction!$E$21)</f>
        <v>304.3633530290241</v>
      </c>
      <c r="G18" s="216">
        <v>18</v>
      </c>
      <c r="H18" s="267">
        <f t="shared" si="0"/>
        <v>1350000</v>
      </c>
      <c r="I18" s="203">
        <f>IF(ISBLANK(H18), "", H18*Introduction!$E$21)</f>
        <v>5478.5403545224335</v>
      </c>
      <c r="K18" s="122"/>
    </row>
    <row r="19" spans="1:11" ht="16.8" customHeight="1">
      <c r="A19" s="6"/>
      <c r="B19" s="6"/>
      <c r="C19" t="s">
        <v>68</v>
      </c>
      <c r="D19" s="258" t="s">
        <v>91</v>
      </c>
      <c r="E19" s="264">
        <v>100000</v>
      </c>
      <c r="F19" s="203">
        <f>IF(ISBLANK($E19), "", $E19*Introduction!$E$21)</f>
        <v>405.8178040386988</v>
      </c>
      <c r="G19" s="216">
        <f>18*5</f>
        <v>90</v>
      </c>
      <c r="H19" s="267">
        <f t="shared" si="0"/>
        <v>9000000</v>
      </c>
      <c r="I19" s="203">
        <f>IF(ISBLANK(H19), "", H19*Introduction!$E$21)</f>
        <v>36523.602363482889</v>
      </c>
    </row>
    <row r="20" spans="1:11">
      <c r="C20" t="s">
        <v>67</v>
      </c>
      <c r="D20" s="258" t="s">
        <v>91</v>
      </c>
      <c r="E20" s="264">
        <v>75000</v>
      </c>
      <c r="F20" s="203">
        <f>IF(ISBLANK($E20), "", $E20*Introduction!$E$21)</f>
        <v>304.3633530290241</v>
      </c>
      <c r="G20" s="216">
        <f>18*5</f>
        <v>90</v>
      </c>
      <c r="H20" s="267">
        <f t="shared" ref="H20:H22" si="1">G20*E20</f>
        <v>6750000</v>
      </c>
      <c r="I20" s="203">
        <f>IF(ISBLANK(H20), "", H20*Introduction!$E$21)</f>
        <v>27392.70177261217</v>
      </c>
    </row>
    <row r="21" spans="1:11">
      <c r="C21" t="s">
        <v>66</v>
      </c>
      <c r="D21" s="258" t="s">
        <v>91</v>
      </c>
      <c r="E21" s="264">
        <v>75000</v>
      </c>
      <c r="F21" s="203">
        <f>IF(ISBLANK($E21), "", $E21*Introduction!$E$21)</f>
        <v>304.3633530290241</v>
      </c>
      <c r="G21" s="216">
        <f>18*5</f>
        <v>90</v>
      </c>
      <c r="H21" s="267">
        <f t="shared" si="1"/>
        <v>6750000</v>
      </c>
      <c r="I21" s="203">
        <f>IF(ISBLANK(H21), "", H21*Introduction!$E$21)</f>
        <v>27392.70177261217</v>
      </c>
      <c r="J21" s="12"/>
    </row>
    <row r="22" spans="1:11">
      <c r="C22" t="s">
        <v>65</v>
      </c>
      <c r="D22" s="258" t="s">
        <v>91</v>
      </c>
      <c r="E22" s="264">
        <v>125000</v>
      </c>
      <c r="F22" s="203">
        <f>IF(ISBLANK($E22), "", $E22*Introduction!$E$21)</f>
        <v>507.27225504837349</v>
      </c>
      <c r="G22" s="216">
        <f>18*28</f>
        <v>504</v>
      </c>
      <c r="H22" s="267">
        <f t="shared" si="1"/>
        <v>63000000</v>
      </c>
      <c r="I22" s="203">
        <f>IF(ISBLANK(H22), "", H22*Introduction!$E$21)</f>
        <v>255665.21654438024</v>
      </c>
      <c r="J22" s="12"/>
    </row>
    <row r="23" spans="1:11" ht="16.8" customHeight="1">
      <c r="A23" s="8"/>
      <c r="B23" s="8"/>
      <c r="C23" s="220"/>
      <c r="D23" s="215"/>
      <c r="E23" s="215"/>
      <c r="F23" s="215"/>
      <c r="G23" s="215"/>
      <c r="H23" s="215"/>
      <c r="I23" s="215"/>
      <c r="J23" s="219"/>
    </row>
    <row r="24" spans="1:11" ht="16.8" customHeight="1">
      <c r="A24" s="6"/>
      <c r="B24" s="6"/>
      <c r="C24" s="125" t="s">
        <v>79</v>
      </c>
      <c r="D24" s="117"/>
      <c r="E24" s="215"/>
      <c r="F24" s="215"/>
      <c r="G24" s="215"/>
      <c r="H24" s="215"/>
      <c r="I24" s="215"/>
    </row>
    <row r="25" spans="1:11" ht="16.8" customHeight="1">
      <c r="A25" s="6"/>
      <c r="B25" s="6"/>
      <c r="C25" t="s">
        <v>78</v>
      </c>
      <c r="D25" s="164"/>
      <c r="E25" s="264"/>
      <c r="F25" s="203" t="str">
        <f>IF(ISBLANK($E25), "", $E25*Introduction!$E$19)</f>
        <v/>
      </c>
      <c r="G25" s="216"/>
      <c r="H25" s="267">
        <f t="shared" ref="H25:H26" si="2">G25*E25</f>
        <v>0</v>
      </c>
      <c r="I25" s="203">
        <f>IF(ISBLANK(H25), "", H25*Introduction!$E$19)</f>
        <v>0</v>
      </c>
    </row>
    <row r="26" spans="1:11" ht="16.8" customHeight="1">
      <c r="A26" s="6"/>
      <c r="B26" s="6"/>
      <c r="C26" t="s">
        <v>77</v>
      </c>
      <c r="D26" s="164"/>
      <c r="E26" s="264"/>
      <c r="F26" s="203" t="str">
        <f>IF(ISBLANK($E26), "", $E26*Introduction!$E$19)</f>
        <v/>
      </c>
      <c r="G26" s="216"/>
      <c r="H26" s="267">
        <f t="shared" si="2"/>
        <v>0</v>
      </c>
      <c r="I26" s="203">
        <f>IF(ISBLANK(H26), "", H26*Introduction!$E$19)</f>
        <v>0</v>
      </c>
    </row>
    <row r="27" spans="1:11" ht="16.8" customHeight="1">
      <c r="A27" s="6"/>
      <c r="B27" s="6"/>
      <c r="C27"/>
      <c r="D27" s="215"/>
      <c r="E27" s="215"/>
      <c r="F27" s="215"/>
      <c r="G27" s="215"/>
      <c r="H27" s="215"/>
      <c r="I27" s="215"/>
      <c r="J27" s="215"/>
    </row>
    <row r="28" spans="1:11" ht="16.8" customHeight="1">
      <c r="A28" s="8"/>
      <c r="B28" s="8"/>
      <c r="C28" s="125" t="s">
        <v>76</v>
      </c>
      <c r="D28" s="216"/>
      <c r="E28" s="216"/>
      <c r="F28" s="216"/>
      <c r="G28" s="216"/>
      <c r="H28" s="216"/>
      <c r="I28" s="216"/>
      <c r="J28" s="219"/>
    </row>
    <row r="29" spans="1:11" ht="16.8" customHeight="1">
      <c r="A29" s="8"/>
      <c r="B29" s="8"/>
      <c r="C29" t="s">
        <v>10</v>
      </c>
      <c r="D29" s="262"/>
      <c r="E29" s="264">
        <v>3500000</v>
      </c>
      <c r="F29" s="203">
        <f>IF(ISBLANK($E29), "", $E29*Introduction!$E$21)</f>
        <v>14203.623141354457</v>
      </c>
      <c r="G29" s="332">
        <v>1</v>
      </c>
      <c r="H29" s="267">
        <f t="shared" ref="H29:H30" si="3">G29*E29</f>
        <v>3500000</v>
      </c>
      <c r="I29" s="203">
        <f>IF(ISBLANK(H29), "", H29*Introduction!$E$21)</f>
        <v>14203.623141354457</v>
      </c>
      <c r="J29" s="219"/>
    </row>
    <row r="30" spans="1:11" ht="16.8" customHeight="1">
      <c r="A30" s="8"/>
      <c r="B30" s="8"/>
      <c r="C30" t="s">
        <v>11</v>
      </c>
      <c r="D30" s="262"/>
      <c r="E30" s="264"/>
      <c r="F30" s="203" t="str">
        <f>IF(ISBLANK($E30), "", $E30*[3]Introduction!$D$16)</f>
        <v/>
      </c>
      <c r="G30" s="332"/>
      <c r="H30" s="267">
        <f t="shared" si="3"/>
        <v>0</v>
      </c>
      <c r="I30" s="203">
        <f>IF(ISBLANK(H30), "", H30*[3]Introduction!$D$16)</f>
        <v>0</v>
      </c>
      <c r="J30" s="219"/>
    </row>
    <row r="31" spans="1:11" ht="16.8" customHeight="1" thickBot="1">
      <c r="A31" s="6"/>
      <c r="B31" s="6"/>
      <c r="D31" s="215"/>
      <c r="E31" s="215"/>
      <c r="F31" s="215"/>
      <c r="G31" s="215"/>
      <c r="H31" s="215"/>
      <c r="I31" s="215"/>
      <c r="J31" s="215"/>
    </row>
    <row r="32" spans="1:11" ht="15.75" customHeight="1" thickBot="1">
      <c r="A32" s="65"/>
      <c r="B32" s="65"/>
      <c r="C32" s="180" t="s">
        <v>81</v>
      </c>
      <c r="D32" s="63"/>
      <c r="E32" s="65"/>
      <c r="F32" s="65"/>
      <c r="G32" s="66"/>
      <c r="H32" s="128">
        <f>SUM($H$12:$H$30)</f>
        <v>102950000</v>
      </c>
      <c r="I32" s="222">
        <f>SUM($I$12:$I$31)</f>
        <v>417789.42925784044</v>
      </c>
      <c r="J32" s="64"/>
    </row>
    <row r="33" spans="1:13" ht="16.8" customHeight="1">
      <c r="A33" s="6"/>
      <c r="B33" s="6"/>
      <c r="C33"/>
      <c r="D33" s="164"/>
      <c r="E33" s="217"/>
      <c r="F33" s="218"/>
      <c r="G33" s="216"/>
      <c r="H33" s="257"/>
      <c r="I33" s="243"/>
    </row>
    <row r="34" spans="1:13" s="13" customFormat="1" ht="18">
      <c r="A34" s="12"/>
      <c r="B34" s="7" t="s">
        <v>1</v>
      </c>
      <c r="C34" s="125" t="s">
        <v>90</v>
      </c>
      <c r="D34" s="215"/>
      <c r="E34" s="215"/>
      <c r="F34" s="215"/>
      <c r="G34" s="215"/>
      <c r="H34" s="215"/>
      <c r="I34" s="215"/>
      <c r="J34" s="156"/>
    </row>
    <row r="35" spans="1:13" ht="16.8" customHeight="1">
      <c r="A35" s="6"/>
      <c r="B35" s="6"/>
      <c r="C35" s="125"/>
      <c r="D35" s="215"/>
      <c r="E35" s="215"/>
      <c r="F35" s="215"/>
      <c r="G35" s="215"/>
      <c r="H35" s="215"/>
      <c r="I35" s="215"/>
    </row>
    <row r="36" spans="1:13" ht="16.8" customHeight="1">
      <c r="A36" s="6"/>
      <c r="B36" s="6"/>
      <c r="C36" s="125" t="s">
        <v>89</v>
      </c>
      <c r="D36" s="245" t="s">
        <v>91</v>
      </c>
      <c r="E36" s="266">
        <v>800000</v>
      </c>
      <c r="F36" s="203">
        <f>IF(ISBLANK($E36), "", $E36*Introduction!$E$21)</f>
        <v>3246.5424323095904</v>
      </c>
      <c r="G36" s="18">
        <v>18</v>
      </c>
      <c r="H36" s="265">
        <f>E36*G36</f>
        <v>14400000</v>
      </c>
      <c r="I36" s="203">
        <f>IF(ISBLANK(H36), "", H36*Introduction!$E$21)</f>
        <v>58437.763781572627</v>
      </c>
      <c r="J36" s="9"/>
    </row>
    <row r="37" spans="1:13" ht="16.8" customHeight="1">
      <c r="A37" s="6"/>
      <c r="B37" s="6"/>
      <c r="C37" s="125" t="s">
        <v>88</v>
      </c>
      <c r="D37" s="245" t="s">
        <v>91</v>
      </c>
      <c r="E37" s="265">
        <v>11750000</v>
      </c>
      <c r="F37" s="203">
        <f>IF(ISBLANK($E37), "", $E37*Introduction!$E$21)</f>
        <v>47683.591974547111</v>
      </c>
      <c r="G37" s="216">
        <v>18</v>
      </c>
      <c r="H37" s="265">
        <f>E37*G37</f>
        <v>211500000</v>
      </c>
      <c r="I37" s="203">
        <f>IF(ISBLANK(H37), "", H37*Introduction!$E$21)</f>
        <v>858304.65554184793</v>
      </c>
      <c r="J37" s="9"/>
    </row>
    <row r="38" spans="1:13" ht="15" customHeight="1">
      <c r="A38" s="6"/>
      <c r="B38" s="6"/>
      <c r="C38" s="125" t="s">
        <v>87</v>
      </c>
      <c r="D38" s="217" t="s">
        <v>42</v>
      </c>
      <c r="E38" s="265">
        <v>120000</v>
      </c>
      <c r="F38" s="203">
        <f>IF(ISBLANK($E38), "", $E38*Introduction!$E$21)</f>
        <v>486.98136484643857</v>
      </c>
      <c r="G38" s="78">
        <v>28</v>
      </c>
      <c r="H38" s="265">
        <f>E38*G38</f>
        <v>3360000</v>
      </c>
      <c r="I38" s="203">
        <f>IF(ISBLANK(H38), "", H38*Introduction!$E$21)</f>
        <v>13635.478215700279</v>
      </c>
      <c r="J38" s="526"/>
    </row>
    <row r="39" spans="1:13" s="5" customFormat="1" ht="15" thickBot="1">
      <c r="A39" s="25"/>
      <c r="B39" s="26"/>
      <c r="C39"/>
      <c r="D39" s="215"/>
      <c r="E39" s="215"/>
      <c r="F39" s="215"/>
      <c r="G39" s="215"/>
      <c r="H39" s="215"/>
      <c r="I39" s="215"/>
      <c r="J39" s="109"/>
      <c r="K39" s="109"/>
      <c r="L39" s="22"/>
      <c r="M39" s="22"/>
    </row>
    <row r="40" spans="1:13" ht="15.75" customHeight="1" thickBot="1">
      <c r="A40" s="65"/>
      <c r="B40" s="65"/>
      <c r="C40" s="180" t="s">
        <v>81</v>
      </c>
      <c r="D40" s="63"/>
      <c r="E40" s="65"/>
      <c r="F40" s="65"/>
      <c r="G40" s="66"/>
      <c r="H40" s="128">
        <f>SUM($H$36:$H$39)</f>
        <v>229260000</v>
      </c>
      <c r="I40" s="222">
        <f>SUM($I$36:$I$39)</f>
        <v>930377.89753912075</v>
      </c>
      <c r="J40" s="64"/>
    </row>
    <row r="41" spans="1:13" ht="6" customHeight="1">
      <c r="A41" s="14"/>
      <c r="B41" s="14"/>
      <c r="C41"/>
      <c r="D41" s="15"/>
      <c r="E41" s="14"/>
      <c r="F41" s="14"/>
      <c r="G41" s="16"/>
      <c r="H41" s="16"/>
      <c r="I41" s="42"/>
      <c r="J41" s="15"/>
    </row>
    <row r="42" spans="1:13" ht="18">
      <c r="A42" s="13"/>
      <c r="B42" s="7" t="s">
        <v>2</v>
      </c>
      <c r="C42" s="125" t="s">
        <v>86</v>
      </c>
      <c r="D42" s="215"/>
      <c r="E42" s="215"/>
      <c r="F42" s="215"/>
      <c r="G42" s="215"/>
      <c r="H42" s="215"/>
      <c r="I42" s="215"/>
      <c r="J42" s="76"/>
    </row>
    <row r="43" spans="1:13" s="83" customFormat="1" ht="15" customHeight="1">
      <c r="A43" s="82"/>
      <c r="B43" s="6"/>
      <c r="C43" t="s">
        <v>85</v>
      </c>
      <c r="D43" s="108"/>
      <c r="E43" s="264"/>
      <c r="F43" s="203" t="str">
        <f>IF(ISBLANK($E43), "", $E43*Introduction!$E$19)</f>
        <v/>
      </c>
      <c r="H43" s="265">
        <f>E43*G43</f>
        <v>0</v>
      </c>
      <c r="I43" s="203">
        <f>IF(ISBLANK(H43), "", H43*Introduction!$E$21)</f>
        <v>0</v>
      </c>
      <c r="J43" s="108"/>
    </row>
    <row r="44" spans="1:13" s="83" customFormat="1" ht="15" customHeight="1">
      <c r="A44" s="82"/>
      <c r="B44" s="6"/>
      <c r="C44" t="s">
        <v>84</v>
      </c>
      <c r="D44" s="108"/>
      <c r="E44" s="264"/>
      <c r="F44" s="203" t="str">
        <f>IF(ISBLANK($E44), "", $E44*Introduction!$E$19)</f>
        <v/>
      </c>
      <c r="H44" s="265">
        <f t="shared" ref="H44:H46" si="4">E44*G44</f>
        <v>0</v>
      </c>
      <c r="I44" s="203">
        <f>IF(ISBLANK(H44), "", H44*Introduction!$E$21)</f>
        <v>0</v>
      </c>
      <c r="J44" s="108"/>
    </row>
    <row r="45" spans="1:13" s="83" customFormat="1" ht="15" customHeight="1">
      <c r="A45" s="82"/>
      <c r="B45" s="6"/>
      <c r="C45" t="s">
        <v>83</v>
      </c>
      <c r="D45" s="108"/>
      <c r="E45" s="264"/>
      <c r="F45" s="203" t="str">
        <f>IF(ISBLANK($E45), "", $E45*Introduction!$E$19)</f>
        <v/>
      </c>
      <c r="H45" s="265">
        <f t="shared" si="4"/>
        <v>0</v>
      </c>
      <c r="I45" s="203">
        <f>IF(ISBLANK(H45), "", H45*Introduction!$E$21)</f>
        <v>0</v>
      </c>
    </row>
    <row r="46" spans="1:13" s="83" customFormat="1" ht="15" customHeight="1">
      <c r="A46" s="82"/>
      <c r="B46" s="6"/>
      <c r="C46" t="s">
        <v>82</v>
      </c>
      <c r="D46" s="108"/>
      <c r="E46" s="264"/>
      <c r="F46" s="203" t="str">
        <f>IF(ISBLANK($E46), "", $E46*Introduction!$E$19)</f>
        <v/>
      </c>
      <c r="H46" s="265">
        <f t="shared" si="4"/>
        <v>0</v>
      </c>
      <c r="I46" s="203">
        <f>IF(ISBLANK(H46), "", H46*Introduction!$E$21)</f>
        <v>0</v>
      </c>
      <c r="J46" s="108"/>
    </row>
    <row r="47" spans="1:13" s="83" customFormat="1" ht="15" customHeight="1">
      <c r="A47" s="82"/>
      <c r="B47" s="6"/>
      <c r="C47" t="s">
        <v>15</v>
      </c>
      <c r="D47" s="215"/>
      <c r="E47" s="215"/>
      <c r="F47" s="215"/>
      <c r="G47" s="215"/>
      <c r="H47" s="215"/>
      <c r="I47" s="215"/>
      <c r="J47" s="108"/>
    </row>
    <row r="48" spans="1:13" s="83" customFormat="1" ht="15" customHeight="1" thickBot="1">
      <c r="B48" s="8"/>
      <c r="C48"/>
      <c r="D48" s="215"/>
      <c r="E48" s="215"/>
      <c r="F48" s="215"/>
      <c r="G48" s="215"/>
      <c r="H48" s="215"/>
      <c r="I48" s="215"/>
      <c r="J48" s="214"/>
    </row>
    <row r="49" spans="1:10" ht="15.75" customHeight="1" thickBot="1">
      <c r="A49" s="65"/>
      <c r="B49" s="65"/>
      <c r="C49" s="180" t="s">
        <v>81</v>
      </c>
      <c r="D49" s="63"/>
      <c r="E49" s="65"/>
      <c r="F49" s="65"/>
      <c r="G49" s="66"/>
      <c r="H49" s="128">
        <f>SUM($H$43:$H$47)</f>
        <v>0</v>
      </c>
      <c r="I49" s="159">
        <f>SUM($I$43:$I$47)</f>
        <v>0</v>
      </c>
      <c r="J49" s="64"/>
    </row>
    <row r="50" spans="1:10" ht="6" customHeight="1">
      <c r="A50" s="11"/>
      <c r="B50" s="11"/>
      <c r="C50" s="80"/>
      <c r="D50" s="80"/>
      <c r="E50" s="11"/>
      <c r="F50" s="11"/>
      <c r="G50" s="81"/>
      <c r="H50" s="163"/>
      <c r="I50" s="160"/>
      <c r="J50" s="21"/>
    </row>
    <row r="51" spans="1:10" ht="6" customHeight="1" thickBot="1">
      <c r="A51" s="8"/>
      <c r="B51" s="8"/>
      <c r="C51" s="77"/>
      <c r="D51" s="77"/>
      <c r="E51" s="8"/>
      <c r="F51" s="8"/>
      <c r="G51" s="78"/>
      <c r="H51" s="141"/>
      <c r="I51" s="161"/>
      <c r="J51" s="20"/>
    </row>
    <row r="52" spans="1:10" ht="15" thickBot="1">
      <c r="A52" s="247"/>
      <c r="B52" s="247"/>
      <c r="C52" s="246" t="s">
        <v>3</v>
      </c>
      <c r="D52" s="246"/>
      <c r="E52" s="247"/>
      <c r="F52" s="247"/>
      <c r="G52" s="248"/>
      <c r="H52" s="249">
        <f>H32+H40+H49</f>
        <v>332210000</v>
      </c>
      <c r="I52" s="250">
        <f>I32+I40+I49</f>
        <v>1348167.3267969612</v>
      </c>
      <c r="J52" s="251"/>
    </row>
    <row r="54" spans="1:10">
      <c r="H54" s="18">
        <f>Tab_1_Total_Local/Introduction!$D$37/1000</f>
        <v>19.90592605908083</v>
      </c>
      <c r="I54" s="43">
        <f>Tab_1_Total/Introduction!$D$37</f>
        <v>80.781792006528931</v>
      </c>
      <c r="J54" s="527">
        <f>H54*1000/I54</f>
        <v>246.41599999999997</v>
      </c>
    </row>
    <row r="55" spans="1:10">
      <c r="H55" s="18">
        <f>Tab_1_Total_Local*(CPI_2016/CPI_2018)/Introduction!$D$37/1000</f>
        <v>18.806327229462337</v>
      </c>
      <c r="I55" s="43">
        <f>Tab_1_Total*(CPI_2016/CPI_2018)/Introduction!$D$37</f>
        <v>76.319424182935919</v>
      </c>
      <c r="J55" s="527">
        <f>H55*1000/I55</f>
        <v>246.41600000000003</v>
      </c>
    </row>
    <row r="57" spans="1:10">
      <c r="H57" s="528">
        <v>100000</v>
      </c>
      <c r="I57" s="43">
        <f>IF(ISBLANK(H57), "", H57*Introduction!$E$21)</f>
        <v>405.8178040386988</v>
      </c>
    </row>
    <row r="58" spans="1:10">
      <c r="H58" s="529">
        <f>H57/Introduction!$D$37</f>
        <v>5.9919707591826956</v>
      </c>
      <c r="I58" s="530">
        <f>I57/Introduction!$D$37</f>
        <v>2.4316484153556164E-2</v>
      </c>
      <c r="J58" s="527">
        <f>H58/I58</f>
        <v>246.416</v>
      </c>
    </row>
    <row r="59" spans="1:10">
      <c r="H59" s="529">
        <f>H57*(CPI_2016/CPI_2018)/Introduction!$D$37</f>
        <v>5.6609756568021243</v>
      </c>
      <c r="I59" s="530">
        <f>I57*(CPI_2016/CPI_2018)/Introduction!$D$37</f>
        <v>2.2973247097599687E-2</v>
      </c>
      <c r="J59" s="527">
        <f>H59/I59</f>
        <v>246.416</v>
      </c>
    </row>
    <row r="60" spans="1:10">
      <c r="H60" s="18">
        <f>H59/H58</f>
        <v>0.94476022736370646</v>
      </c>
      <c r="I60" s="530">
        <f>H59/J59</f>
        <v>2.2973247097599687E-2</v>
      </c>
    </row>
    <row r="61" spans="1:10">
      <c r="G61" s="18" t="s">
        <v>307</v>
      </c>
      <c r="H61" s="18">
        <f>CPI_2016/CPI_2018</f>
        <v>0.94476022736370657</v>
      </c>
      <c r="I61" s="530">
        <f>H59/conv_ppp_2016</f>
        <v>2.3339128589636594E-2</v>
      </c>
    </row>
  </sheetData>
  <sheetProtection insertRows="0"/>
  <customSheetViews>
    <customSheetView guid="{87669B06-B7AE-4B45-A526-665D94593BF2}" scale="85" hiddenColumns="1">
      <selection activeCell="D41" sqref="D41"/>
      <pageMargins left="0.78740157499999996" right="0.78740157499999996" top="0.984251969" bottom="0.984251969" header="0.3" footer="0.3"/>
      <pageSetup orientation="portrait"/>
      <headerFooter alignWithMargins="0"/>
    </customSheetView>
    <customSheetView guid="{A04230FF-BF50-41C0-8904-3CBCAE9CB613}" scale="85" hiddenColumns="1">
      <selection activeCell="D17" sqref="D17"/>
      <pageMargins left="0.78740157499999996" right="0.78740157499999996" top="0.984251969" bottom="0.984251969" header="0.3" footer="0.3"/>
      <pageSetup orientation="portrait"/>
      <headerFooter alignWithMargins="0"/>
    </customSheetView>
  </customSheetViews>
  <mergeCells count="1">
    <mergeCell ref="B2:I3"/>
  </mergeCells>
  <conditionalFormatting sqref="E33 E40:E41 E25:E26 E28 E43:E46 E49:E52 E7:E22">
    <cfRule type="expression" dxfId="217" priority="71">
      <formula>IF(Other_Currency="No",1,0)</formula>
    </cfRule>
  </conditionalFormatting>
  <conditionalFormatting sqref="A39:B39 M39:IV39">
    <cfRule type="expression" dxfId="216" priority="62">
      <formula>IF(Tab_4_Answer="No",1,0)</formula>
    </cfRule>
  </conditionalFormatting>
  <conditionalFormatting sqref="C39 L39">
    <cfRule type="expression" dxfId="215" priority="61">
      <formula>IF(Tab_3_Answer="No",1,0)</formula>
    </cfRule>
  </conditionalFormatting>
  <conditionalFormatting sqref="J39:K39">
    <cfRule type="expression" dxfId="214" priority="59">
      <formula>IF(Tab_2_Answer="No",1,0)</formula>
    </cfRule>
  </conditionalFormatting>
  <conditionalFormatting sqref="E32">
    <cfRule type="expression" dxfId="213" priority="17">
      <formula>IF(Other_Currency="No",1,0)</formula>
    </cfRule>
  </conditionalFormatting>
  <conditionalFormatting sqref="D38">
    <cfRule type="expression" dxfId="212" priority="16">
      <formula>IF(Other_Currency="No",1,0)</formula>
    </cfRule>
  </conditionalFormatting>
  <conditionalFormatting sqref="F43:F46">
    <cfRule type="expression" dxfId="211" priority="10">
      <formula>IF(Tab_4_Answer="No",1,0)</formula>
    </cfRule>
  </conditionalFormatting>
  <conditionalFormatting sqref="F25:F26 F28 F12:F22">
    <cfRule type="expression" dxfId="210" priority="15">
      <formula>IF(Tab_4_Answer="No",1,0)</formula>
    </cfRule>
  </conditionalFormatting>
  <conditionalFormatting sqref="I25:I26 I28 I12:I22">
    <cfRule type="expression" dxfId="209" priority="14">
      <formula>IF(Tab_4_Answer="No",1,0)</formula>
    </cfRule>
  </conditionalFormatting>
  <conditionalFormatting sqref="I43:I46">
    <cfRule type="expression" dxfId="208" priority="11">
      <formula>IF(Tab_4_Answer="No",1,0)</formula>
    </cfRule>
  </conditionalFormatting>
  <conditionalFormatting sqref="E29:E30">
    <cfRule type="expression" dxfId="207" priority="7">
      <formula>IF(Other_Currency="No",1,0)</formula>
    </cfRule>
  </conditionalFormatting>
  <conditionalFormatting sqref="F30">
    <cfRule type="expression" dxfId="206" priority="6">
      <formula>IF(Tab_4_Answer="No",1,0)</formula>
    </cfRule>
  </conditionalFormatting>
  <conditionalFormatting sqref="I30">
    <cfRule type="expression" dxfId="205" priority="5">
      <formula>IF(Tab_4_Answer="No",1,0)</formula>
    </cfRule>
  </conditionalFormatting>
  <conditionalFormatting sqref="F29">
    <cfRule type="expression" dxfId="204" priority="4">
      <formula>IF(Tab_4_Answer="No",1,0)</formula>
    </cfRule>
  </conditionalFormatting>
  <conditionalFormatting sqref="I29">
    <cfRule type="expression" dxfId="203" priority="3">
      <formula>IF(Tab_4_Answer="No",1,0)</formula>
    </cfRule>
  </conditionalFormatting>
  <conditionalFormatting sqref="F36:F38">
    <cfRule type="expression" dxfId="202" priority="2">
      <formula>IF(Tab_4_Answer="No",1,0)</formula>
    </cfRule>
  </conditionalFormatting>
  <conditionalFormatting sqref="I36:I38">
    <cfRule type="expression" dxfId="201" priority="1">
      <formula>IF(Tab_4_Answer="No",1,0)</formula>
    </cfRule>
  </conditionalFormatting>
  <dataValidations xWindow="253" yWindow="448" count="5">
    <dataValidation allowBlank="1" showInputMessage="1" showErrorMessage="1" prompt="If a currency other than USD is used, this cell will automatically convert using the rate provided on the &quot;Preliminary Questions&quot; tab. Else, override the formula and enter cost in USD." sqref="F10 I33 F43:F46 I43:I46 F33 I29:I30 F25:F26 F13:F22 I25:I26 I10:I11 F29:F30 F36:F38 I13:I22 I36:I38" xr:uid="{00000000-0002-0000-0100-000000000000}"/>
    <dataValidation allowBlank="1" showInputMessage="1" showErrorMessage="1" prompt="The unit cost should be an average of the amount spent on utilities each month (or year) of the intervention/ implementation." sqref="E38" xr:uid="{00000000-0002-0000-0100-000001000000}"/>
    <dataValidation allowBlank="1" showInputMessage="1" showErrorMessage="1" prompt="Example: If the staff member only spent 6 months of the year working on the intervention, you could enter &quot;Year&quot; in &quot;Units,&quot; the yearly salary in &quot;Unit Cost.&quot; and 0.5 in &quot;# of Units.&quot;" sqref="G25:G26 G44:G46 G33 E45 H28:I28 G13:G22 D28:F28 G28:G30" xr:uid="{00000000-0002-0000-0100-000002000000}"/>
    <dataValidation allowBlank="1" showInputMessage="1" showErrorMessage="1" prompt="Please describe the specific materials and how they were used." sqref="J39:K39" xr:uid="{00000000-0002-0000-0100-000003000000}"/>
    <dataValidation allowBlank="1" showInputMessage="1" showErrorMessage="1" prompt="Unit cost should be the total amount spent on rent per month (or year) for all facilities rented specifically for the intervention and for full-time staff members. " sqref="E37" xr:uid="{00000000-0002-0000-0100-000004000000}"/>
  </dataValidations>
  <pageMargins left="0.78740157499999996" right="0.78740157499999996" top="0.984251969" bottom="0.984251969"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tint="-0.249977111117893"/>
  </sheetPr>
  <dimension ref="A1:K66"/>
  <sheetViews>
    <sheetView topLeftCell="B1" workbookViewId="0">
      <selection activeCell="C24" sqref="C24"/>
    </sheetView>
  </sheetViews>
  <sheetFormatPr defaultColWidth="8.77734375" defaultRowHeight="14.4"/>
  <cols>
    <col min="1" max="1" width="4.44140625" style="34" bestFit="1" customWidth="1"/>
    <col min="2" max="2" width="6.109375" style="62" customWidth="1"/>
    <col min="3" max="3" width="50.109375" style="34" customWidth="1"/>
    <col min="4" max="4" width="4.6640625" style="34" bestFit="1" customWidth="1"/>
    <col min="5" max="5" width="8.77734375" style="34" bestFit="1" customWidth="1"/>
    <col min="6" max="6" width="14.44140625" style="34" bestFit="1" customWidth="1"/>
    <col min="7" max="7" width="9.109375" style="34" bestFit="1" customWidth="1"/>
    <col min="8" max="8" width="6.33203125" style="34" bestFit="1" customWidth="1"/>
    <col min="9" max="9" width="10.109375" style="18" bestFit="1" customWidth="1"/>
    <col min="10" max="10" width="14.6640625" style="89" bestFit="1" customWidth="1"/>
    <col min="11" max="11" width="60.44140625" style="34" customWidth="1"/>
    <col min="12" max="16384" width="8.77734375" style="60"/>
  </cols>
  <sheetData>
    <row r="1" spans="1:11" s="45" customFormat="1" ht="24" customHeight="1">
      <c r="A1" s="104" t="s">
        <v>18</v>
      </c>
      <c r="B1" s="104" t="s">
        <v>93</v>
      </c>
      <c r="C1" s="44"/>
      <c r="D1" s="44"/>
      <c r="E1" s="44"/>
      <c r="F1" s="44"/>
      <c r="G1" s="44"/>
      <c r="H1" s="44"/>
      <c r="I1" s="106"/>
      <c r="J1" s="44"/>
      <c r="K1" s="44"/>
    </row>
    <row r="2" spans="1:11" s="45" customFormat="1" ht="15" customHeight="1">
      <c r="A2" s="44"/>
      <c r="B2" s="684" t="s">
        <v>92</v>
      </c>
      <c r="C2" s="684"/>
      <c r="D2" s="684"/>
      <c r="E2" s="684"/>
      <c r="F2" s="684"/>
      <c r="G2" s="684"/>
      <c r="H2" s="684"/>
      <c r="I2" s="684"/>
      <c r="J2" s="684"/>
      <c r="K2" s="44"/>
    </row>
    <row r="3" spans="1:11" s="45" customFormat="1" ht="15" customHeight="1">
      <c r="A3" s="44"/>
      <c r="B3" s="684"/>
      <c r="C3" s="684"/>
      <c r="D3" s="684"/>
      <c r="E3" s="684"/>
      <c r="F3" s="684"/>
      <c r="G3" s="684"/>
      <c r="H3" s="684"/>
      <c r="I3" s="684"/>
      <c r="J3" s="684"/>
      <c r="K3" s="44"/>
    </row>
    <row r="4" spans="1:11" s="45" customFormat="1" ht="15" customHeight="1">
      <c r="A4" s="44"/>
      <c r="B4" s="684"/>
      <c r="C4" s="684"/>
      <c r="D4" s="684"/>
      <c r="E4" s="684"/>
      <c r="F4" s="684"/>
      <c r="G4" s="684"/>
      <c r="H4" s="684"/>
      <c r="I4" s="684"/>
      <c r="J4" s="684"/>
      <c r="K4" s="44"/>
    </row>
    <row r="5" spans="1:11" s="46" customFormat="1" ht="15" customHeight="1">
      <c r="B5" s="47"/>
      <c r="I5" s="107"/>
    </row>
    <row r="6" spans="1:11" s="281" customFormat="1">
      <c r="A6" s="280"/>
      <c r="C6" s="278" t="s">
        <v>57</v>
      </c>
      <c r="D6" s="125" t="s">
        <v>58</v>
      </c>
      <c r="E6" s="125" t="s">
        <v>101</v>
      </c>
      <c r="F6" s="125" t="s">
        <v>60</v>
      </c>
      <c r="G6" s="125" t="s">
        <v>61</v>
      </c>
      <c r="H6" s="125" t="s">
        <v>99</v>
      </c>
      <c r="I6" s="125" t="s">
        <v>100</v>
      </c>
      <c r="J6" s="125" t="s">
        <v>63</v>
      </c>
      <c r="K6" s="279" t="s">
        <v>5</v>
      </c>
    </row>
    <row r="7" spans="1:11" ht="13.8">
      <c r="I7" s="34"/>
      <c r="J7" s="34"/>
    </row>
    <row r="8" spans="1:11" s="84" customFormat="1" ht="18">
      <c r="A8" s="29"/>
      <c r="B8" s="74" t="s">
        <v>0</v>
      </c>
      <c r="C8" s="86" t="s">
        <v>94</v>
      </c>
      <c r="D8" s="167"/>
      <c r="E8" s="167"/>
      <c r="F8" s="167"/>
      <c r="G8" s="167"/>
      <c r="H8" s="167"/>
      <c r="I8" s="167"/>
      <c r="J8" s="167"/>
      <c r="K8" s="239"/>
    </row>
    <row r="9" spans="1:11" s="171" customFormat="1">
      <c r="A9" s="170"/>
      <c r="B9" s="175"/>
      <c r="C9" s="169" t="s">
        <v>27</v>
      </c>
      <c r="D9" s="253"/>
      <c r="E9" s="268">
        <v>1911857</v>
      </c>
      <c r="F9" s="203">
        <f>IF(ISBLANK($E9), "", $E9*Introduction!$E$21)</f>
        <v>7758.6560937601453</v>
      </c>
      <c r="G9" s="253">
        <v>1</v>
      </c>
      <c r="H9" s="253"/>
      <c r="I9" s="270">
        <f>G9*E9</f>
        <v>1911857</v>
      </c>
      <c r="J9" s="203">
        <f>IF(ISBLANK($I9), "", $I9*Introduction!$E$21)</f>
        <v>7758.6560937601453</v>
      </c>
      <c r="K9" s="166"/>
    </row>
    <row r="10" spans="1:11" s="171" customFormat="1">
      <c r="A10" s="170"/>
      <c r="B10" s="175"/>
      <c r="C10" s="169" t="s">
        <v>95</v>
      </c>
      <c r="D10" s="253"/>
      <c r="E10" s="268">
        <v>231429</v>
      </c>
      <c r="F10" s="203">
        <f>IF(ISBLANK($E10), "", $E10*Introduction!$E$21)</f>
        <v>939.1800857087203</v>
      </c>
      <c r="G10" s="253">
        <v>1</v>
      </c>
      <c r="H10" s="253"/>
      <c r="I10" s="270">
        <f>G10*E10</f>
        <v>231429</v>
      </c>
      <c r="J10" s="203">
        <f>IF(ISBLANK($I10), "", $I10*Introduction!$E$21)</f>
        <v>939.1800857087203</v>
      </c>
      <c r="K10" s="166"/>
    </row>
    <row r="11" spans="1:11" s="171" customFormat="1">
      <c r="A11" s="170"/>
      <c r="B11" s="175"/>
      <c r="C11" s="169" t="s">
        <v>96</v>
      </c>
      <c r="D11" s="253"/>
      <c r="E11" s="268">
        <v>630000</v>
      </c>
      <c r="F11" s="203">
        <f>IF(ISBLANK($E11), "", $E11*Introduction!$E$21)</f>
        <v>2556.6521654438025</v>
      </c>
      <c r="G11" s="253">
        <v>1</v>
      </c>
      <c r="H11" s="253"/>
      <c r="I11" s="270">
        <f>G11*E11</f>
        <v>630000</v>
      </c>
      <c r="J11" s="203">
        <f>IF(ISBLANK($I11), "", $I11*Introduction!$E$21)</f>
        <v>2556.6521654438025</v>
      </c>
      <c r="K11" s="166"/>
    </row>
    <row r="12" spans="1:11" s="171" customFormat="1">
      <c r="A12" s="170"/>
      <c r="B12" s="175"/>
      <c r="C12" s="169" t="s">
        <v>97</v>
      </c>
      <c r="D12" s="253"/>
      <c r="E12" s="268">
        <v>2514643</v>
      </c>
      <c r="F12" s="203">
        <f>IF(ISBLANK($E12), "", $E12*Introduction!$E$21)</f>
        <v>10204.869002012856</v>
      </c>
      <c r="G12" s="253">
        <v>1</v>
      </c>
      <c r="H12" s="253"/>
      <c r="I12" s="270">
        <f>G12*E12</f>
        <v>2514643</v>
      </c>
      <c r="J12" s="203">
        <f>IF(ISBLANK($I12), "", $I12*Introduction!$E$21)</f>
        <v>10204.869002012856</v>
      </c>
      <c r="K12" s="166"/>
    </row>
    <row r="13" spans="1:11" s="167" customFormat="1" ht="15" thickBot="1">
      <c r="A13" s="165"/>
      <c r="B13" s="175"/>
      <c r="C13" s="169" t="s">
        <v>13</v>
      </c>
      <c r="D13" s="253"/>
      <c r="E13" s="268">
        <v>900000</v>
      </c>
      <c r="F13" s="203">
        <f>IF(ISBLANK($E13), "", $E13*Introduction!$E$21)</f>
        <v>3652.3602363482892</v>
      </c>
      <c r="G13" s="253">
        <v>1</v>
      </c>
      <c r="H13" s="253"/>
      <c r="I13" s="270">
        <f>G13*E13</f>
        <v>900000</v>
      </c>
      <c r="J13" s="203">
        <f>IF(ISBLANK($I13), "", $I13*Introduction!$E$21)</f>
        <v>3652.3602363482892</v>
      </c>
      <c r="K13" s="169"/>
    </row>
    <row r="14" spans="1:11" s="84" customFormat="1" thickBot="1">
      <c r="A14" s="90"/>
      <c r="B14" s="91"/>
      <c r="C14" s="63" t="s">
        <v>81</v>
      </c>
      <c r="D14" s="65"/>
      <c r="E14" s="134">
        <f>SUM(E9:E13)</f>
        <v>6187929</v>
      </c>
      <c r="F14" s="134">
        <f>SUM(F9:F13)</f>
        <v>25111.717583273814</v>
      </c>
      <c r="G14" s="66"/>
      <c r="H14" s="66"/>
      <c r="I14" s="128">
        <f>SUM($I$9:$I$13)</f>
        <v>6187929</v>
      </c>
      <c r="J14" s="128">
        <f>SUM($J$9:$J$13)</f>
        <v>25111.717583273814</v>
      </c>
      <c r="K14" s="71"/>
    </row>
    <row r="15" spans="1:11" s="84" customFormat="1" ht="13.8">
      <c r="A15" s="29"/>
      <c r="B15" s="88"/>
      <c r="C15" s="119"/>
      <c r="D15" s="167"/>
      <c r="E15" s="109"/>
      <c r="F15" s="109"/>
      <c r="G15" s="109"/>
      <c r="H15" s="109"/>
      <c r="I15" s="109"/>
      <c r="J15" s="109"/>
      <c r="K15" s="87"/>
    </row>
    <row r="16" spans="1:11" s="84" customFormat="1" ht="18">
      <c r="A16" s="29"/>
      <c r="B16" s="74" t="s">
        <v>1</v>
      </c>
      <c r="C16" s="86" t="s">
        <v>98</v>
      </c>
      <c r="D16" s="167"/>
      <c r="E16" s="167"/>
      <c r="F16" s="167"/>
      <c r="G16" s="167"/>
      <c r="H16" s="167"/>
      <c r="I16" s="167"/>
      <c r="J16" s="167"/>
    </row>
    <row r="17" spans="1:11" s="171" customFormat="1">
      <c r="A17" s="170"/>
      <c r="B17" s="175"/>
      <c r="C17" s="169" t="s">
        <v>27</v>
      </c>
      <c r="D17" s="253"/>
      <c r="E17" s="268">
        <v>5598000</v>
      </c>
      <c r="F17" s="203">
        <f>IF(ISBLANK($E17), "", $E17*Introduction!$E$21)</f>
        <v>22717.68067008636</v>
      </c>
      <c r="G17" s="253">
        <v>1</v>
      </c>
      <c r="H17" s="253"/>
      <c r="I17" s="270">
        <f>G17*E17</f>
        <v>5598000</v>
      </c>
      <c r="J17" s="203">
        <f>IF(ISBLANK($I17), "", $I17*Introduction!$E$21)</f>
        <v>22717.68067008636</v>
      </c>
      <c r="K17" s="166"/>
    </row>
    <row r="18" spans="1:11" s="171" customFormat="1">
      <c r="A18" s="170"/>
      <c r="B18" s="175"/>
      <c r="C18" s="169" t="s">
        <v>96</v>
      </c>
      <c r="D18" s="253"/>
      <c r="E18" s="268">
        <v>837100</v>
      </c>
      <c r="F18" s="203">
        <f>IF(ISBLANK($E18), "", $E18*Introduction!$E$21)</f>
        <v>3397.1008376079476</v>
      </c>
      <c r="G18" s="253">
        <v>1</v>
      </c>
      <c r="H18" s="253"/>
      <c r="I18" s="270">
        <f>G18*E18</f>
        <v>837100</v>
      </c>
      <c r="J18" s="203">
        <f>IF(ISBLANK($I18), "", $I18*Introduction!$E$21)</f>
        <v>3397.1008376079476</v>
      </c>
      <c r="K18" s="166"/>
    </row>
    <row r="19" spans="1:11" s="171" customFormat="1">
      <c r="A19" s="170"/>
      <c r="B19" s="175"/>
      <c r="C19" s="169" t="s">
        <v>97</v>
      </c>
      <c r="D19" s="253"/>
      <c r="E19" s="268">
        <v>935000</v>
      </c>
      <c r="F19" s="203">
        <f>IF(ISBLANK($E19), "", $E19*Introduction!$E$21)</f>
        <v>3794.3964677618337</v>
      </c>
      <c r="G19" s="253">
        <v>1</v>
      </c>
      <c r="H19" s="253"/>
      <c r="I19" s="270">
        <f>G19*E19</f>
        <v>935000</v>
      </c>
      <c r="J19" s="203">
        <f>IF(ISBLANK($I19), "", $I19*Introduction!$E$21)</f>
        <v>3794.3964677618337</v>
      </c>
      <c r="K19" s="166"/>
    </row>
    <row r="20" spans="1:11" s="167" customFormat="1">
      <c r="A20" s="165"/>
      <c r="B20" s="175"/>
      <c r="C20" s="169" t="s">
        <v>13</v>
      </c>
      <c r="D20" s="253"/>
      <c r="E20" s="268">
        <v>192900</v>
      </c>
      <c r="F20" s="203">
        <f>IF(ISBLANK($E20), "", $E20*Introduction!$E$21)</f>
        <v>782.82254399064993</v>
      </c>
      <c r="G20" s="253">
        <v>1</v>
      </c>
      <c r="H20" s="253"/>
      <c r="I20" s="270">
        <f>G20*E20</f>
        <v>192900</v>
      </c>
      <c r="J20" s="203">
        <f>IF(ISBLANK($I20), "", $I20*Introduction!$E$21)</f>
        <v>782.82254399064993</v>
      </c>
      <c r="K20" s="169"/>
    </row>
    <row r="21" spans="1:11" s="84" customFormat="1" thickBot="1">
      <c r="A21" s="29"/>
      <c r="B21" s="88"/>
      <c r="C21" s="109"/>
      <c r="D21" s="167"/>
      <c r="E21" s="167"/>
      <c r="F21" s="167"/>
      <c r="G21" s="167"/>
      <c r="H21" s="167"/>
      <c r="I21" s="167"/>
      <c r="J21" s="167"/>
      <c r="K21" s="87"/>
    </row>
    <row r="22" spans="1:11" s="84" customFormat="1" thickBot="1">
      <c r="A22" s="90"/>
      <c r="B22" s="91"/>
      <c r="C22" s="63" t="s">
        <v>9</v>
      </c>
      <c r="D22" s="65"/>
      <c r="E22" s="65"/>
      <c r="F22" s="65"/>
      <c r="G22" s="66"/>
      <c r="H22" s="66"/>
      <c r="I22" s="128">
        <f>SUM($I$17:$I$20)</f>
        <v>7563000</v>
      </c>
      <c r="J22" s="159">
        <f>SUM($J$15:$J$21)</f>
        <v>30692.000519446792</v>
      </c>
      <c r="K22" s="71"/>
    </row>
    <row r="23" spans="1:11" ht="15" thickBot="1">
      <c r="D23" s="167"/>
      <c r="I23" s="129"/>
    </row>
    <row r="24" spans="1:11" ht="15" thickBot="1">
      <c r="A24" s="70"/>
      <c r="B24" s="72"/>
      <c r="C24" s="67" t="s">
        <v>3</v>
      </c>
      <c r="D24" s="69"/>
      <c r="E24" s="69"/>
      <c r="F24" s="69"/>
      <c r="G24" s="68"/>
      <c r="H24" s="68"/>
      <c r="I24" s="130">
        <f>I14+I22</f>
        <v>13750929</v>
      </c>
      <c r="J24" s="162">
        <f>J14+J22</f>
        <v>55803.71810272061</v>
      </c>
      <c r="K24" s="70"/>
    </row>
    <row r="25" spans="1:11">
      <c r="D25" s="167"/>
      <c r="I25" s="129"/>
    </row>
    <row r="26" spans="1:11">
      <c r="D26" s="167"/>
      <c r="I26" s="129"/>
    </row>
    <row r="27" spans="1:11">
      <c r="D27" s="167"/>
      <c r="I27" s="129"/>
    </row>
    <row r="28" spans="1:11">
      <c r="D28" s="167"/>
      <c r="F28" s="18"/>
      <c r="G28" s="89"/>
      <c r="H28" s="18"/>
      <c r="I28" s="89"/>
      <c r="J28" s="34"/>
      <c r="K28" s="60"/>
    </row>
    <row r="29" spans="1:11">
      <c r="F29" s="18"/>
      <c r="G29" s="89"/>
      <c r="H29" s="18"/>
      <c r="I29" s="89"/>
      <c r="J29" s="34"/>
      <c r="K29" s="60"/>
    </row>
    <row r="30" spans="1:11">
      <c r="F30" s="18"/>
      <c r="G30" s="89"/>
      <c r="H30" s="18"/>
      <c r="I30" s="89"/>
      <c r="J30" s="34"/>
      <c r="K30" s="60"/>
    </row>
    <row r="31" spans="1:11">
      <c r="F31" s="18"/>
      <c r="G31" s="89"/>
      <c r="H31" s="18"/>
      <c r="I31" s="89"/>
      <c r="J31" s="34"/>
      <c r="K31" s="60"/>
    </row>
    <row r="32" spans="1:11">
      <c r="F32" s="18"/>
      <c r="G32" s="89"/>
      <c r="H32" s="18"/>
      <c r="I32" s="89"/>
      <c r="J32" s="34"/>
      <c r="K32" s="60"/>
    </row>
    <row r="33" spans="4:11">
      <c r="F33" s="18"/>
      <c r="G33" s="89"/>
      <c r="H33" s="18"/>
      <c r="I33" s="89"/>
      <c r="J33" s="34"/>
      <c r="K33" s="60"/>
    </row>
    <row r="34" spans="4:11">
      <c r="F34" s="18"/>
      <c r="G34" s="89"/>
      <c r="H34" s="18"/>
      <c r="I34" s="89"/>
      <c r="J34" s="34"/>
      <c r="K34" s="60"/>
    </row>
    <row r="35" spans="4:11">
      <c r="F35" s="18"/>
      <c r="G35" s="89"/>
      <c r="H35" s="18"/>
      <c r="I35" s="89"/>
      <c r="J35" s="34"/>
      <c r="K35" s="60"/>
    </row>
    <row r="36" spans="4:11">
      <c r="F36" s="18"/>
      <c r="G36" s="89"/>
      <c r="H36" s="18"/>
      <c r="I36" s="89"/>
      <c r="J36" s="34"/>
      <c r="K36" s="60"/>
    </row>
    <row r="37" spans="4:11">
      <c r="F37" s="18"/>
      <c r="G37" s="89"/>
      <c r="H37" s="18"/>
      <c r="I37" s="89"/>
      <c r="J37" s="34"/>
      <c r="K37" s="60"/>
    </row>
    <row r="38" spans="4:11">
      <c r="F38" s="18"/>
      <c r="G38" s="89"/>
      <c r="H38" s="18"/>
      <c r="I38" s="89"/>
      <c r="J38" s="34"/>
      <c r="K38" s="60"/>
    </row>
    <row r="39" spans="4:11">
      <c r="F39" s="18"/>
      <c r="G39" s="89"/>
      <c r="H39" s="18"/>
      <c r="I39" s="89"/>
      <c r="J39" s="34"/>
      <c r="K39" s="60"/>
    </row>
    <row r="40" spans="4:11">
      <c r="F40" s="18"/>
      <c r="G40" s="89"/>
      <c r="H40" s="18"/>
      <c r="I40" s="89"/>
      <c r="J40" s="34"/>
      <c r="K40" s="60"/>
    </row>
    <row r="41" spans="4:11">
      <c r="F41" s="18"/>
      <c r="G41" s="89"/>
      <c r="H41" s="18"/>
      <c r="I41" s="89"/>
      <c r="J41" s="34"/>
      <c r="K41" s="60"/>
    </row>
    <row r="42" spans="4:11">
      <c r="F42" s="18"/>
      <c r="G42" s="89"/>
      <c r="H42" s="18"/>
      <c r="I42" s="89"/>
      <c r="J42" s="34"/>
      <c r="K42" s="60"/>
    </row>
    <row r="43" spans="4:11">
      <c r="D43" s="60"/>
      <c r="F43" s="18"/>
      <c r="G43" s="89"/>
      <c r="H43" s="18"/>
      <c r="I43" s="89"/>
      <c r="J43" s="34"/>
      <c r="K43" s="60"/>
    </row>
    <row r="44" spans="4:11">
      <c r="D44" s="60"/>
      <c r="F44" s="18"/>
      <c r="G44" s="89"/>
      <c r="H44" s="18"/>
      <c r="I44" s="89"/>
      <c r="J44" s="34"/>
      <c r="K44" s="60"/>
    </row>
    <row r="45" spans="4:11">
      <c r="D45" s="60"/>
      <c r="F45" s="18"/>
      <c r="G45" s="89"/>
      <c r="H45" s="18"/>
      <c r="I45" s="89"/>
      <c r="J45" s="34"/>
      <c r="K45" s="60"/>
    </row>
    <row r="46" spans="4:11">
      <c r="D46" s="147"/>
      <c r="F46" s="18"/>
      <c r="G46" s="89"/>
      <c r="H46" s="18"/>
      <c r="I46" s="89"/>
      <c r="J46" s="34"/>
      <c r="K46" s="60"/>
    </row>
    <row r="47" spans="4:11">
      <c r="D47" s="147"/>
      <c r="F47" s="18"/>
      <c r="G47" s="89"/>
      <c r="H47" s="18"/>
      <c r="I47" s="89"/>
      <c r="J47" s="34"/>
      <c r="K47" s="60"/>
    </row>
    <row r="48" spans="4:11">
      <c r="F48" s="18"/>
      <c r="G48" s="89"/>
      <c r="H48" s="18"/>
      <c r="I48" s="89"/>
      <c r="J48" s="34"/>
      <c r="K48" s="60"/>
    </row>
    <row r="49" spans="6:11">
      <c r="F49" s="18"/>
      <c r="G49" s="89"/>
      <c r="H49" s="18"/>
      <c r="I49" s="89"/>
      <c r="J49" s="34"/>
      <c r="K49" s="60"/>
    </row>
    <row r="50" spans="6:11">
      <c r="F50" s="18"/>
      <c r="G50" s="89"/>
      <c r="H50" s="18"/>
      <c r="I50" s="89"/>
      <c r="J50" s="34"/>
      <c r="K50" s="60"/>
    </row>
    <row r="51" spans="6:11">
      <c r="F51" s="18"/>
      <c r="G51" s="89"/>
      <c r="H51" s="18"/>
      <c r="I51" s="89"/>
      <c r="J51" s="34"/>
      <c r="K51" s="60"/>
    </row>
    <row r="52" spans="6:11">
      <c r="F52" s="18"/>
      <c r="G52" s="89"/>
      <c r="H52" s="18"/>
      <c r="I52" s="89"/>
      <c r="J52" s="34"/>
      <c r="K52" s="60"/>
    </row>
    <row r="53" spans="6:11">
      <c r="F53" s="18"/>
      <c r="G53" s="89"/>
      <c r="H53" s="18"/>
      <c r="I53" s="89"/>
      <c r="J53" s="34"/>
      <c r="K53" s="60"/>
    </row>
    <row r="54" spans="6:11">
      <c r="F54" s="18"/>
      <c r="G54" s="89"/>
      <c r="H54" s="18"/>
      <c r="I54" s="89"/>
      <c r="J54" s="34"/>
      <c r="K54" s="60"/>
    </row>
    <row r="55" spans="6:11">
      <c r="F55" s="18"/>
      <c r="G55" s="89"/>
      <c r="H55" s="18"/>
      <c r="I55" s="89"/>
      <c r="J55" s="34"/>
      <c r="K55" s="60"/>
    </row>
    <row r="56" spans="6:11">
      <c r="F56" s="18"/>
      <c r="G56" s="89"/>
      <c r="H56" s="18"/>
      <c r="I56" s="89"/>
      <c r="J56" s="34"/>
      <c r="K56" s="60"/>
    </row>
    <row r="57" spans="6:11">
      <c r="F57" s="18"/>
      <c r="G57" s="89"/>
      <c r="H57" s="18"/>
      <c r="I57" s="89"/>
      <c r="J57" s="34"/>
      <c r="K57" s="60"/>
    </row>
    <row r="58" spans="6:11">
      <c r="F58" s="18"/>
      <c r="G58" s="89"/>
      <c r="H58" s="18"/>
      <c r="I58" s="89"/>
      <c r="J58" s="34"/>
      <c r="K58" s="60"/>
    </row>
    <row r="59" spans="6:11">
      <c r="F59" s="18"/>
      <c r="G59" s="89"/>
      <c r="H59" s="18"/>
      <c r="I59" s="89"/>
      <c r="J59" s="34"/>
      <c r="K59" s="60"/>
    </row>
    <row r="60" spans="6:11">
      <c r="F60" s="18"/>
      <c r="G60" s="89"/>
      <c r="H60" s="18"/>
      <c r="I60" s="89"/>
      <c r="J60" s="34"/>
      <c r="K60" s="60"/>
    </row>
    <row r="61" spans="6:11">
      <c r="F61" s="18"/>
      <c r="G61" s="89"/>
      <c r="H61" s="18"/>
      <c r="I61" s="89"/>
      <c r="J61" s="34"/>
      <c r="K61" s="60"/>
    </row>
    <row r="62" spans="6:11">
      <c r="F62" s="18"/>
      <c r="G62" s="89"/>
      <c r="H62" s="18"/>
      <c r="I62" s="89"/>
      <c r="J62" s="34"/>
      <c r="K62" s="60"/>
    </row>
    <row r="63" spans="6:11">
      <c r="F63" s="18"/>
      <c r="G63" s="89"/>
      <c r="H63" s="18"/>
      <c r="I63" s="89"/>
      <c r="J63" s="34"/>
      <c r="K63" s="60"/>
    </row>
    <row r="64" spans="6:11">
      <c r="F64" s="18"/>
      <c r="G64" s="89"/>
      <c r="H64" s="18"/>
      <c r="I64" s="89"/>
      <c r="J64" s="34"/>
      <c r="K64" s="60"/>
    </row>
    <row r="65" spans="6:11">
      <c r="F65" s="18"/>
      <c r="G65" s="89"/>
      <c r="H65" s="18"/>
      <c r="I65" s="89"/>
      <c r="J65" s="34"/>
      <c r="K65" s="60"/>
    </row>
    <row r="66" spans="6:11">
      <c r="F66" s="18"/>
      <c r="G66" s="89"/>
      <c r="H66" s="18"/>
      <c r="I66" s="89"/>
      <c r="J66" s="34"/>
      <c r="K66" s="60"/>
    </row>
  </sheetData>
  <sheetProtection insertRows="0"/>
  <customSheetViews>
    <customSheetView guid="{87669B06-B7AE-4B45-A526-665D94593BF2}" scale="85" hiddenColumns="1">
      <selection activeCell="I28" sqref="I28"/>
      <pageMargins left="0.78740157499999996" right="0.78740157499999996" top="0.984251969" bottom="0.984251969" header="0.3" footer="0.3"/>
      <pageSetup orientation="portrait"/>
      <headerFooter alignWithMargins="0"/>
    </customSheetView>
    <customSheetView guid="{A04230FF-BF50-41C0-8904-3CBCAE9CB613}" scale="85" hiddenColumns="1">
      <selection activeCell="C21" sqref="C21"/>
      <pageMargins left="0.78740157499999996" right="0.78740157499999996" top="0.984251969" bottom="0.984251969" header="0.3" footer="0.3"/>
      <pageSetup orientation="portrait"/>
      <headerFooter alignWithMargins="0"/>
    </customSheetView>
  </customSheetViews>
  <mergeCells count="1">
    <mergeCell ref="B2:J4"/>
  </mergeCells>
  <conditionalFormatting sqref="A22:B22 G67:H65487 L67:IU65497 G28:G66 J67:K65487 I28:IR66 E28:E66 E67:F65497 J22:IU27 A23:C65497 E22:H27 D22:D24 D14:H14 J1 A2:A4 E1:H1 A5:C5 A6 C6 J5:J6 E5:H6 D1:D7 A1:C1 E7:J7 D8:J8 A7:C13 A15:C20 A14:B14 K1:IU20 D15:J16 C17:D20">
    <cfRule type="expression" dxfId="200" priority="129">
      <formula>IF(Tab_2_Answer="No",1,0)</formula>
    </cfRule>
  </conditionalFormatting>
  <conditionalFormatting sqref="D22 D24 E22:E24 E15:J15 E6:E7 E7:J7 D14:E14">
    <cfRule type="expression" dxfId="199" priority="126">
      <formula>IF(Other_Currency="No",1,0)</formula>
    </cfRule>
  </conditionalFormatting>
  <conditionalFormatting sqref="J7 F7 F15 J15 F9:F13 J9:J13 J17:J20 F17:F20">
    <cfRule type="expression" dxfId="198" priority="62">
      <formula>IF(Tab_4_Answer="No",1,0)</formula>
    </cfRule>
  </conditionalFormatting>
  <conditionalFormatting sqref="K21:IU21">
    <cfRule type="expression" dxfId="197" priority="45">
      <formula>IF(Tab_2_Answer="No",1,0)</formula>
    </cfRule>
  </conditionalFormatting>
  <conditionalFormatting sqref="A21:C21">
    <cfRule type="expression" dxfId="196" priority="44">
      <formula>IF(Tab_2_Answer="No",1,0)</formula>
    </cfRule>
  </conditionalFormatting>
  <conditionalFormatting sqref="C13 C20">
    <cfRule type="expression" dxfId="195" priority="33">
      <formula>IF(Tab_3_Answer="No",1,0)</formula>
    </cfRule>
  </conditionalFormatting>
  <conditionalFormatting sqref="D48:D65518 D29:D45">
    <cfRule type="expression" dxfId="194" priority="27">
      <formula>IF(Tab_2_Answer="No",1,0)</formula>
    </cfRule>
  </conditionalFormatting>
  <conditionalFormatting sqref="D25:D28">
    <cfRule type="expression" dxfId="193" priority="25">
      <formula>IF(Tab_2_Answer="No",1,0)</formula>
    </cfRule>
  </conditionalFormatting>
  <conditionalFormatting sqref="D21:J21">
    <cfRule type="expression" dxfId="192" priority="5">
      <formula>IF(Tab_2_Answer="No",1,0)</formula>
    </cfRule>
  </conditionalFormatting>
  <dataValidations xWindow="401" yWindow="488" count="1">
    <dataValidation allowBlank="1" showInputMessage="1" showErrorMessage="1" prompt="If a currency other than USD is used, this cell will automatically convert using the rate provided on the &quot;Preliminary Questions&quot; tab. Else, override the formula and enter cost in USD." sqref="J17:J20 J9:J13 F9:F13 F17:F20" xr:uid="{00000000-0002-0000-0200-000000000000}"/>
  </dataValidations>
  <pageMargins left="0.78740157499999996" right="0.78740157499999996" top="0.984251969" bottom="0.984251969"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M28"/>
  <sheetViews>
    <sheetView workbookViewId="0">
      <selection activeCell="B2" sqref="B2"/>
    </sheetView>
  </sheetViews>
  <sheetFormatPr defaultColWidth="8.77734375" defaultRowHeight="18"/>
  <cols>
    <col min="1" max="1" width="7.33203125" style="85" bestFit="1" customWidth="1"/>
    <col min="2" max="2" width="3.77734375" style="2" customWidth="1"/>
    <col min="3" max="3" width="48.44140625" style="2" customWidth="1"/>
    <col min="4" max="4" width="4.6640625" style="2" bestFit="1" customWidth="1"/>
    <col min="5" max="5" width="8.77734375" style="2" bestFit="1" customWidth="1"/>
    <col min="6" max="6" width="14.44140625" style="2" bestFit="1" customWidth="1"/>
    <col min="7" max="7" width="9.109375" style="2" bestFit="1" customWidth="1"/>
    <col min="8" max="8" width="6.33203125" style="2" bestFit="1" customWidth="1"/>
    <col min="9" max="9" width="10.109375" style="2" bestFit="1" customWidth="1"/>
    <col min="10" max="10" width="14.6640625" style="2" bestFit="1" customWidth="1"/>
    <col min="11" max="11" width="50.44140625" style="2" customWidth="1"/>
    <col min="12" max="13" width="60.44140625" style="2" customWidth="1"/>
    <col min="14" max="16384" width="8.77734375" style="59"/>
  </cols>
  <sheetData>
    <row r="1" spans="1:13" s="37" customFormat="1" ht="24" customHeight="1">
      <c r="A1" s="105" t="s">
        <v>19</v>
      </c>
      <c r="B1" s="105" t="s">
        <v>421</v>
      </c>
      <c r="C1" s="35"/>
      <c r="D1" s="35"/>
      <c r="E1" s="35"/>
      <c r="F1" s="35"/>
      <c r="G1" s="35"/>
      <c r="H1" s="35"/>
      <c r="I1" s="35"/>
      <c r="J1" s="35"/>
      <c r="K1" s="35"/>
      <c r="L1" s="35"/>
      <c r="M1" s="35"/>
    </row>
    <row r="2" spans="1:13" s="37" customFormat="1" ht="15" customHeight="1">
      <c r="A2" s="232"/>
      <c r="B2" s="36"/>
      <c r="C2" s="35"/>
      <c r="D2" s="35"/>
      <c r="E2" s="35"/>
      <c r="F2" s="35"/>
      <c r="G2" s="35"/>
      <c r="H2" s="35"/>
      <c r="I2" s="35"/>
      <c r="J2" s="35"/>
      <c r="K2" s="35"/>
      <c r="L2" s="35"/>
      <c r="M2" s="35"/>
    </row>
    <row r="3" spans="1:13" s="37" customFormat="1" ht="15" customHeight="1">
      <c r="A3" s="232"/>
      <c r="B3" s="35" t="s">
        <v>102</v>
      </c>
      <c r="C3" s="35"/>
      <c r="D3" s="35"/>
      <c r="E3" s="35"/>
      <c r="F3" s="35"/>
      <c r="G3" s="35"/>
      <c r="H3" s="35"/>
      <c r="I3" s="35"/>
      <c r="J3" s="35"/>
      <c r="K3" s="35"/>
      <c r="L3" s="35"/>
      <c r="M3" s="35"/>
    </row>
    <row r="4" spans="1:13" s="37" customFormat="1" ht="15" customHeight="1">
      <c r="A4" s="232"/>
      <c r="B4" s="35"/>
      <c r="C4" s="35"/>
      <c r="D4" s="35"/>
      <c r="E4" s="35"/>
      <c r="F4" s="35"/>
      <c r="G4" s="35"/>
      <c r="H4" s="35"/>
      <c r="I4" s="35"/>
      <c r="J4" s="35"/>
      <c r="K4" s="35"/>
      <c r="L4" s="35"/>
      <c r="M4" s="35"/>
    </row>
    <row r="5" spans="1:13" s="38" customFormat="1" ht="15" customHeight="1">
      <c r="A5" s="233"/>
    </row>
    <row r="6" spans="1:13" s="201" customFormat="1">
      <c r="A6" s="282"/>
      <c r="C6" s="278" t="s">
        <v>57</v>
      </c>
      <c r="D6" s="125" t="s">
        <v>58</v>
      </c>
      <c r="E6" s="125" t="s">
        <v>101</v>
      </c>
      <c r="F6" s="125" t="s">
        <v>60</v>
      </c>
      <c r="G6" s="125" t="s">
        <v>61</v>
      </c>
      <c r="H6" s="125" t="s">
        <v>99</v>
      </c>
      <c r="I6" s="125" t="s">
        <v>100</v>
      </c>
      <c r="J6" s="125" t="s">
        <v>63</v>
      </c>
      <c r="K6" s="33" t="s">
        <v>5</v>
      </c>
      <c r="L6" s="32"/>
      <c r="M6" s="32"/>
    </row>
    <row r="7" spans="1:13">
      <c r="A7" s="234"/>
      <c r="B7" s="62"/>
      <c r="K7" s="112"/>
      <c r="L7" s="61"/>
      <c r="M7" s="61"/>
    </row>
    <row r="8" spans="1:13" s="5" customFormat="1">
      <c r="B8" s="252" t="s">
        <v>0</v>
      </c>
      <c r="C8" s="237" t="s">
        <v>103</v>
      </c>
      <c r="D8" s="237"/>
      <c r="E8" s="237"/>
      <c r="F8" s="237"/>
      <c r="G8" s="237"/>
      <c r="H8" s="237"/>
      <c r="I8" s="237"/>
      <c r="J8" s="237"/>
      <c r="K8" s="204"/>
      <c r="L8" s="25"/>
      <c r="M8" s="40"/>
    </row>
    <row r="9" spans="1:13" s="171" customFormat="1" ht="14.4">
      <c r="A9" s="170"/>
      <c r="B9" s="175"/>
      <c r="C9" s="169" t="s">
        <v>27</v>
      </c>
      <c r="D9" s="253"/>
      <c r="E9" s="268">
        <v>1911857</v>
      </c>
      <c r="F9" s="203">
        <f>IF(ISBLANK($E9), "", $E9*Introduction!$E$21)</f>
        <v>7758.6560937601453</v>
      </c>
      <c r="G9" s="253">
        <v>1</v>
      </c>
      <c r="H9" s="253"/>
      <c r="I9" s="270">
        <f>G9*E9</f>
        <v>1911857</v>
      </c>
      <c r="J9" s="203">
        <f>IF(ISBLANK($I9), "", $I9*Introduction!$E$21)</f>
        <v>7758.6560937601453</v>
      </c>
      <c r="K9" s="166"/>
    </row>
    <row r="10" spans="1:13" s="171" customFormat="1" ht="14.4">
      <c r="A10" s="170"/>
      <c r="B10" s="175"/>
      <c r="C10" s="169" t="s">
        <v>95</v>
      </c>
      <c r="D10" s="253"/>
      <c r="E10" s="268">
        <v>231429</v>
      </c>
      <c r="F10" s="203">
        <f>IF(ISBLANK($E10), "", $E10*Introduction!$E$21)</f>
        <v>939.1800857087203</v>
      </c>
      <c r="G10" s="253">
        <v>1</v>
      </c>
      <c r="H10" s="253"/>
      <c r="I10" s="270">
        <f>G10*E10</f>
        <v>231429</v>
      </c>
      <c r="J10" s="203">
        <f>IF(ISBLANK($I10), "", $I10*Introduction!$E$21)</f>
        <v>939.1800857087203</v>
      </c>
      <c r="K10" s="166"/>
    </row>
    <row r="11" spans="1:13" s="171" customFormat="1" ht="14.4">
      <c r="A11" s="170"/>
      <c r="B11" s="175"/>
      <c r="C11" s="169" t="s">
        <v>96</v>
      </c>
      <c r="D11" s="253"/>
      <c r="E11" s="268">
        <v>630000</v>
      </c>
      <c r="F11" s="203">
        <f>IF(ISBLANK($E11), "", $E11*Introduction!$E$21)</f>
        <v>2556.6521654438025</v>
      </c>
      <c r="G11" s="253">
        <v>1</v>
      </c>
      <c r="H11" s="253"/>
      <c r="I11" s="270">
        <f>G11*E11</f>
        <v>630000</v>
      </c>
      <c r="J11" s="203">
        <f>IF(ISBLANK($I11), "", $I11*Introduction!$E$21)</f>
        <v>2556.6521654438025</v>
      </c>
      <c r="K11" s="166"/>
    </row>
    <row r="12" spans="1:13" s="171" customFormat="1" ht="14.4">
      <c r="A12" s="170"/>
      <c r="B12" s="175"/>
      <c r="C12" s="169" t="s">
        <v>97</v>
      </c>
      <c r="D12" s="253"/>
      <c r="E12" s="268">
        <v>2514643</v>
      </c>
      <c r="F12" s="203">
        <f>IF(ISBLANK($E12), "", $E12*Introduction!$E$21)</f>
        <v>10204.869002012856</v>
      </c>
      <c r="G12" s="253">
        <v>1</v>
      </c>
      <c r="H12" s="253"/>
      <c r="I12" s="270">
        <f>G12*E12</f>
        <v>2514643</v>
      </c>
      <c r="J12" s="203">
        <f>IF(ISBLANK($I12), "", $I12*Introduction!$E$21)</f>
        <v>10204.869002012856</v>
      </c>
      <c r="K12" s="166"/>
    </row>
    <row r="13" spans="1:13" s="167" customFormat="1" ht="14.4">
      <c r="A13" s="165"/>
      <c r="B13" s="175"/>
      <c r="C13" s="169" t="s">
        <v>13</v>
      </c>
      <c r="D13" s="253"/>
      <c r="E13" s="268">
        <v>900000</v>
      </c>
      <c r="F13" s="203">
        <f>IF(ISBLANK($E13), "", $E13*Introduction!$E$21)</f>
        <v>3652.3602363482892</v>
      </c>
      <c r="G13" s="253">
        <v>1</v>
      </c>
      <c r="H13" s="253"/>
      <c r="I13" s="270">
        <f>G13*E13</f>
        <v>900000</v>
      </c>
      <c r="J13" s="203">
        <f>IF(ISBLANK($I13), "", $I13*Introduction!$E$21)</f>
        <v>3652.3602363482892</v>
      </c>
      <c r="K13" s="169"/>
    </row>
    <row r="14" spans="1:13" s="5" customFormat="1" ht="18.600000000000001" thickBot="1">
      <c r="B14" s="85"/>
      <c r="C14" s="169"/>
      <c r="D14" s="167"/>
      <c r="E14" s="167"/>
      <c r="F14" s="167"/>
      <c r="G14" s="167"/>
      <c r="H14" s="167"/>
      <c r="I14" s="167"/>
      <c r="J14" s="167"/>
      <c r="K14" s="127"/>
      <c r="L14" s="172"/>
      <c r="M14" s="157"/>
    </row>
    <row r="15" spans="1:13" ht="18.600000000000001" thickBot="1">
      <c r="A15" s="235"/>
      <c r="B15" s="72"/>
      <c r="C15" s="67" t="s">
        <v>81</v>
      </c>
      <c r="D15" s="67"/>
      <c r="E15" s="144"/>
      <c r="F15" s="134"/>
      <c r="G15" s="135"/>
      <c r="H15" s="135"/>
      <c r="I15" s="128">
        <f>SUM(I9:I13)</f>
        <v>6187929</v>
      </c>
      <c r="J15" s="128">
        <f>SUM(J9:J13)</f>
        <v>25111.717583273814</v>
      </c>
      <c r="K15" s="70"/>
      <c r="L15" s="73"/>
      <c r="M15" s="73"/>
    </row>
    <row r="16" spans="1:13">
      <c r="B16" s="26"/>
      <c r="C16" s="25"/>
      <c r="D16" s="25"/>
      <c r="E16" s="131"/>
      <c r="F16" s="131"/>
      <c r="G16" s="131"/>
      <c r="H16" s="131"/>
      <c r="I16" s="131"/>
      <c r="J16" s="131"/>
      <c r="K16" s="34"/>
      <c r="L16" s="22"/>
      <c r="M16" s="22"/>
    </row>
    <row r="17" spans="1:13" s="5" customFormat="1" ht="27.6">
      <c r="A17" s="85"/>
      <c r="B17" s="252" t="s">
        <v>1</v>
      </c>
      <c r="C17" s="236" t="s">
        <v>104</v>
      </c>
      <c r="D17" s="236"/>
      <c r="E17" s="131"/>
      <c r="F17" s="131"/>
      <c r="G17" s="131"/>
      <c r="H17" s="131"/>
      <c r="I17" s="131"/>
      <c r="J17" s="131"/>
      <c r="K17" s="22" t="s">
        <v>108</v>
      </c>
      <c r="L17" s="22"/>
      <c r="M17" s="22"/>
    </row>
    <row r="18" spans="1:13" s="5" customFormat="1">
      <c r="A18" s="85"/>
      <c r="B18" s="173"/>
      <c r="C18" s="169" t="s">
        <v>95</v>
      </c>
      <c r="D18" s="169"/>
      <c r="E18" s="269"/>
      <c r="F18" s="203" t="str">
        <f>IF(ISBLANK($E18), "", $E18*Introduction!$E$19)</f>
        <v/>
      </c>
      <c r="G18" s="29"/>
      <c r="H18" s="29"/>
      <c r="I18" s="270">
        <f>G18*E18*H18</f>
        <v>0</v>
      </c>
      <c r="J18" s="203" t="str">
        <f>IF(ISBLANK($E18), "", $E18*Introduction!$E$19)</f>
        <v/>
      </c>
      <c r="K18" s="22"/>
      <c r="L18" s="22"/>
      <c r="M18" s="22"/>
    </row>
    <row r="19" spans="1:13" s="5" customFormat="1">
      <c r="A19" s="85"/>
      <c r="B19" s="173"/>
      <c r="C19" s="169" t="s">
        <v>105</v>
      </c>
      <c r="D19" s="169"/>
      <c r="E19" s="269"/>
      <c r="F19" s="203"/>
      <c r="G19" s="29"/>
      <c r="H19" s="29"/>
      <c r="I19" s="270">
        <f t="shared" ref="I19:I23" si="0">G19*E19*H19</f>
        <v>0</v>
      </c>
      <c r="J19" s="203" t="str">
        <f>IF(ISBLANK($E19), "", $E19*Introduction!$E$19)</f>
        <v/>
      </c>
      <c r="K19" s="112"/>
      <c r="L19" s="22"/>
      <c r="M19" s="22"/>
    </row>
    <row r="20" spans="1:13" s="5" customFormat="1">
      <c r="A20" s="85"/>
      <c r="B20" s="173"/>
      <c r="C20" s="169" t="s">
        <v>106</v>
      </c>
      <c r="D20" s="169"/>
      <c r="E20" s="269"/>
      <c r="F20" s="203"/>
      <c r="G20" s="29"/>
      <c r="H20" s="29"/>
      <c r="I20" s="270">
        <f t="shared" si="0"/>
        <v>0</v>
      </c>
      <c r="J20" s="203" t="str">
        <f>IF(ISBLANK($E20), "", $E20*Introduction!$E$19)</f>
        <v/>
      </c>
      <c r="K20" s="112"/>
      <c r="L20" s="22"/>
      <c r="M20" s="22"/>
    </row>
    <row r="21" spans="1:13" s="5" customFormat="1">
      <c r="A21" s="85"/>
      <c r="B21" s="173"/>
      <c r="C21" s="169" t="s">
        <v>12</v>
      </c>
      <c r="D21" s="169"/>
      <c r="E21" s="269"/>
      <c r="F21" s="203"/>
      <c r="G21" s="29"/>
      <c r="H21" s="29"/>
      <c r="I21" s="270">
        <f t="shared" si="0"/>
        <v>0</v>
      </c>
      <c r="J21" s="203" t="str">
        <f>IF(ISBLANK($E21), "", $E21*Introduction!$E$19)</f>
        <v/>
      </c>
      <c r="K21" s="112"/>
      <c r="L21" s="22"/>
      <c r="M21" s="22"/>
    </row>
    <row r="22" spans="1:13" s="5" customFormat="1">
      <c r="A22" s="85"/>
      <c r="B22" s="173"/>
      <c r="C22" s="169" t="s">
        <v>97</v>
      </c>
      <c r="D22" s="169"/>
      <c r="E22" s="269"/>
      <c r="F22" s="203"/>
      <c r="G22" s="29"/>
      <c r="H22" s="29"/>
      <c r="I22" s="270">
        <f t="shared" si="0"/>
        <v>0</v>
      </c>
      <c r="J22" s="203" t="str">
        <f>IF(ISBLANK($E22), "", $E22*Introduction!$E$19)</f>
        <v/>
      </c>
      <c r="K22" s="109"/>
      <c r="L22" s="22"/>
      <c r="M22" s="22"/>
    </row>
    <row r="23" spans="1:13" s="5" customFormat="1">
      <c r="A23" s="85"/>
      <c r="B23" s="173"/>
      <c r="C23" s="169" t="s">
        <v>13</v>
      </c>
      <c r="D23" s="169"/>
      <c r="E23" s="269"/>
      <c r="F23" s="203"/>
      <c r="G23" s="29"/>
      <c r="H23" s="29"/>
      <c r="I23" s="270">
        <f t="shared" si="0"/>
        <v>0</v>
      </c>
      <c r="J23" s="203" t="str">
        <f>IF(ISBLANK($E23), "", $E23*Introduction!$E$19)</f>
        <v/>
      </c>
      <c r="K23" s="109"/>
      <c r="L23" s="22"/>
      <c r="M23" s="22"/>
    </row>
    <row r="24" spans="1:13">
      <c r="C24" s="169" t="s">
        <v>107</v>
      </c>
      <c r="D24" s="167"/>
      <c r="E24" s="269"/>
      <c r="F24" s="203"/>
      <c r="G24" s="29"/>
      <c r="H24" s="29"/>
      <c r="I24" s="270">
        <f t="shared" ref="I24" si="1">G24*E24*H24</f>
        <v>0</v>
      </c>
      <c r="J24" s="203" t="str">
        <f>IF(ISBLANK($E24), "", $E24*Introduction!$E$19)</f>
        <v/>
      </c>
    </row>
    <row r="25" spans="1:13" ht="18.600000000000001" thickBot="1"/>
    <row r="26" spans="1:13" ht="18.600000000000001" thickBot="1">
      <c r="A26" s="235"/>
      <c r="B26" s="72"/>
      <c r="C26" s="67" t="s">
        <v>81</v>
      </c>
      <c r="D26" s="67"/>
      <c r="E26" s="144"/>
      <c r="F26" s="134"/>
      <c r="G26" s="135"/>
      <c r="H26" s="135"/>
      <c r="I26" s="128">
        <f>SUM(I18:I23)</f>
        <v>0</v>
      </c>
      <c r="J26" s="128">
        <f>SUM(J18:J23)</f>
        <v>0</v>
      </c>
      <c r="K26" s="70"/>
      <c r="L26" s="73"/>
      <c r="M26" s="73"/>
    </row>
    <row r="27" spans="1:13" ht="18.600000000000001" thickBot="1"/>
    <row r="28" spans="1:13" s="60" customFormat="1" ht="15" thickBot="1">
      <c r="A28" s="70"/>
      <c r="B28" s="72"/>
      <c r="C28" s="67" t="s">
        <v>3</v>
      </c>
      <c r="D28" s="67"/>
      <c r="E28" s="69"/>
      <c r="F28" s="69"/>
      <c r="G28" s="68"/>
      <c r="H28" s="68"/>
      <c r="I28" s="130">
        <f>I26+I15</f>
        <v>6187929</v>
      </c>
      <c r="J28" s="130">
        <f>J26+J15</f>
        <v>25111.717583273814</v>
      </c>
      <c r="K28" s="70"/>
    </row>
  </sheetData>
  <sheetProtection insertRows="0"/>
  <customSheetViews>
    <customSheetView guid="{87669B06-B7AE-4B45-A526-665D94593BF2}" scale="85">
      <selection activeCell="F15" sqref="F15"/>
      <pageMargins left="0.78740157499999996" right="0.78740157499999996" top="0.984251969" bottom="0.984251969" header="0.3" footer="0.3"/>
      <pageSetup orientation="portrait"/>
      <headerFooter alignWithMargins="0"/>
    </customSheetView>
    <customSheetView guid="{A04230FF-BF50-41C0-8904-3CBCAE9CB613}" scale="85">
      <selection activeCell="F15" sqref="F15"/>
      <pageMargins left="0.78740157499999996" right="0.78740157499999996" top="0.984251969" bottom="0.984251969" header="0.3" footer="0.3"/>
      <pageSetup orientation="portrait"/>
      <headerFooter alignWithMargins="0"/>
    </customSheetView>
  </customSheetViews>
  <conditionalFormatting sqref="E16 E18:E24 E8:E13">
    <cfRule type="expression" dxfId="191" priority="589">
      <formula>IF(Other_Currency="No",1,0)</formula>
    </cfRule>
  </conditionalFormatting>
  <conditionalFormatting sqref="C14 E18:E24 G18:H24 L14 M8 G9:H13 A9:E13 K9:IU13">
    <cfRule type="expression" dxfId="190" priority="584">
      <formula>IF(Tab_2_Answer="No",1,0)</formula>
    </cfRule>
  </conditionalFormatting>
  <conditionalFormatting sqref="A16:XFD16 A17:E17 A24:B24 K24:IV24 A29:IV65466 G17:I17 A26:IV27 A15:IV15 A7:B7 A3:A6 B3:IV5 C6:IV6 A1:IV2 K7:IV7 F8:F13 J8:J13">
    <cfRule type="expression" dxfId="189" priority="580">
      <formula>IF(Tab_4_Answer="No",1,0)</formula>
    </cfRule>
  </conditionalFormatting>
  <conditionalFormatting sqref="B14:C14 N8:IV14 B8:L8 M9:M14 B9:D13">
    <cfRule type="expression" dxfId="188" priority="576">
      <formula>IF(Tab_3_Answer="No",1,0)</formula>
    </cfRule>
  </conditionalFormatting>
  <conditionalFormatting sqref="K22:K23">
    <cfRule type="expression" dxfId="187" priority="76">
      <formula>IF(Tab_2_Answer="No",1,0)</formula>
    </cfRule>
  </conditionalFormatting>
  <conditionalFormatting sqref="E17">
    <cfRule type="expression" dxfId="186" priority="80">
      <formula>IF(Other_Currency="No",1,0)</formula>
    </cfRule>
  </conditionalFormatting>
  <conditionalFormatting sqref="M17:IV17 M22:IV23 A22:B23">
    <cfRule type="expression" dxfId="185" priority="78">
      <formula>IF(Tab_4_Answer="No",1,0)</formula>
    </cfRule>
  </conditionalFormatting>
  <conditionalFormatting sqref="L17">
    <cfRule type="expression" dxfId="184" priority="74">
      <formula>IF(Tab_2_Answer="No",1,0)</formula>
    </cfRule>
  </conditionalFormatting>
  <conditionalFormatting sqref="L22:L23">
    <cfRule type="expression" dxfId="183" priority="75">
      <formula>IF(Tab_3_Answer="No",1,0)</formula>
    </cfRule>
  </conditionalFormatting>
  <conditionalFormatting sqref="A18:B18 L18:IV18">
    <cfRule type="expression" dxfId="182" priority="72">
      <formula>IF(Tab_4_Answer="No",1,0)</formula>
    </cfRule>
  </conditionalFormatting>
  <conditionalFormatting sqref="A19:B19 K19:IV19">
    <cfRule type="expression" dxfId="181" priority="68">
      <formula>IF(Tab_4_Answer="No",1,0)</formula>
    </cfRule>
  </conditionalFormatting>
  <conditionalFormatting sqref="A20:B20 K20:IV20">
    <cfRule type="expression" dxfId="180" priority="64">
      <formula>IF(Tab_4_Answer="No",1,0)</formula>
    </cfRule>
  </conditionalFormatting>
  <conditionalFormatting sqref="A21:B21 K21:IV21">
    <cfRule type="expression" dxfId="179" priority="60">
      <formula>IF(Tab_4_Answer="No",1,0)</formula>
    </cfRule>
  </conditionalFormatting>
  <conditionalFormatting sqref="K17">
    <cfRule type="expression" dxfId="178" priority="56">
      <formula>IF(Tab_2_Answer="No",1,0)</formula>
    </cfRule>
  </conditionalFormatting>
  <conditionalFormatting sqref="K18">
    <cfRule type="expression" dxfId="177" priority="55">
      <formula>IF(Tab_4_Answer="No",1,0)</formula>
    </cfRule>
  </conditionalFormatting>
  <conditionalFormatting sqref="E15">
    <cfRule type="expression" dxfId="176" priority="47">
      <formula>IF(Other_Currency="No",1,0)</formula>
    </cfRule>
  </conditionalFormatting>
  <conditionalFormatting sqref="C18:D22">
    <cfRule type="expression" dxfId="175" priority="32">
      <formula>IF(Tab_3_Answer="No",1,0)</formula>
    </cfRule>
  </conditionalFormatting>
  <conditionalFormatting sqref="C18:D22">
    <cfRule type="expression" dxfId="174" priority="31">
      <formula>IF(Tab_2_Answer="No",1,0)</formula>
    </cfRule>
  </conditionalFormatting>
  <conditionalFormatting sqref="C22:D22">
    <cfRule type="expression" dxfId="173" priority="30">
      <formula>IF(Tab_2_Answer="No",1,0)</formula>
    </cfRule>
  </conditionalFormatting>
  <conditionalFormatting sqref="C23:D23">
    <cfRule type="expression" dxfId="172" priority="29">
      <formula>IF(Tab_3_Answer="No",1,0)</formula>
    </cfRule>
  </conditionalFormatting>
  <conditionalFormatting sqref="C23:D23">
    <cfRule type="expression" dxfId="171" priority="28">
      <formula>IF(Tab_2_Answer="No",1,0)</formula>
    </cfRule>
  </conditionalFormatting>
  <conditionalFormatting sqref="C23:D23">
    <cfRule type="expression" dxfId="170" priority="27">
      <formula>IF(Tab_2_Answer="No",1,0)</formula>
    </cfRule>
  </conditionalFormatting>
  <conditionalFormatting sqref="E26">
    <cfRule type="expression" dxfId="169" priority="22">
      <formula>IF(Other_Currency="No",1,0)</formula>
    </cfRule>
  </conditionalFormatting>
  <conditionalFormatting sqref="K28:IU28 A28:H28">
    <cfRule type="expression" dxfId="168" priority="20">
      <formula>IF(Tab_2_Answer="No",1,0)</formula>
    </cfRule>
  </conditionalFormatting>
  <conditionalFormatting sqref="E28">
    <cfRule type="expression" dxfId="167" priority="19">
      <formula>IF(Other_Currency="No",1,0)</formula>
    </cfRule>
  </conditionalFormatting>
  <conditionalFormatting sqref="F18:F24">
    <cfRule type="expression" dxfId="166" priority="14">
      <formula>IF(Tab_4_Answer="No",1,0)</formula>
    </cfRule>
  </conditionalFormatting>
  <conditionalFormatting sqref="J18:J24">
    <cfRule type="expression" dxfId="165" priority="12">
      <formula>IF(Tab_4_Answer="No",1,0)</formula>
    </cfRule>
  </conditionalFormatting>
  <conditionalFormatting sqref="J17">
    <cfRule type="expression" dxfId="164" priority="11">
      <formula>IF(Tab_4_Answer="No",1,0)</formula>
    </cfRule>
  </conditionalFormatting>
  <conditionalFormatting sqref="F17">
    <cfRule type="expression" dxfId="163" priority="10">
      <formula>IF(Tab_4_Answer="No",1,0)</formula>
    </cfRule>
  </conditionalFormatting>
  <conditionalFormatting sqref="D14:J14">
    <cfRule type="expression" dxfId="162" priority="9">
      <formula>IF(Tab_2_Answer="No",1,0)</formula>
    </cfRule>
  </conditionalFormatting>
  <conditionalFormatting sqref="D24">
    <cfRule type="expression" dxfId="161" priority="8">
      <formula>IF(Tab_2_Answer="No",1,0)</formula>
    </cfRule>
  </conditionalFormatting>
  <conditionalFormatting sqref="C24">
    <cfRule type="expression" dxfId="160" priority="7">
      <formula>IF(Tab_2_Answer="No",1,0)</formula>
    </cfRule>
  </conditionalFormatting>
  <conditionalFormatting sqref="C24">
    <cfRule type="expression" dxfId="159" priority="6">
      <formula>IF(Tab_3_Answer="No",1,0)</formula>
    </cfRule>
  </conditionalFormatting>
  <conditionalFormatting sqref="J6 C6:H6">
    <cfRule type="expression" dxfId="158" priority="2">
      <formula>IF(Tab_2_Answer="No",1,0)</formula>
    </cfRule>
  </conditionalFormatting>
  <conditionalFormatting sqref="E6">
    <cfRule type="expression" dxfId="157" priority="1">
      <formula>IF(Other_Currency="No",1,0)</formula>
    </cfRule>
  </conditionalFormatting>
  <dataValidations count="2">
    <dataValidation allowBlank="1" showInputMessage="1" showErrorMessage="1" prompt="If a currency other than USD is used, this cell will automatically convert using the rate provided on the &quot;Preliminary Questions&quot; tab. Else, override the formula and enter cost in USD." sqref="J18:J24 F18:F24 F9:F13 J9:J13" xr:uid="{00000000-0002-0000-0300-000000000000}"/>
    <dataValidation allowBlank="1" showInputMessage="1" showErrorMessage="1" prompt="Please describe the specific materials and how they were used." sqref="K22:K23" xr:uid="{00000000-0002-0000-0300-000001000000}"/>
  </dataValidations>
  <pageMargins left="0.78740157499999996" right="0.78740157499999996" top="0.984251969" bottom="0.984251969" header="0.3" footer="0.3"/>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3"/>
  <sheetViews>
    <sheetView workbookViewId="0"/>
  </sheetViews>
  <sheetFormatPr defaultColWidth="8.77734375" defaultRowHeight="14.4"/>
  <cols>
    <col min="1" max="1" width="7.33203125" style="2" bestFit="1" customWidth="1"/>
    <col min="2" max="2" width="2.44140625" style="2" customWidth="1"/>
    <col min="3" max="3" width="43.44140625" style="2" customWidth="1"/>
    <col min="4" max="4" width="9.44140625" style="2" bestFit="1" customWidth="1"/>
    <col min="5" max="5" width="8.44140625" style="2" bestFit="1" customWidth="1"/>
    <col min="6" max="6" width="14.44140625" style="2" bestFit="1" customWidth="1"/>
    <col min="7" max="7" width="9.109375" style="2" bestFit="1" customWidth="1"/>
    <col min="8" max="8" width="6.33203125" style="2" bestFit="1" customWidth="1"/>
    <col min="9" max="9" width="12.33203125" style="2" bestFit="1" customWidth="1"/>
    <col min="10" max="10" width="14.6640625" style="2" bestFit="1" customWidth="1"/>
    <col min="11" max="11" width="51.44140625" style="2" customWidth="1"/>
    <col min="12" max="16384" width="8.77734375" style="59"/>
  </cols>
  <sheetData>
    <row r="1" spans="1:13" s="37" customFormat="1" ht="22.8">
      <c r="A1" s="105" t="s">
        <v>20</v>
      </c>
      <c r="B1" s="105" t="s">
        <v>14</v>
      </c>
      <c r="C1" s="105"/>
      <c r="D1" s="35"/>
      <c r="E1" s="35"/>
      <c r="F1" s="35"/>
      <c r="G1" s="35"/>
      <c r="H1" s="35"/>
      <c r="I1" s="35"/>
      <c r="J1" s="35"/>
      <c r="K1" s="35"/>
    </row>
    <row r="2" spans="1:13" s="37" customFormat="1">
      <c r="A2" s="35"/>
      <c r="B2" s="685" t="s">
        <v>109</v>
      </c>
      <c r="C2" s="685"/>
      <c r="D2" s="685"/>
      <c r="E2" s="685"/>
      <c r="F2" s="685"/>
      <c r="G2" s="685"/>
      <c r="H2" s="685"/>
      <c r="I2" s="685"/>
      <c r="J2" s="685"/>
      <c r="K2" s="35"/>
    </row>
    <row r="3" spans="1:13" s="37" customFormat="1">
      <c r="A3" s="35"/>
      <c r="B3" s="685"/>
      <c r="C3" s="685"/>
      <c r="D3" s="685"/>
      <c r="E3" s="685"/>
      <c r="F3" s="685"/>
      <c r="G3" s="685"/>
      <c r="H3" s="685"/>
      <c r="I3" s="685"/>
      <c r="J3" s="685"/>
      <c r="K3" s="35"/>
    </row>
    <row r="4" spans="1:13" s="37" customFormat="1">
      <c r="A4" s="35"/>
      <c r="B4" s="685"/>
      <c r="C4" s="685"/>
      <c r="D4" s="685"/>
      <c r="E4" s="685"/>
      <c r="F4" s="685"/>
      <c r="G4" s="685"/>
      <c r="H4" s="685"/>
      <c r="I4" s="685"/>
      <c r="J4" s="685"/>
      <c r="K4" s="35"/>
    </row>
    <row r="5" spans="1:13" s="38" customFormat="1"/>
    <row r="6" spans="1:13" s="287" customFormat="1">
      <c r="A6" s="283"/>
      <c r="B6" s="283"/>
      <c r="C6" s="278" t="s">
        <v>57</v>
      </c>
      <c r="D6" s="125" t="s">
        <v>58</v>
      </c>
      <c r="E6" s="125" t="s">
        <v>101</v>
      </c>
      <c r="F6" s="125" t="s">
        <v>60</v>
      </c>
      <c r="G6" s="125" t="s">
        <v>61</v>
      </c>
      <c r="H6" s="125" t="s">
        <v>99</v>
      </c>
      <c r="I6" s="125" t="s">
        <v>100</v>
      </c>
      <c r="J6" s="125" t="s">
        <v>63</v>
      </c>
      <c r="K6" s="286" t="s">
        <v>5</v>
      </c>
      <c r="L6" s="285"/>
      <c r="M6" s="285"/>
    </row>
    <row r="7" spans="1:13" s="5" customFormat="1">
      <c r="A7" s="2"/>
      <c r="B7" s="2"/>
      <c r="C7" s="2"/>
      <c r="D7" s="2"/>
      <c r="E7" s="2"/>
      <c r="F7" s="2"/>
      <c r="G7" s="2"/>
      <c r="H7" s="2"/>
      <c r="I7" s="2"/>
      <c r="J7" s="2"/>
      <c r="K7" s="2"/>
    </row>
    <row r="8" spans="1:13" s="5" customFormat="1" ht="18">
      <c r="A8" s="2"/>
      <c r="B8" s="39" t="s">
        <v>0</v>
      </c>
      <c r="C8" s="39" t="s">
        <v>110</v>
      </c>
      <c r="D8" s="39"/>
      <c r="E8" s="39"/>
      <c r="F8" s="39"/>
      <c r="G8" s="39"/>
      <c r="H8" s="39"/>
      <c r="I8" s="39"/>
      <c r="J8" s="39"/>
      <c r="K8" s="2"/>
    </row>
    <row r="9" spans="1:13" s="5" customFormat="1" ht="18">
      <c r="A9" s="25"/>
      <c r="B9" s="85"/>
      <c r="C9" s="165" t="s">
        <v>27</v>
      </c>
      <c r="D9" s="84" t="s">
        <v>29</v>
      </c>
      <c r="E9" s="274">
        <v>2000</v>
      </c>
      <c r="F9" s="203">
        <f>IF(ISBLANK($E9), "", $E9*Introduction!$E$21)</f>
        <v>8.1163560807739756</v>
      </c>
      <c r="G9" s="254">
        <v>294</v>
      </c>
      <c r="H9" s="5">
        <v>4</v>
      </c>
      <c r="I9" s="270">
        <f>E9*G9*H9</f>
        <v>2352000</v>
      </c>
      <c r="J9" s="203">
        <f>IF(ISBLANK($I9), "", $I9*Introduction!$E$21)</f>
        <v>9544.834750990196</v>
      </c>
      <c r="K9" s="112"/>
    </row>
    <row r="10" spans="1:13" s="5" customFormat="1" ht="18">
      <c r="A10" s="25"/>
      <c r="B10" s="85"/>
      <c r="C10" s="169" t="s">
        <v>12</v>
      </c>
      <c r="D10" s="84" t="s">
        <v>29</v>
      </c>
      <c r="E10" s="274">
        <v>2000</v>
      </c>
      <c r="F10" s="203">
        <f>IF(ISBLANK($E10), "", $E10*Introduction!$E$21)</f>
        <v>8.1163560807739756</v>
      </c>
      <c r="G10" s="5">
        <v>294</v>
      </c>
      <c r="H10" s="5">
        <v>2</v>
      </c>
      <c r="I10" s="270">
        <f t="shared" ref="I10:I12" si="0">E10*G10*H10</f>
        <v>1176000</v>
      </c>
      <c r="J10" s="203">
        <f>IF(ISBLANK($I10), "", $I10*Introduction!$E$21)</f>
        <v>4772.417375495098</v>
      </c>
      <c r="K10" s="112"/>
    </row>
    <row r="11" spans="1:13" s="5" customFormat="1" ht="18">
      <c r="A11" s="25"/>
      <c r="B11" s="85"/>
      <c r="C11" s="169" t="s">
        <v>106</v>
      </c>
      <c r="D11" s="84" t="s">
        <v>29</v>
      </c>
      <c r="E11" s="274">
        <v>1000</v>
      </c>
      <c r="F11" s="203">
        <f>IF(ISBLANK($E11), "", $E11*Introduction!$E$21)</f>
        <v>4.0581780403869878</v>
      </c>
      <c r="G11" s="5">
        <v>294</v>
      </c>
      <c r="H11" s="5">
        <v>2</v>
      </c>
      <c r="I11" s="270">
        <f t="shared" si="0"/>
        <v>588000</v>
      </c>
      <c r="J11" s="203">
        <f>IF(ISBLANK($I11), "", $I11*Introduction!$E$21)</f>
        <v>2386.208687747549</v>
      </c>
      <c r="K11" s="112"/>
    </row>
    <row r="12" spans="1:13" s="5" customFormat="1" ht="18">
      <c r="A12" s="25"/>
      <c r="B12" s="85"/>
      <c r="C12" s="169" t="s">
        <v>28</v>
      </c>
      <c r="D12" s="84" t="s">
        <v>29</v>
      </c>
      <c r="E12" s="274">
        <v>1000</v>
      </c>
      <c r="F12" s="203">
        <f>IF(ISBLANK($E12), "", $E12*Introduction!$E$21)</f>
        <v>4.0581780403869878</v>
      </c>
      <c r="G12" s="5">
        <v>294</v>
      </c>
      <c r="H12" s="59">
        <v>1</v>
      </c>
      <c r="I12" s="270">
        <f t="shared" si="0"/>
        <v>294000</v>
      </c>
      <c r="J12" s="203">
        <f>IF(ISBLANK($I12), "", $I12*Introduction!$E$21)</f>
        <v>1193.1043438737745</v>
      </c>
      <c r="K12" s="112"/>
    </row>
    <row r="13" spans="1:13" ht="18.600000000000001" thickBot="1">
      <c r="D13" s="39"/>
      <c r="E13" s="39"/>
      <c r="F13" s="39"/>
      <c r="G13" s="39"/>
      <c r="H13" s="39"/>
      <c r="I13" s="39"/>
      <c r="J13" s="39"/>
      <c r="K13" s="39"/>
    </row>
    <row r="14" spans="1:13" ht="15" thickBot="1">
      <c r="A14" s="70"/>
      <c r="B14" s="72"/>
      <c r="C14" s="72"/>
      <c r="D14" s="63" t="s">
        <v>9</v>
      </c>
      <c r="E14" s="144"/>
      <c r="F14" s="134"/>
      <c r="G14" s="135"/>
      <c r="H14" s="135"/>
      <c r="I14" s="128">
        <f>SUM(I9:I13)</f>
        <v>4410000</v>
      </c>
      <c r="J14" s="145">
        <f>SUM($J$9:$J$13)</f>
        <v>17896.565158106619</v>
      </c>
      <c r="K14" s="70"/>
    </row>
    <row r="15" spans="1:13">
      <c r="A15" s="1"/>
      <c r="B15" s="3"/>
      <c r="C15" s="3"/>
      <c r="D15" s="1"/>
      <c r="E15" s="146"/>
      <c r="F15" s="136"/>
      <c r="G15" s="136"/>
      <c r="H15" s="136"/>
      <c r="I15" s="136"/>
      <c r="J15" s="136"/>
      <c r="K15" s="1"/>
    </row>
    <row r="16" spans="1:13">
      <c r="A16" s="25"/>
      <c r="B16" s="26"/>
      <c r="C16" s="26"/>
      <c r="D16" s="212"/>
      <c r="E16" s="138"/>
      <c r="F16" s="205"/>
      <c r="G16" s="208"/>
      <c r="H16" s="208"/>
      <c r="I16" s="204"/>
      <c r="J16" s="34"/>
      <c r="K16" s="112"/>
    </row>
    <row r="17" spans="1:11" ht="18">
      <c r="A17" s="25"/>
      <c r="B17" s="27" t="s">
        <v>1</v>
      </c>
      <c r="C17" s="28" t="s">
        <v>14</v>
      </c>
      <c r="D17" s="39"/>
      <c r="E17" s="39"/>
      <c r="F17" s="39"/>
      <c r="G17" s="39"/>
      <c r="H17" s="39"/>
      <c r="I17" s="39"/>
      <c r="J17" s="39"/>
      <c r="K17" s="61"/>
    </row>
    <row r="18" spans="1:11" ht="18">
      <c r="A18" s="25"/>
      <c r="B18" s="27"/>
      <c r="C18" s="169" t="s">
        <v>111</v>
      </c>
      <c r="D18" s="84" t="s">
        <v>29</v>
      </c>
      <c r="E18" s="290">
        <f>(10000*30/100)+1800</f>
        <v>4800</v>
      </c>
      <c r="F18" s="203">
        <f>IF(ISBLANK($E18), "", $E18*Introduction!$E$21)</f>
        <v>19.479254593857544</v>
      </c>
      <c r="G18" s="29">
        <v>294</v>
      </c>
      <c r="H18" s="127">
        <v>18</v>
      </c>
      <c r="I18" s="270">
        <f>H18*G18*E18</f>
        <v>25401600</v>
      </c>
      <c r="J18" s="203">
        <f>IF(ISBLANK($I18), "", $I18*Introduction!$E$21)</f>
        <v>103084.21531069411</v>
      </c>
      <c r="K18" s="61"/>
    </row>
    <row r="19" spans="1:11" ht="18" customHeight="1">
      <c r="A19" s="34"/>
      <c r="B19" s="62"/>
      <c r="C19" s="169" t="s">
        <v>112</v>
      </c>
      <c r="D19" s="84" t="s">
        <v>29</v>
      </c>
      <c r="E19" s="275">
        <v>24000</v>
      </c>
      <c r="F19" s="203">
        <f>IF(ISBLANK($E19), "", $E19*Introduction!$E$21)</f>
        <v>97.396272969287708</v>
      </c>
      <c r="G19" s="165">
        <v>294</v>
      </c>
      <c r="H19" s="168">
        <v>1</v>
      </c>
      <c r="I19" s="270">
        <f t="shared" ref="I19" si="1">H19*G19*E19</f>
        <v>7056000</v>
      </c>
      <c r="J19" s="203">
        <f>IF(ISBLANK($I19), "", $I19*Introduction!$E$21)</f>
        <v>28634.504252970586</v>
      </c>
      <c r="K19" s="112"/>
    </row>
    <row r="20" spans="1:11" ht="18.600000000000001" thickBot="1">
      <c r="A20" s="25"/>
      <c r="B20" s="26"/>
      <c r="C20" s="26"/>
      <c r="D20" s="39"/>
      <c r="E20" s="39"/>
      <c r="F20" s="39"/>
      <c r="G20" s="39"/>
      <c r="H20" s="39"/>
      <c r="I20" s="39"/>
      <c r="J20" s="39"/>
      <c r="K20" s="112"/>
    </row>
    <row r="21" spans="1:11" ht="15" thickBot="1">
      <c r="A21" s="70"/>
      <c r="B21" s="72"/>
      <c r="C21" s="72"/>
      <c r="D21" s="63" t="s">
        <v>9</v>
      </c>
      <c r="E21" s="144"/>
      <c r="F21" s="134"/>
      <c r="G21" s="135"/>
      <c r="H21" s="135"/>
      <c r="I21" s="128">
        <f>SUM(I18:I19)</f>
        <v>32457600</v>
      </c>
      <c r="J21" s="145">
        <f>SUM(J18:J20)</f>
        <v>131718.71956366469</v>
      </c>
      <c r="K21" s="70"/>
    </row>
    <row r="22" spans="1:11">
      <c r="A22" s="1"/>
      <c r="B22" s="3"/>
      <c r="C22" s="3"/>
      <c r="D22" s="1"/>
      <c r="E22" s="146"/>
      <c r="F22" s="136"/>
      <c r="G22" s="136"/>
      <c r="H22" s="136"/>
      <c r="I22" s="136"/>
      <c r="J22" s="136"/>
      <c r="K22" s="1"/>
    </row>
    <row r="23" spans="1:11" ht="15" thickBot="1">
      <c r="B23" s="4"/>
      <c r="C23" s="4"/>
      <c r="E23" s="131"/>
      <c r="F23" s="137"/>
      <c r="G23" s="137"/>
      <c r="H23" s="137"/>
      <c r="I23" s="137"/>
      <c r="J23" s="137"/>
    </row>
    <row r="24" spans="1:11" s="261" customFormat="1" ht="15" thickBot="1">
      <c r="A24" s="70"/>
      <c r="B24" s="72"/>
      <c r="C24" s="67" t="s">
        <v>3</v>
      </c>
      <c r="D24" s="69"/>
      <c r="E24" s="69"/>
      <c r="F24" s="68"/>
      <c r="G24" s="68"/>
      <c r="I24" s="130">
        <f>I14+I21</f>
        <v>36867600</v>
      </c>
      <c r="J24" s="162">
        <f>J14+J21</f>
        <v>149615.28472177131</v>
      </c>
    </row>
    <row r="31" spans="1:11">
      <c r="H31" s="137"/>
    </row>
    <row r="32" spans="1:11">
      <c r="H32" s="137"/>
    </row>
    <row r="33" spans="8:8">
      <c r="H33" s="137"/>
    </row>
  </sheetData>
  <sheetProtection insertRows="0"/>
  <mergeCells count="1">
    <mergeCell ref="B2:J4"/>
  </mergeCells>
  <conditionalFormatting sqref="E21:E23 E14:E16 G9 E7:E8">
    <cfRule type="expression" dxfId="156" priority="677">
      <formula>IF(Other_Currency="No",1,0)</formula>
    </cfRule>
  </conditionalFormatting>
  <conditionalFormatting sqref="J24:IT24 F16 C9:D12 G18:G19 C18:D19">
    <cfRule type="expression" dxfId="155" priority="676">
      <formula>IF(Tab_2_Answer="No",1,0)</formula>
    </cfRule>
  </conditionalFormatting>
  <conditionalFormatting sqref="A21:IT23 A20:C20 A25:IT65431 K14:XFD15 A18:B19 K16:IT20 O6:IW6 A5:IT5 A2:B2 A3:A4 K2:IT4 A7:IT8 A6:B6 A1:IT1 A14:J17 D13:K13 K6:M6 F8:F12 J8:J12 J18:J19 F18:F19">
    <cfRule type="expression" dxfId="154" priority="673">
      <formula>IF(Tab_4_Answer="No",1,0)</formula>
    </cfRule>
  </conditionalFormatting>
  <conditionalFormatting sqref="K9:IT12 A9:C12 G9 C18:C19">
    <cfRule type="expression" dxfId="153" priority="250">
      <formula>IF(Tab_3_Answer="No",1,0)</formula>
    </cfRule>
  </conditionalFormatting>
  <conditionalFormatting sqref="A24:G24">
    <cfRule type="expression" dxfId="152" priority="24">
      <formula>IF(Tab_2_Answer="No",1,0)</formula>
    </cfRule>
  </conditionalFormatting>
  <conditionalFormatting sqref="D24">
    <cfRule type="expression" dxfId="151" priority="23">
      <formula>IF(Other_Currency="No",1,0)</formula>
    </cfRule>
  </conditionalFormatting>
  <conditionalFormatting sqref="D20:J20">
    <cfRule type="expression" dxfId="150" priority="12">
      <formula>IF(Tab_4_Answer="No",1,0)</formula>
    </cfRule>
  </conditionalFormatting>
  <conditionalFormatting sqref="C6:J6">
    <cfRule type="expression" dxfId="149" priority="3">
      <formula>IF(Tab_4_Answer="No",1,0)</formula>
    </cfRule>
  </conditionalFormatting>
  <conditionalFormatting sqref="J6 C6:H6">
    <cfRule type="expression" dxfId="148" priority="2">
      <formula>IF(Tab_2_Answer="No",1,0)</formula>
    </cfRule>
  </conditionalFormatting>
  <conditionalFormatting sqref="E6">
    <cfRule type="expression" dxfId="147" priority="1">
      <formula>IF(Other_Currency="No",1,0)</formula>
    </cfRule>
  </conditionalFormatting>
  <dataValidations count="3">
    <dataValidation allowBlank="1" showInputMessage="1" showErrorMessage="1" prompt="Please describe the specific materials and how they were used." sqref="K16 K19:K20" xr:uid="{00000000-0002-0000-0400-000000000000}"/>
    <dataValidation allowBlank="1" showInputMessage="1" showErrorMessage="1" prompt="If a currency other than USD is used, this cell will automatically convert using the rate provided on the &quot;Preliminary Questions&quot; tab. Else, override the formula and enter cost in USD." sqref="F16 J9:J12 J18:J19 F9:F12 F18:F19" xr:uid="{00000000-0002-0000-0400-000001000000}"/>
    <dataValidation allowBlank="1" showInputMessage="1" showErrorMessage="1" prompt="Please describe the facilities rented." sqref="K9:K10" xr:uid="{00000000-0002-0000-0400-000002000000}"/>
  </dataValidations>
  <pageMargins left="0.78740157499999996" right="0.78740157499999996" top="0.984251969" bottom="0.984251969" header="0.3" footer="0.3"/>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A1:K36"/>
  <sheetViews>
    <sheetView tabSelected="1" workbookViewId="0">
      <selection activeCell="O9" sqref="O9"/>
    </sheetView>
  </sheetViews>
  <sheetFormatPr defaultColWidth="8.77734375" defaultRowHeight="14.4"/>
  <cols>
    <col min="1" max="1" width="7.33203125" bestFit="1" customWidth="1"/>
    <col min="2" max="2" width="5.44140625" style="185" customWidth="1"/>
    <col min="3" max="3" width="48.44140625" customWidth="1"/>
    <col min="4" max="4" width="12.109375" customWidth="1"/>
    <col min="5" max="5" width="11.109375" bestFit="1" customWidth="1"/>
    <col min="6" max="6" width="14.44140625" bestFit="1" customWidth="1"/>
    <col min="7" max="7" width="9.109375" bestFit="1" customWidth="1"/>
    <col min="8" max="8" width="6.33203125" bestFit="1" customWidth="1"/>
    <col min="9" max="9" width="12.33203125" bestFit="1" customWidth="1"/>
    <col min="10" max="10" width="14.6640625" bestFit="1" customWidth="1"/>
    <col min="11" max="11" width="63" customWidth="1"/>
  </cols>
  <sheetData>
    <row r="1" spans="1:11" s="177" customFormat="1" ht="24" customHeight="1">
      <c r="A1" s="105" t="s">
        <v>21</v>
      </c>
      <c r="B1" s="105" t="s">
        <v>113</v>
      </c>
    </row>
    <row r="2" spans="1:11" s="177" customFormat="1" ht="24" customHeight="1">
      <c r="B2" s="685"/>
      <c r="C2" s="685"/>
      <c r="D2" s="685"/>
      <c r="E2" s="685"/>
      <c r="F2" s="685"/>
      <c r="G2" s="685"/>
      <c r="H2" s="685"/>
      <c r="I2" s="685"/>
      <c r="J2" s="685"/>
    </row>
    <row r="3" spans="1:11" s="177" customFormat="1" ht="15" customHeight="1">
      <c r="B3" s="685"/>
      <c r="C3" s="685"/>
      <c r="D3" s="685"/>
      <c r="E3" s="685"/>
      <c r="F3" s="685"/>
      <c r="G3" s="685"/>
      <c r="H3" s="685"/>
      <c r="I3" s="685"/>
      <c r="J3" s="685"/>
    </row>
    <row r="4" spans="1:11" s="177" customFormat="1" ht="15" customHeight="1">
      <c r="B4" s="685"/>
      <c r="C4" s="685"/>
      <c r="D4" s="685"/>
      <c r="E4" s="685"/>
      <c r="F4" s="685"/>
      <c r="G4" s="685"/>
      <c r="H4" s="685"/>
      <c r="I4" s="685"/>
      <c r="J4" s="685"/>
    </row>
    <row r="5" spans="1:11" s="178" customFormat="1" ht="15" customHeight="1">
      <c r="B5" s="184"/>
    </row>
    <row r="6" spans="1:11" s="288" customFormat="1">
      <c r="A6" s="283"/>
      <c r="C6" s="278" t="s">
        <v>57</v>
      </c>
      <c r="D6" s="125" t="s">
        <v>58</v>
      </c>
      <c r="E6" s="125" t="s">
        <v>101</v>
      </c>
      <c r="F6" s="125" t="s">
        <v>60</v>
      </c>
      <c r="G6" s="125" t="s">
        <v>61</v>
      </c>
      <c r="H6" s="125" t="s">
        <v>99</v>
      </c>
      <c r="I6" s="125" t="s">
        <v>100</v>
      </c>
      <c r="J6" s="125" t="s">
        <v>63</v>
      </c>
      <c r="K6" s="284" t="s">
        <v>5</v>
      </c>
    </row>
    <row r="8" spans="1:11" ht="18">
      <c r="A8" s="25"/>
      <c r="B8" s="174" t="s">
        <v>0</v>
      </c>
      <c r="C8" s="28" t="s">
        <v>114</v>
      </c>
      <c r="D8" s="28"/>
      <c r="E8" s="131"/>
      <c r="F8" s="131"/>
      <c r="G8" s="131"/>
      <c r="H8" s="131"/>
      <c r="I8" s="131"/>
      <c r="J8" s="131"/>
      <c r="K8" s="25"/>
    </row>
    <row r="9" spans="1:11" ht="27.6">
      <c r="A9" s="25"/>
      <c r="C9" s="169" t="s">
        <v>115</v>
      </c>
      <c r="D9" s="169" t="s">
        <v>30</v>
      </c>
      <c r="E9" s="273">
        <v>14000000</v>
      </c>
      <c r="F9" s="203">
        <f>IF(ISBLANK($E9), "", $E9*Introduction!$E$21)</f>
        <v>56814.49256541783</v>
      </c>
      <c r="G9" s="211">
        <v>3</v>
      </c>
      <c r="H9" s="211">
        <v>1</v>
      </c>
      <c r="I9" s="270">
        <f>E9*G9*H9</f>
        <v>42000000</v>
      </c>
      <c r="J9" s="203">
        <f>IF(ISBLANK($I9), "", $I9*Introduction!$E$21)</f>
        <v>170443.47769625348</v>
      </c>
      <c r="K9" s="113"/>
    </row>
    <row r="10" spans="1:11" ht="16.05" customHeight="1">
      <c r="A10" s="25"/>
      <c r="C10" s="169" t="s">
        <v>106</v>
      </c>
      <c r="D10" s="169" t="s">
        <v>31</v>
      </c>
      <c r="E10" s="273">
        <v>75000</v>
      </c>
      <c r="F10" s="203">
        <f>IF(ISBLANK($E10), "", $E10*Introduction!$E$21)</f>
        <v>304.3633530290241</v>
      </c>
      <c r="G10" s="211">
        <v>1</v>
      </c>
      <c r="H10" s="211">
        <v>3</v>
      </c>
      <c r="I10" s="270">
        <f t="shared" ref="I10" si="0">E10*G10*H10</f>
        <v>225000</v>
      </c>
      <c r="J10" s="203">
        <f>IF(ISBLANK($I10), "", $I10*Introduction!$E$21)</f>
        <v>913.09005908707229</v>
      </c>
      <c r="K10" s="113"/>
    </row>
    <row r="11" spans="1:11" ht="18.600000000000001" thickBot="1">
      <c r="A11" s="25"/>
      <c r="B11" s="174"/>
      <c r="C11" s="169"/>
      <c r="D11" s="28"/>
      <c r="E11" s="28"/>
      <c r="F11" s="28"/>
      <c r="G11" s="28"/>
      <c r="H11" s="28"/>
      <c r="I11" s="28"/>
      <c r="J11" s="28"/>
      <c r="K11" s="25"/>
    </row>
    <row r="12" spans="1:11" ht="15" thickBot="1">
      <c r="A12" s="70"/>
      <c r="B12" s="186"/>
      <c r="C12" s="63" t="s">
        <v>81</v>
      </c>
      <c r="D12" s="63"/>
      <c r="E12" s="144"/>
      <c r="F12" s="134"/>
      <c r="G12" s="135"/>
      <c r="H12" s="135"/>
      <c r="I12" s="128">
        <f>SUM(I9:I10)</f>
        <v>42225000</v>
      </c>
      <c r="J12" s="145">
        <f>SUM(J9:J10)</f>
        <v>171356.56775534054</v>
      </c>
      <c r="K12" s="70"/>
    </row>
    <row r="14" spans="1:11" ht="18">
      <c r="A14" s="25"/>
      <c r="B14" s="174" t="s">
        <v>1</v>
      </c>
      <c r="C14" s="28" t="s">
        <v>116</v>
      </c>
      <c r="D14" s="28"/>
      <c r="K14" s="25"/>
    </row>
    <row r="15" spans="1:11" ht="55.2" customHeight="1">
      <c r="A15" s="25"/>
      <c r="B15" s="173"/>
      <c r="C15" s="169" t="s">
        <v>107</v>
      </c>
      <c r="D15" s="169" t="s">
        <v>32</v>
      </c>
      <c r="E15" s="263">
        <v>14169877</v>
      </c>
      <c r="F15" s="203">
        <f>IF(ISBLANK($E15), "", $E15*Introduction!$E$21)</f>
        <v>57503.883676384656</v>
      </c>
      <c r="G15" s="132">
        <v>3</v>
      </c>
      <c r="H15" s="132">
        <v>1</v>
      </c>
      <c r="I15" s="270">
        <f t="shared" ref="I15:I16" si="1">E15*G15*H15</f>
        <v>42509631</v>
      </c>
      <c r="J15" s="203">
        <f>IF(ISBLANK($I15), "", $I15*Introduction!$E$21)</f>
        <v>172511.65102915396</v>
      </c>
      <c r="K15" s="111"/>
    </row>
    <row r="16" spans="1:11" ht="55.2" customHeight="1">
      <c r="A16" s="25"/>
      <c r="B16" s="173"/>
      <c r="C16" s="169" t="s">
        <v>117</v>
      </c>
      <c r="D16" s="169" t="s">
        <v>32</v>
      </c>
      <c r="E16" s="263">
        <v>6539943</v>
      </c>
      <c r="F16" s="203">
        <f>IF(ISBLANK($E16), "", $E16*Introduction!$E$21)</f>
        <v>26540.253067982598</v>
      </c>
      <c r="G16" s="132">
        <v>3</v>
      </c>
      <c r="H16" s="132">
        <v>1</v>
      </c>
      <c r="I16" s="270">
        <f t="shared" si="1"/>
        <v>19619829</v>
      </c>
      <c r="J16" s="203">
        <f>IF(ISBLANK($I16), "", $I16*Introduction!$E$21)</f>
        <v>79620.759203947804</v>
      </c>
      <c r="K16" s="111"/>
    </row>
    <row r="17" spans="1:11" ht="55.2" customHeight="1">
      <c r="A17" s="25"/>
      <c r="B17" s="173"/>
      <c r="C17" s="169" t="s">
        <v>118</v>
      </c>
      <c r="D17" s="169" t="s">
        <v>32</v>
      </c>
      <c r="E17" s="263">
        <v>1089990</v>
      </c>
      <c r="F17" s="203">
        <f>IF(ISBLANK($E17), "", $E17*Introduction!$E$21)</f>
        <v>4423.3734822414126</v>
      </c>
      <c r="G17" s="132">
        <v>3</v>
      </c>
      <c r="H17" s="132">
        <v>1</v>
      </c>
      <c r="I17" s="270">
        <f>E17*G17*H17</f>
        <v>3269970</v>
      </c>
      <c r="J17" s="203">
        <f>IF(ISBLANK($I17), "", $I17*Introduction!$E$21)</f>
        <v>13270.120446724239</v>
      </c>
      <c r="K17" s="111"/>
    </row>
    <row r="18" spans="1:11" ht="15" thickBot="1">
      <c r="A18" s="25"/>
      <c r="B18" s="173"/>
      <c r="C18" s="169"/>
      <c r="D18" s="169"/>
      <c r="E18" s="169"/>
      <c r="F18" s="169"/>
      <c r="G18" s="169"/>
      <c r="H18" s="169"/>
      <c r="I18" s="169"/>
      <c r="J18" s="169"/>
      <c r="K18" s="169"/>
    </row>
    <row r="19" spans="1:11" ht="15" thickBot="1">
      <c r="A19" s="70"/>
      <c r="B19" s="186"/>
      <c r="C19" s="63" t="s">
        <v>81</v>
      </c>
      <c r="D19" s="63"/>
      <c r="E19" s="144"/>
      <c r="F19" s="144"/>
      <c r="G19" s="135"/>
      <c r="H19" s="135"/>
      <c r="I19" s="128">
        <f>SUM(I15:I17)</f>
        <v>65399430</v>
      </c>
      <c r="J19" s="145">
        <f>SUM(J15:J17)</f>
        <v>265402.53067982598</v>
      </c>
      <c r="K19" s="70"/>
    </row>
    <row r="20" spans="1:11" ht="15" thickBot="1">
      <c r="E20" s="131"/>
      <c r="F20" s="131"/>
      <c r="G20" s="179"/>
      <c r="H20" s="179"/>
      <c r="I20" s="179"/>
      <c r="J20" s="179"/>
    </row>
    <row r="21" spans="1:11" ht="15" thickBot="1">
      <c r="A21" s="180"/>
      <c r="B21" s="187"/>
      <c r="C21" s="67" t="s">
        <v>3</v>
      </c>
      <c r="D21" s="67"/>
      <c r="E21" s="144"/>
      <c r="F21" s="142"/>
      <c r="G21" s="143"/>
      <c r="H21" s="143"/>
      <c r="I21" s="130">
        <f>I12+I19</f>
        <v>107624430</v>
      </c>
      <c r="J21" s="130">
        <f>J12+J19</f>
        <v>436759.09843516652</v>
      </c>
      <c r="K21" s="180"/>
    </row>
    <row r="22" spans="1:11">
      <c r="E22" s="179"/>
      <c r="F22" s="179"/>
      <c r="G22" s="179"/>
      <c r="H22" s="179"/>
      <c r="I22" s="179"/>
      <c r="J22" s="179"/>
    </row>
    <row r="23" spans="1:11">
      <c r="E23" s="179"/>
      <c r="F23" s="179"/>
      <c r="G23" s="179"/>
      <c r="H23" s="179"/>
      <c r="I23" s="179"/>
      <c r="J23" s="179"/>
    </row>
    <row r="24" spans="1:11">
      <c r="E24" s="179"/>
      <c r="F24" s="179"/>
      <c r="G24" s="179"/>
      <c r="H24" s="179"/>
      <c r="I24" s="179"/>
      <c r="J24" s="179"/>
    </row>
    <row r="25" spans="1:11">
      <c r="E25" s="179"/>
      <c r="F25" s="179"/>
      <c r="G25" s="179"/>
      <c r="H25" s="179"/>
      <c r="I25" s="179"/>
      <c r="J25" s="179"/>
    </row>
    <row r="26" spans="1:11">
      <c r="C26" s="182"/>
      <c r="D26" s="182"/>
      <c r="E26" s="113"/>
      <c r="F26" s="25"/>
      <c r="G26" s="113"/>
      <c r="H26" s="179"/>
      <c r="I26" s="179"/>
      <c r="J26" s="179"/>
    </row>
    <row r="27" spans="1:11">
      <c r="C27" s="182"/>
      <c r="D27" s="182"/>
      <c r="E27" s="139"/>
      <c r="F27" s="25"/>
      <c r="G27" s="113"/>
      <c r="H27" s="179"/>
      <c r="I27" s="179"/>
      <c r="J27" s="179"/>
    </row>
    <row r="28" spans="1:11">
      <c r="C28" s="182"/>
      <c r="D28" s="182"/>
      <c r="E28" s="113"/>
      <c r="F28" s="25"/>
      <c r="G28" s="113"/>
      <c r="H28" s="139"/>
      <c r="I28" s="181"/>
      <c r="J28" s="179"/>
    </row>
    <row r="29" spans="1:11">
      <c r="C29" s="182"/>
      <c r="D29" s="182"/>
      <c r="E29" s="113"/>
      <c r="F29" s="25"/>
      <c r="G29" s="113"/>
      <c r="H29" s="111"/>
      <c r="I29" s="153"/>
    </row>
    <row r="30" spans="1:11">
      <c r="C30" s="182"/>
      <c r="D30" s="182"/>
      <c r="E30" s="113"/>
      <c r="F30" s="25"/>
      <c r="G30" s="113"/>
      <c r="H30" s="111"/>
      <c r="I30" s="153"/>
    </row>
    <row r="31" spans="1:11">
      <c r="C31" s="182"/>
      <c r="D31" s="182"/>
      <c r="E31" s="113"/>
      <c r="F31" s="25"/>
      <c r="G31" s="113"/>
      <c r="H31" s="113"/>
      <c r="I31" s="153"/>
    </row>
    <row r="32" spans="1:11">
      <c r="C32" s="182"/>
      <c r="D32" s="182"/>
      <c r="E32" s="113"/>
      <c r="F32" s="25"/>
      <c r="G32" s="113"/>
      <c r="H32" s="113"/>
      <c r="I32" s="183"/>
    </row>
    <row r="33" spans="3:9">
      <c r="C33" s="182"/>
      <c r="D33" s="182"/>
      <c r="E33" s="113"/>
      <c r="F33" s="25"/>
      <c r="G33" s="113"/>
      <c r="H33" s="113"/>
      <c r="I33" s="183"/>
    </row>
    <row r="36" spans="3:9">
      <c r="C36" s="122"/>
      <c r="D36" s="122"/>
    </row>
  </sheetData>
  <sheetProtection insertRows="0"/>
  <mergeCells count="1">
    <mergeCell ref="B2:J4"/>
  </mergeCells>
  <conditionalFormatting sqref="E19:E21 F19:F20 E12:E17 E8:E10">
    <cfRule type="expression" dxfId="146" priority="221">
      <formula>IF(Other_Currency="No",1,0)</formula>
    </cfRule>
  </conditionalFormatting>
  <conditionalFormatting sqref="A36:B36 H19:J19 J33 A33:B33 J28:J31 H34:IT65476 A26:B31 H26:J27 A34:D35 A37:D65476 E34:F65476 K27:IS33 A21:J25 G20:J20 A19:F20 E18 A12:J14 K11:IT26 E9:E10 A6 A5:J5 K1:K8 L1:IT10 C1:J1 A8:J8 A1:A4 F8:F10 B1:B2 A9:B11 G9:H10 D11:J11 E15:H17 A15:B18 A7:B7 J9:J10 J15:J17">
    <cfRule type="expression" dxfId="145" priority="217">
      <formula>IF(Tab_4_Answer="No",1,0)</formula>
    </cfRule>
  </conditionalFormatting>
  <conditionalFormatting sqref="H31 C18:K18 C9:D9 K9:K10 D10 C10:C11 C15:D17">
    <cfRule type="expression" dxfId="144" priority="201">
      <formula>IF(Tab_2_Answer="No",1,0)</formula>
    </cfRule>
  </conditionalFormatting>
  <conditionalFormatting sqref="E33">
    <cfRule type="expression" dxfId="143" priority="200">
      <formula>IF(Other_Currency="No",1,0)</formula>
    </cfRule>
  </conditionalFormatting>
  <conditionalFormatting sqref="H33:I33 C33:E33">
    <cfRule type="expression" dxfId="142" priority="199">
      <formula>IF(Tab_2_Answer="No",1,0)</formula>
    </cfRule>
  </conditionalFormatting>
  <conditionalFormatting sqref="G34:G65476 G19">
    <cfRule type="expression" dxfId="141" priority="198">
      <formula>IF(Tab_4_Answer="No",1,0)</formula>
    </cfRule>
  </conditionalFormatting>
  <conditionalFormatting sqref="G33">
    <cfRule type="expression" dxfId="140" priority="193">
      <formula>IF(Tab_2_Answer="No",1,0)</formula>
    </cfRule>
  </conditionalFormatting>
  <conditionalFormatting sqref="A32:B32 J32">
    <cfRule type="expression" dxfId="139" priority="168">
      <formula>IF(Tab_4_Answer="No",1,0)</formula>
    </cfRule>
  </conditionalFormatting>
  <conditionalFormatting sqref="E26:E32">
    <cfRule type="expression" dxfId="138" priority="167">
      <formula>IF(Other_Currency="No",1,0)</formula>
    </cfRule>
  </conditionalFormatting>
  <conditionalFormatting sqref="H32:I32 C26:E32">
    <cfRule type="expression" dxfId="137" priority="166">
      <formula>IF(Tab_2_Answer="No",1,0)</formula>
    </cfRule>
  </conditionalFormatting>
  <conditionalFormatting sqref="G26:G32">
    <cfRule type="expression" dxfId="136" priority="165">
      <formula>IF(Tab_2_Answer="No",1,0)</formula>
    </cfRule>
  </conditionalFormatting>
  <conditionalFormatting sqref="I31">
    <cfRule type="expression" dxfId="135" priority="163">
      <formula>IF(Tab_4_Answer="No",1,0)</formula>
    </cfRule>
  </conditionalFormatting>
  <conditionalFormatting sqref="H29:I30">
    <cfRule type="expression" dxfId="134" priority="159">
      <formula>IF(Tab_4_Answer="No",1,0)</formula>
    </cfRule>
  </conditionalFormatting>
  <conditionalFormatting sqref="H28:I28">
    <cfRule type="expression" dxfId="133" priority="157">
      <formula>IF(Tab_2_Answer="No",1,0)</formula>
    </cfRule>
  </conditionalFormatting>
  <conditionalFormatting sqref="E18">
    <cfRule type="expression" dxfId="132" priority="78">
      <formula>IF(Other_Currency="No",1,0)</formula>
    </cfRule>
  </conditionalFormatting>
  <conditionalFormatting sqref="G18:H18">
    <cfRule type="expression" dxfId="131" priority="77">
      <formula>IF(Tab_4_Answer="No",1,0)</formula>
    </cfRule>
  </conditionalFormatting>
  <conditionalFormatting sqref="C18:K18 D10 C9:D9 C10:C11 C15:D17">
    <cfRule type="expression" dxfId="130" priority="42">
      <formula>IF(Tab_3_Answer="No",1,0)</formula>
    </cfRule>
  </conditionalFormatting>
  <conditionalFormatting sqref="F18">
    <cfRule type="expression" dxfId="129" priority="21">
      <formula>IF(Tab_4_Answer="No",1,0)</formula>
    </cfRule>
  </conditionalFormatting>
  <conditionalFormatting sqref="J18">
    <cfRule type="expression" dxfId="128" priority="20">
      <formula>IF(Tab_4_Answer="No",1,0)</formula>
    </cfRule>
  </conditionalFormatting>
  <conditionalFormatting sqref="E6">
    <cfRule type="expression" dxfId="127" priority="1">
      <formula>IF(Other_Currency="No",1,0)</formula>
    </cfRule>
  </conditionalFormatting>
  <conditionalFormatting sqref="C6:J6">
    <cfRule type="expression" dxfId="126" priority="3">
      <formula>IF(Tab_4_Answer="No",1,0)</formula>
    </cfRule>
  </conditionalFormatting>
  <conditionalFormatting sqref="J6 C6:H6">
    <cfRule type="expression" dxfId="125" priority="2">
      <formula>IF(Tab_2_Answer="No",1,0)</formula>
    </cfRule>
  </conditionalFormatting>
  <dataValidations count="2">
    <dataValidation allowBlank="1" showInputMessage="1" showErrorMessage="1" prompt="If a currency other than USD is used, this cell will automatically convert using the rate provided on the &quot;Preliminary Questions&quot; tab. Else, override the formula and enter cost in USD." sqref="F26:F33 F15:F17 J9:J10 F9:F10 J15:J17" xr:uid="{00000000-0002-0000-0500-000000000000}"/>
    <dataValidation allowBlank="1" showInputMessage="1" showErrorMessage="1" prompt="Please describe the specific materials and how they were used." sqref="K9:K10" xr:uid="{00000000-0002-0000-0500-000001000000}"/>
  </dataValidations>
  <pageMargins left="0.78740157499999996" right="0.78740157499999996" top="0.984251969" bottom="0.984251969" header="0.3" footer="0.3"/>
  <pageSetup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K45"/>
  <sheetViews>
    <sheetView workbookViewId="0"/>
  </sheetViews>
  <sheetFormatPr defaultColWidth="8.77734375" defaultRowHeight="14.4"/>
  <cols>
    <col min="1" max="1" width="6.77734375" style="2" customWidth="1"/>
    <col min="2" max="2" width="4.77734375" style="190" customWidth="1"/>
    <col min="3" max="3" width="50.33203125" style="2" customWidth="1"/>
    <col min="4" max="4" width="6.33203125" style="2" customWidth="1"/>
    <col min="5" max="5" width="8.77734375" style="2" bestFit="1" customWidth="1"/>
    <col min="6" max="6" width="14.44140625" style="2" bestFit="1" customWidth="1"/>
    <col min="7" max="7" width="9.109375" style="2" bestFit="1" customWidth="1"/>
    <col min="8" max="8" width="6.33203125" style="2" bestFit="1" customWidth="1"/>
    <col min="9" max="9" width="11.109375" style="2" bestFit="1" customWidth="1"/>
    <col min="10" max="10" width="14.6640625" style="2" bestFit="1" customWidth="1"/>
    <col min="11" max="11" width="11" style="2" bestFit="1" customWidth="1"/>
    <col min="12" max="16384" width="8.77734375" style="59"/>
  </cols>
  <sheetData>
    <row r="1" spans="1:11" s="37" customFormat="1" ht="24" customHeight="1">
      <c r="A1" s="105" t="s">
        <v>22</v>
      </c>
      <c r="B1" s="105" t="s">
        <v>119</v>
      </c>
      <c r="C1" s="35"/>
      <c r="D1" s="35"/>
      <c r="E1" s="35"/>
      <c r="F1" s="35"/>
      <c r="G1" s="35"/>
      <c r="H1" s="35"/>
      <c r="I1" s="35"/>
      <c r="J1" s="35"/>
      <c r="K1" s="35"/>
    </row>
    <row r="2" spans="1:11" s="37" customFormat="1" ht="15" customHeight="1">
      <c r="A2" s="35"/>
      <c r="B2" s="685" t="s">
        <v>152</v>
      </c>
      <c r="C2" s="685"/>
      <c r="D2" s="685"/>
      <c r="E2" s="685"/>
      <c r="F2" s="685"/>
      <c r="G2" s="685"/>
      <c r="H2" s="685"/>
      <c r="I2" s="685"/>
      <c r="J2" s="685"/>
      <c r="K2" s="35"/>
    </row>
    <row r="3" spans="1:11" s="37" customFormat="1" ht="15" customHeight="1">
      <c r="A3" s="35"/>
      <c r="B3" s="685"/>
      <c r="C3" s="685"/>
      <c r="D3" s="685"/>
      <c r="E3" s="685"/>
      <c r="F3" s="685"/>
      <c r="G3" s="685"/>
      <c r="H3" s="685"/>
      <c r="I3" s="685"/>
      <c r="J3" s="685"/>
      <c r="K3" s="35"/>
    </row>
    <row r="4" spans="1:11" s="37" customFormat="1" ht="15" customHeight="1">
      <c r="A4" s="35"/>
      <c r="B4" s="685"/>
      <c r="C4" s="685"/>
      <c r="D4" s="685"/>
      <c r="E4" s="685"/>
      <c r="F4" s="685"/>
      <c r="G4" s="685"/>
      <c r="H4" s="685"/>
      <c r="I4" s="685"/>
      <c r="J4" s="685"/>
      <c r="K4" s="35"/>
    </row>
    <row r="5" spans="1:11" s="38" customFormat="1" ht="15" customHeight="1">
      <c r="B5" s="188"/>
    </row>
    <row r="6" spans="1:11" s="5" customFormat="1" ht="16.8">
      <c r="A6" s="25"/>
      <c r="C6" s="299" t="s">
        <v>120</v>
      </c>
      <c r="D6" s="125" t="s">
        <v>58</v>
      </c>
      <c r="E6" s="125" t="s">
        <v>101</v>
      </c>
      <c r="F6" s="125" t="s">
        <v>60</v>
      </c>
      <c r="G6" s="125" t="s">
        <v>61</v>
      </c>
      <c r="H6" s="125" t="s">
        <v>99</v>
      </c>
      <c r="I6" s="125" t="s">
        <v>100</v>
      </c>
      <c r="J6" s="125" t="s">
        <v>63</v>
      </c>
      <c r="K6" s="284" t="s">
        <v>5</v>
      </c>
    </row>
    <row r="7" spans="1:11" s="5" customFormat="1">
      <c r="A7" s="2"/>
      <c r="B7" s="190"/>
      <c r="C7" s="2"/>
      <c r="D7" s="2"/>
      <c r="E7" s="2"/>
      <c r="F7" s="2"/>
      <c r="G7" s="2"/>
      <c r="H7" s="2"/>
      <c r="I7" s="2"/>
      <c r="J7" s="2"/>
      <c r="K7" s="2"/>
    </row>
    <row r="8" spans="1:11" s="5" customFormat="1" ht="18">
      <c r="A8" s="25"/>
      <c r="B8" s="176" t="s">
        <v>0</v>
      </c>
      <c r="C8" s="28" t="s">
        <v>94</v>
      </c>
      <c r="D8" s="28"/>
      <c r="E8" s="131"/>
      <c r="F8" s="131"/>
      <c r="G8" s="131"/>
      <c r="H8" s="131"/>
      <c r="I8" s="131"/>
      <c r="J8" s="25"/>
      <c r="K8" s="61"/>
    </row>
    <row r="9" spans="1:11" s="171" customFormat="1">
      <c r="A9" s="170"/>
      <c r="B9" s="175"/>
      <c r="C9" s="169" t="s">
        <v>27</v>
      </c>
      <c r="D9" s="253"/>
      <c r="E9" s="268">
        <v>2549143</v>
      </c>
      <c r="F9" s="203">
        <f>IF(ISBLANK($E9), "", $E9*Introduction!$E$21)</f>
        <v>10344.876144406207</v>
      </c>
      <c r="G9" s="253">
        <v>1</v>
      </c>
      <c r="H9" s="253"/>
      <c r="I9" s="270">
        <f>G9*E9</f>
        <v>2549143</v>
      </c>
      <c r="J9" s="203">
        <f>IF(ISBLANK($I9), "", $I9*Introduction!$E$21)</f>
        <v>10344.876144406207</v>
      </c>
      <c r="K9" s="166"/>
    </row>
    <row r="10" spans="1:11" s="171" customFormat="1">
      <c r="A10" s="170"/>
      <c r="B10" s="175"/>
      <c r="C10" s="169" t="s">
        <v>95</v>
      </c>
      <c r="D10" s="253"/>
      <c r="E10" s="268">
        <v>308571</v>
      </c>
      <c r="F10" s="203">
        <f>IF(ISBLANK($E10), "", $E10*Introduction!$E$21)</f>
        <v>1252.2360561002533</v>
      </c>
      <c r="G10" s="253">
        <v>1</v>
      </c>
      <c r="H10" s="253"/>
      <c r="I10" s="270">
        <f>G10*E10</f>
        <v>308571</v>
      </c>
      <c r="J10" s="203">
        <f>IF(ISBLANK($I10), "", $I10*Introduction!$E$21)</f>
        <v>1252.2360561002533</v>
      </c>
      <c r="K10" s="166"/>
    </row>
    <row r="11" spans="1:11" s="171" customFormat="1">
      <c r="A11" s="170"/>
      <c r="B11" s="175"/>
      <c r="C11" s="169" t="s">
        <v>96</v>
      </c>
      <c r="D11" s="253"/>
      <c r="E11" s="268">
        <v>840000</v>
      </c>
      <c r="F11" s="203">
        <f>IF(ISBLANK($E11), "", $E11*Introduction!$E$21)</f>
        <v>3408.8695539250698</v>
      </c>
      <c r="G11" s="253">
        <v>1</v>
      </c>
      <c r="H11" s="253"/>
      <c r="I11" s="270">
        <f>G11*E11</f>
        <v>840000</v>
      </c>
      <c r="J11" s="203">
        <f>IF(ISBLANK($I11), "", $I11*Introduction!$E$21)</f>
        <v>3408.8695539250698</v>
      </c>
      <c r="K11" s="166"/>
    </row>
    <row r="12" spans="1:11" s="171" customFormat="1">
      <c r="A12" s="170"/>
      <c r="B12" s="175"/>
      <c r="C12" s="169" t="s">
        <v>97</v>
      </c>
      <c r="D12" s="253"/>
      <c r="E12" s="268">
        <v>3352857</v>
      </c>
      <c r="F12" s="203">
        <f>IF(ISBLANK($E12), "", $E12*Introduction!$E$21)</f>
        <v>13606.490649957796</v>
      </c>
      <c r="G12" s="253">
        <v>1</v>
      </c>
      <c r="H12" s="253"/>
      <c r="I12" s="270">
        <f>G12*E12</f>
        <v>3352857</v>
      </c>
      <c r="J12" s="203">
        <f>IF(ISBLANK($I12), "", $I12*Introduction!$E$21)</f>
        <v>13606.490649957796</v>
      </c>
      <c r="K12" s="166"/>
    </row>
    <row r="13" spans="1:11" s="167" customFormat="1">
      <c r="A13" s="165"/>
      <c r="B13" s="175"/>
      <c r="C13" s="169" t="s">
        <v>13</v>
      </c>
      <c r="D13" s="253"/>
      <c r="E13" s="268">
        <v>1345000</v>
      </c>
      <c r="F13" s="203">
        <f>IF(ISBLANK($E13), "", $E13*Introduction!$E$21)</f>
        <v>5458.2494643204991</v>
      </c>
      <c r="G13" s="253">
        <v>1</v>
      </c>
      <c r="H13" s="253"/>
      <c r="I13" s="270">
        <f>G13*E13</f>
        <v>1345000</v>
      </c>
      <c r="J13" s="203">
        <f>IF(ISBLANK($I13), "", $I13*Introduction!$E$21)</f>
        <v>5458.2494643204991</v>
      </c>
      <c r="K13" s="169"/>
    </row>
    <row r="14" spans="1:11" ht="15" thickBot="1">
      <c r="A14" s="25"/>
      <c r="B14" s="173"/>
      <c r="C14" s="123"/>
      <c r="D14" s="123"/>
      <c r="E14" s="123"/>
      <c r="F14" s="123"/>
      <c r="G14" s="123"/>
      <c r="H14" s="123"/>
      <c r="I14" s="123"/>
      <c r="J14" s="123"/>
      <c r="K14" s="112"/>
    </row>
    <row r="15" spans="1:11" ht="15" thickBot="1">
      <c r="A15" s="70"/>
      <c r="B15" s="186"/>
      <c r="C15" s="63" t="s">
        <v>81</v>
      </c>
      <c r="D15" s="63"/>
      <c r="E15" s="144"/>
      <c r="F15" s="134"/>
      <c r="G15" s="135"/>
      <c r="H15" s="135"/>
      <c r="I15" s="128">
        <f>SUM(I9:I13)</f>
        <v>8395571</v>
      </c>
      <c r="J15" s="128">
        <f>SUM(J9:J13)</f>
        <v>34070.721868709821</v>
      </c>
      <c r="K15" s="70"/>
    </row>
    <row r="16" spans="1:11" ht="3" customHeight="1">
      <c r="A16" s="1"/>
      <c r="B16" s="189"/>
      <c r="C16" s="1"/>
      <c r="D16" s="1"/>
      <c r="E16" s="146"/>
      <c r="F16" s="136"/>
      <c r="G16" s="136"/>
      <c r="H16" s="136"/>
      <c r="I16" s="136"/>
      <c r="J16" s="136"/>
      <c r="K16" s="1"/>
    </row>
    <row r="17" spans="1:11" ht="18">
      <c r="A17" s="25"/>
      <c r="B17" s="174" t="s">
        <v>1</v>
      </c>
      <c r="C17" s="28" t="s">
        <v>121</v>
      </c>
      <c r="D17" s="28"/>
      <c r="E17" s="131"/>
      <c r="F17" s="131"/>
      <c r="G17" s="131"/>
      <c r="H17" s="131"/>
      <c r="I17" s="131"/>
      <c r="J17" s="131"/>
      <c r="K17" s="34"/>
    </row>
    <row r="18" spans="1:11" customFormat="1" ht="20.25" customHeight="1">
      <c r="A18" s="25"/>
      <c r="B18" s="173"/>
      <c r="C18" s="169" t="s">
        <v>122</v>
      </c>
      <c r="D18" s="169" t="s">
        <v>33</v>
      </c>
      <c r="E18" s="263">
        <v>35500</v>
      </c>
      <c r="F18" s="203">
        <f>IF(ISBLANK($E18), "", $E18*Introduction!$E$21)</f>
        <v>144.06532043373807</v>
      </c>
      <c r="G18" s="132">
        <v>704</v>
      </c>
      <c r="H18" s="132">
        <v>1</v>
      </c>
      <c r="I18" s="270">
        <f>E18*G18*H18</f>
        <v>24992000</v>
      </c>
      <c r="J18" s="203">
        <f>IF(ISBLANK($I18), "", $I18*Introduction!$E$21)</f>
        <v>101421.98558535161</v>
      </c>
      <c r="K18" s="334"/>
    </row>
    <row r="19" spans="1:11" ht="18">
      <c r="A19" s="25"/>
      <c r="B19" s="27"/>
      <c r="C19" s="169" t="s">
        <v>111</v>
      </c>
      <c r="D19" s="84" t="s">
        <v>29</v>
      </c>
      <c r="E19" s="290">
        <f>(10000*50/100)+3000</f>
        <v>8000</v>
      </c>
      <c r="F19" s="203">
        <f>IF(ISBLANK($E19), "", $E19*Introduction!$E$21)</f>
        <v>32.465424323095903</v>
      </c>
      <c r="G19" s="29">
        <v>294</v>
      </c>
      <c r="H19" s="127">
        <v>18</v>
      </c>
      <c r="I19" s="270">
        <f>H19*G19*E19</f>
        <v>42336000</v>
      </c>
      <c r="J19" s="203">
        <f>IF(ISBLANK($I19), "", $I19*Introduction!$E$21)</f>
        <v>171807.02551782352</v>
      </c>
      <c r="K19" s="61"/>
    </row>
    <row r="20" spans="1:11" ht="15" thickBot="1">
      <c r="A20" s="25"/>
      <c r="B20" s="173"/>
      <c r="C20" s="31"/>
      <c r="D20" s="31"/>
      <c r="E20" s="31"/>
      <c r="F20" s="31"/>
      <c r="G20" s="31"/>
      <c r="H20" s="31"/>
      <c r="I20" s="31"/>
      <c r="J20" s="31"/>
      <c r="K20" s="155"/>
    </row>
    <row r="21" spans="1:11" ht="15" thickBot="1">
      <c r="A21" s="70"/>
      <c r="B21" s="186"/>
      <c r="C21" s="63" t="s">
        <v>81</v>
      </c>
      <c r="D21" s="63"/>
      <c r="E21" s="144"/>
      <c r="F21" s="134"/>
      <c r="G21" s="135"/>
      <c r="H21" s="135"/>
      <c r="I21" s="128">
        <f>SUM(I20:I20)</f>
        <v>0</v>
      </c>
      <c r="J21" s="128">
        <f>SUM(J20:J20)</f>
        <v>0</v>
      </c>
      <c r="K21" s="70"/>
    </row>
    <row r="22" spans="1:11" ht="15" thickBot="1">
      <c r="E22" s="137"/>
      <c r="F22" s="137"/>
      <c r="G22" s="137"/>
      <c r="H22" s="137"/>
      <c r="I22" s="210"/>
      <c r="J22" s="209"/>
    </row>
    <row r="23" spans="1:11" s="60" customFormat="1" ht="15" thickBot="1">
      <c r="A23" s="70"/>
      <c r="B23" s="72"/>
      <c r="C23" s="67" t="s">
        <v>3</v>
      </c>
      <c r="D23" s="67"/>
      <c r="E23" s="69"/>
      <c r="F23" s="69"/>
      <c r="G23" s="68"/>
      <c r="H23" s="68"/>
      <c r="I23" s="130">
        <f>I15+I21</f>
        <v>8395571</v>
      </c>
      <c r="J23" s="130">
        <f>J15+J21</f>
        <v>34070.721868709821</v>
      </c>
      <c r="K23" s="70"/>
    </row>
    <row r="24" spans="1:11">
      <c r="E24" s="137"/>
      <c r="F24" s="137"/>
      <c r="G24" s="137"/>
      <c r="H24" s="137"/>
      <c r="I24" s="137"/>
      <c r="J24" s="137"/>
    </row>
    <row r="25" spans="1:11">
      <c r="E25" s="137"/>
      <c r="F25" s="137"/>
      <c r="G25" s="137"/>
      <c r="H25" s="137"/>
      <c r="I25" s="137"/>
      <c r="J25" s="137"/>
    </row>
    <row r="26" spans="1:11">
      <c r="E26" s="137"/>
      <c r="F26" s="137"/>
      <c r="G26" s="137"/>
      <c r="H26" s="137"/>
      <c r="I26" s="137"/>
      <c r="J26" s="137"/>
    </row>
    <row r="27" spans="1:11">
      <c r="E27" s="137"/>
      <c r="F27" s="137"/>
      <c r="G27" s="137"/>
      <c r="H27" s="137"/>
      <c r="I27" s="137"/>
      <c r="J27" s="137"/>
    </row>
    <row r="28" spans="1:11">
      <c r="E28" s="137"/>
      <c r="F28" s="137"/>
      <c r="G28" s="137"/>
      <c r="H28" s="137"/>
      <c r="I28" s="137"/>
      <c r="J28" s="137"/>
    </row>
    <row r="29" spans="1:11">
      <c r="E29" s="137"/>
      <c r="F29" s="137"/>
      <c r="G29" s="137"/>
      <c r="H29" s="137"/>
      <c r="I29" s="137"/>
      <c r="J29" s="137"/>
    </row>
    <row r="30" spans="1:11">
      <c r="E30" s="137"/>
      <c r="F30" s="137"/>
      <c r="G30" s="137"/>
      <c r="H30" s="137"/>
      <c r="I30" s="137"/>
      <c r="J30" s="137"/>
    </row>
    <row r="31" spans="1:11">
      <c r="E31" s="137"/>
      <c r="F31" s="137"/>
      <c r="G31" s="137"/>
      <c r="H31" s="137"/>
      <c r="I31" s="137"/>
      <c r="J31" s="137"/>
    </row>
    <row r="32" spans="1:11">
      <c r="E32" s="137"/>
      <c r="F32" s="137"/>
      <c r="G32" s="137"/>
      <c r="H32" s="137"/>
      <c r="I32" s="137"/>
      <c r="J32" s="137"/>
    </row>
    <row r="33" spans="5:10">
      <c r="E33" s="137"/>
      <c r="F33" s="137"/>
      <c r="G33" s="137"/>
      <c r="H33" s="137"/>
      <c r="I33" s="137"/>
      <c r="J33" s="137"/>
    </row>
    <row r="34" spans="5:10">
      <c r="E34" s="137"/>
      <c r="F34" s="137"/>
      <c r="G34" s="137"/>
      <c r="H34" s="137"/>
      <c r="I34" s="137"/>
      <c r="J34" s="137"/>
    </row>
    <row r="35" spans="5:10">
      <c r="E35" s="137"/>
      <c r="F35" s="137"/>
      <c r="G35" s="137"/>
      <c r="H35" s="137"/>
      <c r="I35" s="137"/>
      <c r="J35" s="137"/>
    </row>
    <row r="36" spans="5:10">
      <c r="E36" s="137"/>
      <c r="F36" s="137"/>
      <c r="G36" s="137"/>
      <c r="H36" s="137"/>
      <c r="I36" s="137"/>
      <c r="J36" s="137"/>
    </row>
    <row r="37" spans="5:10">
      <c r="E37" s="137"/>
      <c r="F37" s="137"/>
      <c r="G37" s="137"/>
      <c r="H37" s="137"/>
      <c r="I37" s="137"/>
      <c r="J37" s="137"/>
    </row>
    <row r="38" spans="5:10">
      <c r="F38" s="124"/>
    </row>
    <row r="39" spans="5:10">
      <c r="F39" s="124"/>
    </row>
    <row r="40" spans="5:10">
      <c r="F40" s="124"/>
    </row>
    <row r="41" spans="5:10">
      <c r="F41" s="124"/>
    </row>
    <row r="42" spans="5:10">
      <c r="F42" s="124"/>
    </row>
    <row r="43" spans="5:10">
      <c r="F43" s="124"/>
    </row>
    <row r="44" spans="5:10">
      <c r="F44" s="124"/>
    </row>
    <row r="45" spans="5:10">
      <c r="F45" s="124"/>
    </row>
  </sheetData>
  <sheetProtection insertRows="0"/>
  <mergeCells count="1">
    <mergeCell ref="B2:J4"/>
  </mergeCells>
  <conditionalFormatting sqref="E20:E21 E7:E17">
    <cfRule type="expression" dxfId="124" priority="561">
      <formula>IF(Other_Currency="No",1,0)</formula>
    </cfRule>
  </conditionalFormatting>
  <conditionalFormatting sqref="G9:H13 A9:E13 K9:IU13">
    <cfRule type="expression" dxfId="123" priority="560">
      <formula>IF(Tab_2_Answer="No",1,0)</formula>
    </cfRule>
  </conditionalFormatting>
  <conditionalFormatting sqref="H38:J65464 A38:E45 A21:F21 A46:F65464 A24:J37 K24:IT65464 H21:IT21 A22:IT22 L20:IT20 A20:J20 A18:B19 A15:J17 A6 L12:IT13 A7:IT7 C1:J1 A5:J5 K1:IT5 E12 A1:A4 B1:B2 F9:F14 E14 A12:B14 K14:IT19 G12:H14 L6:IT6 J9:J14">
    <cfRule type="expression" dxfId="122" priority="557">
      <formula>IF(Tab_4_Answer="No",1,0)</formula>
    </cfRule>
  </conditionalFormatting>
  <conditionalFormatting sqref="G20:H20 E13 A8:J8 E9:E11 K8:IT13 A12:A13 G9:H13 A9:B11 M9:IV13 B9:D13 C14:J14">
    <cfRule type="expression" dxfId="121" priority="539">
      <formula>IF(Tab_3_Answer="No",1,0)</formula>
    </cfRule>
  </conditionalFormatting>
  <conditionalFormatting sqref="G38:G65464 G21">
    <cfRule type="expression" dxfId="120" priority="421">
      <formula>IF(Tab_4_Answer="No",1,0)</formula>
    </cfRule>
  </conditionalFormatting>
  <conditionalFormatting sqref="K20">
    <cfRule type="expression" dxfId="119" priority="116">
      <formula>IF(Tab_4_Answer="No",1,0)</formula>
    </cfRule>
  </conditionalFormatting>
  <conditionalFormatting sqref="F38:F45">
    <cfRule type="expression" dxfId="118" priority="96">
      <formula>IF(Tab_4_Answer="No",1,0)</formula>
    </cfRule>
  </conditionalFormatting>
  <conditionalFormatting sqref="K23:IU23 A23:H23">
    <cfRule type="expression" dxfId="117" priority="42">
      <formula>IF(Tab_2_Answer="No",1,0)</formula>
    </cfRule>
  </conditionalFormatting>
  <conditionalFormatting sqref="E23">
    <cfRule type="expression" dxfId="116" priority="41">
      <formula>IF(Other_Currency="No",1,0)</formula>
    </cfRule>
  </conditionalFormatting>
  <conditionalFormatting sqref="J20">
    <cfRule type="expression" dxfId="115" priority="37">
      <formula>IF(Tab_4_Answer="No",1,0)</formula>
    </cfRule>
  </conditionalFormatting>
  <conditionalFormatting sqref="D18:D19">
    <cfRule type="expression" dxfId="114" priority="27">
      <formula>IF(Tab_2_Answer="No",1,0)</formula>
    </cfRule>
  </conditionalFormatting>
  <conditionalFormatting sqref="D18:D19">
    <cfRule type="expression" dxfId="113" priority="23">
      <formula>IF(Tab_3_Answer="No",1,0)</formula>
    </cfRule>
  </conditionalFormatting>
  <conditionalFormatting sqref="C18:C19">
    <cfRule type="expression" dxfId="112" priority="20">
      <formula>IF(Tab_2_Answer="No",1,0)</formula>
    </cfRule>
  </conditionalFormatting>
  <conditionalFormatting sqref="C18:C19">
    <cfRule type="expression" dxfId="111" priority="19">
      <formula>IF(Tab_3_Answer="No",1,0)</formula>
    </cfRule>
  </conditionalFormatting>
  <conditionalFormatting sqref="E18:E19">
    <cfRule type="expression" dxfId="110" priority="18">
      <formula>IF(Tab_4_Answer="No",1,0)</formula>
    </cfRule>
  </conditionalFormatting>
  <conditionalFormatting sqref="E18:E19">
    <cfRule type="expression" dxfId="109" priority="17">
      <formula>IF(Other_Currency="No",1,0)</formula>
    </cfRule>
  </conditionalFormatting>
  <conditionalFormatting sqref="G18:H19">
    <cfRule type="expression" dxfId="108" priority="16">
      <formula>IF(Tab_4_Answer="No",1,0)</formula>
    </cfRule>
  </conditionalFormatting>
  <conditionalFormatting sqref="F18:F19">
    <cfRule type="expression" dxfId="107" priority="15">
      <formula>IF(Tab_4_Answer="No",1,0)</formula>
    </cfRule>
  </conditionalFormatting>
  <conditionalFormatting sqref="G19 C19:D19">
    <cfRule type="expression" dxfId="106" priority="8">
      <formula>IF(Tab_2_Answer="No",1,0)</formula>
    </cfRule>
  </conditionalFormatting>
  <conditionalFormatting sqref="A19:B19 F19 K19:IT19">
    <cfRule type="expression" dxfId="105" priority="7">
      <formula>IF(Tab_4_Answer="No",1,0)</formula>
    </cfRule>
  </conditionalFormatting>
  <conditionalFormatting sqref="C19">
    <cfRule type="expression" dxfId="104" priority="6">
      <formula>IF(Tab_3_Answer="No",1,0)</formula>
    </cfRule>
  </conditionalFormatting>
  <conditionalFormatting sqref="K6">
    <cfRule type="expression" dxfId="103" priority="5">
      <formula>IF(Tab_4_Answer="No",1,0)</formula>
    </cfRule>
  </conditionalFormatting>
  <conditionalFormatting sqref="E6">
    <cfRule type="expression" dxfId="102" priority="2">
      <formula>IF(Other_Currency="No",1,0)</formula>
    </cfRule>
  </conditionalFormatting>
  <conditionalFormatting sqref="D6:J6">
    <cfRule type="expression" dxfId="101" priority="4">
      <formula>IF(Tab_4_Answer="No",1,0)</formula>
    </cfRule>
  </conditionalFormatting>
  <conditionalFormatting sqref="J6 D6:H6">
    <cfRule type="expression" dxfId="100" priority="3">
      <formula>IF(Tab_2_Answer="No",1,0)</formula>
    </cfRule>
  </conditionalFormatting>
  <conditionalFormatting sqref="J18:J19">
    <cfRule type="expression" dxfId="99" priority="1">
      <formula>IF(Tab_4_Answer="No",1,0)</formula>
    </cfRule>
  </conditionalFormatting>
  <dataValidations count="2">
    <dataValidation allowBlank="1" showInputMessage="1" showErrorMessage="1" prompt="Please describe workers' main tasks or activities." sqref="K20" xr:uid="{00000000-0002-0000-0600-000000000000}"/>
    <dataValidation allowBlank="1" showInputMessage="1" showErrorMessage="1" prompt="If a currency other than USD is used, this cell will automatically convert using the rate provided on the &quot;Preliminary Questions&quot; tab. Else, override the formula and enter cost in USD." sqref="J9:J13 F18:F19 F9:F13 J18:J19" xr:uid="{00000000-0002-0000-0600-000001000000}"/>
  </dataValidations>
  <pageMargins left="0.78740157499999996" right="0.78740157499999996" top="0.984251969" bottom="0.984251969" header="0.3" footer="0.3"/>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A1:N26"/>
  <sheetViews>
    <sheetView workbookViewId="0"/>
  </sheetViews>
  <sheetFormatPr defaultColWidth="8.77734375" defaultRowHeight="14.4"/>
  <cols>
    <col min="1" max="1" width="7.33203125" style="2" bestFit="1" customWidth="1"/>
    <col min="2" max="2" width="3.77734375" style="196" customWidth="1"/>
    <col min="3" max="3" width="48.44140625" style="2" customWidth="1"/>
    <col min="4" max="4" width="6.77734375" style="2" bestFit="1" customWidth="1"/>
    <col min="5" max="5" width="9.77734375" style="2" bestFit="1" customWidth="1"/>
    <col min="6" max="6" width="14.44140625" style="2" bestFit="1" customWidth="1"/>
    <col min="7" max="7" width="9.109375" style="2" bestFit="1" customWidth="1"/>
    <col min="8" max="8" width="6.33203125" style="2" bestFit="1" customWidth="1"/>
    <col min="9" max="9" width="12.109375" style="2" bestFit="1" customWidth="1"/>
    <col min="10" max="10" width="14.6640625" style="2" bestFit="1" customWidth="1"/>
    <col min="11" max="11" width="5.6640625" style="2" bestFit="1" customWidth="1"/>
    <col min="12" max="12" width="48" style="2" customWidth="1"/>
    <col min="13" max="13" width="60.44140625" style="2" customWidth="1"/>
    <col min="14" max="16384" width="8.77734375" style="59"/>
  </cols>
  <sheetData>
    <row r="1" spans="1:14" s="37" customFormat="1" ht="24" customHeight="1">
      <c r="A1" s="105" t="s">
        <v>23</v>
      </c>
      <c r="B1" s="105" t="s">
        <v>123</v>
      </c>
      <c r="C1" s="35"/>
      <c r="D1" s="35"/>
      <c r="E1" s="35"/>
      <c r="F1" s="35"/>
      <c r="G1" s="35"/>
      <c r="H1" s="35"/>
      <c r="I1" s="35"/>
      <c r="J1" s="35"/>
      <c r="K1" s="35"/>
      <c r="L1" s="35"/>
      <c r="M1" s="35"/>
    </row>
    <row r="2" spans="1:14" s="37" customFormat="1" ht="24" customHeight="1">
      <c r="A2" s="35"/>
      <c r="B2" s="191"/>
      <c r="C2" s="35"/>
      <c r="D2" s="35"/>
      <c r="E2" s="35"/>
      <c r="F2" s="35"/>
      <c r="G2" s="35"/>
      <c r="H2" s="35"/>
      <c r="I2" s="35"/>
      <c r="J2" s="35"/>
      <c r="K2" s="35"/>
      <c r="L2" s="35"/>
      <c r="M2" s="35"/>
    </row>
    <row r="3" spans="1:14" s="37" customFormat="1" ht="15" customHeight="1">
      <c r="A3" s="35"/>
      <c r="B3" s="192"/>
      <c r="C3" s="35"/>
      <c r="D3" s="35"/>
      <c r="E3" s="35"/>
      <c r="F3" s="35"/>
      <c r="G3" s="35"/>
      <c r="H3" s="35"/>
      <c r="I3" s="35"/>
      <c r="J3" s="35"/>
      <c r="K3" s="35"/>
      <c r="L3" s="35"/>
      <c r="M3" s="35"/>
    </row>
    <row r="4" spans="1:14" s="37" customFormat="1" ht="15" customHeight="1">
      <c r="A4" s="35"/>
      <c r="B4" s="192"/>
      <c r="C4" s="35"/>
      <c r="D4" s="35"/>
      <c r="E4" s="35"/>
      <c r="F4" s="35"/>
      <c r="G4" s="35"/>
      <c r="H4" s="35"/>
      <c r="I4" s="35"/>
      <c r="J4" s="35"/>
      <c r="K4" s="35"/>
      <c r="L4" s="35"/>
      <c r="M4" s="35"/>
    </row>
    <row r="5" spans="1:14" s="38" customFormat="1" ht="15" customHeight="1">
      <c r="B5" s="193"/>
    </row>
    <row r="6" spans="1:14" s="5" customFormat="1">
      <c r="A6" s="25"/>
      <c r="C6" s="213" t="s">
        <v>124</v>
      </c>
      <c r="D6" s="125" t="s">
        <v>58</v>
      </c>
      <c r="E6" s="125" t="s">
        <v>101</v>
      </c>
      <c r="F6" s="125" t="s">
        <v>60</v>
      </c>
      <c r="G6" s="125" t="s">
        <v>61</v>
      </c>
      <c r="H6" s="125" t="s">
        <v>99</v>
      </c>
      <c r="I6" s="125" t="s">
        <v>100</v>
      </c>
      <c r="J6" s="125" t="s">
        <v>63</v>
      </c>
      <c r="K6" s="284" t="s">
        <v>5</v>
      </c>
      <c r="L6" s="33"/>
      <c r="M6" s="32"/>
    </row>
    <row r="7" spans="1:14" s="5" customFormat="1">
      <c r="A7" s="2"/>
      <c r="B7" s="196"/>
      <c r="C7" s="2"/>
      <c r="D7" s="2"/>
      <c r="E7" s="2"/>
      <c r="F7" s="2"/>
      <c r="G7" s="2"/>
      <c r="H7" s="2"/>
      <c r="I7" s="2"/>
      <c r="J7" s="2"/>
      <c r="K7" s="2"/>
      <c r="L7" s="2"/>
      <c r="M7" s="2"/>
    </row>
    <row r="8" spans="1:14" s="5" customFormat="1" ht="18">
      <c r="A8" s="25"/>
      <c r="B8" s="86" t="s">
        <v>0</v>
      </c>
      <c r="C8" s="28" t="s">
        <v>125</v>
      </c>
      <c r="D8" s="28"/>
      <c r="E8" s="131"/>
      <c r="F8" s="131"/>
      <c r="G8" s="131"/>
      <c r="H8" s="131"/>
      <c r="I8" s="131"/>
      <c r="J8" s="25"/>
      <c r="K8" s="34"/>
      <c r="L8" s="34"/>
      <c r="M8" s="22"/>
    </row>
    <row r="9" spans="1:14" s="5" customFormat="1">
      <c r="A9" s="25"/>
      <c r="B9" s="194"/>
      <c r="C9" s="169" t="s">
        <v>95</v>
      </c>
      <c r="D9" s="169" t="s">
        <v>34</v>
      </c>
      <c r="E9" s="263">
        <v>40000</v>
      </c>
      <c r="F9" s="203">
        <f>IF(ISBLANK($E9), "", $E9*Introduction!$E$21)</f>
        <v>162.32712161547951</v>
      </c>
      <c r="G9" s="131">
        <v>1</v>
      </c>
      <c r="H9" s="131">
        <v>12</v>
      </c>
      <c r="I9" s="270">
        <f t="shared" ref="I9:I11" si="0">E9*G9*H9</f>
        <v>480000</v>
      </c>
      <c r="J9" s="203">
        <f>IF(ISBLANK($I9), "", $I9*Introduction!$E$21)</f>
        <v>1947.9254593857543</v>
      </c>
      <c r="K9" s="109"/>
      <c r="L9" s="109"/>
      <c r="M9" s="22"/>
    </row>
    <row r="10" spans="1:14" s="5" customFormat="1">
      <c r="A10" s="25"/>
      <c r="B10" s="194"/>
      <c r="C10" s="169" t="s">
        <v>106</v>
      </c>
      <c r="D10" s="169" t="s">
        <v>35</v>
      </c>
      <c r="E10" s="263">
        <v>125000</v>
      </c>
      <c r="F10" s="203">
        <f>IF(ISBLANK($E10), "", $E10*Introduction!$E$21)</f>
        <v>507.27225504837349</v>
      </c>
      <c r="G10" s="131">
        <v>1</v>
      </c>
      <c r="H10" s="131">
        <v>12</v>
      </c>
      <c r="I10" s="270">
        <f t="shared" si="0"/>
        <v>1500000</v>
      </c>
      <c r="J10" s="203">
        <f>IF(ISBLANK($I10), "", $I10*Introduction!$E$21)</f>
        <v>6087.2670605804824</v>
      </c>
      <c r="K10" s="112"/>
      <c r="L10" s="112"/>
      <c r="M10" s="22"/>
    </row>
    <row r="11" spans="1:14" s="5" customFormat="1">
      <c r="A11" s="25"/>
      <c r="B11" s="194"/>
      <c r="C11" s="169" t="s">
        <v>126</v>
      </c>
      <c r="D11" s="169" t="s">
        <v>36</v>
      </c>
      <c r="E11" s="263">
        <v>5000</v>
      </c>
      <c r="F11" s="203">
        <f>IF(ISBLANK($E11), "", $E11*Introduction!$E$21)</f>
        <v>20.290890201934939</v>
      </c>
      <c r="G11" s="131">
        <v>25</v>
      </c>
      <c r="H11" s="131">
        <v>1</v>
      </c>
      <c r="I11" s="270">
        <f t="shared" si="0"/>
        <v>125000</v>
      </c>
      <c r="J11" s="203">
        <f>IF(ISBLANK($I11), "", $I11*Introduction!$E$21)</f>
        <v>507.27225504837349</v>
      </c>
      <c r="K11" s="158"/>
      <c r="L11" s="158"/>
      <c r="M11" s="22"/>
    </row>
    <row r="12" spans="1:14" s="5" customFormat="1" ht="15" customHeight="1" thickBot="1">
      <c r="A12" s="25"/>
      <c r="B12" s="194"/>
      <c r="C12" s="169"/>
      <c r="D12" s="169"/>
      <c r="E12" s="131"/>
      <c r="F12" s="131"/>
      <c r="G12" s="131"/>
      <c r="H12" s="131"/>
      <c r="I12" s="131"/>
      <c r="J12" s="131"/>
      <c r="K12" s="114"/>
      <c r="L12" s="114"/>
      <c r="M12" s="22"/>
    </row>
    <row r="13" spans="1:14" ht="15" thickBot="1">
      <c r="A13" s="70"/>
      <c r="B13" s="197"/>
      <c r="C13" s="63" t="s">
        <v>81</v>
      </c>
      <c r="D13" s="63"/>
      <c r="E13" s="144"/>
      <c r="F13" s="134"/>
      <c r="G13" s="135"/>
      <c r="H13" s="135"/>
      <c r="I13" s="128">
        <f>SUM(I9:I12)</f>
        <v>2105000</v>
      </c>
      <c r="J13" s="145">
        <f>SUM(J9:J12)</f>
        <v>8542.4647750146105</v>
      </c>
      <c r="K13" s="70"/>
      <c r="L13" s="70"/>
      <c r="M13" s="73"/>
    </row>
    <row r="14" spans="1:14">
      <c r="E14" s="131"/>
      <c r="F14" s="137"/>
      <c r="G14" s="137"/>
      <c r="H14" s="137"/>
      <c r="I14" s="137"/>
      <c r="J14" s="137"/>
    </row>
    <row r="15" spans="1:14" ht="18">
      <c r="A15" s="25"/>
      <c r="B15" s="28" t="s">
        <v>1</v>
      </c>
      <c r="C15" s="28" t="s">
        <v>127</v>
      </c>
      <c r="D15" s="28"/>
      <c r="E15" s="131"/>
      <c r="F15" s="131"/>
      <c r="G15" s="131"/>
      <c r="H15" s="131"/>
      <c r="I15" s="131"/>
      <c r="J15" s="131"/>
      <c r="K15" s="34"/>
      <c r="L15" s="34"/>
      <c r="M15" s="22"/>
    </row>
    <row r="16" spans="1:14">
      <c r="A16" s="24"/>
      <c r="B16" s="198"/>
      <c r="C16" s="169" t="s">
        <v>128</v>
      </c>
      <c r="D16" s="169" t="s">
        <v>37</v>
      </c>
      <c r="E16" s="272">
        <v>19425602</v>
      </c>
      <c r="F16" s="203">
        <f>IF(ISBLANK($E16), "", $E16*Introduction!$E$21)</f>
        <v>78832.551457697555</v>
      </c>
      <c r="G16" s="140">
        <v>6</v>
      </c>
      <c r="H16" s="140">
        <v>1</v>
      </c>
      <c r="I16" s="270">
        <f t="shared" ref="I16:I18" si="1">E16*G16*H16</f>
        <v>116553612</v>
      </c>
      <c r="J16" s="203">
        <f>IF(ISBLANK($I16), "", $I16*Introduction!$E$21)</f>
        <v>472995.30874618533</v>
      </c>
      <c r="K16" s="686"/>
      <c r="L16" s="686"/>
      <c r="M16" s="686"/>
      <c r="N16" s="686"/>
    </row>
    <row r="17" spans="1:14">
      <c r="A17" s="24"/>
      <c r="B17" s="198"/>
      <c r="C17" s="169" t="s">
        <v>117</v>
      </c>
      <c r="D17" s="169" t="s">
        <v>37</v>
      </c>
      <c r="E17" s="272">
        <v>8965662</v>
      </c>
      <c r="F17" s="203">
        <f>IF(ISBLANK($E17), "", $E17*Introduction!$E$21)</f>
        <v>36384.252645932087</v>
      </c>
      <c r="G17" s="140">
        <v>6</v>
      </c>
      <c r="H17" s="140">
        <v>1</v>
      </c>
      <c r="I17" s="270">
        <f t="shared" si="1"/>
        <v>53793972</v>
      </c>
      <c r="J17" s="203">
        <f>IF(ISBLANK($I17), "", $I17*Introduction!$E$21)</f>
        <v>218305.51587559251</v>
      </c>
      <c r="K17" s="686"/>
      <c r="L17" s="686"/>
      <c r="M17" s="686"/>
      <c r="N17" s="686"/>
    </row>
    <row r="18" spans="1:14">
      <c r="A18" s="24"/>
      <c r="B18" s="198"/>
      <c r="C18" s="169" t="s">
        <v>118</v>
      </c>
      <c r="D18" s="169" t="s">
        <v>37</v>
      </c>
      <c r="E18" s="272">
        <v>1494277</v>
      </c>
      <c r="F18" s="203">
        <f>IF(ISBLANK($E18), "", $E18*Introduction!$E$21)</f>
        <v>6064.0421076553475</v>
      </c>
      <c r="G18" s="140">
        <v>6</v>
      </c>
      <c r="H18" s="140">
        <v>1</v>
      </c>
      <c r="I18" s="270">
        <f t="shared" si="1"/>
        <v>8965662</v>
      </c>
      <c r="J18" s="203">
        <f>IF(ISBLANK($I18), "", $I18*Introduction!$E$21)</f>
        <v>36384.252645932087</v>
      </c>
      <c r="K18" s="686"/>
      <c r="L18" s="686"/>
      <c r="M18" s="686"/>
      <c r="N18" s="686"/>
    </row>
    <row r="19" spans="1:14" ht="15" thickBot="1">
      <c r="A19" s="25"/>
      <c r="B19" s="194"/>
      <c r="C19" s="59"/>
      <c r="D19" s="59"/>
      <c r="E19" s="59"/>
      <c r="F19" s="59"/>
      <c r="G19" s="59"/>
      <c r="H19" s="59"/>
      <c r="I19" s="59"/>
      <c r="J19" s="59"/>
      <c r="K19" s="59"/>
      <c r="L19" s="112"/>
      <c r="M19" s="22"/>
    </row>
    <row r="20" spans="1:14" ht="15" thickBot="1">
      <c r="A20" s="70"/>
      <c r="B20" s="197"/>
      <c r="C20" s="63" t="s">
        <v>81</v>
      </c>
      <c r="D20" s="63"/>
      <c r="E20" s="144"/>
      <c r="F20" s="134"/>
      <c r="G20" s="135"/>
      <c r="H20" s="135"/>
      <c r="I20" s="128">
        <f>SUM(I16:I19)</f>
        <v>179313246</v>
      </c>
      <c r="J20" s="145">
        <f>SUM($J$16:$J$19)</f>
        <v>727685.07726771</v>
      </c>
      <c r="K20" s="70"/>
      <c r="L20" s="70"/>
      <c r="M20" s="73"/>
    </row>
    <row r="21" spans="1:14" ht="3" customHeight="1">
      <c r="A21" s="1"/>
      <c r="B21" s="195"/>
      <c r="C21" s="1"/>
      <c r="D21" s="1"/>
      <c r="E21" s="146"/>
      <c r="F21" s="136"/>
      <c r="G21" s="136"/>
      <c r="H21" s="136"/>
      <c r="I21" s="136"/>
      <c r="J21" s="136"/>
      <c r="K21" s="1"/>
      <c r="L21" s="1"/>
      <c r="M21" s="1"/>
    </row>
    <row r="22" spans="1:14" ht="3" customHeight="1">
      <c r="A22" s="5"/>
      <c r="B22" s="238"/>
      <c r="C22" s="5"/>
      <c r="D22" s="5"/>
      <c r="E22" s="202"/>
      <c r="F22" s="133"/>
      <c r="G22" s="133"/>
      <c r="H22" s="133"/>
      <c r="I22" s="133"/>
      <c r="J22" s="133"/>
      <c r="K22" s="5"/>
      <c r="L22" s="5"/>
      <c r="M22" s="5"/>
    </row>
    <row r="23" spans="1:14" ht="6" customHeight="1" thickBot="1">
      <c r="E23" s="131"/>
      <c r="F23" s="137"/>
      <c r="G23" s="137"/>
      <c r="H23" s="137"/>
      <c r="I23" s="137"/>
      <c r="J23" s="137"/>
    </row>
    <row r="24" spans="1:14" ht="15" thickBot="1">
      <c r="A24" s="75"/>
      <c r="B24" s="199"/>
      <c r="C24" s="67" t="s">
        <v>3</v>
      </c>
      <c r="D24" s="67"/>
      <c r="E24" s="144"/>
      <c r="F24" s="142"/>
      <c r="G24" s="143"/>
      <c r="H24" s="143"/>
      <c r="I24" s="130">
        <f>I13+I20</f>
        <v>181418246</v>
      </c>
      <c r="J24" s="130">
        <f>J13+J20</f>
        <v>736227.54204272456</v>
      </c>
      <c r="K24" s="75"/>
      <c r="L24" s="75"/>
      <c r="M24" s="75"/>
    </row>
    <row r="25" spans="1:14">
      <c r="E25" s="137"/>
      <c r="F25" s="137"/>
      <c r="G25" s="137"/>
      <c r="H25" s="137"/>
      <c r="I25" s="137"/>
      <c r="J25" s="137"/>
    </row>
    <row r="26" spans="1:14">
      <c r="E26" s="137"/>
      <c r="F26" s="137"/>
      <c r="G26" s="137"/>
      <c r="H26" s="137"/>
      <c r="I26" s="137"/>
      <c r="J26" s="137"/>
    </row>
  </sheetData>
  <sheetProtection insertRows="0"/>
  <mergeCells count="3">
    <mergeCell ref="K16:N16"/>
    <mergeCell ref="K17:N17"/>
    <mergeCell ref="K18:N18"/>
  </mergeCells>
  <conditionalFormatting sqref="E7:E11 E13:E24">
    <cfRule type="expression" dxfId="98" priority="615">
      <formula>IF(Other_Currency="No",1,0)</formula>
    </cfRule>
  </conditionalFormatting>
  <conditionalFormatting sqref="K9:L9 C9:D12 C16:D18">
    <cfRule type="expression" dxfId="97" priority="614">
      <formula>IF(Tab_2_Answer="No",1,0)</formula>
    </cfRule>
  </conditionalFormatting>
  <conditionalFormatting sqref="A20:F22 A23:J26 H20:J22 K19:IU26 A27:IU65441 M16:IU18 A13:IU15 E16:H19 A6 A7:IU7 C6 F9:F11 A1:IU5 J9:J11 J16:J18 A16:B19 L6:IU6">
    <cfRule type="expression" dxfId="96" priority="611">
      <formula>IF(Tab_4_Answer="No",1,0)</formula>
    </cfRule>
  </conditionalFormatting>
  <conditionalFormatting sqref="M12:IU12 K10:IU11 M9:IU9 A8:IU8 C9:E11 G9:H11 A9:B12 C12:J12 K16:L18 C16:D18">
    <cfRule type="expression" dxfId="95" priority="609">
      <formula>IF(Tab_3_Answer="No",1,0)</formula>
    </cfRule>
  </conditionalFormatting>
  <conditionalFormatting sqref="G20:G22">
    <cfRule type="expression" dxfId="94" priority="475">
      <formula>IF(Tab_4_Answer="No",1,0)</formula>
    </cfRule>
  </conditionalFormatting>
  <conditionalFormatting sqref="J19">
    <cfRule type="expression" dxfId="93" priority="25">
      <formula>IF(Tab_4_Answer="No",1,0)</formula>
    </cfRule>
  </conditionalFormatting>
  <conditionalFormatting sqref="K6">
    <cfRule type="expression" dxfId="92" priority="4">
      <formula>IF(Tab_4_Answer="No",1,0)</formula>
    </cfRule>
  </conditionalFormatting>
  <conditionalFormatting sqref="E6">
    <cfRule type="expression" dxfId="91" priority="1">
      <formula>IF(Other_Currency="No",1,0)</formula>
    </cfRule>
  </conditionalFormatting>
  <conditionalFormatting sqref="D6:J6">
    <cfRule type="expression" dxfId="90" priority="3">
      <formula>IF(Tab_4_Answer="No",1,0)</formula>
    </cfRule>
  </conditionalFormatting>
  <conditionalFormatting sqref="J6 D6:H6">
    <cfRule type="expression" dxfId="89" priority="2">
      <formula>IF(Tab_2_Answer="No",1,0)</formula>
    </cfRule>
  </conditionalFormatting>
  <dataValidations count="3">
    <dataValidation allowBlank="1" showInputMessage="1" showErrorMessage="1" prompt="Please describe the specific materials and how they were used." sqref="L19 K9:L9" xr:uid="{00000000-0002-0000-0700-000000000000}"/>
    <dataValidation allowBlank="1" showInputMessage="1" showErrorMessage="1" prompt="If a currency other than USD is used, this cell will automatically convert using the rate provided on the &quot;Preliminary Questions&quot; tab. Else, override the formula and enter cost in USD." sqref="F9:F11 F16:F18 J16:J18 J9:J11" xr:uid="{00000000-0002-0000-0700-000001000000}"/>
    <dataValidation allowBlank="1" showInputMessage="1" showErrorMessage="1" prompt="Please describe trainers' specific roles or duties." sqref="K11:L11" xr:uid="{00000000-0002-0000-0700-000002000000}"/>
  </dataValidations>
  <pageMargins left="0.78740157499999996" right="0.78740157499999996" top="0.984251969" bottom="0.984251969" header="0.3" footer="0.3"/>
  <pageSetup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59999389629810485"/>
  </sheetPr>
  <dimension ref="A1:N27"/>
  <sheetViews>
    <sheetView workbookViewId="0"/>
  </sheetViews>
  <sheetFormatPr defaultColWidth="8.77734375" defaultRowHeight="14.4"/>
  <cols>
    <col min="1" max="1" width="7.33203125" style="2" bestFit="1" customWidth="1"/>
    <col min="2" max="2" width="3.77734375" style="196" customWidth="1"/>
    <col min="3" max="3" width="48.44140625" style="2" customWidth="1"/>
    <col min="4" max="4" width="6.77734375" style="2" bestFit="1" customWidth="1"/>
    <col min="5" max="5" width="9.77734375" style="2" bestFit="1" customWidth="1"/>
    <col min="6" max="6" width="14.44140625" style="2" bestFit="1" customWidth="1"/>
    <col min="7" max="7" width="9.109375" style="2" bestFit="1" customWidth="1"/>
    <col min="8" max="8" width="6.33203125" style="2" bestFit="1" customWidth="1"/>
    <col min="9" max="9" width="12.109375" style="2" bestFit="1" customWidth="1"/>
    <col min="10" max="10" width="14.6640625" style="2" bestFit="1" customWidth="1"/>
    <col min="11" max="12" width="48" style="2" customWidth="1"/>
    <col min="13" max="13" width="60.44140625" style="2" customWidth="1"/>
    <col min="14" max="16384" width="8.77734375" style="59"/>
  </cols>
  <sheetData>
    <row r="1" spans="1:13" s="37" customFormat="1" ht="24" customHeight="1">
      <c r="A1" s="105" t="s">
        <v>24</v>
      </c>
      <c r="B1" s="105" t="s">
        <v>131</v>
      </c>
      <c r="C1" s="35"/>
      <c r="D1" s="35"/>
      <c r="E1" s="35"/>
      <c r="F1" s="35"/>
      <c r="G1" s="35"/>
      <c r="H1" s="35"/>
      <c r="I1" s="35"/>
      <c r="J1" s="35"/>
      <c r="K1" s="35"/>
      <c r="L1" s="35"/>
      <c r="M1" s="35"/>
    </row>
    <row r="2" spans="1:13" s="37" customFormat="1" ht="24" customHeight="1">
      <c r="A2" s="35"/>
      <c r="B2" s="191"/>
      <c r="C2" s="35"/>
      <c r="D2" s="35"/>
      <c r="E2" s="35"/>
      <c r="F2" s="35"/>
      <c r="G2" s="35"/>
      <c r="H2" s="35"/>
      <c r="I2" s="35"/>
      <c r="J2" s="35"/>
      <c r="K2" s="35"/>
      <c r="L2" s="35"/>
      <c r="M2" s="35"/>
    </row>
    <row r="3" spans="1:13" s="37" customFormat="1" ht="15" customHeight="1">
      <c r="A3" s="35"/>
      <c r="B3" s="192"/>
      <c r="C3" s="35"/>
      <c r="D3" s="35"/>
      <c r="E3" s="35"/>
      <c r="F3" s="35"/>
      <c r="G3" s="35"/>
      <c r="H3" s="35"/>
      <c r="I3" s="35"/>
      <c r="J3" s="35"/>
      <c r="K3" s="35"/>
      <c r="L3" s="35"/>
      <c r="M3" s="35"/>
    </row>
    <row r="4" spans="1:13" s="37" customFormat="1" ht="15" customHeight="1">
      <c r="A4" s="35"/>
      <c r="B4" s="192"/>
      <c r="C4" s="35"/>
      <c r="D4" s="35"/>
      <c r="E4" s="35"/>
      <c r="F4" s="35"/>
      <c r="G4" s="35"/>
      <c r="H4" s="35"/>
      <c r="I4" s="35"/>
      <c r="J4" s="35"/>
      <c r="K4" s="35"/>
      <c r="L4" s="35"/>
      <c r="M4" s="35"/>
    </row>
    <row r="5" spans="1:13" s="38" customFormat="1" ht="15" customHeight="1">
      <c r="B5" s="193"/>
    </row>
    <row r="6" spans="1:13" s="5" customFormat="1">
      <c r="A6" s="25"/>
      <c r="C6" s="213" t="s">
        <v>124</v>
      </c>
      <c r="D6" s="125" t="s">
        <v>58</v>
      </c>
      <c r="E6" s="125" t="s">
        <v>101</v>
      </c>
      <c r="F6" s="125" t="s">
        <v>60</v>
      </c>
      <c r="G6" s="125" t="s">
        <v>61</v>
      </c>
      <c r="H6" s="125" t="s">
        <v>99</v>
      </c>
      <c r="I6" s="125" t="s">
        <v>100</v>
      </c>
      <c r="J6" s="125" t="s">
        <v>63</v>
      </c>
      <c r="K6" s="284" t="s">
        <v>5</v>
      </c>
      <c r="L6" s="33"/>
      <c r="M6" s="32"/>
    </row>
    <row r="7" spans="1:13" s="5" customFormat="1">
      <c r="A7" s="2"/>
      <c r="B7" s="196"/>
      <c r="C7" s="2"/>
      <c r="D7" s="2"/>
      <c r="E7" s="2"/>
      <c r="F7" s="2"/>
      <c r="G7" s="2"/>
      <c r="H7" s="2"/>
      <c r="I7" s="2"/>
      <c r="J7" s="2"/>
      <c r="K7" s="2"/>
      <c r="L7" s="2"/>
      <c r="M7" s="2"/>
    </row>
    <row r="8" spans="1:13" s="5" customFormat="1" ht="18">
      <c r="A8" s="25"/>
      <c r="B8" s="86" t="s">
        <v>0</v>
      </c>
      <c r="C8" s="28" t="s">
        <v>129</v>
      </c>
      <c r="D8" s="28"/>
      <c r="E8" s="131"/>
      <c r="F8" s="131"/>
      <c r="G8" s="131"/>
      <c r="H8" s="131"/>
      <c r="I8" s="131"/>
      <c r="J8" s="25"/>
      <c r="K8" s="34"/>
      <c r="L8" s="34"/>
      <c r="M8" s="22"/>
    </row>
    <row r="9" spans="1:13" s="5" customFormat="1">
      <c r="A9" s="25"/>
      <c r="B9" s="194"/>
      <c r="C9" s="169" t="s">
        <v>95</v>
      </c>
      <c r="D9" s="169" t="s">
        <v>34</v>
      </c>
      <c r="E9" s="263">
        <v>40000</v>
      </c>
      <c r="F9" s="203">
        <f>IF(ISBLANK($E9), "", $E9*Introduction!$E$21)</f>
        <v>162.32712161547951</v>
      </c>
      <c r="G9" s="131">
        <v>1</v>
      </c>
      <c r="H9" s="131">
        <v>12</v>
      </c>
      <c r="I9" s="270">
        <f t="shared" ref="I9:I10" si="0">E9*G9*H9</f>
        <v>480000</v>
      </c>
      <c r="J9" s="203">
        <f>IF(ISBLANK($I9), "", $I9*Introduction!$E$21)</f>
        <v>1947.9254593857543</v>
      </c>
      <c r="K9" s="109"/>
      <c r="L9" s="109"/>
      <c r="M9" s="22"/>
    </row>
    <row r="10" spans="1:13" s="5" customFormat="1">
      <c r="A10" s="25"/>
      <c r="B10" s="194"/>
      <c r="C10" s="169" t="s">
        <v>106</v>
      </c>
      <c r="D10" s="169" t="s">
        <v>35</v>
      </c>
      <c r="E10" s="263">
        <v>150000</v>
      </c>
      <c r="F10" s="203">
        <f>IF(ISBLANK($E10), "", $E10*Introduction!$E$21)</f>
        <v>608.72670605804819</v>
      </c>
      <c r="G10" s="131">
        <v>1</v>
      </c>
      <c r="H10" s="131">
        <v>12</v>
      </c>
      <c r="I10" s="270">
        <f t="shared" si="0"/>
        <v>1800000</v>
      </c>
      <c r="J10" s="203">
        <f>IF(ISBLANK($I10), "", $I10*Introduction!$E$21)</f>
        <v>7304.7204726965783</v>
      </c>
      <c r="K10" s="112"/>
      <c r="L10" s="112"/>
      <c r="M10" s="22"/>
    </row>
    <row r="11" spans="1:13" s="5" customFormat="1">
      <c r="A11" s="25"/>
      <c r="B11" s="194"/>
      <c r="C11" s="169" t="s">
        <v>105</v>
      </c>
      <c r="D11" s="169" t="s">
        <v>38</v>
      </c>
      <c r="E11" s="263">
        <v>150000</v>
      </c>
      <c r="F11" s="203">
        <f>IF(ISBLANK($E11), "", $E11*Introduction!$E$21)</f>
        <v>608.72670605804819</v>
      </c>
      <c r="G11" s="131">
        <v>35</v>
      </c>
      <c r="H11" s="131">
        <v>1</v>
      </c>
      <c r="I11" s="270">
        <f t="shared" ref="I11:I12" si="1">E11*G11*H11</f>
        <v>5250000</v>
      </c>
      <c r="J11" s="203">
        <f>IF(ISBLANK($I11), "", $I11*Introduction!$E$21)</f>
        <v>21305.434712031685</v>
      </c>
      <c r="K11" s="109"/>
      <c r="L11" s="109"/>
      <c r="M11" s="22"/>
    </row>
    <row r="12" spans="1:13" s="5" customFormat="1">
      <c r="A12" s="25"/>
      <c r="B12" s="194"/>
      <c r="C12" s="169" t="s">
        <v>130</v>
      </c>
      <c r="D12" s="169" t="s">
        <v>36</v>
      </c>
      <c r="E12" s="263">
        <v>5000</v>
      </c>
      <c r="F12" s="203">
        <f>IF(ISBLANK($E12), "", $E12*Introduction!$E$21)</f>
        <v>20.290890201934939</v>
      </c>
      <c r="G12" s="131">
        <v>30</v>
      </c>
      <c r="H12" s="131">
        <v>1</v>
      </c>
      <c r="I12" s="270">
        <f t="shared" si="1"/>
        <v>150000</v>
      </c>
      <c r="J12" s="203">
        <f>IF(ISBLANK($I12), "", $I12*Introduction!$E$21)</f>
        <v>608.72670605804819</v>
      </c>
      <c r="K12" s="158"/>
      <c r="L12" s="158"/>
      <c r="M12" s="22"/>
    </row>
    <row r="13" spans="1:13" s="5" customFormat="1" ht="15" customHeight="1" thickBot="1">
      <c r="A13" s="25"/>
      <c r="B13" s="194"/>
      <c r="C13" s="169"/>
      <c r="D13" s="169"/>
      <c r="E13" s="169"/>
      <c r="F13" s="169"/>
      <c r="G13" s="169"/>
      <c r="H13" s="169"/>
      <c r="I13" s="169"/>
      <c r="J13" s="169"/>
      <c r="K13" s="114"/>
      <c r="L13" s="114"/>
      <c r="M13" s="22"/>
    </row>
    <row r="14" spans="1:13" ht="15" thickBot="1">
      <c r="A14" s="70"/>
      <c r="B14" s="197"/>
      <c r="C14" s="63" t="s">
        <v>81</v>
      </c>
      <c r="D14" s="63"/>
      <c r="E14" s="144"/>
      <c r="F14" s="134"/>
      <c r="G14" s="135"/>
      <c r="H14" s="135"/>
      <c r="I14" s="128">
        <f>SUM(I9:I13)</f>
        <v>7680000</v>
      </c>
      <c r="J14" s="145">
        <f>SUM(J9:J13)</f>
        <v>31166.807350172065</v>
      </c>
      <c r="K14" s="70"/>
      <c r="L14" s="70"/>
      <c r="M14" s="73"/>
    </row>
    <row r="15" spans="1:13">
      <c r="E15" s="131"/>
      <c r="F15" s="137"/>
      <c r="G15" s="137"/>
      <c r="H15" s="137"/>
      <c r="I15" s="137"/>
      <c r="J15" s="137"/>
    </row>
    <row r="16" spans="1:13" ht="18">
      <c r="A16" s="25"/>
      <c r="B16" s="28" t="s">
        <v>1</v>
      </c>
      <c r="C16" s="28" t="s">
        <v>127</v>
      </c>
      <c r="D16" s="28"/>
      <c r="E16" s="131"/>
      <c r="F16" s="131"/>
      <c r="G16" s="131"/>
      <c r="H16" s="131"/>
      <c r="I16" s="131"/>
      <c r="J16" s="131"/>
      <c r="K16" s="34"/>
      <c r="L16" s="34"/>
      <c r="M16" s="22"/>
    </row>
    <row r="17" spans="1:14">
      <c r="A17" s="24"/>
      <c r="B17" s="198"/>
      <c r="C17" s="169" t="s">
        <v>128</v>
      </c>
      <c r="D17" s="169" t="s">
        <v>37</v>
      </c>
      <c r="E17" s="272">
        <v>29138403</v>
      </c>
      <c r="F17" s="203">
        <f>IF(ISBLANK($E17), "", $E17*Introduction!$E$21)</f>
        <v>118248.82718654633</v>
      </c>
      <c r="G17" s="140">
        <v>6</v>
      </c>
      <c r="H17" s="140">
        <v>1</v>
      </c>
      <c r="I17" s="270">
        <f t="shared" ref="I17:I19" si="2">E17*G17*H17</f>
        <v>174830418</v>
      </c>
      <c r="J17" s="203">
        <f>IF(ISBLANK($I17), "", $I17*Introduction!$E$21)</f>
        <v>709492.96311927796</v>
      </c>
      <c r="K17" s="686"/>
      <c r="L17" s="686"/>
      <c r="M17" s="686"/>
      <c r="N17" s="686"/>
    </row>
    <row r="18" spans="1:14">
      <c r="A18" s="24"/>
      <c r="B18" s="198"/>
      <c r="C18" s="169" t="s">
        <v>117</v>
      </c>
      <c r="D18" s="169" t="s">
        <v>37</v>
      </c>
      <c r="E18" s="272">
        <v>13448494</v>
      </c>
      <c r="F18" s="203">
        <f>IF(ISBLANK($E18), "", $E18*Introduction!$E$21)</f>
        <v>54576.383027076168</v>
      </c>
      <c r="G18" s="140">
        <v>6</v>
      </c>
      <c r="H18" s="140">
        <v>1</v>
      </c>
      <c r="I18" s="270">
        <f t="shared" si="2"/>
        <v>80690964</v>
      </c>
      <c r="J18" s="203">
        <f>IF(ISBLANK($I18), "", $I18*Introduction!$E$21)</f>
        <v>327458.29816245701</v>
      </c>
      <c r="K18" s="686"/>
      <c r="L18" s="686"/>
      <c r="M18" s="686"/>
      <c r="N18" s="686"/>
    </row>
    <row r="19" spans="1:14">
      <c r="A19" s="24"/>
      <c r="B19" s="198"/>
      <c r="C19" s="169" t="s">
        <v>118</v>
      </c>
      <c r="D19" s="169" t="s">
        <v>37</v>
      </c>
      <c r="E19" s="272">
        <v>2241416</v>
      </c>
      <c r="F19" s="203">
        <f>IF(ISBLANK($E19), "", $E19*Introduction!$E$21)</f>
        <v>9096.0651905720406</v>
      </c>
      <c r="G19" s="140">
        <v>6</v>
      </c>
      <c r="H19" s="140">
        <v>1</v>
      </c>
      <c r="I19" s="270">
        <f t="shared" si="2"/>
        <v>13448496</v>
      </c>
      <c r="J19" s="203">
        <f>IF(ISBLANK($I19), "", $I19*Introduction!$E$21)</f>
        <v>54576.391143432244</v>
      </c>
      <c r="K19" s="686"/>
      <c r="L19" s="686"/>
      <c r="M19" s="686"/>
      <c r="N19" s="686"/>
    </row>
    <row r="20" spans="1:14" ht="15" thickBot="1">
      <c r="A20" s="25"/>
      <c r="B20" s="194"/>
      <c r="C20" s="59"/>
      <c r="D20" s="59"/>
      <c r="E20" s="59"/>
      <c r="F20" s="59"/>
      <c r="G20" s="59"/>
      <c r="H20" s="59"/>
      <c r="I20" s="59"/>
      <c r="J20" s="59"/>
      <c r="K20" s="59"/>
      <c r="L20" s="112"/>
      <c r="M20" s="22"/>
    </row>
    <row r="21" spans="1:14" ht="15" thickBot="1">
      <c r="A21" s="70"/>
      <c r="B21" s="197"/>
      <c r="C21" s="63" t="s">
        <v>81</v>
      </c>
      <c r="D21" s="63"/>
      <c r="E21" s="144"/>
      <c r="F21" s="134"/>
      <c r="G21" s="135"/>
      <c r="H21" s="135"/>
      <c r="I21" s="128">
        <f>SUM(I17:I20)</f>
        <v>268969878</v>
      </c>
      <c r="J21" s="145">
        <f>SUM($J$17:$J$20)</f>
        <v>1091527.6524251674</v>
      </c>
      <c r="K21" s="70"/>
      <c r="L21" s="70"/>
      <c r="M21" s="73"/>
    </row>
    <row r="22" spans="1:14" ht="3" customHeight="1">
      <c r="A22" s="1"/>
      <c r="B22" s="195"/>
      <c r="C22" s="1"/>
      <c r="D22" s="1"/>
      <c r="E22" s="146"/>
      <c r="F22" s="136"/>
      <c r="G22" s="136"/>
      <c r="H22" s="136"/>
      <c r="I22" s="136"/>
      <c r="J22" s="136"/>
      <c r="K22" s="1"/>
      <c r="L22" s="1"/>
      <c r="M22" s="1"/>
    </row>
    <row r="23" spans="1:14" ht="3" customHeight="1">
      <c r="A23" s="5"/>
      <c r="B23" s="238"/>
      <c r="C23" s="5"/>
      <c r="D23" s="5"/>
      <c r="E23" s="202"/>
      <c r="F23" s="133"/>
      <c r="G23" s="133"/>
      <c r="H23" s="133"/>
      <c r="I23" s="133"/>
      <c r="J23" s="133"/>
      <c r="K23" s="5"/>
      <c r="L23" s="5"/>
      <c r="M23" s="5"/>
    </row>
    <row r="24" spans="1:14" ht="6" customHeight="1" thickBot="1">
      <c r="E24" s="131"/>
      <c r="F24" s="137"/>
      <c r="G24" s="137"/>
      <c r="H24" s="137"/>
      <c r="I24" s="137"/>
      <c r="J24" s="137"/>
    </row>
    <row r="25" spans="1:14" ht="15" thickBot="1">
      <c r="A25" s="75"/>
      <c r="B25" s="199"/>
      <c r="C25" s="67" t="s">
        <v>3</v>
      </c>
      <c r="D25" s="67"/>
      <c r="E25" s="144"/>
      <c r="F25" s="142"/>
      <c r="G25" s="143"/>
      <c r="H25" s="143"/>
      <c r="I25" s="130">
        <f>I14+I21</f>
        <v>276649878</v>
      </c>
      <c r="J25" s="130">
        <f>J14+J21</f>
        <v>1122694.4597753393</v>
      </c>
      <c r="K25" s="75"/>
      <c r="L25" s="75"/>
      <c r="M25" s="75"/>
    </row>
    <row r="26" spans="1:14" s="2" customFormat="1">
      <c r="B26" s="196"/>
      <c r="E26" s="137"/>
      <c r="F26" s="137"/>
      <c r="G26" s="137"/>
      <c r="H26" s="137"/>
      <c r="I26" s="137"/>
      <c r="J26" s="137"/>
      <c r="N26" s="59"/>
    </row>
    <row r="27" spans="1:14" s="2" customFormat="1">
      <c r="B27" s="196"/>
      <c r="E27" s="137"/>
      <c r="F27" s="137"/>
      <c r="G27" s="137"/>
      <c r="H27" s="137"/>
      <c r="I27" s="137"/>
      <c r="J27" s="137"/>
      <c r="N27" s="59"/>
    </row>
  </sheetData>
  <sheetProtection insertRows="0"/>
  <mergeCells count="3">
    <mergeCell ref="K17:N17"/>
    <mergeCell ref="K18:N18"/>
    <mergeCell ref="K19:N19"/>
  </mergeCells>
  <conditionalFormatting sqref="E14:E25 E7:E12">
    <cfRule type="expression" dxfId="88" priority="74">
      <formula>IF(Other_Currency="No",1,0)</formula>
    </cfRule>
  </conditionalFormatting>
  <conditionalFormatting sqref="C13:J13 C17:D19 K11:L11 K9:L9 C9:D12">
    <cfRule type="expression" dxfId="87" priority="73">
      <formula>IF(Tab_2_Answer="No",1,0)</formula>
    </cfRule>
  </conditionalFormatting>
  <conditionalFormatting sqref="A21:F23 A24:J27 H21:J23 K20:IU27 A28:IU65442 A14:IU16 E17:H20 M17:IU19 J17:J19 A17:B20 A6 A7:IU7 A1:IU5 J9:J12 F9:F12 L6:IU6">
    <cfRule type="expression" dxfId="86" priority="72">
      <formula>IF(Tab_4_Answer="No",1,0)</formula>
    </cfRule>
  </conditionalFormatting>
  <conditionalFormatting sqref="M13:IU13 A13:J13 K17:L19 C17:D19 K12:IU12 M11:IU11 A8:J8 K8:IU10 G9:H12 A9:E12">
    <cfRule type="expression" dxfId="85" priority="71">
      <formula>IF(Tab_3_Answer="No",1,0)</formula>
    </cfRule>
  </conditionalFormatting>
  <conditionalFormatting sqref="G21:G23">
    <cfRule type="expression" dxfId="84" priority="69">
      <formula>IF(Tab_4_Answer="No",1,0)</formula>
    </cfRule>
  </conditionalFormatting>
  <conditionalFormatting sqref="J20">
    <cfRule type="expression" dxfId="83" priority="31">
      <formula>IF(Tab_4_Answer="No",1,0)</formula>
    </cfRule>
  </conditionalFormatting>
  <conditionalFormatting sqref="E12">
    <cfRule type="expression" dxfId="82" priority="9">
      <formula>IF(Other_Currency="No",1,0)</formula>
    </cfRule>
  </conditionalFormatting>
  <conditionalFormatting sqref="D12">
    <cfRule type="expression" dxfId="81" priority="8">
      <formula>IF(Tab_2_Answer="No",1,0)</formula>
    </cfRule>
  </conditionalFormatting>
  <conditionalFormatting sqref="F12">
    <cfRule type="expression" dxfId="80" priority="7">
      <formula>IF(Tab_4_Answer="No",1,0)</formula>
    </cfRule>
  </conditionalFormatting>
  <conditionalFormatting sqref="D12:E12 G12:H12">
    <cfRule type="expression" dxfId="79" priority="6">
      <formula>IF(Tab_3_Answer="No",1,0)</formula>
    </cfRule>
  </conditionalFormatting>
  <conditionalFormatting sqref="C6">
    <cfRule type="expression" dxfId="78" priority="5">
      <formula>IF(Tab_4_Answer="No",1,0)</formula>
    </cfRule>
  </conditionalFormatting>
  <conditionalFormatting sqref="K6">
    <cfRule type="expression" dxfId="77" priority="4">
      <formula>IF(Tab_4_Answer="No",1,0)</formula>
    </cfRule>
  </conditionalFormatting>
  <conditionalFormatting sqref="E6">
    <cfRule type="expression" dxfId="76" priority="1">
      <formula>IF(Other_Currency="No",1,0)</formula>
    </cfRule>
  </conditionalFormatting>
  <conditionalFormatting sqref="D6:J6">
    <cfRule type="expression" dxfId="75" priority="3">
      <formula>IF(Tab_4_Answer="No",1,0)</formula>
    </cfRule>
  </conditionalFormatting>
  <conditionalFormatting sqref="J6 D6:H6">
    <cfRule type="expression" dxfId="74" priority="2">
      <formula>IF(Tab_2_Answer="No",1,0)</formula>
    </cfRule>
  </conditionalFormatting>
  <dataValidations count="3">
    <dataValidation allowBlank="1" showInputMessage="1" showErrorMessage="1" prompt="Please describe the specific materials and how they were used." sqref="L20 K11:L11 K9:L9" xr:uid="{00000000-0002-0000-0800-000000000000}"/>
    <dataValidation allowBlank="1" showInputMessage="1" showErrorMessage="1" prompt="If a currency other than USD is used, this cell will automatically convert using the rate provided on the &quot;Preliminary Questions&quot; tab. Else, override the formula and enter cost in USD." sqref="F17:F19 J17:J19 J9:J12 F9:F12" xr:uid="{00000000-0002-0000-0800-000001000000}"/>
    <dataValidation allowBlank="1" showInputMessage="1" showErrorMessage="1" prompt="Please describe trainers' specific roles or duties." sqref="K12:L12" xr:uid="{00000000-0002-0000-0800-000002000000}"/>
  </dataValidations>
  <pageMargins left="0.78740157499999996" right="0.78740157499999996" top="0.984251969" bottom="0.984251969" header="0.3" footer="0.3"/>
  <pageSetup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IT33"/>
  <sheetViews>
    <sheetView workbookViewId="0">
      <selection activeCell="H13" sqref="H13"/>
    </sheetView>
  </sheetViews>
  <sheetFormatPr defaultColWidth="8.77734375" defaultRowHeight="14.4"/>
  <cols>
    <col min="1" max="1" width="7.33203125" style="2" bestFit="1" customWidth="1"/>
    <col min="2" max="2" width="5" style="2" customWidth="1"/>
    <col min="3" max="3" width="48.44140625" style="2" customWidth="1"/>
    <col min="4" max="4" width="6.6640625" style="2" bestFit="1" customWidth="1"/>
    <col min="5" max="7" width="12.44140625" style="2" customWidth="1"/>
    <col min="8" max="8" width="14.77734375" style="2" customWidth="1"/>
    <col min="9" max="9" width="15.6640625" style="2" customWidth="1"/>
    <col min="10" max="10" width="16.44140625" style="2" customWidth="1"/>
    <col min="11" max="11" width="5.6640625" style="2" bestFit="1" customWidth="1"/>
    <col min="12" max="12" width="19" style="59" customWidth="1"/>
    <col min="13" max="16384" width="8.77734375" style="59"/>
  </cols>
  <sheetData>
    <row r="1" spans="1:254" s="37" customFormat="1" ht="24" customHeight="1">
      <c r="A1" s="105" t="s">
        <v>25</v>
      </c>
      <c r="B1" s="105" t="s">
        <v>138</v>
      </c>
      <c r="C1" s="35"/>
      <c r="D1" s="35"/>
      <c r="E1" s="35"/>
      <c r="F1" s="35"/>
      <c r="G1" s="35"/>
      <c r="H1" s="35"/>
      <c r="I1" s="35"/>
      <c r="J1" s="35"/>
      <c r="K1" s="35"/>
    </row>
    <row r="2" spans="1:254" s="37" customFormat="1" ht="24" customHeight="1">
      <c r="A2" s="35"/>
      <c r="B2" s="105"/>
      <c r="C2" s="35"/>
      <c r="D2" s="35"/>
      <c r="E2" s="35"/>
      <c r="F2" s="35"/>
      <c r="G2" s="35"/>
      <c r="H2" s="35"/>
      <c r="I2" s="35"/>
      <c r="J2" s="35"/>
      <c r="K2" s="35"/>
    </row>
    <row r="3" spans="1:254" s="37" customFormat="1" ht="15" customHeight="1">
      <c r="A3" s="35"/>
      <c r="B3" s="36"/>
      <c r="C3" s="35"/>
      <c r="D3" s="35"/>
      <c r="E3" s="35"/>
      <c r="F3" s="35"/>
      <c r="G3" s="35"/>
      <c r="H3" s="35"/>
      <c r="I3" s="35"/>
      <c r="J3" s="35"/>
      <c r="K3" s="35"/>
    </row>
    <row r="4" spans="1:254" s="37" customFormat="1" ht="15" customHeight="1">
      <c r="A4" s="35"/>
      <c r="B4" s="36"/>
      <c r="C4" s="35"/>
      <c r="D4" s="35"/>
      <c r="E4" s="35"/>
      <c r="F4" s="35"/>
      <c r="G4" s="35"/>
      <c r="H4" s="35"/>
      <c r="I4" s="35"/>
      <c r="J4" s="35"/>
      <c r="K4" s="35"/>
    </row>
    <row r="5" spans="1:254" s="38" customFormat="1" ht="15" customHeight="1"/>
    <row r="6" spans="1:254" s="5" customFormat="1">
      <c r="A6" s="25"/>
      <c r="C6" s="213" t="s">
        <v>124</v>
      </c>
      <c r="D6" s="125" t="s">
        <v>58</v>
      </c>
      <c r="E6" s="125" t="s">
        <v>101</v>
      </c>
      <c r="F6" s="125" t="s">
        <v>60</v>
      </c>
      <c r="G6" s="125" t="s">
        <v>61</v>
      </c>
      <c r="H6" s="125" t="s">
        <v>99</v>
      </c>
      <c r="I6" s="125" t="s">
        <v>100</v>
      </c>
      <c r="J6" s="125" t="s">
        <v>63</v>
      </c>
      <c r="K6" s="284" t="s">
        <v>5</v>
      </c>
    </row>
    <row r="7" spans="1:254" s="5" customFormat="1">
      <c r="A7" s="25"/>
      <c r="C7" s="213"/>
      <c r="D7" s="213"/>
      <c r="E7" s="23"/>
      <c r="F7" s="23"/>
      <c r="G7" s="32"/>
      <c r="H7" s="32"/>
      <c r="I7" s="23"/>
      <c r="J7" s="23"/>
      <c r="K7" s="33"/>
    </row>
    <row r="8" spans="1:254" s="5" customFormat="1" ht="18">
      <c r="A8" s="2"/>
      <c r="B8" s="27" t="s">
        <v>0</v>
      </c>
      <c r="C8" s="174" t="s">
        <v>133</v>
      </c>
      <c r="D8" s="2"/>
      <c r="E8" s="2"/>
      <c r="F8" s="2"/>
      <c r="G8" s="2"/>
      <c r="H8" s="2"/>
      <c r="I8" s="2"/>
      <c r="J8" s="2"/>
      <c r="K8" s="2"/>
    </row>
    <row r="9" spans="1:254" s="5" customFormat="1" ht="27.6">
      <c r="A9" s="25"/>
      <c r="C9" s="169" t="s">
        <v>134</v>
      </c>
      <c r="D9" s="169" t="s">
        <v>39</v>
      </c>
      <c r="E9" s="271">
        <v>80000</v>
      </c>
      <c r="F9" s="203">
        <f>IF(ISBLANK($E9), "", $E9*Introduction!$E$21)</f>
        <v>324.65424323095903</v>
      </c>
      <c r="G9" s="255">
        <f>SUM(Introduction!D34:D35)</f>
        <v>11257</v>
      </c>
      <c r="H9" s="255">
        <v>1</v>
      </c>
      <c r="I9" s="270">
        <f>E9*G9*H9</f>
        <v>900560000</v>
      </c>
      <c r="J9" s="203">
        <f>IF(ISBLANK($I9), "", $I9*Introduction!$E$21)</f>
        <v>3654632.8160509057</v>
      </c>
      <c r="K9" s="34"/>
    </row>
    <row r="10" spans="1:254" s="5" customFormat="1">
      <c r="A10" s="25"/>
      <c r="C10" s="169" t="s">
        <v>132</v>
      </c>
      <c r="D10" s="169" t="s">
        <v>40</v>
      </c>
      <c r="E10" s="271">
        <v>27360000</v>
      </c>
      <c r="F10" s="203">
        <f>IF(ISBLANK($E10), "", $E10*Introduction!$E$21)</f>
        <v>111031.751184988</v>
      </c>
      <c r="G10" s="255">
        <v>1</v>
      </c>
      <c r="H10" s="255">
        <v>1</v>
      </c>
      <c r="I10" s="270">
        <f t="shared" ref="I10" si="0">E10*G10*H10</f>
        <v>27360000</v>
      </c>
      <c r="J10" s="203">
        <f>IF(ISBLANK($I10), "", $I10*Introduction!$E$21)</f>
        <v>111031.751184988</v>
      </c>
      <c r="K10" s="109"/>
    </row>
    <row r="11" spans="1:254" ht="15" thickBot="1">
      <c r="B11" s="4"/>
    </row>
    <row r="12" spans="1:254" ht="15" thickBot="1">
      <c r="A12" s="75"/>
      <c r="B12" s="75"/>
      <c r="C12" s="67" t="s">
        <v>3</v>
      </c>
      <c r="D12" s="67"/>
      <c r="E12" s="144"/>
      <c r="F12" s="142"/>
      <c r="G12" s="143" t="s">
        <v>6</v>
      </c>
      <c r="H12" s="143"/>
      <c r="I12" s="259">
        <f>SUM(I9:I11)</f>
        <v>927920000</v>
      </c>
      <c r="J12" s="130">
        <f>SUM(J9:J11)</f>
        <v>3765664.5672358936</v>
      </c>
      <c r="K12" s="75"/>
    </row>
    <row r="13" spans="1:254">
      <c r="E13" s="137"/>
      <c r="F13" s="137"/>
      <c r="G13" s="137"/>
      <c r="J13" s="137"/>
    </row>
    <row r="14" spans="1:254">
      <c r="E14" s="137"/>
      <c r="F14" s="137"/>
      <c r="G14" s="463">
        <v>-1</v>
      </c>
      <c r="H14" s="137" t="s">
        <v>237</v>
      </c>
      <c r="I14" s="461">
        <f>Tab_4_Total_Local/(Introduction!D35+Introduction!D34)</f>
        <v>82430.487696544369</v>
      </c>
      <c r="J14" s="137" t="s">
        <v>243</v>
      </c>
    </row>
    <row r="15" spans="1:254" s="2" customFormat="1">
      <c r="E15" s="137"/>
      <c r="F15" s="137"/>
      <c r="G15" s="463">
        <v>-2</v>
      </c>
      <c r="H15" s="137" t="s">
        <v>239</v>
      </c>
      <c r="I15" s="462">
        <f>CPI_2016/CPI_2018</f>
        <v>0.94476022736370657</v>
      </c>
      <c r="J15" s="137"/>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59"/>
      <c r="FU15" s="59"/>
      <c r="FV15" s="59"/>
      <c r="FW15" s="59"/>
      <c r="FX15" s="59"/>
      <c r="FY15" s="59"/>
      <c r="FZ15" s="59"/>
      <c r="GA15" s="59"/>
      <c r="GB15" s="59"/>
      <c r="GC15" s="59"/>
      <c r="GD15" s="59"/>
      <c r="GE15" s="59"/>
      <c r="GF15" s="59"/>
      <c r="GG15" s="59"/>
      <c r="GH15" s="59"/>
      <c r="GI15" s="59"/>
      <c r="GJ15" s="59"/>
      <c r="GK15" s="59"/>
      <c r="GL15" s="59"/>
      <c r="GM15" s="59"/>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59"/>
      <c r="IR15" s="59"/>
      <c r="IS15" s="59"/>
      <c r="IT15" s="59"/>
    </row>
    <row r="16" spans="1:254" s="2" customFormat="1">
      <c r="C16" s="125"/>
      <c r="D16" s="125"/>
      <c r="E16" s="137"/>
      <c r="F16" s="137"/>
      <c r="G16" s="463" t="s">
        <v>240</v>
      </c>
      <c r="H16" s="137" t="s">
        <v>238</v>
      </c>
      <c r="I16" s="461">
        <f>I14*I15</f>
        <v>77877.046297888475</v>
      </c>
      <c r="J16" s="137" t="s">
        <v>243</v>
      </c>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59"/>
      <c r="ES16" s="59"/>
      <c r="ET16" s="59"/>
      <c r="EU16" s="59"/>
      <c r="EV16" s="59"/>
      <c r="EW16" s="59"/>
      <c r="EX16" s="59"/>
      <c r="EY16" s="59"/>
      <c r="EZ16" s="59"/>
      <c r="FA16" s="59"/>
      <c r="FB16" s="59"/>
      <c r="FC16" s="59"/>
      <c r="FD16" s="59"/>
      <c r="FE16" s="59"/>
      <c r="FF16" s="59"/>
      <c r="FG16" s="59"/>
      <c r="FH16" s="59"/>
      <c r="FI16" s="59"/>
      <c r="FJ16" s="59"/>
      <c r="FK16" s="59"/>
      <c r="FL16" s="59"/>
      <c r="FM16" s="59"/>
      <c r="FN16" s="59"/>
      <c r="FO16" s="59"/>
      <c r="FP16" s="59"/>
      <c r="FQ16" s="59"/>
      <c r="FR16" s="59"/>
      <c r="FS16" s="59"/>
      <c r="FT16" s="59"/>
      <c r="FU16" s="59"/>
      <c r="FV16" s="59"/>
      <c r="FW16" s="59"/>
      <c r="FX16" s="59"/>
      <c r="FY16" s="59"/>
      <c r="FZ16" s="59"/>
      <c r="GA16" s="59"/>
      <c r="GB16" s="59"/>
      <c r="GC16" s="59"/>
      <c r="GD16" s="59"/>
      <c r="GE16" s="59"/>
      <c r="GF16" s="59"/>
      <c r="GG16" s="59"/>
      <c r="GH16" s="59"/>
      <c r="GI16" s="59"/>
      <c r="GJ16" s="59"/>
      <c r="GK16" s="59"/>
      <c r="GL16" s="59"/>
      <c r="GM16" s="59"/>
      <c r="GN16" s="59"/>
      <c r="GO16" s="59"/>
      <c r="GP16" s="59"/>
      <c r="GQ16" s="59"/>
      <c r="GR16" s="59"/>
      <c r="GS16" s="59"/>
      <c r="GT16" s="59"/>
      <c r="GU16" s="59"/>
      <c r="GV16" s="59"/>
      <c r="GW16" s="59"/>
      <c r="GX16" s="59"/>
      <c r="GY16" s="59"/>
      <c r="GZ16" s="59"/>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59"/>
      <c r="HY16" s="59"/>
      <c r="HZ16" s="59"/>
      <c r="IA16" s="59"/>
      <c r="IB16" s="59"/>
      <c r="IC16" s="59"/>
      <c r="ID16" s="59"/>
      <c r="IE16" s="59"/>
      <c r="IF16" s="59"/>
      <c r="IG16" s="59"/>
      <c r="IH16" s="59"/>
      <c r="II16" s="59"/>
      <c r="IJ16" s="59"/>
      <c r="IK16" s="59"/>
      <c r="IL16" s="59"/>
      <c r="IM16" s="59"/>
      <c r="IN16" s="59"/>
      <c r="IO16" s="59"/>
      <c r="IP16" s="59"/>
      <c r="IQ16" s="59"/>
      <c r="IR16" s="59"/>
      <c r="IS16" s="59"/>
      <c r="IT16" s="59"/>
    </row>
    <row r="17" spans="3:254" s="2" customFormat="1">
      <c r="C17" s="118"/>
      <c r="D17" s="118"/>
      <c r="E17" s="148"/>
      <c r="F17" s="149"/>
      <c r="G17" s="148"/>
      <c r="H17" s="148"/>
      <c r="I17" s="150"/>
      <c r="J17" s="151"/>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U17" s="59"/>
      <c r="FV17" s="59"/>
      <c r="FW17" s="59"/>
      <c r="FX17" s="59"/>
      <c r="FY17" s="59"/>
      <c r="FZ17" s="59"/>
      <c r="GA17" s="59"/>
      <c r="GB17" s="59"/>
      <c r="GC17" s="59"/>
      <c r="GD17" s="59"/>
      <c r="GE17" s="59"/>
      <c r="GF17" s="59"/>
      <c r="GG17" s="59"/>
      <c r="GH17" s="59"/>
      <c r="GI17" s="59"/>
      <c r="GJ17" s="59"/>
      <c r="GK17" s="59"/>
      <c r="GL17" s="59"/>
      <c r="GM17" s="59"/>
      <c r="GN17" s="59"/>
      <c r="GO17" s="59"/>
      <c r="GP17" s="59"/>
      <c r="GQ17" s="59"/>
      <c r="GR17" s="59"/>
      <c r="GS17" s="59"/>
      <c r="GT17" s="59"/>
      <c r="GU17" s="59"/>
      <c r="GV17" s="59"/>
      <c r="GW17" s="59"/>
      <c r="GX17" s="59"/>
      <c r="GY17" s="59"/>
      <c r="GZ17" s="59"/>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59"/>
      <c r="HY17" s="59"/>
      <c r="HZ17" s="59"/>
      <c r="IA17" s="59"/>
      <c r="IB17" s="59"/>
      <c r="IC17" s="59"/>
      <c r="ID17" s="59"/>
      <c r="IE17" s="59"/>
      <c r="IF17" s="59"/>
      <c r="IG17" s="59"/>
      <c r="IH17" s="59"/>
      <c r="II17" s="59"/>
      <c r="IJ17" s="59"/>
      <c r="IK17" s="59"/>
      <c r="IL17" s="59"/>
      <c r="IM17" s="59"/>
      <c r="IN17" s="59"/>
      <c r="IO17" s="59"/>
      <c r="IP17" s="59"/>
      <c r="IQ17" s="59"/>
      <c r="IR17" s="59"/>
      <c r="IS17" s="59"/>
      <c r="IT17" s="59"/>
    </row>
    <row r="18" spans="3:254" s="2" customFormat="1">
      <c r="C18" s="118"/>
      <c r="D18" s="118"/>
      <c r="E18" s="120"/>
      <c r="F18" s="152"/>
      <c r="G18" s="120"/>
      <c r="H18" s="120"/>
      <c r="I18" s="153"/>
      <c r="J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U18" s="59"/>
      <c r="FV18" s="59"/>
      <c r="FW18" s="59"/>
      <c r="FX18" s="59"/>
      <c r="FY18" s="59"/>
      <c r="FZ18" s="59"/>
      <c r="GA18" s="59"/>
      <c r="GB18" s="59"/>
      <c r="GC18" s="59"/>
      <c r="GD18" s="59"/>
      <c r="GE18" s="59"/>
      <c r="GF18" s="59"/>
      <c r="GG18" s="59"/>
      <c r="GH18" s="59"/>
      <c r="GI18" s="59"/>
      <c r="GJ18" s="59"/>
      <c r="GK18" s="59"/>
      <c r="GL18" s="59"/>
      <c r="GM18" s="59"/>
      <c r="GN18" s="59"/>
      <c r="GO18" s="59"/>
      <c r="GP18" s="59"/>
      <c r="GQ18" s="59"/>
      <c r="GR18" s="59"/>
      <c r="GS18" s="59"/>
      <c r="GT18" s="59"/>
      <c r="GU18" s="59"/>
      <c r="GV18" s="59"/>
      <c r="GW18" s="59"/>
      <c r="GX18" s="59"/>
      <c r="GY18" s="59"/>
      <c r="GZ18" s="59"/>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59"/>
      <c r="HY18" s="59"/>
      <c r="HZ18" s="59"/>
      <c r="IA18" s="59"/>
      <c r="IB18" s="59"/>
      <c r="IC18" s="59"/>
      <c r="ID18" s="59"/>
      <c r="IE18" s="59"/>
      <c r="IF18" s="59"/>
      <c r="IG18" s="59"/>
      <c r="IH18" s="59"/>
      <c r="II18" s="59"/>
      <c r="IJ18" s="59"/>
      <c r="IK18" s="59"/>
      <c r="IL18" s="59"/>
      <c r="IM18" s="59"/>
      <c r="IN18" s="59"/>
      <c r="IO18" s="59"/>
      <c r="IP18" s="59"/>
      <c r="IQ18" s="59"/>
      <c r="IR18" s="59"/>
      <c r="IS18" s="59"/>
      <c r="IT18" s="59"/>
    </row>
    <row r="19" spans="3:254" s="2" customFormat="1">
      <c r="C19" s="118"/>
      <c r="D19" s="118"/>
      <c r="E19" s="120"/>
      <c r="F19" s="152"/>
      <c r="G19" s="120" t="s">
        <v>331</v>
      </c>
      <c r="H19" s="120">
        <v>80000</v>
      </c>
      <c r="J19" s="120">
        <f>H19</f>
        <v>80000</v>
      </c>
      <c r="K19" s="59"/>
      <c r="L19" s="120">
        <f>J19</f>
        <v>80000</v>
      </c>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row>
    <row r="20" spans="3:254" s="2" customFormat="1">
      <c r="C20" s="126"/>
      <c r="D20" s="126"/>
      <c r="E20" s="110"/>
      <c r="F20" s="60"/>
      <c r="G20" s="120" t="s">
        <v>355</v>
      </c>
      <c r="H20" s="120">
        <v>11420</v>
      </c>
      <c r="J20" s="120">
        <v>11265</v>
      </c>
      <c r="K20" s="120"/>
      <c r="L20" s="120">
        <v>11257</v>
      </c>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U20" s="59"/>
      <c r="FV20" s="59"/>
      <c r="FW20" s="59"/>
      <c r="FX20" s="59"/>
      <c r="FY20" s="59"/>
      <c r="FZ20" s="59"/>
      <c r="GA20" s="59"/>
      <c r="GB20" s="59"/>
      <c r="GC20" s="59"/>
      <c r="GD20" s="59"/>
      <c r="GE20" s="59"/>
      <c r="GF20" s="59"/>
      <c r="GG20" s="59"/>
      <c r="GH20" s="59"/>
      <c r="GI20" s="59"/>
      <c r="GJ20" s="59"/>
      <c r="GK20" s="59"/>
      <c r="GL20" s="59"/>
      <c r="GM20" s="59"/>
      <c r="GN20" s="59"/>
      <c r="GO20" s="59"/>
      <c r="GP20" s="59"/>
      <c r="GQ20" s="59"/>
      <c r="GR20" s="59"/>
      <c r="GS20" s="59"/>
      <c r="GT20" s="59"/>
      <c r="GU20" s="59"/>
      <c r="GV20" s="59"/>
      <c r="GW20" s="59"/>
      <c r="GX20" s="59"/>
      <c r="GY20" s="59"/>
      <c r="GZ20" s="59"/>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59"/>
      <c r="HY20" s="59"/>
      <c r="HZ20" s="59"/>
      <c r="IA20" s="59"/>
      <c r="IB20" s="59"/>
      <c r="IC20" s="59"/>
      <c r="ID20" s="59"/>
      <c r="IE20" s="59"/>
      <c r="IF20" s="59"/>
      <c r="IG20" s="59"/>
      <c r="IH20" s="59"/>
      <c r="II20" s="59"/>
      <c r="IJ20" s="59"/>
      <c r="IK20" s="59"/>
      <c r="IL20" s="59"/>
      <c r="IM20" s="59"/>
      <c r="IN20" s="59"/>
      <c r="IO20" s="59"/>
      <c r="IP20" s="59"/>
      <c r="IQ20" s="59"/>
      <c r="IR20" s="59"/>
      <c r="IS20" s="59"/>
      <c r="IT20" s="59"/>
    </row>
    <row r="21" spans="3:254" s="2" customFormat="1">
      <c r="C21" s="118"/>
      <c r="D21" s="118"/>
      <c r="E21" s="110"/>
      <c r="F21" s="60"/>
      <c r="G21" s="120" t="s">
        <v>356</v>
      </c>
      <c r="H21" s="120">
        <f>H20*H19</f>
        <v>913600000</v>
      </c>
      <c r="J21" s="120">
        <f>J20*J19</f>
        <v>901200000</v>
      </c>
      <c r="K21" s="120"/>
      <c r="L21" s="120">
        <f>L20*L19</f>
        <v>900560000</v>
      </c>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U21" s="59"/>
      <c r="FV21" s="59"/>
      <c r="FW21" s="59"/>
      <c r="FX21" s="59"/>
      <c r="FY21" s="59"/>
      <c r="FZ21" s="59"/>
      <c r="GA21" s="59"/>
      <c r="GB21" s="59"/>
      <c r="GC21" s="59"/>
      <c r="GD21" s="59"/>
      <c r="GE21" s="59"/>
      <c r="GF21" s="59"/>
      <c r="GG21" s="59"/>
      <c r="GH21" s="59"/>
      <c r="GI21" s="59"/>
      <c r="GJ21" s="59"/>
      <c r="GK21" s="59"/>
      <c r="GL21" s="59"/>
      <c r="GM21" s="59"/>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row>
    <row r="22" spans="3:254" s="2" customFormat="1">
      <c r="C22" s="118"/>
      <c r="D22" s="118"/>
      <c r="E22" s="110"/>
      <c r="F22" s="60"/>
      <c r="G22" s="120" t="s">
        <v>357</v>
      </c>
      <c r="H22" s="556">
        <f>I10</f>
        <v>27360000</v>
      </c>
      <c r="J22" s="556">
        <f>H22</f>
        <v>27360000</v>
      </c>
      <c r="K22" s="120"/>
      <c r="L22" s="556">
        <f>J22</f>
        <v>27360000</v>
      </c>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U22" s="59"/>
      <c r="FV22" s="59"/>
      <c r="FW22" s="59"/>
      <c r="FX22" s="59"/>
      <c r="FY22" s="59"/>
      <c r="FZ22" s="59"/>
      <c r="GA22" s="59"/>
      <c r="GB22" s="59"/>
      <c r="GC22" s="59"/>
      <c r="GD22" s="59"/>
      <c r="GE22" s="59"/>
      <c r="GF22" s="59"/>
      <c r="GG22" s="59"/>
      <c r="GH22" s="59"/>
      <c r="GI22" s="59"/>
      <c r="GJ22" s="59"/>
      <c r="GK22" s="59"/>
      <c r="GL22" s="59"/>
      <c r="GM22" s="59"/>
      <c r="GN22" s="59"/>
      <c r="GO22" s="59"/>
      <c r="GP22" s="59"/>
      <c r="GQ22" s="59"/>
      <c r="GR22" s="59"/>
      <c r="GS22" s="59"/>
      <c r="GT22" s="59"/>
      <c r="GU22" s="59"/>
      <c r="GV22" s="59"/>
      <c r="GW22" s="59"/>
      <c r="GX22" s="59"/>
      <c r="GY22" s="59"/>
      <c r="GZ22" s="59"/>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59"/>
      <c r="HY22" s="59"/>
      <c r="HZ22" s="59"/>
      <c r="IA22" s="59"/>
      <c r="IB22" s="59"/>
      <c r="IC22" s="59"/>
      <c r="ID22" s="59"/>
      <c r="IE22" s="59"/>
      <c r="IF22" s="59"/>
      <c r="IG22" s="59"/>
      <c r="IH22" s="59"/>
      <c r="II22" s="59"/>
      <c r="IJ22" s="59"/>
      <c r="IK22" s="59"/>
      <c r="IL22" s="59"/>
      <c r="IM22" s="59"/>
      <c r="IN22" s="59"/>
      <c r="IO22" s="59"/>
      <c r="IP22" s="59"/>
      <c r="IQ22" s="59"/>
      <c r="IR22" s="59"/>
      <c r="IS22" s="59"/>
      <c r="IT22" s="59"/>
    </row>
    <row r="23" spans="3:254">
      <c r="E23" s="59"/>
      <c r="F23" s="59"/>
      <c r="G23" s="120" t="s">
        <v>358</v>
      </c>
      <c r="H23" s="556">
        <f>H22+H21</f>
        <v>940960000</v>
      </c>
      <c r="J23" s="556">
        <f>J22+J21</f>
        <v>928560000</v>
      </c>
      <c r="K23" s="120" t="s">
        <v>222</v>
      </c>
      <c r="L23" s="556">
        <f>L22+L21</f>
        <v>927920000</v>
      </c>
    </row>
    <row r="24" spans="3:254">
      <c r="E24" s="59"/>
      <c r="F24" s="59"/>
      <c r="G24" s="120" t="s">
        <v>359</v>
      </c>
      <c r="H24" s="557">
        <f>H23/H20</f>
        <v>82395.79684763572</v>
      </c>
      <c r="I24" s="558">
        <f>H23/J20</f>
        <v>83529.516200621394</v>
      </c>
      <c r="J24" s="557">
        <f>J23/J20</f>
        <v>82428.761651131819</v>
      </c>
      <c r="K24" s="120" t="s">
        <v>360</v>
      </c>
      <c r="L24" s="557">
        <f>L23/L20</f>
        <v>82430.487696544369</v>
      </c>
    </row>
    <row r="25" spans="3:254" s="2" customFormat="1">
      <c r="C25" s="122"/>
      <c r="D25" s="122"/>
      <c r="E25" s="59"/>
      <c r="F25" s="59"/>
      <c r="G25" s="120"/>
      <c r="H25" s="557">
        <f>H24*$I$15</f>
        <v>77844.271763586104</v>
      </c>
      <c r="I25" s="557">
        <f>I24*$I$15</f>
        <v>78915.364717279474</v>
      </c>
      <c r="J25" s="557">
        <f>J24*$I$15</f>
        <v>77875.415598832071</v>
      </c>
      <c r="K25" s="120" t="s">
        <v>361</v>
      </c>
      <c r="L25" s="557">
        <f>L24*$I$15</f>
        <v>77877.046297888475</v>
      </c>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U25" s="59"/>
      <c r="FV25" s="59"/>
      <c r="FW25" s="59"/>
      <c r="FX25" s="59"/>
      <c r="FY25" s="59"/>
      <c r="FZ25" s="59"/>
      <c r="GA25" s="59"/>
      <c r="GB25" s="59"/>
      <c r="GC25" s="59"/>
      <c r="GD25" s="59"/>
      <c r="GE25" s="59"/>
      <c r="GF25" s="59"/>
      <c r="GG25" s="59"/>
      <c r="GH25" s="59"/>
      <c r="GI25" s="59"/>
      <c r="GJ25" s="59"/>
      <c r="GK25" s="59"/>
      <c r="GL25" s="59"/>
      <c r="GM25" s="59"/>
      <c r="GN25" s="59"/>
      <c r="GO25" s="59"/>
      <c r="GP25" s="59"/>
      <c r="GQ25" s="59"/>
      <c r="GR25" s="59"/>
      <c r="GS25" s="59"/>
      <c r="GT25" s="59"/>
      <c r="GU25" s="59"/>
      <c r="GV25" s="59"/>
      <c r="GW25" s="59"/>
      <c r="GX25" s="59"/>
      <c r="GY25" s="59"/>
      <c r="GZ25" s="59"/>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59"/>
      <c r="HY25" s="59"/>
      <c r="HZ25" s="59"/>
      <c r="IA25" s="59"/>
      <c r="IB25" s="59"/>
      <c r="IC25" s="59"/>
      <c r="ID25" s="59"/>
      <c r="IE25" s="59"/>
      <c r="IF25" s="59"/>
      <c r="IG25" s="59"/>
      <c r="IH25" s="59"/>
      <c r="II25" s="59"/>
      <c r="IJ25" s="59"/>
      <c r="IK25" s="59"/>
      <c r="IL25" s="59"/>
      <c r="IM25" s="59"/>
      <c r="IN25" s="59"/>
      <c r="IO25" s="59"/>
      <c r="IP25" s="59"/>
      <c r="IQ25" s="59"/>
      <c r="IR25" s="59"/>
      <c r="IS25" s="59"/>
      <c r="IT25" s="59"/>
    </row>
    <row r="26" spans="3:254">
      <c r="E26" s="59"/>
      <c r="F26" s="59"/>
      <c r="G26" s="120"/>
      <c r="H26" s="559">
        <f>H25/conv_ppp_2016</f>
        <v>320.93716327394878</v>
      </c>
      <c r="I26" s="559">
        <f>I25/conv_ppp_2016</f>
        <v>325.35307630612476</v>
      </c>
      <c r="J26" s="560">
        <f>J25/conv_ppp_2016</f>
        <v>321.06556339782264</v>
      </c>
      <c r="L26" s="560">
        <f>L25/conv_ppp_2016</f>
        <v>321.07228646064357</v>
      </c>
    </row>
    <row r="27" spans="3:254">
      <c r="E27" s="59"/>
      <c r="F27" s="59"/>
      <c r="G27" s="120"/>
      <c r="H27" s="120"/>
      <c r="I27" s="120"/>
      <c r="J27" s="120"/>
    </row>
    <row r="28" spans="3:254">
      <c r="G28" s="120"/>
      <c r="H28" s="120"/>
      <c r="I28" s="120"/>
      <c r="J28" s="120"/>
    </row>
    <row r="29" spans="3:254">
      <c r="G29" s="120"/>
      <c r="H29" s="120"/>
      <c r="I29" s="561"/>
      <c r="J29" s="120"/>
    </row>
    <row r="30" spans="3:254">
      <c r="G30" s="120"/>
      <c r="H30" s="120"/>
      <c r="I30" s="120"/>
      <c r="J30" s="120"/>
    </row>
    <row r="31" spans="3:254">
      <c r="G31" s="120"/>
      <c r="H31" s="120"/>
      <c r="I31" s="120"/>
      <c r="J31" s="120"/>
    </row>
    <row r="32" spans="3:254">
      <c r="G32" s="120"/>
      <c r="H32" s="120"/>
      <c r="I32" s="120"/>
      <c r="J32" s="120"/>
    </row>
    <row r="33" spans="7:10">
      <c r="G33" s="120"/>
      <c r="H33" s="120"/>
      <c r="I33" s="120"/>
      <c r="J33" s="120"/>
    </row>
  </sheetData>
  <sheetProtection insertRows="0"/>
  <conditionalFormatting sqref="E7 E9:E10 E12">
    <cfRule type="expression" dxfId="73" priority="345">
      <formula>IF(Other_Currency="No",1,0)</formula>
    </cfRule>
  </conditionalFormatting>
  <conditionalFormatting sqref="C9:D10">
    <cfRule type="expression" dxfId="72" priority="344">
      <formula>IF(Tab_2_Answer="No",1,0)</formula>
    </cfRule>
  </conditionalFormatting>
  <conditionalFormatting sqref="A23:D24 A25:B25 A22:B22 A17:B20 H34:IV65504 A6:A7 A26:D65504 E23:F65504 C7:K7 A11:C11 E9:E10 A9:A10 A8:C8 C6 K8:K9 K11 G9:G10 A2:K5 L1:IV11 C1:K1 A12:XFD12 H14:I16 A13:G16 J13:XFD16 J17:IV18 C18:I18 C19:H19 J19:K24 G20:H24 K27:IV33 G25:J33 K20:K26 M19:IV26">
    <cfRule type="expression" dxfId="71" priority="341">
      <formula>IF(Tab_4_Answer="No",1,0)</formula>
    </cfRule>
  </conditionalFormatting>
  <conditionalFormatting sqref="C9:D10">
    <cfRule type="expression" dxfId="70" priority="303">
      <formula>IF(Tab_3_Answer="No",1,0)</formula>
    </cfRule>
  </conditionalFormatting>
  <conditionalFormatting sqref="K10">
    <cfRule type="expression" dxfId="69" priority="302">
      <formula>IF(Tab_2_Answer="No",1,0)</formula>
    </cfRule>
  </conditionalFormatting>
  <conditionalFormatting sqref="E20">
    <cfRule type="expression" dxfId="68" priority="209">
      <formula>IF(Other_Currency="No",1,0)</formula>
    </cfRule>
  </conditionalFormatting>
  <conditionalFormatting sqref="E20">
    <cfRule type="expression" dxfId="67" priority="208">
      <formula>IF(Tab_2_Answer="No",1,0)</formula>
    </cfRule>
  </conditionalFormatting>
  <conditionalFormatting sqref="E22">
    <cfRule type="expression" dxfId="66" priority="207">
      <formula>IF(Other_Currency="No",1,0)</formula>
    </cfRule>
  </conditionalFormatting>
  <conditionalFormatting sqref="C22:E22">
    <cfRule type="expression" dxfId="65" priority="206">
      <formula>IF(Tab_2_Answer="No",1,0)</formula>
    </cfRule>
  </conditionalFormatting>
  <conditionalFormatting sqref="G34:G65504">
    <cfRule type="expression" dxfId="64" priority="205">
      <formula>IF(Tab_4_Answer="No",1,0)</formula>
    </cfRule>
  </conditionalFormatting>
  <conditionalFormatting sqref="A21:B21">
    <cfRule type="expression" dxfId="63" priority="63">
      <formula>IF(Tab_4_Answer="No",1,0)</formula>
    </cfRule>
  </conditionalFormatting>
  <conditionalFormatting sqref="E21">
    <cfRule type="expression" dxfId="62" priority="62">
      <formula>IF(Other_Currency="No",1,0)</formula>
    </cfRule>
  </conditionalFormatting>
  <conditionalFormatting sqref="C21:E21">
    <cfRule type="expression" dxfId="61" priority="61">
      <formula>IF(Tab_2_Answer="No",1,0)</formula>
    </cfRule>
  </conditionalFormatting>
  <conditionalFormatting sqref="C20:D20">
    <cfRule type="expression" dxfId="60" priority="59">
      <formula>IF(Tab_4_Answer="No",1,0)</formula>
    </cfRule>
  </conditionalFormatting>
  <conditionalFormatting sqref="E18:E19">
    <cfRule type="expression" dxfId="59" priority="57">
      <formula>IF(Other_Currency="No",1,0)</formula>
    </cfRule>
  </conditionalFormatting>
  <conditionalFormatting sqref="F18:F19">
    <cfRule type="expression" dxfId="58" priority="55">
      <formula>IF(Tab_2_Answer="No",1,0)</formula>
    </cfRule>
  </conditionalFormatting>
  <conditionalFormatting sqref="F18:F19">
    <cfRule type="expression" dxfId="57" priority="56">
      <formula>IF(Tab_2_Answer="No",1,0)</formula>
    </cfRule>
  </conditionalFormatting>
  <conditionalFormatting sqref="E17">
    <cfRule type="expression" dxfId="56" priority="53">
      <formula>IF(Other_Currency="No",1,0)</formula>
    </cfRule>
  </conditionalFormatting>
  <conditionalFormatting sqref="H17:I17 C17:E17">
    <cfRule type="expression" dxfId="55" priority="52">
      <formula>IF(Tab_2_Answer="No",1,0)</formula>
    </cfRule>
  </conditionalFormatting>
  <conditionalFormatting sqref="G17">
    <cfRule type="expression" dxfId="54" priority="51">
      <formula>IF(Tab_2_Answer="No",1,0)</formula>
    </cfRule>
  </conditionalFormatting>
  <conditionalFormatting sqref="C7:D7 C6">
    <cfRule type="expression" dxfId="53" priority="24">
      <formula>IF(Tab_4_Answer="No",1,0)</formula>
    </cfRule>
  </conditionalFormatting>
  <conditionalFormatting sqref="E9">
    <cfRule type="expression" dxfId="52" priority="18">
      <formula>IF(Tab_4_Answer="No",1,0)</formula>
    </cfRule>
  </conditionalFormatting>
  <conditionalFormatting sqref="H9:H10">
    <cfRule type="expression" dxfId="51" priority="17">
      <formula>IF(Tab_4_Answer="No",1,0)</formula>
    </cfRule>
  </conditionalFormatting>
  <conditionalFormatting sqref="D8:J8">
    <cfRule type="expression" dxfId="50" priority="10">
      <formula>IF(Tab_4_Answer="No",1,0)</formula>
    </cfRule>
  </conditionalFormatting>
  <conditionalFormatting sqref="F9:F10">
    <cfRule type="expression" dxfId="49" priority="12">
      <formula>IF(Tab_4_Answer="No",1,0)</formula>
    </cfRule>
  </conditionalFormatting>
  <conditionalFormatting sqref="J9:J10">
    <cfRule type="expression" dxfId="48" priority="11">
      <formula>IF(Tab_4_Answer="No",1,0)</formula>
    </cfRule>
  </conditionalFormatting>
  <conditionalFormatting sqref="D11:J11">
    <cfRule type="expression" dxfId="47" priority="9">
      <formula>IF(Tab_4_Answer="No",1,0)</formula>
    </cfRule>
  </conditionalFormatting>
  <conditionalFormatting sqref="A1">
    <cfRule type="expression" dxfId="46" priority="8">
      <formula>IF(Tab_4_Answer="No",1,0)</formula>
    </cfRule>
  </conditionalFormatting>
  <conditionalFormatting sqref="B1">
    <cfRule type="expression" dxfId="45" priority="7">
      <formula>IF(Tab_4_Answer="No",1,0)</formula>
    </cfRule>
  </conditionalFormatting>
  <conditionalFormatting sqref="K6">
    <cfRule type="expression" dxfId="44" priority="6">
      <formula>IF(Tab_4_Answer="No",1,0)</formula>
    </cfRule>
  </conditionalFormatting>
  <conditionalFormatting sqref="E6">
    <cfRule type="expression" dxfId="43" priority="3">
      <formula>IF(Other_Currency="No",1,0)</formula>
    </cfRule>
  </conditionalFormatting>
  <conditionalFormatting sqref="D6:J6">
    <cfRule type="expression" dxfId="42" priority="5">
      <formula>IF(Tab_4_Answer="No",1,0)</formula>
    </cfRule>
  </conditionalFormatting>
  <conditionalFormatting sqref="J6 D6:H6">
    <cfRule type="expression" dxfId="41" priority="4">
      <formula>IF(Tab_2_Answer="No",1,0)</formula>
    </cfRule>
  </conditionalFormatting>
  <conditionalFormatting sqref="L19:L26">
    <cfRule type="expression" dxfId="40" priority="1">
      <formula>IF(Tab_4_Answer="No",1,0)</formula>
    </cfRule>
  </conditionalFormatting>
  <dataValidations disablePrompts="1" count="2">
    <dataValidation allowBlank="1" showInputMessage="1" showErrorMessage="1" prompt="If a currency other than USD is used, this cell will automatically convert using the rate provided on the &quot;Preliminary Questions&quot; tab. Else, override the formula and enter cost in USD." sqref="F17:F22 F9:F10 J9:J10" xr:uid="{00000000-0002-0000-0900-000000000000}"/>
    <dataValidation allowBlank="1" showInputMessage="1" showErrorMessage="1" prompt="Please describe the specific materials and how they were used." sqref="K10" xr:uid="{00000000-0002-0000-0900-000001000000}"/>
  </dataValidations>
  <pageMargins left="0.78740157499999996" right="0.78740157499999996" top="0.984251969" bottom="0.984251969" header="0.3" footer="0.3"/>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T43"/>
  <sheetViews>
    <sheetView workbookViewId="0"/>
  </sheetViews>
  <sheetFormatPr defaultColWidth="8.77734375" defaultRowHeight="14.4"/>
  <cols>
    <col min="1" max="1" width="7.33203125" style="2" bestFit="1" customWidth="1"/>
    <col min="2" max="2" width="3.6640625" style="2" customWidth="1"/>
    <col min="3" max="3" width="48.44140625" style="2" customWidth="1"/>
    <col min="4" max="4" width="7.109375" style="2" customWidth="1"/>
    <col min="5" max="9" width="12.44140625" style="2" customWidth="1"/>
    <col min="10" max="10" width="14.6640625" style="2" bestFit="1" customWidth="1"/>
    <col min="11" max="11" width="5.6640625" style="2" bestFit="1" customWidth="1"/>
    <col min="12" max="12" width="10.33203125" style="2" bestFit="1" customWidth="1"/>
    <col min="13" max="13" width="60.44140625" style="2" customWidth="1"/>
    <col min="14" max="16384" width="8.77734375" style="59"/>
  </cols>
  <sheetData>
    <row r="1" spans="1:13" s="37" customFormat="1" ht="22.8">
      <c r="A1" s="105" t="s">
        <v>26</v>
      </c>
      <c r="B1" s="105" t="s">
        <v>137</v>
      </c>
      <c r="C1" s="35"/>
      <c r="D1" s="35"/>
      <c r="E1" s="35"/>
      <c r="F1" s="35"/>
      <c r="G1" s="35"/>
      <c r="H1" s="35"/>
      <c r="I1" s="35"/>
      <c r="J1" s="35"/>
      <c r="K1" s="35"/>
      <c r="L1" s="35"/>
      <c r="M1" s="35"/>
    </row>
    <row r="2" spans="1:13" s="37" customFormat="1" ht="22.8">
      <c r="A2" s="35"/>
      <c r="B2" s="105"/>
      <c r="C2" s="35"/>
      <c r="D2" s="35"/>
      <c r="E2" s="35"/>
      <c r="F2" s="35"/>
      <c r="G2" s="35"/>
      <c r="H2" s="35"/>
      <c r="I2" s="35"/>
      <c r="J2" s="35"/>
      <c r="K2" s="35"/>
      <c r="L2" s="35"/>
      <c r="M2" s="35"/>
    </row>
    <row r="3" spans="1:13" s="37" customFormat="1" ht="21">
      <c r="A3" s="35"/>
      <c r="B3" s="36"/>
      <c r="C3" s="35"/>
      <c r="D3" s="35"/>
      <c r="E3" s="35"/>
      <c r="F3" s="35"/>
      <c r="G3" s="35"/>
      <c r="H3" s="35"/>
      <c r="I3" s="35"/>
      <c r="J3" s="35"/>
      <c r="K3" s="35"/>
      <c r="L3" s="35"/>
      <c r="M3" s="35"/>
    </row>
    <row r="4" spans="1:13" s="37" customFormat="1" ht="21">
      <c r="A4" s="35"/>
      <c r="B4" s="36"/>
      <c r="C4" s="35"/>
      <c r="D4" s="35"/>
      <c r="E4" s="35"/>
      <c r="F4" s="35"/>
      <c r="G4" s="35"/>
      <c r="H4" s="35"/>
      <c r="I4" s="35"/>
      <c r="J4" s="35"/>
      <c r="K4" s="35"/>
      <c r="L4" s="35"/>
      <c r="M4" s="35"/>
    </row>
    <row r="5" spans="1:13" s="38" customFormat="1"/>
    <row r="6" spans="1:13" s="5" customFormat="1">
      <c r="A6" s="25"/>
      <c r="C6" s="213" t="s">
        <v>124</v>
      </c>
      <c r="D6" s="125" t="s">
        <v>58</v>
      </c>
      <c r="E6" s="125" t="s">
        <v>101</v>
      </c>
      <c r="F6" s="125" t="s">
        <v>60</v>
      </c>
      <c r="G6" s="125" t="s">
        <v>61</v>
      </c>
      <c r="H6" s="125" t="s">
        <v>99</v>
      </c>
      <c r="I6" s="125" t="s">
        <v>100</v>
      </c>
      <c r="J6" s="125" t="s">
        <v>63</v>
      </c>
      <c r="K6" s="284" t="s">
        <v>5</v>
      </c>
      <c r="L6" s="32" t="s">
        <v>7</v>
      </c>
      <c r="M6" s="32" t="s">
        <v>8</v>
      </c>
    </row>
    <row r="7" spans="1:13" s="5" customFormat="1">
      <c r="A7" s="2"/>
      <c r="B7" s="196"/>
      <c r="C7" s="2"/>
      <c r="D7" s="2"/>
      <c r="E7" s="2"/>
      <c r="F7" s="2"/>
      <c r="G7" s="2"/>
      <c r="H7" s="2"/>
      <c r="I7" s="2"/>
      <c r="J7" s="2"/>
      <c r="K7" s="2"/>
      <c r="L7" s="2"/>
      <c r="M7" s="2"/>
    </row>
    <row r="8" spans="1:13" s="5" customFormat="1" ht="18">
      <c r="A8" s="25"/>
      <c r="B8" s="86" t="s">
        <v>0</v>
      </c>
      <c r="C8" s="28" t="s">
        <v>135</v>
      </c>
      <c r="D8" s="28"/>
      <c r="E8" s="131"/>
      <c r="F8" s="131"/>
      <c r="G8" s="131"/>
      <c r="H8" s="131"/>
      <c r="I8" s="131"/>
      <c r="J8" s="25"/>
      <c r="K8" s="34"/>
      <c r="L8" s="22"/>
      <c r="M8" s="22"/>
    </row>
    <row r="9" spans="1:13" s="171" customFormat="1">
      <c r="A9" s="170"/>
      <c r="B9" s="175"/>
      <c r="C9" s="169" t="s">
        <v>27</v>
      </c>
      <c r="D9" s="253"/>
      <c r="E9" s="268">
        <v>2814000</v>
      </c>
      <c r="F9" s="203">
        <f>IF(ISBLANK($E9), "", $E9*Introduction!$E$21)</f>
        <v>11419.713005648984</v>
      </c>
      <c r="G9" s="253">
        <v>1</v>
      </c>
      <c r="H9" s="253">
        <v>1</v>
      </c>
      <c r="I9" s="270">
        <f t="shared" ref="I9:I14" si="0">G9*E9</f>
        <v>2814000</v>
      </c>
      <c r="J9" s="203">
        <f>IF(ISBLANK($E9), "", $E9*Introduction!$E$21)</f>
        <v>11419.713005648984</v>
      </c>
      <c r="K9" s="166"/>
    </row>
    <row r="10" spans="1:13" s="171" customFormat="1">
      <c r="A10" s="170"/>
      <c r="B10" s="175"/>
      <c r="C10" s="169" t="s">
        <v>95</v>
      </c>
      <c r="D10" s="253"/>
      <c r="E10" s="268">
        <v>200000</v>
      </c>
      <c r="F10" s="203">
        <f>IF(ISBLANK($E10), "", $E10*Introduction!$E$21)</f>
        <v>811.63560807739759</v>
      </c>
      <c r="G10" s="253">
        <v>1</v>
      </c>
      <c r="H10" s="253">
        <v>1</v>
      </c>
      <c r="I10" s="270">
        <f t="shared" si="0"/>
        <v>200000</v>
      </c>
      <c r="J10" s="203">
        <f>IF(ISBLANK($E10), "", $E10*Introduction!$E$21)</f>
        <v>811.63560807739759</v>
      </c>
      <c r="K10" s="166"/>
    </row>
    <row r="11" spans="1:13" s="171" customFormat="1">
      <c r="A11" s="170"/>
      <c r="B11" s="175"/>
      <c r="C11" s="169" t="s">
        <v>96</v>
      </c>
      <c r="D11" s="253"/>
      <c r="E11" s="268">
        <v>1014000</v>
      </c>
      <c r="F11" s="203">
        <f>IF(ISBLANK($E11), "", $E11*Introduction!$E$21)</f>
        <v>4114.9925329524058</v>
      </c>
      <c r="G11" s="253">
        <v>1</v>
      </c>
      <c r="H11" s="253">
        <v>1</v>
      </c>
      <c r="I11" s="270">
        <f t="shared" si="0"/>
        <v>1014000</v>
      </c>
      <c r="J11" s="203">
        <f>IF(ISBLANK($E11), "", $E11*Introduction!$E$21)</f>
        <v>4114.9925329524058</v>
      </c>
      <c r="K11" s="166"/>
    </row>
    <row r="12" spans="1:13" s="171" customFormat="1">
      <c r="A12" s="170"/>
      <c r="B12" s="175"/>
      <c r="C12" s="169" t="s">
        <v>106</v>
      </c>
      <c r="D12" s="253"/>
      <c r="E12" s="268">
        <v>1000000</v>
      </c>
      <c r="F12" s="203">
        <f>IF(ISBLANK($E12), "", $E12*Introduction!$E$21)</f>
        <v>4058.178040386988</v>
      </c>
      <c r="G12" s="253">
        <v>1</v>
      </c>
      <c r="H12" s="253">
        <v>1</v>
      </c>
      <c r="I12" s="270">
        <f t="shared" si="0"/>
        <v>1000000</v>
      </c>
      <c r="J12" s="203">
        <f>IF(ISBLANK($E12), "", $E12*Introduction!$E$21)</f>
        <v>4058.178040386988</v>
      </c>
      <c r="K12" s="166"/>
    </row>
    <row r="13" spans="1:13" s="171" customFormat="1">
      <c r="A13" s="170"/>
      <c r="B13" s="175"/>
      <c r="C13" s="169" t="s">
        <v>97</v>
      </c>
      <c r="D13" s="253"/>
      <c r="E13" s="268">
        <v>3560000</v>
      </c>
      <c r="F13" s="203">
        <f>IF(ISBLANK($E13), "", $E13*Introduction!$E$21)</f>
        <v>14447.113823777678</v>
      </c>
      <c r="G13" s="253">
        <v>1</v>
      </c>
      <c r="H13" s="253">
        <v>1</v>
      </c>
      <c r="I13" s="270">
        <f t="shared" si="0"/>
        <v>3560000</v>
      </c>
      <c r="J13" s="203">
        <f>IF(ISBLANK($E13), "", $E13*Introduction!$E$21)</f>
        <v>14447.113823777678</v>
      </c>
      <c r="K13" s="166"/>
    </row>
    <row r="14" spans="1:13" s="167" customFormat="1">
      <c r="A14" s="165"/>
      <c r="B14" s="175"/>
      <c r="C14" s="169" t="s">
        <v>13</v>
      </c>
      <c r="D14" s="253"/>
      <c r="E14" s="268">
        <v>2480000</v>
      </c>
      <c r="F14" s="203">
        <f>IF(ISBLANK($E14), "", $E14*Introduction!$E$21)</f>
        <v>10064.281540159731</v>
      </c>
      <c r="G14" s="253">
        <v>1</v>
      </c>
      <c r="H14" s="253">
        <v>1</v>
      </c>
      <c r="I14" s="270">
        <f t="shared" si="0"/>
        <v>2480000</v>
      </c>
      <c r="J14" s="203">
        <f>IF(ISBLANK($E14), "", $E14*Introduction!$E$21)</f>
        <v>10064.281540159731</v>
      </c>
      <c r="K14" s="169"/>
    </row>
    <row r="15" spans="1:13" ht="15" thickBot="1">
      <c r="A15" s="34"/>
      <c r="B15" s="289"/>
      <c r="C15" s="169"/>
      <c r="D15" s="169"/>
      <c r="E15" s="169"/>
      <c r="F15" s="169"/>
      <c r="G15" s="204"/>
      <c r="H15" s="204"/>
      <c r="I15" s="204"/>
      <c r="J15" s="204"/>
      <c r="K15" s="34"/>
      <c r="L15" s="61"/>
      <c r="M15" s="61"/>
    </row>
    <row r="16" spans="1:13" ht="15" thickBot="1">
      <c r="A16" s="70"/>
      <c r="B16" s="197"/>
      <c r="C16" s="63" t="s">
        <v>81</v>
      </c>
      <c r="D16" s="63"/>
      <c r="E16" s="144"/>
      <c r="F16" s="134"/>
      <c r="G16" s="135"/>
      <c r="H16" s="135"/>
      <c r="I16" s="128">
        <f>SUM(I9:I15)</f>
        <v>11068000</v>
      </c>
      <c r="J16" s="145">
        <f>SUM(J9:J15)</f>
        <v>44915.914551003189</v>
      </c>
      <c r="K16" s="112"/>
      <c r="L16" s="61"/>
      <c r="M16" s="61"/>
    </row>
    <row r="17" spans="1:254">
      <c r="B17" s="196"/>
      <c r="E17" s="131"/>
      <c r="F17" s="137"/>
      <c r="G17" s="137"/>
      <c r="H17" s="137"/>
      <c r="I17" s="137"/>
      <c r="J17" s="137"/>
      <c r="K17" s="61"/>
      <c r="L17" s="30"/>
      <c r="M17" s="22"/>
    </row>
    <row r="18" spans="1:254" s="5" customFormat="1" ht="18">
      <c r="A18" s="25"/>
      <c r="B18" s="28" t="s">
        <v>1</v>
      </c>
      <c r="C18" s="28" t="s">
        <v>127</v>
      </c>
      <c r="D18" s="28"/>
      <c r="E18" s="131"/>
      <c r="F18" s="131"/>
      <c r="G18" s="131"/>
      <c r="H18" s="131"/>
      <c r="I18" s="131"/>
      <c r="J18" s="131"/>
      <c r="K18" s="112"/>
      <c r="L18" s="22"/>
      <c r="M18" s="22"/>
    </row>
    <row r="19" spans="1:254" s="5" customFormat="1">
      <c r="A19" s="24"/>
      <c r="B19" s="198"/>
      <c r="C19" s="169" t="s">
        <v>27</v>
      </c>
      <c r="D19" s="169" t="s">
        <v>29</v>
      </c>
      <c r="E19" s="272">
        <v>2000</v>
      </c>
      <c r="F19" s="203">
        <f>IF(ISBLANK($E19), "", $E19*Introduction!$E$21)</f>
        <v>8.1163560807739756</v>
      </c>
      <c r="G19" s="140">
        <v>294</v>
      </c>
      <c r="H19" s="140">
        <v>4</v>
      </c>
      <c r="I19" s="270">
        <f t="shared" ref="I19:I24" si="1">E19*G19*H19</f>
        <v>2352000</v>
      </c>
      <c r="J19" s="203">
        <f>IF(ISBLANK($I19), "", $I19*Introduction!$E$21)</f>
        <v>9544.834750990196</v>
      </c>
      <c r="K19" s="112"/>
      <c r="L19" s="22"/>
      <c r="M19" s="22"/>
    </row>
    <row r="20" spans="1:254" s="5" customFormat="1">
      <c r="A20" s="24"/>
      <c r="B20" s="198"/>
      <c r="C20" s="169" t="s">
        <v>136</v>
      </c>
      <c r="D20" s="169" t="s">
        <v>29</v>
      </c>
      <c r="E20" s="290">
        <f>(10000*20/100)+1200</f>
        <v>3200</v>
      </c>
      <c r="F20" s="203">
        <f>IF(ISBLANK($E20), "", $E20*Introduction!$E$21)</f>
        <v>12.986169729238362</v>
      </c>
      <c r="G20" s="140">
        <v>294</v>
      </c>
      <c r="H20" s="140"/>
      <c r="I20" s="270"/>
      <c r="J20" s="203"/>
      <c r="K20" s="112"/>
      <c r="L20" s="22"/>
      <c r="M20" s="22"/>
    </row>
    <row r="21" spans="1:254">
      <c r="A21" s="24"/>
      <c r="B21" s="198"/>
      <c r="C21" s="169" t="s">
        <v>12</v>
      </c>
      <c r="D21" s="169" t="s">
        <v>29</v>
      </c>
      <c r="E21" s="272">
        <v>2000</v>
      </c>
      <c r="F21" s="203">
        <f>IF(ISBLANK($E21), "", $E21*Introduction!$E$21)</f>
        <v>8.1163560807739756</v>
      </c>
      <c r="G21" s="140">
        <v>294</v>
      </c>
      <c r="H21" s="140">
        <v>2</v>
      </c>
      <c r="I21" s="270">
        <f t="shared" si="1"/>
        <v>1176000</v>
      </c>
      <c r="J21" s="203">
        <f>IF(ISBLANK($I21), "", $I21*Introduction!$E$21)</f>
        <v>4772.417375495098</v>
      </c>
      <c r="K21" s="112"/>
      <c r="L21" s="22"/>
      <c r="M21" s="22"/>
    </row>
    <row r="22" spans="1:254">
      <c r="A22" s="24"/>
      <c r="B22" s="198"/>
      <c r="C22" s="169" t="s">
        <v>35</v>
      </c>
      <c r="D22" s="169" t="s">
        <v>29</v>
      </c>
      <c r="E22" s="272">
        <v>1000</v>
      </c>
      <c r="F22" s="203">
        <f>IF(ISBLANK($E22), "", $E22*Introduction!$E$21)</f>
        <v>4.0581780403869878</v>
      </c>
      <c r="G22" s="140">
        <v>294</v>
      </c>
      <c r="H22" s="140">
        <v>2</v>
      </c>
      <c r="I22" s="270">
        <f t="shared" si="1"/>
        <v>588000</v>
      </c>
      <c r="J22" s="203">
        <f>IF(ISBLANK($I22), "", $I22*Introduction!$E$21)</f>
        <v>2386.208687747549</v>
      </c>
      <c r="K22" s="240"/>
      <c r="L22" s="22"/>
      <c r="M22" s="22"/>
    </row>
    <row r="23" spans="1:254">
      <c r="A23" s="24"/>
      <c r="B23" s="198"/>
      <c r="C23" s="169" t="s">
        <v>38</v>
      </c>
      <c r="D23" s="169" t="s">
        <v>29</v>
      </c>
      <c r="E23" s="272">
        <v>1000</v>
      </c>
      <c r="F23" s="203">
        <f>IF(ISBLANK($E23), "", $E23*Introduction!$E$21)</f>
        <v>4.0581780403869878</v>
      </c>
      <c r="G23" s="140">
        <v>294</v>
      </c>
      <c r="H23" s="140">
        <v>1</v>
      </c>
      <c r="I23" s="270">
        <f t="shared" si="1"/>
        <v>294000</v>
      </c>
      <c r="J23" s="203">
        <f>IF(ISBLANK($I23), "", $I23*Introduction!$E$21)</f>
        <v>1193.1043438737745</v>
      </c>
      <c r="K23" s="240"/>
      <c r="L23" s="22"/>
      <c r="M23" s="22"/>
    </row>
    <row r="24" spans="1:254">
      <c r="A24" s="24"/>
      <c r="B24" s="198"/>
      <c r="C24" s="169" t="s">
        <v>41</v>
      </c>
      <c r="D24" s="169" t="s">
        <v>29</v>
      </c>
      <c r="E24" s="272">
        <v>500</v>
      </c>
      <c r="F24" s="203">
        <f>IF(ISBLANK($E24), "", $E24*Introduction!$E$21)</f>
        <v>2.0290890201934939</v>
      </c>
      <c r="G24" s="140">
        <v>294</v>
      </c>
      <c r="H24" s="140">
        <v>1</v>
      </c>
      <c r="I24" s="270">
        <f t="shared" si="1"/>
        <v>147000</v>
      </c>
      <c r="J24" s="203">
        <f>IF(ISBLANK($I24), "", $I24*Introduction!$E$21)</f>
        <v>596.55217193688725</v>
      </c>
      <c r="K24" s="112"/>
      <c r="L24" s="30"/>
      <c r="M24" s="22"/>
    </row>
    <row r="25" spans="1:254" ht="15" thickBot="1">
      <c r="A25" s="25"/>
      <c r="B25" s="194"/>
      <c r="C25" s="59"/>
      <c r="D25" s="59"/>
      <c r="E25" s="59"/>
      <c r="F25" s="59"/>
      <c r="G25" s="59"/>
      <c r="H25" s="59"/>
      <c r="I25" s="59"/>
      <c r="J25" s="59"/>
      <c r="K25" s="34"/>
      <c r="L25" s="61"/>
      <c r="M25" s="61"/>
    </row>
    <row r="26" spans="1:254" ht="15" thickBot="1">
      <c r="A26" s="70"/>
      <c r="B26" s="197"/>
      <c r="C26" s="63" t="s">
        <v>81</v>
      </c>
      <c r="D26" s="63"/>
      <c r="E26" s="144"/>
      <c r="F26" s="134"/>
      <c r="G26" s="135"/>
      <c r="H26" s="135"/>
      <c r="I26" s="128">
        <f>SUM(I19:I25)</f>
        <v>4557000</v>
      </c>
      <c r="J26" s="145">
        <f>SUM($J$18:$J$25)</f>
        <v>18493.117330043508</v>
      </c>
    </row>
    <row r="27" spans="1:254">
      <c r="A27" s="1"/>
      <c r="B27" s="195"/>
      <c r="C27" s="1"/>
      <c r="D27" s="1"/>
      <c r="E27" s="146"/>
      <c r="F27" s="136"/>
      <c r="G27" s="136"/>
      <c r="H27" s="136"/>
      <c r="I27" s="136"/>
      <c r="J27" s="136"/>
      <c r="K27" s="75"/>
      <c r="L27" s="75"/>
      <c r="M27" s="75"/>
    </row>
    <row r="28" spans="1:254">
      <c r="A28" s="5"/>
      <c r="B28" s="238"/>
      <c r="C28" s="5"/>
      <c r="D28" s="5"/>
      <c r="E28" s="202"/>
      <c r="F28" s="133"/>
      <c r="G28" s="133"/>
      <c r="H28" s="133"/>
      <c r="I28" s="133"/>
      <c r="J28" s="133"/>
    </row>
    <row r="29" spans="1:254" ht="15" thickBot="1">
      <c r="B29" s="196"/>
      <c r="E29" s="131"/>
      <c r="F29" s="137"/>
      <c r="G29" s="137"/>
      <c r="H29" s="137"/>
      <c r="I29" s="137"/>
      <c r="J29" s="137"/>
    </row>
    <row r="30" spans="1:254" s="2" customFormat="1" ht="15" thickBot="1">
      <c r="A30" s="75"/>
      <c r="B30" s="199"/>
      <c r="C30" s="67" t="s">
        <v>3</v>
      </c>
      <c r="D30" s="67"/>
      <c r="E30" s="144"/>
      <c r="F30" s="142"/>
      <c r="G30" s="143"/>
      <c r="H30" s="143"/>
      <c r="I30" s="130">
        <f>I16+I26</f>
        <v>15625000</v>
      </c>
      <c r="J30" s="130">
        <f>J16+J26</f>
        <v>63409.0318810467</v>
      </c>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row>
    <row r="31" spans="1:254" s="2" customFormat="1">
      <c r="C31" s="125"/>
      <c r="D31" s="125"/>
      <c r="E31" s="206"/>
      <c r="F31" s="206"/>
      <c r="G31" s="206"/>
      <c r="H31" s="206"/>
      <c r="I31" s="206"/>
      <c r="J31" s="206"/>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row>
    <row r="32" spans="1:254" s="2" customFormat="1">
      <c r="C32" s="118"/>
      <c r="D32" s="118"/>
      <c r="E32" s="148"/>
      <c r="F32" s="149"/>
      <c r="G32" s="148"/>
      <c r="H32" s="148"/>
      <c r="I32" s="150"/>
      <c r="J32" s="151"/>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row>
    <row r="33" spans="3:254" s="2" customFormat="1">
      <c r="C33" s="118"/>
      <c r="D33" s="118"/>
      <c r="E33" s="120"/>
      <c r="F33" s="152"/>
      <c r="G33" s="120"/>
      <c r="H33" s="120"/>
      <c r="I33" s="153"/>
      <c r="J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U33" s="59"/>
      <c r="FV33" s="59"/>
      <c r="FW33" s="59"/>
      <c r="FX33" s="59"/>
      <c r="FY33" s="59"/>
      <c r="FZ33" s="59"/>
      <c r="GA33" s="59"/>
      <c r="GB33" s="59"/>
      <c r="GC33" s="59"/>
      <c r="GD33" s="59"/>
      <c r="GE33" s="59"/>
      <c r="GF33" s="59"/>
      <c r="GG33" s="59"/>
      <c r="GH33" s="59"/>
      <c r="GI33" s="59"/>
      <c r="GJ33" s="59"/>
      <c r="GK33" s="59"/>
      <c r="GL33" s="59"/>
      <c r="GM33" s="59"/>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c r="IT33" s="59"/>
    </row>
    <row r="34" spans="3:254" s="2" customFormat="1">
      <c r="C34" s="118"/>
      <c r="D34" s="118"/>
      <c r="E34" s="120"/>
      <c r="F34" s="152"/>
      <c r="G34" s="120"/>
      <c r="H34" s="120"/>
      <c r="I34" s="153"/>
      <c r="J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U34" s="59"/>
      <c r="FV34" s="59"/>
      <c r="FW34" s="59"/>
      <c r="FX34" s="59"/>
      <c r="FY34" s="59"/>
      <c r="FZ34" s="59"/>
      <c r="GA34" s="59"/>
      <c r="GB34" s="59"/>
      <c r="GC34" s="59"/>
      <c r="GD34" s="59"/>
      <c r="GE34" s="59"/>
      <c r="GF34" s="59"/>
      <c r="GG34" s="59"/>
      <c r="GH34" s="59"/>
      <c r="GI34" s="59"/>
      <c r="GJ34" s="59"/>
      <c r="GK34" s="59"/>
      <c r="GL34" s="59"/>
      <c r="GM34" s="59"/>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c r="IQ34" s="59"/>
      <c r="IR34" s="59"/>
      <c r="IS34" s="59"/>
      <c r="IT34" s="59"/>
    </row>
    <row r="35" spans="3:254" s="2" customFormat="1">
      <c r="C35" s="126"/>
      <c r="D35" s="126"/>
      <c r="E35" s="110"/>
      <c r="F35" s="60"/>
      <c r="G35" s="110"/>
      <c r="H35" s="110"/>
      <c r="I35" s="153"/>
      <c r="J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9"/>
      <c r="FC35" s="59"/>
      <c r="FD35" s="59"/>
      <c r="FE35" s="59"/>
      <c r="FF35" s="59"/>
      <c r="FG35" s="59"/>
      <c r="FH35" s="59"/>
      <c r="FI35" s="59"/>
      <c r="FJ35" s="59"/>
      <c r="FK35" s="59"/>
      <c r="FL35" s="59"/>
      <c r="FM35" s="59"/>
      <c r="FN35" s="59"/>
      <c r="FO35" s="59"/>
      <c r="FP35" s="59"/>
      <c r="FQ35" s="59"/>
      <c r="FR35" s="59"/>
      <c r="FS35" s="59"/>
      <c r="FT35" s="59"/>
      <c r="FU35" s="59"/>
      <c r="FV35" s="59"/>
      <c r="FW35" s="59"/>
      <c r="FX35" s="59"/>
      <c r="FY35" s="59"/>
      <c r="FZ35" s="59"/>
      <c r="GA35" s="59"/>
      <c r="GB35" s="59"/>
      <c r="GC35" s="59"/>
      <c r="GD35" s="59"/>
      <c r="GE35" s="59"/>
      <c r="GF35" s="59"/>
      <c r="GG35" s="59"/>
      <c r="GH35" s="59"/>
      <c r="GI35" s="59"/>
      <c r="GJ35" s="59"/>
      <c r="GK35" s="59"/>
      <c r="GL35" s="59"/>
      <c r="GM35" s="59"/>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c r="IQ35" s="59"/>
      <c r="IR35" s="59"/>
      <c r="IS35" s="59"/>
      <c r="IT35" s="59"/>
    </row>
    <row r="36" spans="3:254" s="2" customFormat="1">
      <c r="C36" s="118"/>
      <c r="D36" s="118"/>
      <c r="E36" s="110"/>
      <c r="F36" s="60"/>
      <c r="G36" s="110"/>
      <c r="H36" s="110"/>
      <c r="I36" s="154"/>
      <c r="J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c r="DX36" s="59"/>
      <c r="DY36" s="59"/>
      <c r="DZ36" s="59"/>
      <c r="EA36" s="59"/>
      <c r="EB36" s="59"/>
      <c r="EC36" s="59"/>
      <c r="ED36" s="59"/>
      <c r="EE36" s="59"/>
      <c r="EF36" s="59"/>
      <c r="EG36" s="59"/>
      <c r="EH36" s="59"/>
      <c r="EI36" s="59"/>
      <c r="EJ36" s="59"/>
      <c r="EK36" s="59"/>
      <c r="EL36" s="59"/>
      <c r="EM36" s="59"/>
      <c r="EN36" s="59"/>
      <c r="EO36" s="59"/>
      <c r="EP36" s="59"/>
      <c r="EQ36" s="59"/>
      <c r="ER36" s="59"/>
      <c r="ES36" s="59"/>
      <c r="ET36" s="59"/>
      <c r="EU36" s="59"/>
      <c r="EV36" s="59"/>
      <c r="EW36" s="59"/>
      <c r="EX36" s="59"/>
      <c r="EY36" s="59"/>
      <c r="EZ36" s="59"/>
      <c r="FA36" s="59"/>
      <c r="FB36" s="59"/>
      <c r="FC36" s="59"/>
      <c r="FD36" s="59"/>
      <c r="FE36" s="59"/>
      <c r="FF36" s="59"/>
      <c r="FG36" s="59"/>
      <c r="FH36" s="59"/>
      <c r="FI36" s="59"/>
      <c r="FJ36" s="59"/>
      <c r="FK36" s="59"/>
      <c r="FL36" s="59"/>
      <c r="FM36" s="59"/>
      <c r="FN36" s="59"/>
      <c r="FO36" s="59"/>
      <c r="FP36" s="59"/>
      <c r="FQ36" s="59"/>
      <c r="FR36" s="59"/>
      <c r="FS36" s="59"/>
      <c r="FT36" s="59"/>
      <c r="FU36" s="59"/>
      <c r="FV36" s="59"/>
      <c r="FW36" s="59"/>
      <c r="FX36" s="59"/>
      <c r="FY36" s="59"/>
      <c r="FZ36" s="59"/>
      <c r="GA36" s="59"/>
      <c r="GB36" s="59"/>
      <c r="GC36" s="59"/>
      <c r="GD36" s="59"/>
      <c r="GE36" s="59"/>
      <c r="GF36" s="59"/>
      <c r="GG36" s="59"/>
      <c r="GH36" s="59"/>
      <c r="GI36" s="59"/>
      <c r="GJ36" s="59"/>
      <c r="GK36" s="59"/>
      <c r="GL36" s="59"/>
      <c r="GM36" s="59"/>
      <c r="GN36" s="59"/>
      <c r="GO36" s="59"/>
      <c r="GP36" s="59"/>
      <c r="GQ36" s="59"/>
      <c r="GR36" s="59"/>
      <c r="GS36" s="59"/>
      <c r="GT36" s="59"/>
      <c r="GU36" s="59"/>
      <c r="GV36" s="59"/>
      <c r="GW36" s="59"/>
      <c r="GX36" s="59"/>
      <c r="GY36" s="59"/>
      <c r="GZ36" s="59"/>
      <c r="HA36" s="59"/>
      <c r="HB36" s="59"/>
      <c r="HC36" s="59"/>
      <c r="HD36" s="59"/>
      <c r="HE36" s="59"/>
      <c r="HF36" s="59"/>
      <c r="HG36" s="59"/>
      <c r="HH36" s="59"/>
      <c r="HI36" s="59"/>
      <c r="HJ36" s="59"/>
      <c r="HK36" s="59"/>
      <c r="HL36" s="59"/>
      <c r="HM36" s="59"/>
      <c r="HN36" s="59"/>
      <c r="HO36" s="59"/>
      <c r="HP36" s="59"/>
      <c r="HQ36" s="59"/>
      <c r="HR36" s="59"/>
      <c r="HS36" s="59"/>
      <c r="HT36" s="59"/>
      <c r="HU36" s="59"/>
      <c r="HV36" s="59"/>
      <c r="HW36" s="59"/>
      <c r="HX36" s="59"/>
      <c r="HY36" s="59"/>
      <c r="HZ36" s="59"/>
      <c r="IA36" s="59"/>
      <c r="IB36" s="59"/>
      <c r="IC36" s="59"/>
      <c r="ID36" s="59"/>
      <c r="IE36" s="59"/>
      <c r="IF36" s="59"/>
      <c r="IG36" s="59"/>
      <c r="IH36" s="59"/>
      <c r="II36" s="59"/>
      <c r="IJ36" s="59"/>
      <c r="IK36" s="59"/>
      <c r="IL36" s="59"/>
      <c r="IM36" s="59"/>
      <c r="IN36" s="59"/>
      <c r="IO36" s="59"/>
      <c r="IP36" s="59"/>
      <c r="IQ36" s="59"/>
      <c r="IR36" s="59"/>
      <c r="IS36" s="59"/>
      <c r="IT36" s="59"/>
    </row>
    <row r="37" spans="3:254" s="2" customFormat="1">
      <c r="C37" s="118"/>
      <c r="D37" s="118"/>
      <c r="E37" s="110"/>
      <c r="F37" s="60"/>
      <c r="G37" s="110"/>
      <c r="H37" s="110"/>
      <c r="I37" s="154"/>
      <c r="J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c r="GD37" s="59"/>
      <c r="GE37" s="59"/>
      <c r="GF37" s="59"/>
      <c r="GG37" s="59"/>
      <c r="GH37" s="59"/>
      <c r="GI37" s="59"/>
      <c r="GJ37" s="59"/>
      <c r="GK37" s="59"/>
      <c r="GL37" s="59"/>
      <c r="GM37" s="59"/>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c r="IT37" s="59"/>
    </row>
    <row r="38" spans="3:254">
      <c r="E38" s="207"/>
      <c r="F38" s="207"/>
      <c r="G38" s="207"/>
      <c r="H38" s="207"/>
      <c r="I38" s="207"/>
      <c r="J38" s="207"/>
    </row>
    <row r="39" spans="3:254">
      <c r="E39" s="207"/>
      <c r="F39" s="207"/>
      <c r="G39" s="207"/>
      <c r="H39" s="207"/>
      <c r="I39" s="207"/>
      <c r="J39" s="207"/>
    </row>
    <row r="40" spans="3:254" s="2" customFormat="1">
      <c r="C40" s="122"/>
      <c r="D40" s="122"/>
      <c r="E40" s="207"/>
      <c r="F40" s="207"/>
      <c r="G40" s="207"/>
      <c r="H40" s="207"/>
      <c r="I40" s="207"/>
      <c r="J40" s="207"/>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c r="GD40" s="59"/>
      <c r="GE40" s="59"/>
      <c r="GF40" s="59"/>
      <c r="GG40" s="59"/>
      <c r="GH40" s="59"/>
      <c r="GI40" s="59"/>
      <c r="GJ40" s="59"/>
      <c r="GK40" s="59"/>
      <c r="GL40" s="59"/>
      <c r="GM40" s="59"/>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row>
    <row r="41" spans="3:254">
      <c r="E41" s="207"/>
      <c r="F41" s="207"/>
      <c r="G41" s="207"/>
      <c r="H41" s="207"/>
      <c r="I41" s="207"/>
      <c r="J41" s="207"/>
    </row>
    <row r="42" spans="3:254">
      <c r="E42" s="207"/>
      <c r="F42" s="207"/>
      <c r="G42" s="207"/>
      <c r="H42" s="207"/>
      <c r="I42" s="207"/>
      <c r="J42" s="207"/>
    </row>
    <row r="43" spans="3:254">
      <c r="E43" s="207"/>
      <c r="F43" s="207"/>
      <c r="G43" s="207"/>
      <c r="H43" s="207"/>
      <c r="I43" s="207"/>
      <c r="J43" s="207"/>
    </row>
  </sheetData>
  <sheetProtection insertRows="0"/>
  <conditionalFormatting sqref="E7:E14 E16:E24">
    <cfRule type="expression" dxfId="39" priority="264">
      <formula>IF(Other_Currency="No",1,0)</formula>
    </cfRule>
  </conditionalFormatting>
  <conditionalFormatting sqref="E35 C36:E37 C32:E32 G9:H14 A9:E14 K9:IU14 L17 C15:F15 C19:D24">
    <cfRule type="expression" dxfId="38" priority="263">
      <formula>IF(Tab_2_Answer="No",1,0)</formula>
    </cfRule>
  </conditionalFormatting>
  <conditionalFormatting sqref="A40:B40 H38:J65479 J37 A37:B37 J32:J35 A32:B35 K37:IT65479 A38:D39 A41:D65479 E38:F65479 C33:I34 A31:J31 M16:IT17 K22:IT35 K15:IT15 K16:K17 A6 M9:IT14 A1:IT5 L13:IT14 E13 A13:B14 G13:H14 J9:K14 M19:IT20 L21:IT21 K18:IT18 K19:K21 A16:J18 G19:H24 A19:B24 E19:F25 J19:J24 A7:IT7 L6:IT6 F9:F14">
    <cfRule type="expression" dxfId="37" priority="261">
      <formula>IF(Tab_4_Answer="No",1,0)</formula>
    </cfRule>
  </conditionalFormatting>
  <conditionalFormatting sqref="L16 A8:IT8 A9:E14 G9:H15 K9:IV14 L19:L20 A15:F15 I15:J15 C19:D24">
    <cfRule type="expression" dxfId="36" priority="260">
      <formula>IF(Tab_3_Answer="No",1,0)</formula>
    </cfRule>
  </conditionalFormatting>
  <conditionalFormatting sqref="E35">
    <cfRule type="expression" dxfId="35" priority="252">
      <formula>IF(Other_Currency="No",1,0)</formula>
    </cfRule>
  </conditionalFormatting>
  <conditionalFormatting sqref="H35">
    <cfRule type="expression" dxfId="34" priority="251">
      <formula>IF(Tab_2_Answer="No",1,0)</formula>
    </cfRule>
  </conditionalFormatting>
  <conditionalFormatting sqref="E37">
    <cfRule type="expression" dxfId="33" priority="250">
      <formula>IF(Other_Currency="No",1,0)</formula>
    </cfRule>
  </conditionalFormatting>
  <conditionalFormatting sqref="H37:I37">
    <cfRule type="expression" dxfId="32" priority="249">
      <formula>IF(Tab_2_Answer="No",1,0)</formula>
    </cfRule>
  </conditionalFormatting>
  <conditionalFormatting sqref="G38:G65479">
    <cfRule type="expression" dxfId="31" priority="248">
      <formula>IF(Tab_4_Answer="No",1,0)</formula>
    </cfRule>
  </conditionalFormatting>
  <conditionalFormatting sqref="G35">
    <cfRule type="expression" dxfId="30" priority="247">
      <formula>IF(Tab_2_Answer="No",1,0)</formula>
    </cfRule>
  </conditionalFormatting>
  <conditionalFormatting sqref="G37">
    <cfRule type="expression" dxfId="29" priority="246">
      <formula>IF(Tab_2_Answer="No",1,0)</formula>
    </cfRule>
  </conditionalFormatting>
  <conditionalFormatting sqref="A36:B36 J36:IT36">
    <cfRule type="expression" dxfId="28" priority="233">
      <formula>IF(Tab_4_Answer="No",1,0)</formula>
    </cfRule>
  </conditionalFormatting>
  <conditionalFormatting sqref="E36">
    <cfRule type="expression" dxfId="27" priority="232">
      <formula>IF(Other_Currency="No",1,0)</formula>
    </cfRule>
  </conditionalFormatting>
  <conditionalFormatting sqref="H36:I36">
    <cfRule type="expression" dxfId="26" priority="231">
      <formula>IF(Tab_2_Answer="No",1,0)</formula>
    </cfRule>
  </conditionalFormatting>
  <conditionalFormatting sqref="G36">
    <cfRule type="expression" dxfId="25" priority="230">
      <formula>IF(Tab_2_Answer="No",1,0)</formula>
    </cfRule>
  </conditionalFormatting>
  <conditionalFormatting sqref="C35:D35">
    <cfRule type="expression" dxfId="24" priority="229">
      <formula>IF(Tab_4_Answer="No",1,0)</formula>
    </cfRule>
  </conditionalFormatting>
  <conditionalFormatting sqref="I35">
    <cfRule type="expression" dxfId="23" priority="228">
      <formula>IF(Tab_4_Answer="No",1,0)</formula>
    </cfRule>
  </conditionalFormatting>
  <conditionalFormatting sqref="E33:E34">
    <cfRule type="expression" dxfId="22" priority="227">
      <formula>IF(Other_Currency="No",1,0)</formula>
    </cfRule>
  </conditionalFormatting>
  <conditionalFormatting sqref="F33:F34">
    <cfRule type="expression" dxfId="21" priority="225">
      <formula>IF(Tab_2_Answer="No",1,0)</formula>
    </cfRule>
  </conditionalFormatting>
  <conditionalFormatting sqref="F33:F34">
    <cfRule type="expression" dxfId="20" priority="226">
      <formula>IF(Tab_2_Answer="No",1,0)</formula>
    </cfRule>
  </conditionalFormatting>
  <conditionalFormatting sqref="E32">
    <cfRule type="expression" dxfId="19" priority="223">
      <formula>IF(Other_Currency="No",1,0)</formula>
    </cfRule>
  </conditionalFormatting>
  <conditionalFormatting sqref="H32:I32">
    <cfRule type="expression" dxfId="18" priority="222">
      <formula>IF(Tab_2_Answer="No",1,0)</formula>
    </cfRule>
  </conditionalFormatting>
  <conditionalFormatting sqref="G32">
    <cfRule type="expression" dxfId="17" priority="221">
      <formula>IF(Tab_2_Answer="No",1,0)</formula>
    </cfRule>
  </conditionalFormatting>
  <conditionalFormatting sqref="E25:E30">
    <cfRule type="expression" dxfId="16" priority="65">
      <formula>IF(Other_Currency="No",1,0)</formula>
    </cfRule>
  </conditionalFormatting>
  <conditionalFormatting sqref="A25:B25 A26:F28 A29:J30 H26:J28 G25:H25">
    <cfRule type="expression" dxfId="15" priority="63">
      <formula>IF(Tab_4_Answer="No",1,0)</formula>
    </cfRule>
  </conditionalFormatting>
  <conditionalFormatting sqref="G26:G28">
    <cfRule type="expression" dxfId="14" priority="60">
      <formula>IF(Tab_4_Answer="No",1,0)</formula>
    </cfRule>
  </conditionalFormatting>
  <conditionalFormatting sqref="J25">
    <cfRule type="expression" dxfId="13" priority="26">
      <formula>IF(Tab_4_Answer="No",1,0)</formula>
    </cfRule>
  </conditionalFormatting>
  <conditionalFormatting sqref="E20">
    <cfRule type="expression" dxfId="12" priority="10">
      <formula>IF(Tab_4_Answer="No",1,0)</formula>
    </cfRule>
  </conditionalFormatting>
  <conditionalFormatting sqref="E20">
    <cfRule type="expression" dxfId="11" priority="9">
      <formula>IF(Other_Currency="No",1,0)</formula>
    </cfRule>
  </conditionalFormatting>
  <conditionalFormatting sqref="F20">
    <cfRule type="expression" dxfId="10" priority="8">
      <formula>IF(Tab_4_Answer="No",1,0)</formula>
    </cfRule>
  </conditionalFormatting>
  <conditionalFormatting sqref="F20">
    <cfRule type="expression" dxfId="9" priority="7">
      <formula>IF(Tab_4_Answer="No",1,0)</formula>
    </cfRule>
  </conditionalFormatting>
  <conditionalFormatting sqref="C6">
    <cfRule type="expression" dxfId="8" priority="6">
      <formula>IF(Tab_4_Answer="No",1,0)</formula>
    </cfRule>
  </conditionalFormatting>
  <conditionalFormatting sqref="C6">
    <cfRule type="expression" dxfId="7" priority="5">
      <formula>IF(Tab_4_Answer="No",1,0)</formula>
    </cfRule>
  </conditionalFormatting>
  <conditionalFormatting sqref="K6">
    <cfRule type="expression" dxfId="6" priority="4">
      <formula>IF(Tab_4_Answer="No",1,0)</formula>
    </cfRule>
  </conditionalFormatting>
  <conditionalFormatting sqref="E6">
    <cfRule type="expression" dxfId="5" priority="1">
      <formula>IF(Other_Currency="No",1,0)</formula>
    </cfRule>
  </conditionalFormatting>
  <conditionalFormatting sqref="D6:J6">
    <cfRule type="expression" dxfId="4" priority="3">
      <formula>IF(Tab_4_Answer="No",1,0)</formula>
    </cfRule>
  </conditionalFormatting>
  <conditionalFormatting sqref="J6 D6:H6">
    <cfRule type="expression" dxfId="3" priority="2">
      <formula>IF(Tab_2_Answer="No",1,0)</formula>
    </cfRule>
  </conditionalFormatting>
  <dataValidations count="2">
    <dataValidation allowBlank="1" showInputMessage="1" showErrorMessage="1" prompt="If a currency other than USD is used, this cell will automatically convert using the rate provided on the &quot;Preliminary Questions&quot; tab. Else, override the formula and enter cost in USD." sqref="F32:F37 J9:J14 F19:F24 J19:J24 F9:F14" xr:uid="{00000000-0002-0000-0A00-000000000000}"/>
    <dataValidation allowBlank="1" showInputMessage="1" showErrorMessage="1" prompt="Please describe the specific materials and how they were used." sqref="K16" xr:uid="{00000000-0002-0000-0A00-000001000000}"/>
  </dataValidations>
  <pageMargins left="0.78740157499999996" right="0.78740157499999996" top="0.984251969" bottom="0.984251969" header="0.3" footer="0.3"/>
  <pageSetup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38813-8F3A-A142-ACEC-40E015C92905}">
  <dimension ref="B1:M124"/>
  <sheetViews>
    <sheetView workbookViewId="0">
      <selection activeCell="C47" sqref="C47"/>
    </sheetView>
  </sheetViews>
  <sheetFormatPr defaultColWidth="8.77734375" defaultRowHeight="10.8"/>
  <cols>
    <col min="1" max="1" width="6.77734375" style="402" customWidth="1"/>
    <col min="2" max="2" width="4" style="400" customWidth="1"/>
    <col min="3" max="3" width="64.21875" style="401" customWidth="1"/>
    <col min="4" max="4" width="6.21875" style="402" bestFit="1" customWidth="1"/>
    <col min="5" max="5" width="9.6640625" style="402" bestFit="1" customWidth="1"/>
    <col min="6" max="6" width="6.33203125" style="402" bestFit="1" customWidth="1"/>
    <col min="7" max="7" width="6.33203125" style="402" hidden="1" customWidth="1"/>
    <col min="8" max="8" width="11.77734375" style="402" bestFit="1" customWidth="1"/>
    <col min="9" max="9" width="12.109375" style="402" bestFit="1" customWidth="1"/>
    <col min="10" max="10" width="11.77734375" style="402" bestFit="1" customWidth="1"/>
    <col min="11" max="11" width="8.77734375" style="402" customWidth="1"/>
    <col min="12" max="16384" width="8.77734375" style="402"/>
  </cols>
  <sheetData>
    <row r="1" spans="2:11" ht="27" customHeight="1" thickBot="1"/>
    <row r="2" spans="2:11" ht="12" customHeight="1" thickTop="1">
      <c r="B2" s="403"/>
      <c r="C2" s="404"/>
      <c r="D2" s="466" t="s">
        <v>141</v>
      </c>
      <c r="E2" s="466" t="s">
        <v>241</v>
      </c>
      <c r="F2" s="466" t="s">
        <v>323</v>
      </c>
      <c r="G2" s="466" t="s">
        <v>304</v>
      </c>
    </row>
    <row r="3" spans="2:11" ht="12.45" customHeight="1">
      <c r="B3" s="405" t="s">
        <v>223</v>
      </c>
      <c r="C3" s="406"/>
      <c r="I3" s="420"/>
    </row>
    <row r="4" spans="2:11" ht="12.45" customHeight="1">
      <c r="B4" s="405"/>
      <c r="C4" s="407" t="s">
        <v>202</v>
      </c>
      <c r="D4" s="408">
        <f>Tab_1_Total_Local*(CPI_2016/CPI_2018)/Introduction!$D$37/1000</f>
        <v>18.806327229462337</v>
      </c>
      <c r="E4" s="408">
        <f>Tab_1_Total_Local*(CPI_2016/CPI_2018)/Introduction!$D$37/1000</f>
        <v>18.806327229462337</v>
      </c>
      <c r="F4" s="408">
        <f>Tab_1_Total_Local*(CPI_2016/CPI_2018)/Introduction!$D$37/1000</f>
        <v>18.806327229462337</v>
      </c>
      <c r="G4" s="408"/>
      <c r="I4" s="420"/>
    </row>
    <row r="5" spans="2:11" ht="12.45" customHeight="1">
      <c r="B5" s="405"/>
      <c r="C5" s="407" t="s">
        <v>184</v>
      </c>
      <c r="D5" s="408">
        <f>Tab_2_Total_Local*(CPI_2016/CPI_2018)/Introduction!$D$37/1000</f>
        <v>0.77843674327414381</v>
      </c>
      <c r="E5" s="408">
        <f>Tab_2_Total_Local*(CPI_2016/CPI_2018)/Introduction!$D$37/1000</f>
        <v>0.77843674327414381</v>
      </c>
      <c r="F5" s="408">
        <f>Tab_2_Total_Local*(CPI_2016/CPI_2018)/Introduction!$D$37/1000</f>
        <v>0.77843674327414381</v>
      </c>
      <c r="G5" s="408"/>
      <c r="I5" s="420"/>
    </row>
    <row r="6" spans="2:11" ht="12.45" customHeight="1">
      <c r="B6" s="405"/>
      <c r="C6" s="407" t="s">
        <v>203</v>
      </c>
      <c r="D6" s="409">
        <f>'3.0. Group formation'!$I$28*(CPI_2016/CPI_2018)/Introduction!$D$37/1000</f>
        <v>0.35029715435019909</v>
      </c>
      <c r="E6" s="409">
        <f>'3.0. Group formation'!$I$28*(CPI_2016/CPI_2018)/Introduction!$D$37/1000</f>
        <v>0.35029715435019909</v>
      </c>
      <c r="F6" s="408">
        <f>'3.0. Group formation'!$I$28*(CPI_2016/CPI_2018)/Introduction!$D$37/1000</f>
        <v>0.35029715435019909</v>
      </c>
      <c r="G6" s="408"/>
      <c r="I6" s="420"/>
    </row>
    <row r="7" spans="2:11" ht="12.45" customHeight="1">
      <c r="B7" s="405"/>
      <c r="C7" s="407" t="s">
        <v>324</v>
      </c>
      <c r="D7" s="408">
        <f>'3.1. Coaching implementation'!$I$24*(CPI_2016/CPI_2018)/Introduction!$D$37/1000</f>
        <v>2.0870658612471797</v>
      </c>
      <c r="E7" s="408">
        <f>'3.1. Coaching implementation'!$I$24*(CPI_2016/CPI_2018)/Introduction!$D$37/1000</f>
        <v>2.0870658612471797</v>
      </c>
      <c r="F7" s="408">
        <f>'3.1. Coaching implementation'!$I$24*(CPI_2016/CPI_2018)/Introduction!$D$37/1000</f>
        <v>2.0870658612471797</v>
      </c>
      <c r="G7" s="408"/>
      <c r="I7" s="420"/>
    </row>
    <row r="8" spans="2:11" ht="12.45" customHeight="1">
      <c r="B8" s="405"/>
      <c r="C8" s="407" t="s">
        <v>325</v>
      </c>
      <c r="D8" s="408">
        <v>0</v>
      </c>
      <c r="E8" s="408">
        <f>'3.2.Implementation awareness'!Tab_4_Total_Local*(CPI_2016/CPI_2018)/(Introduction!$D$34+Introduction!$D$36)/1000</f>
        <v>9.1859500367412892</v>
      </c>
      <c r="F8" s="408">
        <f>'3.2.Implementation awareness'!Tab_4_Total_Local*(CPI_2016/CPI_2018)/(Introduction!$D$34+Introduction!$D$36)/1000</f>
        <v>9.1859500367412892</v>
      </c>
      <c r="G8" s="408"/>
      <c r="I8" s="420"/>
      <c r="K8" s="534"/>
    </row>
    <row r="9" spans="2:11" ht="12.45" customHeight="1">
      <c r="B9" s="405"/>
      <c r="C9" s="407" t="s">
        <v>204</v>
      </c>
      <c r="D9" s="409">
        <f>'3.3.Implementation AVEC'!$I$23*(CPI_2016/CPI_2018)/Introduction!$D$37/1000</f>
        <v>0.47527123055953868</v>
      </c>
      <c r="E9" s="409">
        <f>'3.3.Implementation AVEC'!$I$23*(CPI_2016/CPI_2018)/Introduction!$D$37/1000</f>
        <v>0.47527123055953868</v>
      </c>
      <c r="F9" s="409">
        <f>'3.3.Implementation AVEC'!$I$23*(CPI_2016/CPI_2018)/Introduction!$D$37/1000</f>
        <v>0.47527123055953868</v>
      </c>
      <c r="G9" s="408"/>
      <c r="I9" s="420"/>
    </row>
    <row r="10" spans="2:11" ht="12.45" customHeight="1">
      <c r="B10" s="405"/>
      <c r="C10" s="407" t="s">
        <v>326</v>
      </c>
      <c r="D10" s="408">
        <v>0</v>
      </c>
      <c r="E10" s="408">
        <f>'3.4. Implementation ACV'!Tab_4_Total_Local*(CPI_2016/CPI_2018)/(Introduction!$D$34+Introduction!$D$36)/1000</f>
        <v>15.484392749018419</v>
      </c>
      <c r="F10" s="408">
        <f>'3.4. Implementation ACV'!Tab_4_Total_Local*(CPI_2016/CPI_2018)/(Introduction!$D$34+Introduction!$D$36)/1000</f>
        <v>15.484392749018419</v>
      </c>
      <c r="G10" s="408"/>
      <c r="I10" s="420"/>
    </row>
    <row r="11" spans="2:11" ht="12.45" customHeight="1">
      <c r="B11" s="405"/>
      <c r="C11" s="407" t="s">
        <v>205</v>
      </c>
      <c r="D11" s="408">
        <f>'3.5. Implementation Germe'!Tab_4_Total_Local*(CPI_2016/CPI_2018)/Introduction!$D$37/1000</f>
        <v>15.661082248152775</v>
      </c>
      <c r="E11" s="408">
        <f>'3.5. Implementation Germe'!Tab_4_Total_Local*(CPI_2016/CPI_2018)/Introduction!$D$37/1000</f>
        <v>15.661082248152775</v>
      </c>
      <c r="F11" s="408">
        <f>'3.5. Implementation Germe'!Tab_4_Total_Local*(CPI_2016/CPI_2018)/Introduction!$D$37/1000</f>
        <v>15.661082248152775</v>
      </c>
      <c r="G11" s="408"/>
      <c r="I11" s="420"/>
    </row>
    <row r="12" spans="2:11" ht="12.45" customHeight="1">
      <c r="B12" s="405"/>
      <c r="C12" s="407" t="s">
        <v>206</v>
      </c>
      <c r="D12" s="408">
        <f>'3.6 Implementation Cap Inj.'!Tab_4_Total_Local*(CPI_2016/CPI_2018)/(Introduction!$D$34+Introduction!$D$35)/1000</f>
        <v>77.877046297888469</v>
      </c>
      <c r="E12" s="408">
        <v>0</v>
      </c>
      <c r="F12" s="408">
        <f>'3.6 Implementation Cap Inj.'!Tab_4_Total_Local*(CPI_2016/CPI_2018)/(Introduction!$D$34+Introduction!$D$35)/1000</f>
        <v>77.877046297888469</v>
      </c>
      <c r="G12" s="408"/>
      <c r="I12" s="420"/>
    </row>
    <row r="13" spans="2:11" ht="12.45" customHeight="1">
      <c r="B13" s="405"/>
      <c r="C13" s="407" t="s">
        <v>207</v>
      </c>
      <c r="D13" s="408">
        <f>'3.7. Implementation of market a'!$I$30*(CPI_2016/CPI_2018)/Introduction!$D$37/1000</f>
        <v>0.88452744637533198</v>
      </c>
      <c r="E13" s="408">
        <f>'3.7. Implementation of market a'!$I$30*(CPI_2016/CPI_2018)/Introduction!$D$37/1000</f>
        <v>0.88452744637533198</v>
      </c>
      <c r="F13" s="408">
        <f>'3.7. Implementation of market a'!$I$30*(CPI_2016/CPI_2018)/Introduction!$D$37/1000</f>
        <v>0.88452744637533198</v>
      </c>
      <c r="G13" s="408"/>
      <c r="I13" s="420"/>
    </row>
    <row r="14" spans="2:11" ht="12.45" customHeight="1">
      <c r="C14" s="406" t="s">
        <v>208</v>
      </c>
      <c r="D14" s="408">
        <f>SUM(D4:D13)</f>
        <v>116.92005421130997</v>
      </c>
      <c r="E14" s="408">
        <f>SUM(E4:E13)</f>
        <v>63.713350699181213</v>
      </c>
      <c r="F14" s="408">
        <f>SUM(F4:F13)</f>
        <v>141.59039699706969</v>
      </c>
      <c r="G14" s="408"/>
      <c r="I14" s="420"/>
    </row>
    <row r="15" spans="2:11" ht="12.45" customHeight="1">
      <c r="B15" s="538">
        <v>-1</v>
      </c>
      <c r="C15" s="406" t="s">
        <v>327</v>
      </c>
      <c r="D15" s="411">
        <f>D14*(1+disc5)^2</f>
        <v>128.90435976796925</v>
      </c>
      <c r="E15" s="411">
        <f>E14*(1+disc5)^2</f>
        <v>70.243969145847288</v>
      </c>
      <c r="F15" s="411">
        <f>F14*(1+disc5)^2</f>
        <v>156.10341268926933</v>
      </c>
      <c r="G15" s="411"/>
      <c r="I15" s="420"/>
      <c r="J15" s="420"/>
      <c r="K15" s="420"/>
    </row>
    <row r="16" spans="2:11" ht="12" hidden="1" customHeight="1">
      <c r="B16" s="410"/>
      <c r="C16" s="406" t="s">
        <v>174</v>
      </c>
      <c r="D16" s="412">
        <f>D14*(1+disc7)^2</f>
        <v>133.86177006652881</v>
      </c>
      <c r="E16" s="412">
        <f>E14*(1+disc7)^2</f>
        <v>72.945415215492574</v>
      </c>
      <c r="F16" s="412">
        <f>F14*(1+disc7)^2</f>
        <v>162.1068455219451</v>
      </c>
      <c r="G16" s="412"/>
    </row>
    <row r="17" spans="2:13" ht="12" hidden="1" customHeight="1">
      <c r="B17" s="410"/>
      <c r="C17" s="406" t="s">
        <v>175</v>
      </c>
      <c r="D17" s="412">
        <f>D14*(1+disc10)^2</f>
        <v>141.47326559568509</v>
      </c>
      <c r="E17" s="412">
        <f>E14*(1+disc10)^2</f>
        <v>77.093154346009285</v>
      </c>
      <c r="F17" s="412">
        <f>F14*(1+disc10)^2</f>
        <v>171.32438036645436</v>
      </c>
      <c r="G17" s="412"/>
    </row>
    <row r="18" spans="2:13" ht="7.2" customHeight="1">
      <c r="C18" s="406"/>
      <c r="D18" s="413"/>
      <c r="E18" s="413"/>
      <c r="F18" s="413"/>
      <c r="G18" s="413"/>
      <c r="K18" s="414"/>
      <c r="L18" s="414"/>
    </row>
    <row r="19" spans="2:13" ht="12.45" customHeight="1">
      <c r="B19" s="415" t="s">
        <v>328</v>
      </c>
      <c r="C19" s="416"/>
      <c r="D19" s="417"/>
      <c r="E19" s="417"/>
      <c r="F19" s="417"/>
      <c r="G19" s="417"/>
    </row>
    <row r="20" spans="2:13" ht="5.4" customHeight="1">
      <c r="C20" s="418" t="s">
        <v>197</v>
      </c>
    </row>
    <row r="21" spans="2:13" ht="12" hidden="1" customHeight="1">
      <c r="B21" s="419"/>
      <c r="C21" s="406" t="s">
        <v>220</v>
      </c>
      <c r="D21" s="402">
        <f>[4]Sheet1!$A$9</f>
        <v>37.020130256397437</v>
      </c>
      <c r="E21" s="402">
        <f>[4]Sheet1!$A$10</f>
        <v>21.352789368672859</v>
      </c>
      <c r="F21" s="402">
        <f>[4]Sheet1!$A$11</f>
        <v>60.523497717189628</v>
      </c>
      <c r="G21" s="402">
        <v>40.981507999999998</v>
      </c>
      <c r="I21" s="402" t="s">
        <v>398</v>
      </c>
      <c r="J21" s="420" t="str">
        <f>IF('4.1 CBA (ed7)'!E22*conv_ppp_2016-D21&gt;0.0001,"Currency problem", "FR and EN same")</f>
        <v>FR and EN same</v>
      </c>
      <c r="K21" s="420" t="str">
        <f>IF('4.1 CBA (ed7)'!F22*conv_ppp_2016-E21&gt;0.0001,"Currency problem", "FR and EN same")</f>
        <v>FR and EN same</v>
      </c>
      <c r="L21" s="420" t="str">
        <f>IF('4.1 CBA (ed7)'!G22*conv_ppp_2016-F21&gt;0.0001,"Currency problem", "FR and EN same")</f>
        <v>FR and EN same</v>
      </c>
    </row>
    <row r="22" spans="2:13" ht="12" hidden="1" customHeight="1">
      <c r="B22" s="419"/>
      <c r="C22" s="406" t="s">
        <v>221</v>
      </c>
      <c r="D22" s="402">
        <f>[4]Sheet1!$B$9</f>
        <v>28.963369654146369</v>
      </c>
      <c r="E22" s="402">
        <f>[4]Sheet1!$B$10</f>
        <v>43.894479645774112</v>
      </c>
      <c r="F22" s="402">
        <f>[4]Sheet1!$B$11</f>
        <v>61.346806093858653</v>
      </c>
      <c r="G22" s="402">
        <v>43.400936000000002</v>
      </c>
      <c r="J22" s="420" t="str">
        <f>IF('4.1 CBA (ed7)'!E23*conv_ppp_2016-D22&gt;0.0001,"Currency problem", "FR and EN same")</f>
        <v>FR and EN same</v>
      </c>
      <c r="K22" s="420" t="str">
        <f>IF('4.1 CBA (ed7)'!F23*conv_ppp_2016-E22&gt;0.0001,"Currency problem", "FR and EN same")</f>
        <v>FR and EN same</v>
      </c>
      <c r="L22" s="420" t="str">
        <f>IF('4.1 CBA (ed7)'!G23*conv_ppp_2016-F22&gt;0.0001,"Currency problem", "FR and EN same")</f>
        <v>FR and EN same</v>
      </c>
    </row>
    <row r="23" spans="2:13" ht="12" hidden="1" customHeight="1">
      <c r="B23" s="419"/>
      <c r="C23" s="406"/>
      <c r="D23" s="421"/>
      <c r="E23" s="421"/>
      <c r="F23" s="421"/>
      <c r="G23" s="421"/>
    </row>
    <row r="24" spans="2:13">
      <c r="C24" s="406" t="s">
        <v>200</v>
      </c>
      <c r="D24" s="408">
        <f>D21*365*adultperhh_fu1/1000</f>
        <v>71.789327681555193</v>
      </c>
      <c r="E24" s="408">
        <f>E21*365*adultperhh_fu1/1000</f>
        <v>41.407266324731083</v>
      </c>
      <c r="F24" s="408">
        <f>F21*365*adultperhh_fu1/1000</f>
        <v>117.36698871561468</v>
      </c>
      <c r="G24" s="408">
        <f>G21*365*adultperhh_fu1/1000</f>
        <v>79.471219747744229</v>
      </c>
    </row>
    <row r="25" spans="2:13" ht="12.45" customHeight="1">
      <c r="B25" s="538">
        <f>+B15-1</f>
        <v>-2</v>
      </c>
      <c r="C25" s="406" t="s">
        <v>209</v>
      </c>
      <c r="D25" s="411">
        <f>D$24*(1+disc5)</f>
        <v>75.37879406563296</v>
      </c>
      <c r="E25" s="411">
        <f>E$24*(1+disc5)</f>
        <v>43.477629640967642</v>
      </c>
      <c r="F25" s="411">
        <f>F$24*(1+disc5)</f>
        <v>123.23533815139542</v>
      </c>
      <c r="G25" s="411">
        <f>G$24*(1+disc5)</f>
        <v>83.444780735131445</v>
      </c>
    </row>
    <row r="26" spans="2:13" ht="12" hidden="1" customHeight="1">
      <c r="B26" s="538"/>
      <c r="C26" s="406" t="s">
        <v>150</v>
      </c>
      <c r="D26" s="411">
        <f>D$24*(1+disc7)</f>
        <v>76.814580619264063</v>
      </c>
      <c r="E26" s="411">
        <f>E$24*(1+disc7)</f>
        <v>44.305774967462263</v>
      </c>
      <c r="F26" s="411">
        <f>F$24*(1+disc7)</f>
        <v>125.58267792570771</v>
      </c>
      <c r="G26" s="411"/>
    </row>
    <row r="27" spans="2:13" ht="12" hidden="1" customHeight="1">
      <c r="B27" s="538"/>
      <c r="C27" s="406" t="s">
        <v>151</v>
      </c>
      <c r="D27" s="411">
        <f>D$24*(1+disc10)</f>
        <v>78.968260449710712</v>
      </c>
      <c r="E27" s="411">
        <f>E$24*(1+disc10)</f>
        <v>45.547992957204194</v>
      </c>
      <c r="F27" s="411">
        <f>F$24*(1+disc10)</f>
        <v>129.10368758717615</v>
      </c>
      <c r="G27" s="411"/>
    </row>
    <row r="28" spans="2:13" ht="12" hidden="1" customHeight="1">
      <c r="B28" s="538"/>
      <c r="C28" s="406"/>
      <c r="D28" s="413"/>
      <c r="E28" s="413"/>
      <c r="F28" s="413"/>
      <c r="G28" s="413"/>
      <c r="J28" s="422"/>
    </row>
    <row r="29" spans="2:13" ht="12.45" customHeight="1">
      <c r="B29" s="538">
        <f>+B25-1</f>
        <v>-3</v>
      </c>
      <c r="C29" s="406" t="s">
        <v>210</v>
      </c>
      <c r="D29" s="408">
        <f>D22*365*adultperhh_fu2/1000</f>
        <v>64.86750166918533</v>
      </c>
      <c r="E29" s="408">
        <f>E22*365*adultperhh_fu2/1000</f>
        <v>98.307802776071426</v>
      </c>
      <c r="F29" s="408">
        <f>F22*365*adultperhh_fu2/1000</f>
        <v>137.39471940630619</v>
      </c>
      <c r="G29" s="408">
        <f>G22*365*adultperhh_fu2/1000</f>
        <v>97.202443018268355</v>
      </c>
      <c r="J29" s="422"/>
    </row>
    <row r="30" spans="2:13" ht="12" hidden="1" customHeight="1">
      <c r="B30" s="429"/>
      <c r="C30" s="424"/>
      <c r="D30" s="425"/>
      <c r="E30" s="425"/>
      <c r="F30" s="425"/>
      <c r="G30" s="425"/>
      <c r="J30" s="422"/>
    </row>
    <row r="31" spans="2:13" ht="12.45" customHeight="1">
      <c r="B31" s="429">
        <f>+B29-1</f>
        <v>-4</v>
      </c>
      <c r="C31" s="426" t="s">
        <v>329</v>
      </c>
      <c r="D31" s="427"/>
      <c r="E31" s="427"/>
      <c r="F31" s="427"/>
      <c r="G31" s="427"/>
      <c r="J31" s="422"/>
      <c r="L31" s="535"/>
      <c r="M31" s="443"/>
    </row>
    <row r="32" spans="2:13" ht="12.45" customHeight="1">
      <c r="B32" s="429"/>
      <c r="C32" s="426" t="s">
        <v>224</v>
      </c>
      <c r="D32" s="427">
        <f>NPV(0.05,'4.2 IRR_Calc'!AC8:AC52)</f>
        <v>20.271094271620417</v>
      </c>
      <c r="E32" s="427">
        <f>NPV(0.05,'4.2 IRR_Calc'!AD8:AD52)</f>
        <v>30.72118836752232</v>
      </c>
      <c r="F32" s="427">
        <f>NPV(0.05,'4.2 IRR_Calc'!AE8:AE52)</f>
        <v>42.935849814470686</v>
      </c>
      <c r="G32" s="427"/>
      <c r="J32" s="422"/>
      <c r="L32" s="443"/>
      <c r="M32" s="443"/>
    </row>
    <row r="33" spans="2:13" ht="12.45" customHeight="1">
      <c r="B33" s="423"/>
      <c r="C33" s="426" t="s">
        <v>225</v>
      </c>
      <c r="D33" s="427">
        <f>NPV(0.05,'4.2 IRR_Calc'!AG8:AG58)</f>
        <v>58.970456062895742</v>
      </c>
      <c r="E33" s="427">
        <f>NPV(0.05,'4.2 IRR_Calc'!AH8:AH58)</f>
        <v>89.370729796428549</v>
      </c>
      <c r="F33" s="427">
        <f>NPV(0.05,'4.2 IRR_Calc'!AI8:AI58)</f>
        <v>124.90429036936926</v>
      </c>
      <c r="G33" s="427"/>
      <c r="J33" s="422"/>
    </row>
    <row r="34" spans="2:13" ht="12.45" customHeight="1">
      <c r="C34" s="426" t="s">
        <v>226</v>
      </c>
      <c r="D34" s="428">
        <f>NPV(0.05,'4.2 IRR_Calc'!AK8:AK84)</f>
        <v>162.16875417205529</v>
      </c>
      <c r="E34" s="428">
        <f>NPV(0.05,'4.2 IRR_Calc'!AL8:AL84)</f>
        <v>245.76950693880201</v>
      </c>
      <c r="F34" s="428">
        <f>NPV(0.05,'4.2 IRR_Calc'!AM8:AM84)</f>
        <v>343.48679851384219</v>
      </c>
      <c r="G34" s="428"/>
    </row>
    <row r="35" spans="2:13" ht="12" hidden="1" customHeight="1">
      <c r="B35" s="410"/>
      <c r="C35" s="406"/>
      <c r="D35" s="413"/>
      <c r="E35" s="413"/>
      <c r="F35" s="413"/>
      <c r="G35" s="413"/>
    </row>
    <row r="36" spans="2:13" ht="24" customHeight="1">
      <c r="B36" s="429">
        <f>+B31-1</f>
        <v>-5</v>
      </c>
      <c r="C36" s="430" t="s">
        <v>330</v>
      </c>
      <c r="D36" s="431">
        <f>D29/(1+disc5)/disc5</f>
        <v>1235.5714603654349</v>
      </c>
      <c r="E36" s="431">
        <f>E29/(1+disc5)/disc5</f>
        <v>1872.5295766870745</v>
      </c>
      <c r="F36" s="431">
        <f>F29/(1+disc5)/disc5</f>
        <v>2617.0422744058319</v>
      </c>
      <c r="G36" s="431"/>
    </row>
    <row r="37" spans="2:13" ht="12" hidden="1" customHeight="1">
      <c r="B37" s="423"/>
      <c r="C37" s="424" t="s">
        <v>156</v>
      </c>
      <c r="D37" s="412">
        <f>D29/(1+disc7)/disc7</f>
        <v>866.05476193838876</v>
      </c>
      <c r="E37" s="412">
        <f>E29/(1+disc7)/disc7</f>
        <v>1312.5207313227158</v>
      </c>
      <c r="F37" s="412">
        <f>F29/(1+disc7)/disc7</f>
        <v>1834.3754259853961</v>
      </c>
      <c r="G37" s="412"/>
    </row>
    <row r="38" spans="2:13" ht="12" hidden="1" customHeight="1">
      <c r="B38" s="423"/>
      <c r="C38" s="424" t="s">
        <v>157</v>
      </c>
      <c r="D38" s="412">
        <f>D29/(1+disc10)/disc10</f>
        <v>589.70456062895744</v>
      </c>
      <c r="E38" s="412">
        <f>E29/(1+disc10)/disc10</f>
        <v>893.70729796428554</v>
      </c>
      <c r="F38" s="412">
        <f>F29/(1+disc10)/disc10</f>
        <v>1249.0429036936926</v>
      </c>
      <c r="G38" s="412"/>
    </row>
    <row r="39" spans="2:13" ht="5.4" customHeight="1">
      <c r="B39" s="432"/>
      <c r="C39" s="433"/>
      <c r="D39" s="432"/>
      <c r="E39" s="432"/>
      <c r="F39" s="434"/>
      <c r="G39" s="434"/>
    </row>
    <row r="40" spans="2:13" ht="12.45" customHeight="1">
      <c r="B40" s="539">
        <f>+B36-1</f>
        <v>-6</v>
      </c>
      <c r="C40" s="435" t="s">
        <v>315</v>
      </c>
      <c r="D40" s="436">
        <f>D25/2+D$29</f>
        <v>102.5568987020018</v>
      </c>
      <c r="E40" s="436">
        <f t="shared" ref="E40:F42" si="0">E25/2+E$29</f>
        <v>120.04661759655525</v>
      </c>
      <c r="F40" s="436">
        <f t="shared" si="0"/>
        <v>199.0123884820039</v>
      </c>
      <c r="G40" s="436"/>
      <c r="I40" s="420"/>
      <c r="J40" s="420"/>
      <c r="K40" s="420"/>
    </row>
    <row r="41" spans="2:13" ht="12" hidden="1" customHeight="1">
      <c r="B41" s="538"/>
      <c r="C41" s="406" t="s">
        <v>154</v>
      </c>
      <c r="D41" s="437">
        <f>D26/2+D$29</f>
        <v>103.27479197881736</v>
      </c>
      <c r="E41" s="437">
        <f t="shared" si="0"/>
        <v>120.46069025980256</v>
      </c>
      <c r="F41" s="437">
        <f t="shared" si="0"/>
        <v>200.18605836916004</v>
      </c>
      <c r="G41" s="437"/>
    </row>
    <row r="42" spans="2:13" ht="12" hidden="1" customHeight="1">
      <c r="B42" s="538"/>
      <c r="C42" s="406" t="s">
        <v>155</v>
      </c>
      <c r="D42" s="437">
        <f>D27/2+D$29</f>
        <v>104.35163189404068</v>
      </c>
      <c r="E42" s="437">
        <f t="shared" si="0"/>
        <v>121.08179925467353</v>
      </c>
      <c r="F42" s="437">
        <f t="shared" si="0"/>
        <v>201.94656319989429</v>
      </c>
      <c r="G42" s="437"/>
    </row>
    <row r="43" spans="2:13" ht="12" hidden="1" customHeight="1">
      <c r="B43" s="538"/>
      <c r="C43" s="406"/>
      <c r="D43" s="413"/>
      <c r="E43" s="413"/>
      <c r="F43" s="413"/>
      <c r="G43" s="413"/>
    </row>
    <row r="44" spans="2:13" ht="12.45" customHeight="1">
      <c r="B44" s="429">
        <f>+B40-1</f>
        <v>-7</v>
      </c>
      <c r="C44" s="438" t="s">
        <v>228</v>
      </c>
      <c r="D44" s="427"/>
      <c r="E44" s="427"/>
      <c r="F44" s="427"/>
      <c r="G44" s="427"/>
      <c r="M44" s="422"/>
    </row>
    <row r="45" spans="2:13" ht="12.45" customHeight="1">
      <c r="B45" s="429"/>
      <c r="C45" s="438" t="s">
        <v>227</v>
      </c>
      <c r="D45" s="427">
        <f>D$25/2+D$29+D32</f>
        <v>122.82799297362222</v>
      </c>
      <c r="E45" s="427">
        <f t="shared" ref="E45:F47" si="1">E$25/2+E$29+E32</f>
        <v>150.76780596407758</v>
      </c>
      <c r="F45" s="427">
        <f t="shared" si="1"/>
        <v>241.94823829647459</v>
      </c>
      <c r="G45" s="427"/>
      <c r="M45" s="422"/>
    </row>
    <row r="46" spans="2:13" ht="12.45" customHeight="1">
      <c r="B46" s="429"/>
      <c r="C46" s="438" t="s">
        <v>229</v>
      </c>
      <c r="D46" s="427">
        <f>D$25/2+D$29+D33</f>
        <v>161.52735476489755</v>
      </c>
      <c r="E46" s="427">
        <f t="shared" si="1"/>
        <v>209.4173473929838</v>
      </c>
      <c r="F46" s="427">
        <f t="shared" si="1"/>
        <v>323.91667885137315</v>
      </c>
      <c r="G46" s="427"/>
    </row>
    <row r="47" spans="2:13" ht="12.45" customHeight="1">
      <c r="B47" s="540"/>
      <c r="C47" s="438" t="s">
        <v>230</v>
      </c>
      <c r="D47" s="427">
        <f>D$25/2+D$29+D34</f>
        <v>264.72565287405712</v>
      </c>
      <c r="E47" s="427">
        <f t="shared" si="1"/>
        <v>365.81612453535729</v>
      </c>
      <c r="F47" s="427">
        <f t="shared" si="1"/>
        <v>542.49918699584612</v>
      </c>
      <c r="G47" s="427"/>
      <c r="L47" s="439"/>
      <c r="M47" s="439"/>
    </row>
    <row r="48" spans="2:13" ht="12" hidden="1" customHeight="1">
      <c r="B48" s="538"/>
      <c r="C48" s="406"/>
      <c r="D48" s="413"/>
      <c r="E48" s="413"/>
      <c r="F48" s="413"/>
      <c r="G48" s="413"/>
    </row>
    <row r="49" spans="2:12" ht="24" customHeight="1">
      <c r="B49" s="429">
        <f>+B44-1</f>
        <v>-8</v>
      </c>
      <c r="C49" s="440" t="s">
        <v>211</v>
      </c>
      <c r="D49" s="441">
        <f>D25/2+D$29+D36</f>
        <v>1338.1283590674366</v>
      </c>
      <c r="E49" s="441">
        <f>E25/2+E$29+E36</f>
        <v>1992.5761942836298</v>
      </c>
      <c r="F49" s="441">
        <f t="shared" ref="F49" si="2">F25/2+F$29+F36</f>
        <v>2816.054662887836</v>
      </c>
      <c r="G49" s="441"/>
    </row>
    <row r="50" spans="2:12" ht="12" hidden="1" customHeight="1">
      <c r="B50" s="423"/>
      <c r="C50" s="424" t="s">
        <v>193</v>
      </c>
      <c r="D50" s="442">
        <f>D26+D$29+D37</f>
        <v>1007.7368442268382</v>
      </c>
      <c r="E50" s="442">
        <f t="shared" ref="E50:F51" si="3">E26+E$29+E37</f>
        <v>1455.1343090662494</v>
      </c>
      <c r="F50" s="442">
        <f t="shared" si="3"/>
        <v>2097.3528233174102</v>
      </c>
      <c r="G50" s="442"/>
    </row>
    <row r="51" spans="2:12" ht="12" hidden="1" customHeight="1">
      <c r="B51" s="423"/>
      <c r="C51" s="424" t="s">
        <v>194</v>
      </c>
      <c r="D51" s="442">
        <f>D27+D$29+D38</f>
        <v>733.54032274785345</v>
      </c>
      <c r="E51" s="442">
        <f t="shared" si="3"/>
        <v>1037.5630936975613</v>
      </c>
      <c r="F51" s="442">
        <f t="shared" si="3"/>
        <v>1515.5413106871749</v>
      </c>
      <c r="G51" s="442"/>
    </row>
    <row r="52" spans="2:12" ht="9.6" customHeight="1">
      <c r="B52" s="410"/>
      <c r="C52" s="406"/>
      <c r="D52" s="443"/>
      <c r="E52" s="443"/>
      <c r="F52" s="443"/>
      <c r="G52" s="443"/>
    </row>
    <row r="53" spans="2:12" ht="12.45" customHeight="1">
      <c r="B53" s="444" t="s">
        <v>322</v>
      </c>
      <c r="C53" s="416"/>
      <c r="D53" s="445"/>
      <c r="E53" s="445"/>
      <c r="F53" s="445"/>
      <c r="G53" s="445"/>
    </row>
    <row r="54" spans="2:12" ht="6" customHeight="1">
      <c r="B54" s="432"/>
      <c r="C54" s="418" t="s">
        <v>197</v>
      </c>
      <c r="D54" s="434"/>
      <c r="E54" s="434"/>
      <c r="F54" s="434"/>
      <c r="G54" s="434"/>
    </row>
    <row r="55" spans="2:12" ht="12.45" customHeight="1">
      <c r="B55" s="538">
        <f>+B49-1</f>
        <v>-9</v>
      </c>
      <c r="C55" s="446" t="s">
        <v>212</v>
      </c>
      <c r="D55" s="448">
        <f>D40/D15</f>
        <v>0.79560457758454817</v>
      </c>
      <c r="E55" s="447">
        <f t="shared" ref="E55:F57" si="4">E40/E15</f>
        <v>1.7089953636774555</v>
      </c>
      <c r="F55" s="447">
        <f t="shared" si="4"/>
        <v>1.2748753217724123</v>
      </c>
      <c r="G55" s="447"/>
    </row>
    <row r="56" spans="2:12" ht="12.45" customHeight="1">
      <c r="B56" s="538"/>
      <c r="C56" s="446" t="s">
        <v>213</v>
      </c>
      <c r="D56" s="448">
        <f>D41/D16</f>
        <v>0.77150325987389956</v>
      </c>
      <c r="E56" s="447">
        <f t="shared" si="4"/>
        <v>1.6513812403965646</v>
      </c>
      <c r="F56" s="447">
        <f t="shared" si="4"/>
        <v>1.2349019421395131</v>
      </c>
      <c r="G56" s="447"/>
    </row>
    <row r="57" spans="2:12" ht="12.45" customHeight="1">
      <c r="B57" s="538"/>
      <c r="C57" s="446" t="s">
        <v>214</v>
      </c>
      <c r="D57" s="448">
        <f>D42/D17</f>
        <v>0.73760672346580358</v>
      </c>
      <c r="E57" s="447">
        <f t="shared" si="4"/>
        <v>1.5705908038375824</v>
      </c>
      <c r="F57" s="447">
        <f t="shared" si="4"/>
        <v>1.1787380334774338</v>
      </c>
      <c r="G57" s="447"/>
    </row>
    <row r="58" spans="2:12" ht="12.45" customHeight="1">
      <c r="B58" s="429">
        <f>+B55-1</f>
        <v>-10</v>
      </c>
      <c r="C58" s="449" t="s">
        <v>232</v>
      </c>
      <c r="D58" s="450"/>
      <c r="E58" s="450"/>
      <c r="F58" s="450"/>
      <c r="G58" s="450"/>
    </row>
    <row r="59" spans="2:12" ht="12.45" customHeight="1">
      <c r="B59" s="429"/>
      <c r="C59" s="449" t="s">
        <v>231</v>
      </c>
      <c r="D59" s="450">
        <f>D45/D$15</f>
        <v>0.95286143304008775</v>
      </c>
      <c r="E59" s="450">
        <f>E45/E$15</f>
        <v>2.1463451994154679</v>
      </c>
      <c r="F59" s="450">
        <f>F45/F$15</f>
        <v>1.5499227987928945</v>
      </c>
      <c r="G59" s="450"/>
    </row>
    <row r="60" spans="2:12" ht="12.45" customHeight="1">
      <c r="B60" s="429"/>
      <c r="C60" s="449" t="s">
        <v>233</v>
      </c>
      <c r="D60" s="450">
        <f>D46/D$15</f>
        <v>1.2530790661824815</v>
      </c>
      <c r="E60" s="450">
        <f t="shared" ref="E60:F61" si="5">E46/E$15</f>
        <v>2.9812857949153093</v>
      </c>
      <c r="F60" s="450">
        <f t="shared" si="5"/>
        <v>2.075013436741088</v>
      </c>
      <c r="G60" s="450"/>
    </row>
    <row r="61" spans="2:12" ht="12.45" customHeight="1">
      <c r="B61" s="540"/>
      <c r="C61" s="449" t="s">
        <v>234</v>
      </c>
      <c r="D61" s="450">
        <f>D47/D$15</f>
        <v>2.0536594212218211</v>
      </c>
      <c r="E61" s="450">
        <f t="shared" si="5"/>
        <v>5.2077940495619579</v>
      </c>
      <c r="F61" s="450">
        <f t="shared" si="5"/>
        <v>3.4752551379239507</v>
      </c>
      <c r="G61" s="450"/>
      <c r="K61" s="439"/>
      <c r="L61" s="439"/>
    </row>
    <row r="62" spans="2:12" ht="24" customHeight="1">
      <c r="B62" s="429">
        <f>+B58-1</f>
        <v>-11</v>
      </c>
      <c r="C62" s="451" t="s">
        <v>215</v>
      </c>
      <c r="D62" s="452">
        <f>D49/D15</f>
        <v>10.380784338684105</v>
      </c>
      <c r="E62" s="452">
        <f t="shared" ref="E62:F64" si="6">E49/E15</f>
        <v>28.366509161042014</v>
      </c>
      <c r="F62" s="452">
        <f t="shared" si="6"/>
        <v>18.039673921116101</v>
      </c>
      <c r="G62" s="452"/>
    </row>
    <row r="63" spans="2:12" ht="12" hidden="1" customHeight="1">
      <c r="B63" s="423"/>
      <c r="C63" s="453" t="s">
        <v>195</v>
      </c>
      <c r="D63" s="454">
        <f>D50/D16</f>
        <v>7.5281900405619675</v>
      </c>
      <c r="E63" s="454">
        <f t="shared" si="6"/>
        <v>19.94826274917412</v>
      </c>
      <c r="F63" s="454">
        <f t="shared" si="6"/>
        <v>12.938089175472127</v>
      </c>
      <c r="G63" s="454"/>
    </row>
    <row r="64" spans="2:12" ht="12" hidden="1" customHeight="1">
      <c r="B64" s="423"/>
      <c r="C64" s="453" t="s">
        <v>196</v>
      </c>
      <c r="D64" s="454">
        <f>D51/D17</f>
        <v>5.1850101830845583</v>
      </c>
      <c r="E64" s="454">
        <f t="shared" si="6"/>
        <v>13.458563247273206</v>
      </c>
      <c r="F64" s="454">
        <f t="shared" si="6"/>
        <v>8.8460340988568422</v>
      </c>
      <c r="G64" s="454"/>
    </row>
    <row r="65" spans="2:7" ht="6.6" customHeight="1">
      <c r="B65" s="410"/>
      <c r="C65" s="406"/>
      <c r="D65" s="443"/>
      <c r="E65" s="443"/>
      <c r="F65" s="443"/>
      <c r="G65" s="443"/>
    </row>
    <row r="66" spans="2:7" ht="12.45" customHeight="1">
      <c r="B66" s="429">
        <f>+B62-1</f>
        <v>-12</v>
      </c>
      <c r="C66" s="446" t="s">
        <v>397</v>
      </c>
      <c r="D66" s="443"/>
      <c r="E66" s="443"/>
      <c r="F66" s="443"/>
      <c r="G66" s="443"/>
    </row>
    <row r="67" spans="2:7" ht="12.45" customHeight="1">
      <c r="C67" s="446" t="s">
        <v>235</v>
      </c>
      <c r="D67" s="455">
        <f>IRR('4.2 IRR_Calc'!Y5:Y7)</f>
        <v>-8.5996182926328602E-2</v>
      </c>
      <c r="E67" s="455">
        <f>IRR('4.2 IRR_Calc'!Z5:Z7)</f>
        <v>0.41521914729710607</v>
      </c>
      <c r="F67" s="455">
        <f>IRR('4.2 IRR_Calc'!AA5:AA7)</f>
        <v>0.2138636194888599</v>
      </c>
      <c r="G67" s="455"/>
    </row>
    <row r="68" spans="2:7" ht="12.45" customHeight="1">
      <c r="C68" s="449" t="s">
        <v>216</v>
      </c>
      <c r="D68" s="456">
        <f>IRR('4.2 IRR_Calc'!AC5:AC52)</f>
        <v>2.3896409633582527E-2</v>
      </c>
      <c r="E68" s="456">
        <f>IRR('4.2 IRR_Calc'!AD5:AD52)</f>
        <v>0.5302035267848304</v>
      </c>
      <c r="F68" s="456">
        <f>IRR('4.2 IRR_Calc'!AE5:AE52)</f>
        <v>0.32072825803473504</v>
      </c>
      <c r="G68" s="456"/>
    </row>
    <row r="69" spans="2:7" ht="12.45" customHeight="1">
      <c r="C69" s="449" t="s">
        <v>218</v>
      </c>
      <c r="D69" s="456">
        <f>IRR('4.2 IRR_Calc'!AG5:AG58)</f>
        <v>0.15457629175969712</v>
      </c>
      <c r="E69" s="456">
        <f>IRR('4.2 IRR_Calc'!AH5:AH58)</f>
        <v>0.65771814092346537</v>
      </c>
      <c r="F69" s="456">
        <f>IRR('4.2 IRR_Calc'!AI5:AI58)</f>
        <v>0.44323018336260867</v>
      </c>
      <c r="G69" s="456"/>
    </row>
    <row r="70" spans="2:7" ht="12" customHeight="1">
      <c r="C70" s="449" t="s">
        <v>219</v>
      </c>
      <c r="D70" s="456">
        <f>IRR('4.2 IRR_Calc'!AK5:AK84)</f>
        <v>0.3055877817984205</v>
      </c>
      <c r="E70" s="456">
        <f>IRR('4.2 IRR_Calc'!AL5:AL84)</f>
        <v>0.79768798390807327</v>
      </c>
      <c r="F70" s="456">
        <f>IRR('4.2 IRR_Calc'!AM5:AM84)</f>
        <v>0.58148667883086969</v>
      </c>
      <c r="G70" s="456"/>
    </row>
    <row r="71" spans="2:7" ht="12" customHeight="1" thickBot="1">
      <c r="B71" s="457"/>
      <c r="C71" s="458" t="s">
        <v>217</v>
      </c>
      <c r="D71" s="459">
        <f>IRR('4.2 IRR_Calc'!AO5:AO165)</f>
        <v>0.47500184285428615</v>
      </c>
      <c r="E71" s="459">
        <f>IRR('4.2 IRR_Calc'!AP5:AP165)</f>
        <v>0.94967857589733029</v>
      </c>
      <c r="F71" s="459">
        <f>IRR('4.2 IRR_Calc'!AQ5:AQ165)</f>
        <v>0.73488823706370821</v>
      </c>
      <c r="G71" s="459"/>
    </row>
    <row r="72" spans="2:7" ht="15" customHeight="1" thickTop="1">
      <c r="B72" s="687" t="s">
        <v>236</v>
      </c>
      <c r="C72" s="687"/>
      <c r="D72" s="687"/>
      <c r="E72" s="687"/>
      <c r="F72" s="687"/>
    </row>
    <row r="73" spans="2:7" ht="12.6" customHeight="1">
      <c r="B73" s="688"/>
      <c r="C73" s="688"/>
      <c r="D73" s="688"/>
      <c r="E73" s="688"/>
      <c r="F73" s="688"/>
    </row>
    <row r="74" spans="2:7" ht="18" customHeight="1">
      <c r="B74" s="688"/>
      <c r="C74" s="688"/>
      <c r="D74" s="688"/>
      <c r="E74" s="688"/>
      <c r="F74" s="688"/>
    </row>
    <row r="75" spans="2:7" ht="12.75" customHeight="1">
      <c r="B75" s="402"/>
      <c r="C75" s="402"/>
    </row>
    <row r="76" spans="2:7" ht="12.75" customHeight="1">
      <c r="B76" s="402"/>
      <c r="C76" s="402"/>
    </row>
    <row r="77" spans="2:7" ht="12.75" customHeight="1">
      <c r="B77" s="402"/>
      <c r="C77" s="402"/>
    </row>
    <row r="78" spans="2:7" ht="12.75" customHeight="1">
      <c r="B78" s="402"/>
      <c r="C78" s="402"/>
    </row>
    <row r="79" spans="2:7" ht="12.75" customHeight="1">
      <c r="B79" s="402"/>
      <c r="C79" s="402"/>
    </row>
    <row r="80" spans="2:7" ht="13.5" customHeight="1">
      <c r="B80" s="402"/>
      <c r="C80" s="402"/>
    </row>
    <row r="81" s="402" customFormat="1" ht="13.5" customHeight="1"/>
    <row r="82" s="402" customFormat="1" ht="13.5" customHeight="1"/>
    <row r="83" s="402" customFormat="1"/>
    <row r="84" s="402" customFormat="1"/>
    <row r="85" s="402" customFormat="1"/>
    <row r="86" s="402" customFormat="1"/>
    <row r="87" s="402" customFormat="1" ht="13.5" customHeight="1"/>
    <row r="88" s="402" customFormat="1"/>
    <row r="89" s="402" customFormat="1" ht="13.5" customHeight="1"/>
    <row r="90" s="402" customFormat="1" ht="13.5" customHeight="1"/>
    <row r="91" s="402" customFormat="1" ht="13.5" customHeight="1"/>
    <row r="92" s="402" customFormat="1" ht="13.5" customHeight="1"/>
    <row r="93" s="402" customFormat="1" ht="13.5" customHeight="1"/>
    <row r="94" s="402" customFormat="1" ht="13.5" customHeight="1"/>
    <row r="95" s="402" customFormat="1"/>
    <row r="96" s="402" customFormat="1"/>
    <row r="97" s="402" customFormat="1"/>
    <row r="98" s="402" customFormat="1"/>
    <row r="99" s="402" customFormat="1"/>
    <row r="100" s="402" customFormat="1"/>
    <row r="101" s="402" customFormat="1"/>
    <row r="102" s="402" customFormat="1"/>
    <row r="103" s="402" customFormat="1"/>
    <row r="104" s="402" customFormat="1"/>
    <row r="105" s="402" customFormat="1"/>
    <row r="106" s="402" customFormat="1"/>
    <row r="107" s="402" customFormat="1"/>
    <row r="108" s="402" customFormat="1"/>
    <row r="109" s="402" customFormat="1"/>
    <row r="110" s="402" customFormat="1"/>
    <row r="111" s="402" customFormat="1"/>
    <row r="112" s="402" customFormat="1"/>
    <row r="113" s="402" customFormat="1"/>
    <row r="114" s="402" customFormat="1" hidden="1"/>
    <row r="115" s="402" customFormat="1" hidden="1"/>
    <row r="116" s="402" customFormat="1" hidden="1"/>
    <row r="117" s="402" customFormat="1"/>
    <row r="118" s="402" customFormat="1"/>
    <row r="119" s="402" customFormat="1"/>
    <row r="120" s="402" customFormat="1"/>
    <row r="121" s="402" customFormat="1"/>
    <row r="122" s="402" customFormat="1"/>
    <row r="123" s="402" customFormat="1"/>
    <row r="124" s="402" customFormat="1"/>
  </sheetData>
  <mergeCells count="1">
    <mergeCell ref="B72:F74"/>
  </mergeCells>
  <conditionalFormatting sqref="J21:L22">
    <cfRule type="containsText" dxfId="2" priority="4" operator="containsText" text="problem">
      <formula>NOT(ISERROR(SEARCH("problem",J21)))</formula>
    </cfRule>
  </conditionalFormatting>
  <conditionalFormatting sqref="J15:K15 I3:I15">
    <cfRule type="containsText" dxfId="1" priority="1" operator="containsText" text="problem">
      <formula>NOT(ISERROR(SEARCH("problem",I3)))</formula>
    </cfRule>
  </conditionalFormatting>
  <conditionalFormatting sqref="I40:K40">
    <cfRule type="containsText" dxfId="0" priority="2" operator="containsText" text="problem">
      <formula>NOT(ISERROR(SEARCH("problem",I40)))</formula>
    </cfRule>
  </conditionalFormatting>
  <pageMargins left="0.25" right="0.25" top="0.75" bottom="0.2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76A46-4F80-4F45-876A-6FC47B690CB6}">
  <dimension ref="B1:P122"/>
  <sheetViews>
    <sheetView topLeftCell="A10" zoomScaleNormal="100" workbookViewId="0">
      <selection activeCell="O51" sqref="O51"/>
    </sheetView>
  </sheetViews>
  <sheetFormatPr defaultColWidth="8.77734375" defaultRowHeight="14.4"/>
  <cols>
    <col min="1" max="1" width="2.21875" style="2" customWidth="1"/>
    <col min="2" max="2" width="4" style="190" customWidth="1"/>
    <col min="3" max="3" width="56.77734375" style="640" customWidth="1"/>
    <col min="4" max="4" width="6.109375" style="640" hidden="1" customWidth="1"/>
    <col min="5" max="5" width="8" style="2" customWidth="1"/>
    <col min="6" max="6" width="9.33203125" style="2" customWidth="1"/>
    <col min="7" max="7" width="8.21875" style="2" customWidth="1"/>
    <col min="8" max="8" width="6.5546875" style="2" hidden="1" customWidth="1"/>
    <col min="9" max="9" width="11.33203125" style="2" customWidth="1"/>
    <col min="10" max="10" width="8.6640625" style="2" hidden="1" customWidth="1"/>
    <col min="11" max="12" width="8.77734375" style="2"/>
    <col min="13" max="13" width="3.109375" style="2" customWidth="1"/>
    <col min="14" max="16384" width="8.77734375" style="2"/>
  </cols>
  <sheetData>
    <row r="1" spans="2:16" ht="14.4" customHeight="1"/>
    <row r="2" spans="2:16" ht="12" customHeight="1" thickBot="1">
      <c r="B2" s="564"/>
      <c r="C2" s="565"/>
      <c r="D2" s="565"/>
      <c r="E2" s="566"/>
      <c r="F2" s="566"/>
      <c r="G2" s="566"/>
      <c r="H2" s="566"/>
    </row>
    <row r="3" spans="2:16" ht="12" customHeight="1" thickTop="1">
      <c r="B3" s="567"/>
      <c r="C3" s="568"/>
      <c r="D3" s="568" t="s">
        <v>303</v>
      </c>
      <c r="E3" s="569" t="s">
        <v>141</v>
      </c>
      <c r="F3" s="569" t="s">
        <v>241</v>
      </c>
      <c r="G3" s="569" t="s">
        <v>201</v>
      </c>
      <c r="H3" s="569" t="s">
        <v>275</v>
      </c>
    </row>
    <row r="4" spans="2:16" ht="12.45" customHeight="1">
      <c r="B4" s="570" t="s">
        <v>199</v>
      </c>
      <c r="C4" s="571"/>
      <c r="D4" s="571"/>
      <c r="E4" s="572"/>
      <c r="F4" s="572"/>
      <c r="G4" s="572"/>
      <c r="H4" s="572"/>
    </row>
    <row r="5" spans="2:16" ht="12.45" customHeight="1">
      <c r="B5" s="570"/>
      <c r="C5" s="573" t="s">
        <v>183</v>
      </c>
      <c r="D5" s="574">
        <f>Tab_1_Total*(CPI_2016/CPI_2018)/Introduction!$D$37</f>
        <v>76.319424182935919</v>
      </c>
      <c r="E5" s="574">
        <f>'4.1 CBA (FR)'!D4*1000/conv_ppp_2016</f>
        <v>77.534919087631735</v>
      </c>
      <c r="F5" s="574">
        <f>'4.1 CBA (FR)'!E4*1000/conv_ppp_2016</f>
        <v>77.534919087631735</v>
      </c>
      <c r="G5" s="574">
        <f>'4.1 CBA (FR)'!F4*1000/conv_ppp_2016</f>
        <v>77.534919087631735</v>
      </c>
      <c r="H5" s="574"/>
      <c r="I5" s="575"/>
      <c r="J5" s="576">
        <f>G5/'4.1 CBA (FR)'!F4</f>
        <v>4.1228102723940756</v>
      </c>
    </row>
    <row r="6" spans="2:16" ht="12.45" customHeight="1">
      <c r="B6" s="570"/>
      <c r="C6" s="573" t="s">
        <v>184</v>
      </c>
      <c r="D6" s="574">
        <f>Tab_2_Total*(CPI_2016/CPI_2018)/Introduction!$D$37</f>
        <v>3.159034897385494</v>
      </c>
      <c r="E6" s="574">
        <f>'4.1 CBA (FR)'!D5*1000/conv_ppp_2016</f>
        <v>3.2093470015796295</v>
      </c>
      <c r="F6" s="574">
        <f>'4.1 CBA (FR)'!E5*1000/conv_ppp_2016</f>
        <v>3.2093470015796295</v>
      </c>
      <c r="G6" s="574">
        <f>'4.1 CBA (FR)'!F5*1000/conv_ppp_2016</f>
        <v>3.2093470015796295</v>
      </c>
      <c r="H6" s="574"/>
      <c r="I6" s="577"/>
      <c r="J6" s="576">
        <f>G6/'4.1 CBA (FR)'!F5</f>
        <v>4.1228102723940747</v>
      </c>
    </row>
    <row r="7" spans="2:16" ht="12.45" customHeight="1">
      <c r="B7" s="570"/>
      <c r="C7" s="573" t="s">
        <v>185</v>
      </c>
      <c r="D7" s="574">
        <v>0</v>
      </c>
      <c r="E7" s="574">
        <f>'4.1 CBA (FR)'!D6*1000/conv_ppp_2016</f>
        <v>1.4442087063454137</v>
      </c>
      <c r="F7" s="574">
        <f>'4.1 CBA (FR)'!E6*1000/conv_ppp_2016</f>
        <v>1.4442087063454137</v>
      </c>
      <c r="G7" s="574">
        <f>'4.1 CBA (FR)'!F6*1000/conv_ppp_2016</f>
        <v>1.4442087063454137</v>
      </c>
      <c r="H7" s="574"/>
      <c r="I7" s="578"/>
      <c r="J7" s="576">
        <f>G7/'4.1 CBA (FR)'!F6</f>
        <v>4.1228102723940747</v>
      </c>
    </row>
    <row r="8" spans="2:16" ht="12.45" customHeight="1">
      <c r="B8" s="570"/>
      <c r="C8" s="573" t="s">
        <v>186</v>
      </c>
      <c r="D8" s="574">
        <v>0</v>
      </c>
      <c r="E8" s="574">
        <f>'4.1 CBA (FR)'!D7*1000/conv_ppp_2016</f>
        <v>8.60457657191286</v>
      </c>
      <c r="F8" s="574">
        <f>'4.1 CBA (FR)'!E7*1000/conv_ppp_2016</f>
        <v>8.60457657191286</v>
      </c>
      <c r="G8" s="574">
        <f>'4.1 CBA (FR)'!F7*1000/conv_ppp_2016</f>
        <v>8.60457657191286</v>
      </c>
      <c r="H8" s="574"/>
      <c r="I8" s="577"/>
      <c r="J8" s="576">
        <f>G8/'4.1 CBA (FR)'!F7</f>
        <v>4.1228102723940747</v>
      </c>
    </row>
    <row r="9" spans="2:16" ht="12.45" customHeight="1">
      <c r="B9" s="570"/>
      <c r="C9" s="573" t="s">
        <v>187</v>
      </c>
      <c r="D9" s="574">
        <v>0</v>
      </c>
      <c r="E9" s="574">
        <f>'4.1 CBA (FR)'!D8*1000/conv_ppp_2016</f>
        <v>0</v>
      </c>
      <c r="F9" s="574">
        <f>'4.1 CBA (FR)'!E8*1000/conv_ppp_2016</f>
        <v>37.871929173175715</v>
      </c>
      <c r="G9" s="574">
        <f>'4.1 CBA (FR)'!F8*1000/conv_ppp_2016</f>
        <v>37.871929173175715</v>
      </c>
      <c r="H9" s="574"/>
      <c r="I9" s="577"/>
      <c r="J9" s="576">
        <f>G9/'4.1 CBA (FR)'!F8</f>
        <v>4.1228102723940747</v>
      </c>
    </row>
    <row r="10" spans="2:16" ht="12.45" customHeight="1">
      <c r="B10" s="570"/>
      <c r="C10" s="573" t="s">
        <v>188</v>
      </c>
      <c r="D10" s="574">
        <v>0</v>
      </c>
      <c r="E10" s="574">
        <f>'4.1 CBA (FR)'!D9*1000/conv_ppp_2016</f>
        <v>1.9594531115242388</v>
      </c>
      <c r="F10" s="574">
        <f>'4.1 CBA (FR)'!E9*1000/conv_ppp_2016</f>
        <v>1.9594531115242388</v>
      </c>
      <c r="G10" s="574">
        <f>'4.1 CBA (FR)'!F9*1000/conv_ppp_2016</f>
        <v>1.9594531115242388</v>
      </c>
      <c r="H10" s="574"/>
      <c r="I10" s="578"/>
      <c r="J10" s="576">
        <f>G10/'4.1 CBA (FR)'!F9</f>
        <v>4.1228102723940747</v>
      </c>
    </row>
    <row r="11" spans="2:16" ht="12.45" customHeight="1">
      <c r="B11" s="570"/>
      <c r="C11" s="573" t="s">
        <v>189</v>
      </c>
      <c r="D11" s="574">
        <v>0</v>
      </c>
      <c r="E11" s="574">
        <f>'4.1 CBA (FR)'!D10*1000/conv_ppp_2016</f>
        <v>0</v>
      </c>
      <c r="F11" s="574">
        <f>'4.1 CBA (FR)'!E10*1000/conv_ppp_2016</f>
        <v>63.839213487437462</v>
      </c>
      <c r="G11" s="574">
        <f>'4.1 CBA (FR)'!F10*1000/conv_ppp_2016</f>
        <v>63.839213487437462</v>
      </c>
      <c r="H11" s="574"/>
      <c r="I11" s="577"/>
      <c r="J11" s="576">
        <f>G11/'4.1 CBA (FR)'!F10</f>
        <v>4.1228102723940747</v>
      </c>
    </row>
    <row r="12" spans="2:16" ht="12.45" customHeight="1">
      <c r="B12" s="570"/>
      <c r="C12" s="573" t="s">
        <v>190</v>
      </c>
      <c r="D12" s="574">
        <v>0</v>
      </c>
      <c r="E12" s="574">
        <f>'4.1 CBA (FR)'!D11*1000/conv_ppp_2016</f>
        <v>64.56767076949275</v>
      </c>
      <c r="F12" s="574">
        <f>'4.1 CBA (FR)'!E11*1000/conv_ppp_2016</f>
        <v>64.56767076949275</v>
      </c>
      <c r="G12" s="574">
        <f>'4.1 CBA (FR)'!F11*1000/conv_ppp_2016</f>
        <v>64.56767076949275</v>
      </c>
      <c r="H12" s="574"/>
      <c r="I12" s="577"/>
      <c r="J12" s="576">
        <f>G12/'4.1 CBA (FR)'!F11</f>
        <v>4.1228102723940747</v>
      </c>
      <c r="K12" s="579"/>
      <c r="L12" s="579"/>
      <c r="M12" s="579"/>
      <c r="N12" s="579"/>
      <c r="O12" s="579"/>
      <c r="P12" s="579"/>
    </row>
    <row r="13" spans="2:16" ht="12.45" customHeight="1">
      <c r="B13" s="570"/>
      <c r="C13" s="573" t="s">
        <v>191</v>
      </c>
      <c r="D13" s="574">
        <v>0</v>
      </c>
      <c r="E13" s="574">
        <f>'4.1 CBA (FR)'!D12*1000/conv_ppp_2016</f>
        <v>321.07228646064357</v>
      </c>
      <c r="F13" s="574">
        <f>'4.1 CBA (FR)'!E12*1000/conv_ppp_2016</f>
        <v>0</v>
      </c>
      <c r="G13" s="574">
        <f>'4.1 CBA (FR)'!F12*1000/conv_ppp_2016</f>
        <v>321.07228646064357</v>
      </c>
      <c r="H13" s="574"/>
      <c r="I13" s="577"/>
      <c r="J13" s="576">
        <f>G13/'4.1 CBA (FR)'!F12</f>
        <v>4.1228102723940756</v>
      </c>
      <c r="K13" s="580"/>
      <c r="L13" s="581"/>
      <c r="M13" s="580"/>
      <c r="N13" s="579"/>
      <c r="O13" s="580"/>
      <c r="P13" s="581"/>
    </row>
    <row r="14" spans="2:16" ht="12.45" customHeight="1">
      <c r="B14" s="570"/>
      <c r="C14" s="573" t="s">
        <v>192</v>
      </c>
      <c r="D14" s="574">
        <v>0</v>
      </c>
      <c r="E14" s="574">
        <f>'4.1 CBA (FR)'!D13*1000/conv_ppp_2016</f>
        <v>3.6467388421307181</v>
      </c>
      <c r="F14" s="574">
        <f>'4.1 CBA (FR)'!E13*1000/conv_ppp_2016</f>
        <v>3.6467388421307181</v>
      </c>
      <c r="G14" s="574">
        <f>'4.1 CBA (FR)'!F13*1000/conv_ppp_2016</f>
        <v>3.6467388421307181</v>
      </c>
      <c r="H14" s="574"/>
      <c r="I14" s="582"/>
      <c r="J14" s="576">
        <f>G14/'4.1 CBA (FR)'!F13</f>
        <v>4.1228102723940747</v>
      </c>
      <c r="K14" s="580"/>
      <c r="L14" s="581"/>
      <c r="M14" s="580"/>
      <c r="N14" s="579"/>
      <c r="O14" s="580"/>
      <c r="P14" s="581"/>
    </row>
    <row r="15" spans="2:16" ht="12.45" customHeight="1">
      <c r="B15" s="583"/>
      <c r="C15" s="571" t="s">
        <v>182</v>
      </c>
      <c r="D15" s="574">
        <f>SUM(D5:D14)</f>
        <v>79.478459080321414</v>
      </c>
      <c r="E15" s="574">
        <f>SUM(E5:E14)</f>
        <v>482.03920055126093</v>
      </c>
      <c r="F15" s="574">
        <f>SUM(F5:F14)</f>
        <v>262.67805675123049</v>
      </c>
      <c r="G15" s="574">
        <f>SUM(G5:G14)</f>
        <v>583.75034321187411</v>
      </c>
      <c r="H15" s="574">
        <f>AVERAGE(E15:G15)</f>
        <v>442.82253350478851</v>
      </c>
      <c r="I15" s="577"/>
      <c r="J15" s="576">
        <f>G15/'4.1 CBA (FR)'!F14</f>
        <v>4.1228102723940747</v>
      </c>
      <c r="K15" s="580"/>
      <c r="L15" s="581"/>
      <c r="M15" s="580"/>
      <c r="N15" s="579"/>
      <c r="O15" s="580"/>
      <c r="P15" s="581"/>
    </row>
    <row r="16" spans="2:16" ht="12.45" customHeight="1">
      <c r="B16" s="584">
        <v>-1</v>
      </c>
      <c r="C16" s="571" t="s">
        <v>181</v>
      </c>
      <c r="D16" s="585">
        <f>D15*(1+disc5)^2</f>
        <v>87.625001136054365</v>
      </c>
      <c r="E16" s="585">
        <f>E15*(1+disc5)^2</f>
        <v>531.44821860776517</v>
      </c>
      <c r="F16" s="585">
        <f>F15*(1+disc5)^2</f>
        <v>289.60255756823165</v>
      </c>
      <c r="G16" s="585">
        <f>G15*(1+disc5)^2</f>
        <v>643.58475339109123</v>
      </c>
      <c r="H16" s="585">
        <f>H15*(1+disc5)^2</f>
        <v>488.21184318902937</v>
      </c>
      <c r="I16" s="577"/>
      <c r="J16" s="576">
        <f>G16/'4.1 CBA (FR)'!F15</f>
        <v>4.1228102723940747</v>
      </c>
    </row>
    <row r="17" spans="2:11" ht="12" hidden="1" customHeight="1">
      <c r="B17" s="586"/>
      <c r="C17" s="571" t="s">
        <v>174</v>
      </c>
      <c r="D17" s="571"/>
      <c r="E17" s="587">
        <f>E15*(1+disc7)^2</f>
        <v>551.88668071113864</v>
      </c>
      <c r="F17" s="587">
        <f>F15*(1+disc7)^2</f>
        <v>300.7401071744838</v>
      </c>
      <c r="G17" s="587">
        <f>G15*(1+disc7)^2</f>
        <v>668.33576794327473</v>
      </c>
      <c r="H17" s="587">
        <f>H15*(1+disc7)^2</f>
        <v>506.98751860963239</v>
      </c>
      <c r="I17" s="577"/>
    </row>
    <row r="18" spans="2:11" ht="12" hidden="1" customHeight="1">
      <c r="B18" s="586"/>
      <c r="C18" s="571" t="s">
        <v>175</v>
      </c>
      <c r="D18" s="571"/>
      <c r="E18" s="587">
        <f>E15*(1+disc10)^2</f>
        <v>583.26743266702579</v>
      </c>
      <c r="F18" s="587">
        <f>F15*(1+disc10)^2</f>
        <v>317.84044866898893</v>
      </c>
      <c r="G18" s="587">
        <f>G15*(1+disc10)^2</f>
        <v>706.33791528636777</v>
      </c>
      <c r="H18" s="587">
        <f>H15*(1+disc10)^2</f>
        <v>535.81526554079414</v>
      </c>
      <c r="I18" s="577"/>
    </row>
    <row r="19" spans="2:11" ht="12" customHeight="1">
      <c r="B19" s="583"/>
      <c r="C19" s="571"/>
      <c r="D19" s="571"/>
      <c r="E19" s="588"/>
      <c r="F19" s="588"/>
      <c r="G19" s="588"/>
      <c r="H19" s="588"/>
      <c r="I19" s="577"/>
    </row>
    <row r="20" spans="2:11" ht="12.45" customHeight="1">
      <c r="B20" s="589" t="s">
        <v>362</v>
      </c>
      <c r="C20" s="590"/>
      <c r="D20" s="590"/>
      <c r="E20" s="591"/>
      <c r="F20" s="591"/>
      <c r="G20" s="591"/>
      <c r="H20" s="591"/>
      <c r="I20" s="577"/>
    </row>
    <row r="21" spans="2:11" ht="7.2" customHeight="1">
      <c r="C21" s="592" t="s">
        <v>197</v>
      </c>
      <c r="D21" s="592"/>
      <c r="I21" s="577"/>
    </row>
    <row r="22" spans="2:11" ht="24" hidden="1">
      <c r="B22" s="593"/>
      <c r="C22" s="571" t="s">
        <v>177</v>
      </c>
      <c r="D22" s="571"/>
      <c r="E22" s="594">
        <f>[4]Sheet1!$A$5</f>
        <v>0.15262697339254899</v>
      </c>
      <c r="F22" s="2">
        <f>[4]Sheet1!$A$6</f>
        <v>8.8033499570979432E-2</v>
      </c>
      <c r="G22" s="2">
        <f>[4]Sheet1!$A$7</f>
        <v>0.24952689818903459</v>
      </c>
      <c r="H22" s="595">
        <f>[4]Sheet1!$A$13</f>
        <v>0.1635545655197406</v>
      </c>
      <c r="I22" s="594"/>
      <c r="J22" s="576">
        <f>1000*G22/'4.1 CBA (FR)'!F21</f>
        <v>4.1228102737057286</v>
      </c>
      <c r="K22" s="402"/>
    </row>
    <row r="23" spans="2:11" ht="24" hidden="1">
      <c r="B23" s="593"/>
      <c r="C23" s="571" t="s">
        <v>178</v>
      </c>
      <c r="D23" s="571"/>
      <c r="E23" s="594">
        <f>[4]Sheet1!$B$5</f>
        <v>0.11941047796757651</v>
      </c>
      <c r="F23" s="2">
        <f>[4]Sheet1!$B$6</f>
        <v>0.1809686115716401</v>
      </c>
      <c r="G23" s="2">
        <f>[4]Sheet1!$B$7</f>
        <v>0.25292124247486092</v>
      </c>
      <c r="H23" s="595">
        <f>[4]Sheet1!$B$13</f>
        <v>0.18292683471879517</v>
      </c>
      <c r="I23" s="594"/>
      <c r="J23" s="576">
        <f>1000*G23/'4.1 CBA (FR)'!F22</f>
        <v>4.1228102745544648</v>
      </c>
    </row>
    <row r="24" spans="2:11" ht="14.4" hidden="1" customHeight="1">
      <c r="B24" s="593"/>
      <c r="C24" s="571"/>
      <c r="D24" s="571"/>
      <c r="E24" s="596"/>
      <c r="F24" s="597"/>
      <c r="G24" s="597"/>
      <c r="H24" s="597"/>
      <c r="I24" s="577"/>
    </row>
    <row r="25" spans="2:11" ht="23.4" hidden="1" customHeight="1">
      <c r="B25" s="583"/>
      <c r="C25" s="571" t="s">
        <v>200</v>
      </c>
      <c r="D25" s="571"/>
      <c r="E25" s="574">
        <f>E22*365*adultperhh_fu1</f>
        <v>295.97377778075838</v>
      </c>
      <c r="F25" s="574">
        <f>F22*365*adultperhh_fu1</f>
        <v>170.71430337722697</v>
      </c>
      <c r="G25" s="574">
        <f>G22*365*adultperhh_fu1</f>
        <v>483.88182687064057</v>
      </c>
      <c r="H25" s="574">
        <f>H22*365*adultperhh_fu1</f>
        <v>317.1645322852965</v>
      </c>
      <c r="I25" s="578"/>
      <c r="J25" s="576">
        <f>G25/'4.1 CBA (FR)'!F24</f>
        <v>4.1228102737057286</v>
      </c>
    </row>
    <row r="26" spans="2:11" ht="12.45" customHeight="1">
      <c r="B26" s="584">
        <f>+B16-1</f>
        <v>-2</v>
      </c>
      <c r="C26" s="571" t="s">
        <v>363</v>
      </c>
      <c r="D26" s="571"/>
      <c r="E26" s="585">
        <f>E$25*(1+disc5)</f>
        <v>310.7724666697963</v>
      </c>
      <c r="F26" s="585">
        <f>F$25*(1+disc5)</f>
        <v>179.25001854608831</v>
      </c>
      <c r="G26" s="585">
        <f>G$25*(1+disc5)</f>
        <v>508.07591821417259</v>
      </c>
      <c r="H26" s="585">
        <f>H$25*(1+disc5)</f>
        <v>333.02275889956132</v>
      </c>
      <c r="I26" s="577"/>
      <c r="J26" s="576">
        <f>G26/'4.1 CBA (FR)'!F25</f>
        <v>4.1228102737057286</v>
      </c>
    </row>
    <row r="27" spans="2:11" ht="12" hidden="1" customHeight="1">
      <c r="B27" s="584"/>
      <c r="C27" s="571" t="s">
        <v>150</v>
      </c>
      <c r="D27" s="571"/>
      <c r="E27" s="585">
        <f>E$25*(1+disc7)</f>
        <v>316.69194222541148</v>
      </c>
      <c r="F27" s="585">
        <f>F$25*(1+disc7)</f>
        <v>182.66430461363288</v>
      </c>
      <c r="G27" s="585">
        <f>G$25*(1+disc7)</f>
        <v>517.7535547515854</v>
      </c>
      <c r="H27" s="585">
        <f>H$25*(1+disc7)</f>
        <v>339.36604954526729</v>
      </c>
      <c r="I27" s="577"/>
      <c r="J27" s="576">
        <f>G27/'4.1 CBA (FR)'!F26</f>
        <v>4.1228102737057286</v>
      </c>
    </row>
    <row r="28" spans="2:11" ht="12" hidden="1" customHeight="1">
      <c r="B28" s="584"/>
      <c r="C28" s="571" t="s">
        <v>151</v>
      </c>
      <c r="D28" s="571"/>
      <c r="E28" s="585">
        <f>E$25*(1+disc10)</f>
        <v>325.57115555883422</v>
      </c>
      <c r="F28" s="585">
        <f>F$25*(1+disc10)</f>
        <v>187.78573371494969</v>
      </c>
      <c r="G28" s="585">
        <f>G$25*(1+disc10)</f>
        <v>532.27000955770461</v>
      </c>
      <c r="H28" s="585">
        <f>H$25*(1+disc10)</f>
        <v>348.8809855138262</v>
      </c>
      <c r="I28" s="577"/>
      <c r="J28" s="576">
        <f>G28/'4.1 CBA (FR)'!F27</f>
        <v>4.1228102737057286</v>
      </c>
    </row>
    <row r="29" spans="2:11" ht="12" hidden="1" customHeight="1">
      <c r="B29" s="584"/>
      <c r="C29" s="571"/>
      <c r="D29" s="571"/>
      <c r="E29" s="588"/>
      <c r="F29" s="588"/>
      <c r="G29" s="588"/>
      <c r="H29" s="588"/>
      <c r="I29" s="577"/>
      <c r="J29" s="576" t="e">
        <f>G29/'4.1 CBA (FR)'!F28</f>
        <v>#DIV/0!</v>
      </c>
    </row>
    <row r="30" spans="2:11" ht="12" customHeight="1">
      <c r="B30" s="584">
        <f>+B26-1</f>
        <v>-3</v>
      </c>
      <c r="C30" s="571" t="s">
        <v>364</v>
      </c>
      <c r="D30" s="571"/>
      <c r="E30" s="574">
        <f>E23*365*adultperhh_fu2</f>
        <v>267.4364023031103</v>
      </c>
      <c r="F30" s="574">
        <f>F23*365*adultperhh_fu2</f>
        <v>405.30441911177871</v>
      </c>
      <c r="G30" s="574">
        <f>G23*365*adultperhh_fu2</f>
        <v>566.45236083784698</v>
      </c>
      <c r="H30" s="574">
        <f>H23*365*adultperhh_fu2</f>
        <v>409.69013267976254</v>
      </c>
      <c r="I30" s="577"/>
      <c r="J30" s="576">
        <f>G30/'4.1 CBA (FR)'!F29</f>
        <v>4.1228102745544657</v>
      </c>
    </row>
    <row r="31" spans="2:11" ht="12.45" customHeight="1">
      <c r="B31" s="599">
        <f>+B30-1</f>
        <v>-4</v>
      </c>
      <c r="C31" s="600" t="s">
        <v>365</v>
      </c>
      <c r="D31" s="600"/>
      <c r="E31" s="601">
        <f>NPV(0.05,'4.2 IRR_Calc'!F8:F52)</f>
        <v>83.573875719721954</v>
      </c>
      <c r="F31" s="601">
        <f>NPV(0.05,'4.2 IRR_Calc'!G8:G52)</f>
        <v>126.65763097243081</v>
      </c>
      <c r="G31" s="601">
        <f>NPV(0.05,'4.2 IRR_Calc'!H8:H52)</f>
        <v>177.01636276182708</v>
      </c>
      <c r="H31" s="601"/>
      <c r="I31" s="577"/>
      <c r="J31" s="576">
        <f>G31/'4.1 CBA (FR)'!F32</f>
        <v>4.122810274554463</v>
      </c>
    </row>
    <row r="32" spans="2:11" ht="12.45" customHeight="1">
      <c r="B32" s="599"/>
      <c r="C32" s="600" t="s">
        <v>366</v>
      </c>
      <c r="D32" s="600"/>
      <c r="E32" s="601">
        <f>NPV(0.05,'4.2 IRR_Calc'!J8:J58)</f>
        <v>243.12400209373661</v>
      </c>
      <c r="F32" s="601">
        <f>NPV(0.05,'4.2 IRR_Calc'!K8:K58)</f>
        <v>368.45856282888957</v>
      </c>
      <c r="G32" s="601">
        <f>NPV(0.05,'4.2 IRR_Calc'!L8:L58)</f>
        <v>514.95669167077028</v>
      </c>
      <c r="H32" s="601"/>
      <c r="I32" s="577"/>
      <c r="J32" s="576">
        <f>G32/'4.1 CBA (FR)'!F33</f>
        <v>4.1228102745544684</v>
      </c>
    </row>
    <row r="33" spans="2:15" ht="12.45" customHeight="1">
      <c r="B33" s="602"/>
      <c r="C33" s="600" t="s">
        <v>367</v>
      </c>
      <c r="D33" s="600"/>
      <c r="E33" s="603">
        <f>NPV(0.05,'4.2 IRR_Calc'!N8:N84)</f>
        <v>668.59100575403193</v>
      </c>
      <c r="F33" s="603">
        <f>NPV(0.05,'4.2 IRR_Calc'!O8:O84)</f>
        <v>1013.2610477737729</v>
      </c>
      <c r="G33" s="603">
        <f>NPV(0.05,'4.2 IRR_Calc'!P8:P84)</f>
        <v>1416.1309020866879</v>
      </c>
      <c r="H33" s="603"/>
      <c r="I33" s="577"/>
      <c r="J33" s="576">
        <f>G33/'4.1 CBA (FR)'!F34</f>
        <v>4.1228102745544648</v>
      </c>
    </row>
    <row r="34" spans="2:15" ht="12" hidden="1" customHeight="1">
      <c r="B34" s="584"/>
      <c r="C34" s="571"/>
      <c r="D34" s="571"/>
      <c r="E34" s="588"/>
      <c r="F34" s="588"/>
      <c r="G34" s="588"/>
      <c r="H34" s="588"/>
      <c r="I34" s="577"/>
      <c r="J34" s="576" t="e">
        <f>G34/'4.1 CBA (FR)'!F35</f>
        <v>#DIV/0!</v>
      </c>
    </row>
    <row r="35" spans="2:15" ht="24" customHeight="1">
      <c r="B35" s="599">
        <f>+B31-1</f>
        <v>-5</v>
      </c>
      <c r="C35" s="604" t="s">
        <v>368</v>
      </c>
      <c r="D35" s="604"/>
      <c r="E35" s="605">
        <f>E30/(1+disc5)/disc5</f>
        <v>5094.0267105354342</v>
      </c>
      <c r="F35" s="605">
        <f>F30/(1+disc5)/disc5</f>
        <v>7720.0841735576896</v>
      </c>
      <c r="G35" s="605">
        <f>G30/(1+disc5)/disc5</f>
        <v>10789.568777863751</v>
      </c>
      <c r="H35" s="605"/>
      <c r="I35" s="577"/>
      <c r="J35" s="576">
        <f>G35/'4.1 CBA (FR)'!F36</f>
        <v>4.1228102745544657</v>
      </c>
    </row>
    <row r="36" spans="2:15" ht="12" hidden="1" customHeight="1">
      <c r="B36" s="599"/>
      <c r="C36" s="606" t="s">
        <v>156</v>
      </c>
      <c r="D36" s="606"/>
      <c r="E36" s="587">
        <f>E30/(1+disc7)/disc7</f>
        <v>3570.5794700014721</v>
      </c>
      <c r="F36" s="587">
        <f>F30/(1+disc7)/disc7</f>
        <v>5411.2739534282864</v>
      </c>
      <c r="G36" s="587">
        <f>G30/(1+disc7)/disc7</f>
        <v>7562.7818536428149</v>
      </c>
      <c r="H36" s="587"/>
      <c r="I36" s="577"/>
      <c r="J36" s="576">
        <f>G36/'4.1 CBA (FR)'!F37</f>
        <v>4.1228102745544648</v>
      </c>
    </row>
    <row r="37" spans="2:15" ht="12" hidden="1" customHeight="1">
      <c r="B37" s="599"/>
      <c r="C37" s="606" t="s">
        <v>157</v>
      </c>
      <c r="D37" s="606"/>
      <c r="E37" s="587">
        <f>E30/(1+disc10)/disc10</f>
        <v>2431.2400209373659</v>
      </c>
      <c r="F37" s="587">
        <f>F30/(1+disc10)/disc10</f>
        <v>3684.5856282888967</v>
      </c>
      <c r="G37" s="587">
        <f>G30/(1+disc10)/disc10</f>
        <v>5149.5669167076994</v>
      </c>
      <c r="H37" s="587"/>
      <c r="I37" s="577"/>
      <c r="J37" s="576">
        <f>G37/'4.1 CBA (FR)'!F38</f>
        <v>4.1228102745544657</v>
      </c>
    </row>
    <row r="38" spans="2:15" ht="10.199999999999999" hidden="1" customHeight="1">
      <c r="B38" s="607"/>
      <c r="C38" s="607"/>
      <c r="D38" s="607"/>
      <c r="E38" s="5"/>
      <c r="F38" s="5"/>
      <c r="G38" s="5"/>
      <c r="H38" s="5"/>
      <c r="I38" s="577"/>
      <c r="J38" s="576"/>
    </row>
    <row r="39" spans="2:15" ht="12.45" customHeight="1">
      <c r="B39" s="608">
        <f>+B35-1</f>
        <v>-6</v>
      </c>
      <c r="C39" s="609" t="s">
        <v>369</v>
      </c>
      <c r="D39" s="609"/>
      <c r="E39" s="610">
        <f t="shared" ref="E39:H41" si="0">E26/2+E$30</f>
        <v>422.82263563800848</v>
      </c>
      <c r="F39" s="610">
        <f t="shared" si="0"/>
        <v>494.92942838482287</v>
      </c>
      <c r="G39" s="610">
        <f t="shared" si="0"/>
        <v>820.49031994493328</v>
      </c>
      <c r="H39" s="610">
        <f t="shared" si="0"/>
        <v>576.20151212954318</v>
      </c>
      <c r="I39" s="577"/>
      <c r="J39" s="576">
        <f>G39/'4.1 CBA (FR)'!F40</f>
        <v>4.1228102742916821</v>
      </c>
    </row>
    <row r="40" spans="2:15" ht="12" hidden="1" customHeight="1">
      <c r="B40" s="584"/>
      <c r="C40" s="571" t="s">
        <v>154</v>
      </c>
      <c r="D40" s="571"/>
      <c r="E40" s="611">
        <f t="shared" si="0"/>
        <v>425.78237341581604</v>
      </c>
      <c r="F40" s="611">
        <f t="shared" si="0"/>
        <v>496.63657141859517</v>
      </c>
      <c r="G40" s="611">
        <f t="shared" si="0"/>
        <v>825.32913821363968</v>
      </c>
      <c r="H40" s="611">
        <f t="shared" si="0"/>
        <v>579.37315745239619</v>
      </c>
      <c r="I40" s="577"/>
      <c r="J40" s="576"/>
    </row>
    <row r="41" spans="2:15" ht="12" hidden="1" customHeight="1">
      <c r="B41" s="584"/>
      <c r="C41" s="571" t="s">
        <v>155</v>
      </c>
      <c r="D41" s="571"/>
      <c r="E41" s="611">
        <f t="shared" si="0"/>
        <v>430.22198008252741</v>
      </c>
      <c r="F41" s="611">
        <f t="shared" si="0"/>
        <v>499.19728596925358</v>
      </c>
      <c r="G41" s="611">
        <f t="shared" si="0"/>
        <v>832.58736561669934</v>
      </c>
      <c r="H41" s="611">
        <f t="shared" si="0"/>
        <v>584.1306254366757</v>
      </c>
      <c r="I41" s="577"/>
      <c r="J41" s="576"/>
    </row>
    <row r="42" spans="2:15" ht="8.5500000000000007" hidden="1" customHeight="1">
      <c r="B42" s="584"/>
      <c r="C42" s="571"/>
      <c r="D42" s="571"/>
      <c r="E42" s="588"/>
      <c r="F42" s="588"/>
      <c r="G42" s="588"/>
      <c r="H42" s="588"/>
      <c r="I42" s="577"/>
      <c r="J42" s="576"/>
    </row>
    <row r="43" spans="2:15" ht="12.45" customHeight="1">
      <c r="B43" s="599">
        <f>+B39-1</f>
        <v>-7</v>
      </c>
      <c r="C43" s="612" t="s">
        <v>370</v>
      </c>
      <c r="D43" s="612"/>
      <c r="E43" s="601">
        <f t="shared" ref="E43:F45" si="1">E$26/2+E$30+E31</f>
        <v>506.39651135773045</v>
      </c>
      <c r="F43" s="601">
        <f t="shared" si="1"/>
        <v>621.58705935725368</v>
      </c>
      <c r="G43" s="601">
        <f t="shared" ref="G43" si="2">G$26/2+G$30+G31</f>
        <v>997.50668270676033</v>
      </c>
      <c r="H43" s="601"/>
      <c r="I43" s="577"/>
      <c r="J43" s="576">
        <f>G43/'4.1 CBA (FR)'!F45</f>
        <v>4.122810274338315</v>
      </c>
      <c r="O43" s="598"/>
    </row>
    <row r="44" spans="2:15" ht="12.45" customHeight="1">
      <c r="B44" s="613"/>
      <c r="C44" s="612" t="s">
        <v>371</v>
      </c>
      <c r="D44" s="612"/>
      <c r="E44" s="601">
        <f t="shared" si="1"/>
        <v>665.94663773174511</v>
      </c>
      <c r="F44" s="601">
        <f t="shared" si="1"/>
        <v>863.38799121371244</v>
      </c>
      <c r="G44" s="601">
        <f t="shared" ref="G44" si="3">G$26/2+G$30+G32</f>
        <v>1335.4470116157036</v>
      </c>
      <c r="H44" s="601"/>
      <c r="I44" s="577"/>
      <c r="J44" s="576">
        <f>G44/'4.1 CBA (FR)'!F46</f>
        <v>4.1228102743930144</v>
      </c>
    </row>
    <row r="45" spans="2:15" ht="12.45" customHeight="1">
      <c r="B45" s="583"/>
      <c r="C45" s="612" t="s">
        <v>372</v>
      </c>
      <c r="D45" s="612"/>
      <c r="E45" s="601">
        <f t="shared" si="1"/>
        <v>1091.4136413920405</v>
      </c>
      <c r="F45" s="601">
        <f t="shared" si="1"/>
        <v>1508.1904761585959</v>
      </c>
      <c r="G45" s="601">
        <f t="shared" ref="G45" si="4">G$26/2+G$30+G33</f>
        <v>2236.6212220316211</v>
      </c>
      <c r="H45" s="601"/>
      <c r="I45" s="577"/>
      <c r="J45" s="576">
        <f>G45/'4.1 CBA (FR)'!F47</f>
        <v>4.1228102744580646</v>
      </c>
      <c r="N45" s="614"/>
      <c r="O45" s="614"/>
    </row>
    <row r="46" spans="2:15" ht="12" hidden="1" customHeight="1">
      <c r="B46" s="586"/>
      <c r="C46" s="571"/>
      <c r="D46" s="571"/>
      <c r="E46" s="588"/>
      <c r="F46" s="588"/>
      <c r="G46" s="588"/>
      <c r="H46" s="588"/>
      <c r="I46" s="577"/>
      <c r="J46" s="576" t="e">
        <f>G46/'4.1 CBA (FR)'!F48</f>
        <v>#DIV/0!</v>
      </c>
    </row>
    <row r="47" spans="2:15" ht="24" customHeight="1">
      <c r="B47" s="613">
        <f>+B43-1</f>
        <v>-8</v>
      </c>
      <c r="C47" s="615" t="s">
        <v>373</v>
      </c>
      <c r="D47" s="615"/>
      <c r="E47" s="616">
        <f t="shared" ref="E47:G49" si="5">E26/2+E$30+E35</f>
        <v>5516.8493461734424</v>
      </c>
      <c r="F47" s="616">
        <f t="shared" si="5"/>
        <v>8215.0136019425117</v>
      </c>
      <c r="G47" s="616">
        <f t="shared" si="5"/>
        <v>11610.059097808684</v>
      </c>
      <c r="H47" s="616"/>
      <c r="I47" s="577"/>
      <c r="J47" s="576">
        <f>G47/'4.1 CBA (FR)'!F49</f>
        <v>4.1228102745358939</v>
      </c>
    </row>
    <row r="48" spans="2:15" ht="12" hidden="1" customHeight="1">
      <c r="B48" s="613"/>
      <c r="C48" s="606" t="s">
        <v>193</v>
      </c>
      <c r="D48" s="606"/>
      <c r="E48" s="617">
        <f t="shared" si="5"/>
        <v>3996.3618434172881</v>
      </c>
      <c r="F48" s="617">
        <f t="shared" si="5"/>
        <v>5907.9105248468813</v>
      </c>
      <c r="G48" s="617">
        <f t="shared" si="5"/>
        <v>8388.1109918564543</v>
      </c>
      <c r="H48" s="617"/>
      <c r="I48" s="577"/>
    </row>
    <row r="49" spans="2:14" ht="12" hidden="1" customHeight="1">
      <c r="B49" s="613"/>
      <c r="C49" s="606" t="s">
        <v>194</v>
      </c>
      <c r="D49" s="606"/>
      <c r="E49" s="617">
        <f t="shared" si="5"/>
        <v>2861.4620010198933</v>
      </c>
      <c r="F49" s="617">
        <f t="shared" si="5"/>
        <v>4183.7829142581504</v>
      </c>
      <c r="G49" s="617">
        <f t="shared" si="5"/>
        <v>5982.154282324399</v>
      </c>
      <c r="H49" s="617"/>
      <c r="I49" s="577"/>
    </row>
    <row r="50" spans="2:14" ht="12" customHeight="1">
      <c r="B50" s="586"/>
      <c r="C50" s="571"/>
      <c r="D50" s="571"/>
      <c r="E50" s="618"/>
      <c r="F50" s="618"/>
      <c r="G50" s="618"/>
      <c r="H50" s="618"/>
      <c r="I50" s="577"/>
    </row>
    <row r="51" spans="2:14" ht="12.45" customHeight="1">
      <c r="B51" s="619" t="s">
        <v>374</v>
      </c>
      <c r="C51" s="590"/>
      <c r="D51" s="590"/>
      <c r="E51" s="620"/>
      <c r="F51" s="620"/>
      <c r="G51" s="620"/>
      <c r="H51" s="620"/>
      <c r="I51" s="577"/>
    </row>
    <row r="52" spans="2:14" ht="8.5500000000000007" customHeight="1">
      <c r="B52" s="621"/>
      <c r="C52" s="592" t="s">
        <v>197</v>
      </c>
      <c r="D52" s="592"/>
      <c r="E52" s="622"/>
      <c r="F52" s="622"/>
      <c r="G52" s="622"/>
      <c r="H52" s="622"/>
    </row>
    <row r="53" spans="2:14" ht="12.45" customHeight="1">
      <c r="B53" s="584">
        <f>+B47-1</f>
        <v>-9</v>
      </c>
      <c r="C53" s="623" t="s">
        <v>375</v>
      </c>
      <c r="D53" s="623"/>
      <c r="E53" s="624">
        <f>E39/E16</f>
        <v>0.79560457789411143</v>
      </c>
      <c r="F53" s="624">
        <f>F39/F16</f>
        <v>1.7089953643389884</v>
      </c>
      <c r="G53" s="624">
        <f>G39/G16</f>
        <v>1.2748753223591993</v>
      </c>
      <c r="H53" s="624">
        <f>H39/H16</f>
        <v>1.1802284605915332</v>
      </c>
    </row>
    <row r="54" spans="2:14" ht="12.45" hidden="1" customHeight="1">
      <c r="B54" s="584"/>
      <c r="C54" s="623" t="s">
        <v>302</v>
      </c>
      <c r="D54" s="623"/>
      <c r="E54" s="625" t="str">
        <f>"(" &amp; "xx" &amp; "%, " &amp; "xx" &amp; "%)"</f>
        <v>(xx%, xx%)</v>
      </c>
      <c r="F54" s="625" t="str">
        <f t="shared" ref="F54:H54" si="6">"(" &amp; "xx" &amp; "%, " &amp; "xx" &amp; "%)"</f>
        <v>(xx%, xx%)</v>
      </c>
      <c r="G54" s="625" t="str">
        <f t="shared" si="6"/>
        <v>(xx%, xx%)</v>
      </c>
      <c r="H54" s="625" t="str">
        <f t="shared" si="6"/>
        <v>(xx%, xx%)</v>
      </c>
      <c r="J54" s="626"/>
    </row>
    <row r="55" spans="2:14" ht="12.45" customHeight="1">
      <c r="B55" s="584"/>
      <c r="C55" s="623" t="s">
        <v>376</v>
      </c>
      <c r="D55" s="623"/>
      <c r="E55" s="627">
        <f t="shared" ref="E55:H56" si="7">E40/E17</f>
        <v>0.77150326017502413</v>
      </c>
      <c r="F55" s="627">
        <f t="shared" si="7"/>
        <v>1.6513812410476263</v>
      </c>
      <c r="G55" s="627">
        <f t="shared" si="7"/>
        <v>1.2349019427068728</v>
      </c>
      <c r="H55" s="627">
        <f t="shared" si="7"/>
        <v>1.1427759780778723</v>
      </c>
    </row>
    <row r="56" spans="2:14" ht="12.45" customHeight="1">
      <c r="B56" s="584"/>
      <c r="C56" s="623" t="s">
        <v>377</v>
      </c>
      <c r="D56" s="623"/>
      <c r="E56" s="627">
        <f t="shared" si="7"/>
        <v>0.73760672375502134</v>
      </c>
      <c r="F56" s="627">
        <f t="shared" si="7"/>
        <v>1.5705908044735255</v>
      </c>
      <c r="G56" s="627">
        <f t="shared" si="7"/>
        <v>1.1787380340175377</v>
      </c>
      <c r="H56" s="627">
        <f t="shared" si="7"/>
        <v>1.090171674834828</v>
      </c>
    </row>
    <row r="57" spans="2:14" ht="12.45" customHeight="1">
      <c r="B57" s="599">
        <f>+B53-1</f>
        <v>-10</v>
      </c>
      <c r="C57" s="628" t="s">
        <v>378</v>
      </c>
      <c r="D57" s="628"/>
      <c r="E57" s="629">
        <f>E43/E$16</f>
        <v>0.95286143339484197</v>
      </c>
      <c r="F57" s="629">
        <f t="shared" ref="F57:G59" si="8">F43/F$16</f>
        <v>2.1463452000447374</v>
      </c>
      <c r="G57" s="629">
        <f t="shared" si="8"/>
        <v>1.549922799523809</v>
      </c>
      <c r="H57" s="629"/>
    </row>
    <row r="58" spans="2:14" ht="12.45" customHeight="1">
      <c r="B58" s="599"/>
      <c r="C58" s="628" t="s">
        <v>379</v>
      </c>
      <c r="D58" s="628"/>
      <c r="E58" s="629">
        <f>E44/E$16</f>
        <v>1.2530790666235092</v>
      </c>
      <c r="F58" s="629">
        <f t="shared" si="8"/>
        <v>2.981285795482985</v>
      </c>
      <c r="G58" s="629">
        <f t="shared" si="8"/>
        <v>2.0750134377471556</v>
      </c>
      <c r="H58" s="629"/>
    </row>
    <row r="59" spans="2:14" ht="12.45" customHeight="1">
      <c r="B59" s="583"/>
      <c r="C59" s="628" t="s">
        <v>380</v>
      </c>
      <c r="D59" s="628"/>
      <c r="E59" s="629">
        <f>E45/E$16</f>
        <v>2.0536594218929114</v>
      </c>
      <c r="F59" s="629">
        <f t="shared" si="8"/>
        <v>5.207794049965389</v>
      </c>
      <c r="G59" s="629">
        <f t="shared" si="8"/>
        <v>3.4752551396637568</v>
      </c>
      <c r="H59" s="629"/>
      <c r="K59" s="614"/>
      <c r="L59" s="614"/>
      <c r="M59" s="614"/>
      <c r="N59" s="614"/>
    </row>
    <row r="60" spans="2:14" ht="24" customHeight="1">
      <c r="B60" s="613">
        <f>+B57-1</f>
        <v>-11</v>
      </c>
      <c r="C60" s="630" t="s">
        <v>381</v>
      </c>
      <c r="D60" s="630"/>
      <c r="E60" s="631">
        <f t="shared" ref="E60:G62" si="9">E47/E16</f>
        <v>10.380784341748161</v>
      </c>
      <c r="F60" s="631">
        <f t="shared" si="9"/>
        <v>28.366509159737024</v>
      </c>
      <c r="G60" s="631">
        <f t="shared" si="9"/>
        <v>18.039673930487794</v>
      </c>
      <c r="H60" s="631"/>
    </row>
    <row r="61" spans="2:14" ht="12" hidden="1" customHeight="1">
      <c r="B61" s="613"/>
      <c r="C61" s="632" t="s">
        <v>195</v>
      </c>
      <c r="D61" s="632"/>
      <c r="E61" s="633">
        <f t="shared" si="9"/>
        <v>7.2412724986726253</v>
      </c>
      <c r="F61" s="633">
        <f t="shared" si="9"/>
        <v>19.644571455243984</v>
      </c>
      <c r="G61" s="633">
        <f t="shared" si="9"/>
        <v>12.550743794051135</v>
      </c>
      <c r="H61" s="633"/>
    </row>
    <row r="62" spans="2:14" ht="12" hidden="1" customHeight="1">
      <c r="B62" s="613"/>
      <c r="C62" s="632" t="s">
        <v>196</v>
      </c>
      <c r="D62" s="632"/>
      <c r="E62" s="633">
        <f t="shared" si="9"/>
        <v>4.9059176644505662</v>
      </c>
      <c r="F62" s="633">
        <f t="shared" si="9"/>
        <v>13.163154443616143</v>
      </c>
      <c r="G62" s="633">
        <f t="shared" si="9"/>
        <v>8.469252680424324</v>
      </c>
      <c r="H62" s="633"/>
    </row>
    <row r="63" spans="2:14" ht="8.4" customHeight="1">
      <c r="B63" s="586"/>
      <c r="C63" s="571"/>
      <c r="D63" s="571"/>
      <c r="E63" s="618"/>
      <c r="F63" s="618"/>
      <c r="G63" s="618"/>
      <c r="H63" s="618"/>
    </row>
    <row r="64" spans="2:14" ht="12.45" customHeight="1">
      <c r="B64" s="599">
        <f>+B60-1</f>
        <v>-12</v>
      </c>
      <c r="C64" s="623" t="s">
        <v>396</v>
      </c>
      <c r="D64" s="623"/>
      <c r="E64" s="618"/>
      <c r="F64" s="618"/>
      <c r="G64" s="618"/>
      <c r="H64" s="618"/>
    </row>
    <row r="65" spans="2:8" ht="12.45" customHeight="1">
      <c r="B65" s="583"/>
      <c r="C65" s="623" t="s">
        <v>395</v>
      </c>
      <c r="D65" s="623"/>
      <c r="E65" s="634">
        <f>IRR('4.2 IRR_Calc'!B5:B7)</f>
        <v>-8.5996182717428149E-2</v>
      </c>
      <c r="F65" s="634">
        <f>IRR('4.2 IRR_Calc'!C5:C7)</f>
        <v>0.41521914770525692</v>
      </c>
      <c r="G65" s="634">
        <f>IRR('4.2 IRR_Calc'!D5:D7)</f>
        <v>0.21386361982092716</v>
      </c>
      <c r="H65" s="634">
        <f>IRR('4.2 IRR_Calc'!E5:E7)</f>
        <v>0.15744542322296895</v>
      </c>
    </row>
    <row r="66" spans="2:8" ht="12.45" customHeight="1">
      <c r="B66" s="583"/>
      <c r="C66" s="628" t="s">
        <v>383</v>
      </c>
      <c r="D66" s="628"/>
      <c r="E66" s="635">
        <f>IRR('4.2 IRR_Calc'!F5:F52)</f>
        <v>2.389640983043928E-2</v>
      </c>
      <c r="F66" s="635">
        <f>IRR('4.2 IRR_Calc'!G5:G52)</f>
        <v>0.53020352715264862</v>
      </c>
      <c r="G66" s="635">
        <f>IRR('4.2 IRR_Calc'!H5:H52)</f>
        <v>0.32072825836334795</v>
      </c>
      <c r="H66" s="635"/>
    </row>
    <row r="67" spans="2:8" ht="12.45" customHeight="1">
      <c r="B67" s="583"/>
      <c r="C67" s="628" t="s">
        <v>384</v>
      </c>
      <c r="D67" s="628"/>
      <c r="E67" s="635">
        <f>IRR('4.2 IRR_Calc'!J5:J58)</f>
        <v>0.1545762919413074</v>
      </c>
      <c r="F67" s="635">
        <f>IRR('4.2 IRR_Calc'!K5:K58)</f>
        <v>0.65771814125104755</v>
      </c>
      <c r="G67" s="635">
        <f>IRR('4.2 IRR_Calc'!L5:L58)</f>
        <v>0.44323018368352884</v>
      </c>
      <c r="H67" s="635"/>
    </row>
    <row r="68" spans="2:8" ht="12.45" customHeight="1">
      <c r="B68" s="583"/>
      <c r="C68" s="628" t="s">
        <v>385</v>
      </c>
      <c r="D68" s="628"/>
      <c r="E68" s="635">
        <f>IRR('4.2 IRR_Calc'!N5:N84)</f>
        <v>0.30558778196292002</v>
      </c>
      <c r="F68" s="635">
        <f>IRR('4.2 IRR_Calc'!O5:O84)</f>
        <v>0.79768798419670839</v>
      </c>
      <c r="G68" s="635">
        <f>IRR('4.2 IRR_Calc'!P5:P84)</f>
        <v>0.58148667914015939</v>
      </c>
      <c r="H68" s="635"/>
    </row>
    <row r="69" spans="2:8" ht="12.45" customHeight="1" thickBot="1">
      <c r="B69" s="636"/>
      <c r="C69" s="637" t="s">
        <v>386</v>
      </c>
      <c r="D69" s="637"/>
      <c r="E69" s="638">
        <f>IRR('4.2 IRR_Calc'!R5:R165)</f>
        <v>0.47500184300139758</v>
      </c>
      <c r="F69" s="638">
        <f>IRR('4.2 IRR_Calc'!S5:S165)</f>
        <v>0.94967857614934181</v>
      </c>
      <c r="G69" s="638">
        <f>IRR('4.2 IRR_Calc'!T5:T165)</f>
        <v>0.73488823735825237</v>
      </c>
      <c r="H69" s="638"/>
    </row>
    <row r="70" spans="2:8" ht="15" customHeight="1" thickTop="1">
      <c r="B70" s="689" t="s">
        <v>419</v>
      </c>
      <c r="C70" s="689"/>
      <c r="D70" s="689"/>
      <c r="E70" s="689"/>
      <c r="F70" s="689"/>
      <c r="G70" s="689"/>
    </row>
    <row r="71" spans="2:8">
      <c r="B71" s="690"/>
      <c r="C71" s="690"/>
      <c r="D71" s="690"/>
      <c r="E71" s="690"/>
      <c r="F71" s="690"/>
      <c r="G71" s="690"/>
    </row>
    <row r="72" spans="2:8" ht="16.2" customHeight="1">
      <c r="B72" s="690"/>
      <c r="C72" s="690"/>
      <c r="D72" s="690"/>
      <c r="E72" s="690"/>
      <c r="F72" s="690"/>
      <c r="G72" s="690"/>
    </row>
    <row r="73" spans="2:8" ht="12.6" customHeight="1">
      <c r="B73" s="690"/>
      <c r="C73" s="690"/>
      <c r="D73" s="690"/>
      <c r="E73" s="690"/>
      <c r="F73" s="690"/>
      <c r="G73" s="690"/>
      <c r="H73" s="639"/>
    </row>
    <row r="74" spans="2:8" ht="12.75" customHeight="1">
      <c r="B74" s="678"/>
      <c r="C74" s="678"/>
      <c r="D74" s="678"/>
      <c r="E74" s="678"/>
      <c r="F74" s="678"/>
      <c r="G74" s="678"/>
    </row>
    <row r="75" spans="2:8" ht="12.75" customHeight="1">
      <c r="B75" s="2"/>
      <c r="C75" s="2"/>
      <c r="D75" s="2"/>
    </row>
    <row r="76" spans="2:8" ht="12.75" customHeight="1">
      <c r="B76" s="2"/>
      <c r="C76" s="2"/>
      <c r="D76" s="2"/>
    </row>
    <row r="77" spans="2:8" ht="12.75" customHeight="1">
      <c r="B77" s="2"/>
      <c r="C77" s="2"/>
      <c r="D77" s="2"/>
    </row>
    <row r="78" spans="2:8" ht="13.5" customHeight="1">
      <c r="B78" s="2"/>
      <c r="C78" s="2"/>
      <c r="D78" s="2"/>
    </row>
    <row r="79" spans="2:8" ht="13.5" customHeight="1">
      <c r="B79" s="2"/>
      <c r="C79" s="2"/>
      <c r="D79" s="2"/>
    </row>
    <row r="80" spans="2:8" ht="13.5" customHeight="1">
      <c r="B80" s="2"/>
      <c r="C80" s="2"/>
      <c r="D80" s="2"/>
    </row>
    <row r="81" s="2" customFormat="1"/>
    <row r="82" s="2" customFormat="1"/>
    <row r="83" s="2" customFormat="1"/>
    <row r="84" s="2" customFormat="1"/>
    <row r="85" s="2" customFormat="1" ht="13.5" customHeight="1"/>
    <row r="86" s="2" customFormat="1"/>
    <row r="87" s="2" customFormat="1" ht="13.5" customHeight="1"/>
    <row r="88" s="2" customFormat="1" ht="13.5" customHeight="1"/>
    <row r="89" s="2" customFormat="1" ht="13.5" customHeight="1"/>
    <row r="90" s="2" customFormat="1" ht="13.5" customHeight="1"/>
    <row r="91" s="2" customFormat="1" ht="13.5" customHeight="1"/>
    <row r="92" s="2" customFormat="1" ht="13.5" customHeigh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hidden="1"/>
    <row r="113" s="2" customFormat="1" hidden="1"/>
    <row r="114" s="2" customFormat="1" hidden="1"/>
    <row r="115" s="2" customFormat="1"/>
    <row r="116" s="2" customFormat="1"/>
    <row r="117" s="2" customFormat="1"/>
    <row r="118" s="2" customFormat="1"/>
    <row r="119" s="2" customFormat="1"/>
    <row r="120" s="2" customFormat="1"/>
    <row r="121" s="2" customFormat="1"/>
    <row r="122" s="2" customFormat="1"/>
  </sheetData>
  <mergeCells count="1">
    <mergeCell ref="B70:G73"/>
  </mergeCells>
  <phoneticPr fontId="4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1298-130E-4A9E-9D29-7CA422B092F2}">
  <dimension ref="B2:P122"/>
  <sheetViews>
    <sheetView workbookViewId="0">
      <selection activeCell="C47" sqref="C47"/>
    </sheetView>
  </sheetViews>
  <sheetFormatPr defaultColWidth="8.77734375" defaultRowHeight="14.4"/>
  <cols>
    <col min="1" max="1" width="2.77734375" style="2" customWidth="1"/>
    <col min="2" max="2" width="4" style="190" customWidth="1"/>
    <col min="3" max="3" width="56.77734375" style="640" customWidth="1"/>
    <col min="4" max="4" width="6.109375" style="640" hidden="1" customWidth="1"/>
    <col min="5" max="5" width="8.5546875" style="2" bestFit="1" customWidth="1"/>
    <col min="6" max="6" width="9.33203125" style="2" customWidth="1"/>
    <col min="7" max="7" width="7.21875" style="2" customWidth="1"/>
    <col min="8" max="8" width="7.33203125" style="2" customWidth="1"/>
    <col min="9" max="9" width="11.33203125" style="2" customWidth="1"/>
    <col min="10" max="10" width="8.6640625" style="2" hidden="1" customWidth="1"/>
    <col min="11" max="12" width="8.77734375" style="2"/>
    <col min="13" max="13" width="3.109375" style="2" customWidth="1"/>
    <col min="14" max="16384" width="8.77734375" style="2"/>
  </cols>
  <sheetData>
    <row r="2" spans="2:16" ht="15" thickBot="1">
      <c r="B2" s="564"/>
      <c r="C2" s="565"/>
      <c r="D2" s="565"/>
      <c r="E2" s="566"/>
      <c r="F2" s="566"/>
      <c r="G2" s="566"/>
      <c r="H2" s="566"/>
    </row>
    <row r="3" spans="2:16" ht="12" customHeight="1" thickTop="1">
      <c r="B3" s="567"/>
      <c r="C3" s="568"/>
      <c r="D3" s="568" t="s">
        <v>303</v>
      </c>
      <c r="E3" s="569" t="s">
        <v>141</v>
      </c>
      <c r="F3" s="569" t="s">
        <v>241</v>
      </c>
      <c r="G3" s="569" t="s">
        <v>201</v>
      </c>
      <c r="H3" s="569" t="s">
        <v>275</v>
      </c>
    </row>
    <row r="4" spans="2:16" ht="12.45" customHeight="1">
      <c r="B4" s="570" t="s">
        <v>199</v>
      </c>
      <c r="C4" s="571"/>
      <c r="D4" s="571"/>
      <c r="E4" s="572"/>
      <c r="F4" s="572"/>
      <c r="G4" s="572"/>
      <c r="H4" s="572"/>
    </row>
    <row r="5" spans="2:16" ht="12.45" customHeight="1">
      <c r="B5" s="570"/>
      <c r="C5" s="573" t="s">
        <v>183</v>
      </c>
      <c r="D5" s="574">
        <f>Tab_1_Total*(CPI_2016/CPI_2018)/Introduction!$D$37</f>
        <v>76.319424182935919</v>
      </c>
      <c r="E5" s="574">
        <f>'4.1 CBA (FR)'!D4*1000/conv_ppp_2016</f>
        <v>77.534919087631735</v>
      </c>
      <c r="F5" s="574">
        <f>'4.1 CBA (FR)'!E4*1000/conv_ppp_2016</f>
        <v>77.534919087631735</v>
      </c>
      <c r="G5" s="574">
        <f>'4.1 CBA (FR)'!F4*1000/conv_ppp_2016</f>
        <v>77.534919087631735</v>
      </c>
      <c r="H5" s="574"/>
      <c r="I5" s="575"/>
      <c r="J5" s="576">
        <f>G5/'4.1 CBA (FR)'!F4</f>
        <v>4.1228102723940756</v>
      </c>
    </row>
    <row r="6" spans="2:16" ht="12.45" customHeight="1">
      <c r="B6" s="570"/>
      <c r="C6" s="573" t="s">
        <v>184</v>
      </c>
      <c r="D6" s="574">
        <f>Tab_2_Total*(CPI_2016/CPI_2018)/Introduction!$D$37</f>
        <v>3.159034897385494</v>
      </c>
      <c r="E6" s="574">
        <f>'4.1 CBA (FR)'!D5*1000/conv_ppp_2016</f>
        <v>3.2093470015796295</v>
      </c>
      <c r="F6" s="574">
        <f>'4.1 CBA (FR)'!E5*1000/conv_ppp_2016</f>
        <v>3.2093470015796295</v>
      </c>
      <c r="G6" s="574">
        <f>'4.1 CBA (FR)'!F5*1000/conv_ppp_2016</f>
        <v>3.2093470015796295</v>
      </c>
      <c r="H6" s="574"/>
      <c r="I6" s="577"/>
      <c r="J6" s="576">
        <f>G6/'4.1 CBA (FR)'!F5</f>
        <v>4.1228102723940747</v>
      </c>
    </row>
    <row r="7" spans="2:16" ht="12.45" customHeight="1">
      <c r="B7" s="570"/>
      <c r="C7" s="573" t="s">
        <v>185</v>
      </c>
      <c r="D7" s="574">
        <v>0</v>
      </c>
      <c r="E7" s="574">
        <f>'4.1 CBA (FR)'!D6*1000/conv_ppp_2016</f>
        <v>1.4442087063454137</v>
      </c>
      <c r="F7" s="574">
        <f>'4.1 CBA (FR)'!E6*1000/conv_ppp_2016</f>
        <v>1.4442087063454137</v>
      </c>
      <c r="G7" s="574">
        <f>'4.1 CBA (FR)'!F6*1000/conv_ppp_2016</f>
        <v>1.4442087063454137</v>
      </c>
      <c r="H7" s="574"/>
      <c r="I7" s="578"/>
      <c r="J7" s="576">
        <f>G7/'4.1 CBA (FR)'!F6</f>
        <v>4.1228102723940747</v>
      </c>
    </row>
    <row r="8" spans="2:16" ht="12.45" customHeight="1">
      <c r="B8" s="570"/>
      <c r="C8" s="573" t="s">
        <v>186</v>
      </c>
      <c r="D8" s="574">
        <v>0</v>
      </c>
      <c r="E8" s="574">
        <f>'4.1 CBA (FR)'!D7*1000/conv_ppp_2016</f>
        <v>8.60457657191286</v>
      </c>
      <c r="F8" s="574">
        <f>'4.1 CBA (FR)'!E7*1000/conv_ppp_2016</f>
        <v>8.60457657191286</v>
      </c>
      <c r="G8" s="574">
        <f>'4.1 CBA (FR)'!F7*1000/conv_ppp_2016</f>
        <v>8.60457657191286</v>
      </c>
      <c r="H8" s="574"/>
      <c r="I8" s="577"/>
      <c r="J8" s="576">
        <f>G8/'4.1 CBA (FR)'!F7</f>
        <v>4.1228102723940747</v>
      </c>
    </row>
    <row r="9" spans="2:16" ht="12.45" customHeight="1">
      <c r="B9" s="570"/>
      <c r="C9" s="573" t="s">
        <v>187</v>
      </c>
      <c r="D9" s="574">
        <v>0</v>
      </c>
      <c r="E9" s="574">
        <f>'4.1 CBA (FR)'!D8*1000/conv_ppp_2016</f>
        <v>0</v>
      </c>
      <c r="F9" s="574">
        <f>'4.1 CBA (FR)'!E8*1000/conv_ppp_2016</f>
        <v>37.871929173175715</v>
      </c>
      <c r="G9" s="574">
        <f>'4.1 CBA (FR)'!F8*1000/conv_ppp_2016</f>
        <v>37.871929173175715</v>
      </c>
      <c r="H9" s="574"/>
      <c r="I9" s="577"/>
      <c r="J9" s="576">
        <f>G9/'4.1 CBA (FR)'!F8</f>
        <v>4.1228102723940747</v>
      </c>
    </row>
    <row r="10" spans="2:16" ht="12.45" customHeight="1">
      <c r="B10" s="570"/>
      <c r="C10" s="573" t="s">
        <v>188</v>
      </c>
      <c r="D10" s="574">
        <v>0</v>
      </c>
      <c r="E10" s="574">
        <f>'4.1 CBA (FR)'!D9*1000/conv_ppp_2016</f>
        <v>1.9594531115242388</v>
      </c>
      <c r="F10" s="574">
        <f>'4.1 CBA (FR)'!E9*1000/conv_ppp_2016</f>
        <v>1.9594531115242388</v>
      </c>
      <c r="G10" s="574">
        <f>'4.1 CBA (FR)'!F9*1000/conv_ppp_2016</f>
        <v>1.9594531115242388</v>
      </c>
      <c r="H10" s="574"/>
      <c r="I10" s="578"/>
      <c r="J10" s="576">
        <f>G10/'4.1 CBA (FR)'!F9</f>
        <v>4.1228102723940747</v>
      </c>
    </row>
    <row r="11" spans="2:16" ht="12.45" customHeight="1">
      <c r="B11" s="570"/>
      <c r="C11" s="573" t="s">
        <v>189</v>
      </c>
      <c r="D11" s="574">
        <v>0</v>
      </c>
      <c r="E11" s="574">
        <f>'4.1 CBA (FR)'!D10*1000/conv_ppp_2016</f>
        <v>0</v>
      </c>
      <c r="F11" s="574">
        <f>'4.1 CBA (FR)'!E10*1000/conv_ppp_2016</f>
        <v>63.839213487437462</v>
      </c>
      <c r="G11" s="574">
        <f>'4.1 CBA (FR)'!F10*1000/conv_ppp_2016</f>
        <v>63.839213487437462</v>
      </c>
      <c r="H11" s="574"/>
      <c r="I11" s="577"/>
      <c r="J11" s="576">
        <f>G11/'4.1 CBA (FR)'!F10</f>
        <v>4.1228102723940747</v>
      </c>
    </row>
    <row r="12" spans="2:16" ht="12.45" customHeight="1">
      <c r="B12" s="570"/>
      <c r="C12" s="573" t="s">
        <v>190</v>
      </c>
      <c r="D12" s="574">
        <v>0</v>
      </c>
      <c r="E12" s="574">
        <f>'4.1 CBA (FR)'!D11*1000/conv_ppp_2016</f>
        <v>64.56767076949275</v>
      </c>
      <c r="F12" s="574">
        <f>'4.1 CBA (FR)'!E11*1000/conv_ppp_2016</f>
        <v>64.56767076949275</v>
      </c>
      <c r="G12" s="574">
        <f>'4.1 CBA (FR)'!F11*1000/conv_ppp_2016</f>
        <v>64.56767076949275</v>
      </c>
      <c r="H12" s="574"/>
      <c r="I12" s="577"/>
      <c r="J12" s="576">
        <f>G12/'4.1 CBA (FR)'!F11</f>
        <v>4.1228102723940747</v>
      </c>
      <c r="K12" s="579"/>
      <c r="L12" s="579"/>
      <c r="M12" s="579"/>
      <c r="N12" s="579"/>
      <c r="O12" s="579"/>
      <c r="P12" s="579"/>
    </row>
    <row r="13" spans="2:16" ht="12.45" customHeight="1">
      <c r="B13" s="570"/>
      <c r="C13" s="573" t="s">
        <v>191</v>
      </c>
      <c r="D13" s="574">
        <v>0</v>
      </c>
      <c r="E13" s="574">
        <f>'4.1 CBA (FR)'!D12*1000/conv_ppp_2016</f>
        <v>321.07228646064357</v>
      </c>
      <c r="F13" s="574">
        <f>'4.1 CBA (FR)'!E12*1000/conv_ppp_2016</f>
        <v>0</v>
      </c>
      <c r="G13" s="574">
        <f>'4.1 CBA (FR)'!F12*1000/conv_ppp_2016</f>
        <v>321.07228646064357</v>
      </c>
      <c r="H13" s="574"/>
      <c r="I13" s="577"/>
      <c r="J13" s="576">
        <f>G13/'4.1 CBA (FR)'!F12</f>
        <v>4.1228102723940756</v>
      </c>
      <c r="K13" s="580"/>
      <c r="L13" s="581"/>
      <c r="M13" s="580"/>
      <c r="N13" s="579"/>
      <c r="O13" s="580"/>
      <c r="P13" s="581"/>
    </row>
    <row r="14" spans="2:16" ht="12.45" customHeight="1">
      <c r="B14" s="570"/>
      <c r="C14" s="573" t="s">
        <v>192</v>
      </c>
      <c r="D14" s="574">
        <v>0</v>
      </c>
      <c r="E14" s="574">
        <f>'4.1 CBA (FR)'!D13*1000/conv_ppp_2016</f>
        <v>3.6467388421307181</v>
      </c>
      <c r="F14" s="574">
        <f>'4.1 CBA (FR)'!E13*1000/conv_ppp_2016</f>
        <v>3.6467388421307181</v>
      </c>
      <c r="G14" s="574">
        <f>'4.1 CBA (FR)'!F13*1000/conv_ppp_2016</f>
        <v>3.6467388421307181</v>
      </c>
      <c r="H14" s="574"/>
      <c r="I14" s="582"/>
      <c r="J14" s="576">
        <f>G14/'4.1 CBA (FR)'!F13</f>
        <v>4.1228102723940747</v>
      </c>
      <c r="K14" s="580"/>
      <c r="L14" s="581"/>
      <c r="M14" s="580"/>
      <c r="N14" s="579"/>
      <c r="O14" s="580"/>
      <c r="P14" s="581"/>
    </row>
    <row r="15" spans="2:16" ht="12.45" customHeight="1">
      <c r="B15" s="583"/>
      <c r="C15" s="571" t="s">
        <v>182</v>
      </c>
      <c r="D15" s="574">
        <f>SUM(D5:D14)</f>
        <v>79.478459080321414</v>
      </c>
      <c r="E15" s="574">
        <f>SUM(E5:E14)</f>
        <v>482.03920055126093</v>
      </c>
      <c r="F15" s="574">
        <f>SUM(F5:F14)</f>
        <v>262.67805675123049</v>
      </c>
      <c r="G15" s="574">
        <f>SUM(G5:G14)</f>
        <v>583.75034321187411</v>
      </c>
      <c r="H15" s="574">
        <f>AVERAGE(E15:G15)</f>
        <v>442.82253350478851</v>
      </c>
      <c r="I15" s="577"/>
      <c r="J15" s="576">
        <f>G15/'4.1 CBA (FR)'!F14</f>
        <v>4.1228102723940747</v>
      </c>
      <c r="K15" s="580"/>
      <c r="L15" s="581"/>
      <c r="M15" s="580"/>
      <c r="N15" s="579"/>
      <c r="O15" s="580"/>
      <c r="P15" s="581"/>
    </row>
    <row r="16" spans="2:16" ht="12.45" customHeight="1">
      <c r="B16" s="584">
        <v>-1</v>
      </c>
      <c r="C16" s="571" t="s">
        <v>181</v>
      </c>
      <c r="D16" s="585">
        <f>D15*(1+disc5)^2</f>
        <v>87.625001136054365</v>
      </c>
      <c r="E16" s="585">
        <f>E15*(1+disc5)^2</f>
        <v>531.44821860776517</v>
      </c>
      <c r="F16" s="585">
        <f>F15*(1+disc5)^2</f>
        <v>289.60255756823165</v>
      </c>
      <c r="G16" s="585">
        <f>G15*(1+disc5)^2</f>
        <v>643.58475339109123</v>
      </c>
      <c r="H16" s="585">
        <f>H15*(1+disc5)^2</f>
        <v>488.21184318902937</v>
      </c>
      <c r="I16" s="577"/>
      <c r="J16" s="576">
        <f>G16/'4.1 CBA (FR)'!F15</f>
        <v>4.1228102723940747</v>
      </c>
    </row>
    <row r="17" spans="2:11" ht="12" hidden="1" customHeight="1">
      <c r="B17" s="586"/>
      <c r="C17" s="571" t="s">
        <v>174</v>
      </c>
      <c r="D17" s="571"/>
      <c r="E17" s="587">
        <f>E15*(1+disc7)^2</f>
        <v>551.88668071113864</v>
      </c>
      <c r="F17" s="587">
        <f>F15*(1+disc7)^2</f>
        <v>300.7401071744838</v>
      </c>
      <c r="G17" s="587">
        <f>G15*(1+disc7)^2</f>
        <v>668.33576794327473</v>
      </c>
      <c r="H17" s="587">
        <f>H15*(1+disc7)^2</f>
        <v>506.98751860963239</v>
      </c>
      <c r="I17" s="577"/>
    </row>
    <row r="18" spans="2:11" ht="12" hidden="1" customHeight="1">
      <c r="B18" s="586"/>
      <c r="C18" s="571" t="s">
        <v>175</v>
      </c>
      <c r="D18" s="571"/>
      <c r="E18" s="587">
        <f>E15*(1+disc10)^2</f>
        <v>583.26743266702579</v>
      </c>
      <c r="F18" s="587">
        <f>F15*(1+disc10)^2</f>
        <v>317.84044866898893</v>
      </c>
      <c r="G18" s="587">
        <f>G15*(1+disc10)^2</f>
        <v>706.33791528636777</v>
      </c>
      <c r="H18" s="587">
        <f>H15*(1+disc10)^2</f>
        <v>535.81526554079414</v>
      </c>
      <c r="I18" s="577"/>
    </row>
    <row r="19" spans="2:11" ht="12" customHeight="1">
      <c r="B19" s="583"/>
      <c r="C19" s="571"/>
      <c r="D19" s="571"/>
      <c r="E19" s="588"/>
      <c r="F19" s="588"/>
      <c r="G19" s="588"/>
      <c r="H19" s="588"/>
      <c r="I19" s="577"/>
    </row>
    <row r="20" spans="2:11" ht="12.45" customHeight="1">
      <c r="B20" s="589" t="s">
        <v>362</v>
      </c>
      <c r="C20" s="590"/>
      <c r="D20" s="590"/>
      <c r="E20" s="591"/>
      <c r="F20" s="591"/>
      <c r="G20" s="591"/>
      <c r="H20" s="591"/>
      <c r="I20" s="577"/>
    </row>
    <row r="21" spans="2:11" ht="7.2" customHeight="1">
      <c r="C21" s="592" t="s">
        <v>197</v>
      </c>
      <c r="D21" s="592"/>
      <c r="I21" s="577"/>
    </row>
    <row r="22" spans="2:11" ht="24" hidden="1">
      <c r="B22" s="593"/>
      <c r="C22" s="571" t="s">
        <v>401</v>
      </c>
      <c r="D22" s="571"/>
      <c r="E22" s="585">
        <f>[4]Sheet1!$A$15</f>
        <v>265.04616200129755</v>
      </c>
      <c r="F22" s="585">
        <f>[4]Sheet1!$A$16</f>
        <v>126.41009362204613</v>
      </c>
      <c r="G22" s="585">
        <f>[4]Sheet1!$A$17</f>
        <v>491.93207977235238</v>
      </c>
      <c r="H22" s="661">
        <f>[4]Sheet1!$A$19</f>
        <v>294.74281080342763</v>
      </c>
      <c r="I22" s="594"/>
      <c r="J22" s="576">
        <f>1000*G22/'4.1 CBA (FR)'!F21</f>
        <v>8127.9519249039686</v>
      </c>
      <c r="K22" s="402"/>
    </row>
    <row r="23" spans="2:11" ht="24" hidden="1">
      <c r="B23" s="593"/>
      <c r="C23" s="571" t="s">
        <v>402</v>
      </c>
      <c r="D23" s="571"/>
      <c r="E23" s="585">
        <f>[4]Sheet1!$B$15</f>
        <v>255.4895966270104</v>
      </c>
      <c r="F23" s="585">
        <f>[4]Sheet1!$B$16</f>
        <v>326.51247501255494</v>
      </c>
      <c r="G23" s="585">
        <f>[4]Sheet1!$B$17</f>
        <v>624.78563512746268</v>
      </c>
      <c r="H23" s="661">
        <f>[4]Sheet1!$B$19</f>
        <v>398.56786487834682</v>
      </c>
      <c r="I23" s="594"/>
      <c r="J23" s="576">
        <f>1000*G23/'4.1 CBA (FR)'!F22</f>
        <v>10184.485141273053</v>
      </c>
    </row>
    <row r="24" spans="2:11" ht="14.4" hidden="1" customHeight="1">
      <c r="B24" s="593"/>
      <c r="C24" s="571"/>
      <c r="D24" s="571"/>
      <c r="E24" s="596"/>
      <c r="F24" s="597"/>
      <c r="G24" s="597"/>
      <c r="H24" s="597"/>
      <c r="I24" s="577"/>
    </row>
    <row r="25" spans="2:11" hidden="1">
      <c r="B25" s="583"/>
      <c r="C25" s="571"/>
      <c r="D25" s="571"/>
      <c r="E25" s="574"/>
      <c r="F25" s="574"/>
      <c r="G25" s="574"/>
      <c r="H25" s="574"/>
      <c r="I25" s="578"/>
      <c r="J25" s="576">
        <f>G25/'4.1 CBA (FR)'!F24</f>
        <v>0</v>
      </c>
    </row>
    <row r="26" spans="2:11" ht="12.45" customHeight="1">
      <c r="B26" s="584">
        <f>+B16-1</f>
        <v>-2</v>
      </c>
      <c r="C26" s="571" t="s">
        <v>363</v>
      </c>
      <c r="D26" s="571"/>
      <c r="E26" s="585">
        <f>E$22*(1+disc5)</f>
        <v>278.29847010136245</v>
      </c>
      <c r="F26" s="585">
        <f>F$22*(1+disc5)</f>
        <v>132.73059830314844</v>
      </c>
      <c r="G26" s="585">
        <f>G$22*(1+disc5)</f>
        <v>516.52868376097001</v>
      </c>
      <c r="H26" s="585">
        <f>H$22*(1+disc5)</f>
        <v>309.479951343599</v>
      </c>
      <c r="I26" s="577"/>
      <c r="J26" s="576">
        <f>G26/'4.1 CBA (FR)'!F25</f>
        <v>4.1914007094816519</v>
      </c>
    </row>
    <row r="27" spans="2:11" ht="12" hidden="1" customHeight="1">
      <c r="B27" s="584"/>
      <c r="C27" s="571" t="s">
        <v>150</v>
      </c>
      <c r="D27" s="571"/>
      <c r="E27" s="585">
        <f>E$22*(1+disc7)</f>
        <v>283.59939334138841</v>
      </c>
      <c r="F27" s="585">
        <f>F$22*(1+disc7)</f>
        <v>135.25880017558936</v>
      </c>
      <c r="G27" s="585">
        <f>G$22*(1+disc7)</f>
        <v>526.36732535641704</v>
      </c>
      <c r="H27" s="585">
        <f>H$22*(1+disc7)</f>
        <v>315.3748075596676</v>
      </c>
      <c r="I27" s="577"/>
      <c r="J27" s="576">
        <f>G27/'4.1 CBA (FR)'!F26</f>
        <v>4.1914007094816519</v>
      </c>
    </row>
    <row r="28" spans="2:11" ht="12" hidden="1" customHeight="1">
      <c r="B28" s="584"/>
      <c r="C28" s="571" t="s">
        <v>151</v>
      </c>
      <c r="D28" s="571"/>
      <c r="E28" s="585">
        <f>E$22*(1+disc10)</f>
        <v>291.55077820142731</v>
      </c>
      <c r="F28" s="585">
        <f>F$22*(1+disc10)</f>
        <v>139.05110298425075</v>
      </c>
      <c r="G28" s="585">
        <f>G$22*(1+disc10)</f>
        <v>541.12528774958764</v>
      </c>
      <c r="H28" s="585">
        <f>H$22*(1+disc10)</f>
        <v>324.21709188377042</v>
      </c>
      <c r="I28" s="577"/>
      <c r="J28" s="576">
        <f>G28/'4.1 CBA (FR)'!F27</f>
        <v>4.1914007094816519</v>
      </c>
    </row>
    <row r="29" spans="2:11" ht="12" hidden="1" customHeight="1">
      <c r="B29" s="584"/>
      <c r="C29" s="571"/>
      <c r="D29" s="571"/>
      <c r="E29" s="588"/>
      <c r="F29" s="588"/>
      <c r="G29" s="588"/>
      <c r="H29" s="588"/>
      <c r="I29" s="577"/>
      <c r="J29" s="576" t="e">
        <f>G29/'4.1 CBA (FR)'!F28</f>
        <v>#DIV/0!</v>
      </c>
    </row>
    <row r="30" spans="2:11" ht="12" customHeight="1">
      <c r="B30" s="584">
        <f>+B26-1</f>
        <v>-3</v>
      </c>
      <c r="C30" s="571" t="s">
        <v>364</v>
      </c>
      <c r="D30" s="571"/>
      <c r="E30" s="574">
        <f>E23</f>
        <v>255.4895966270104</v>
      </c>
      <c r="F30" s="574">
        <f t="shared" ref="F30:H30" si="0">F23</f>
        <v>326.51247501255494</v>
      </c>
      <c r="G30" s="574">
        <f>G23</f>
        <v>624.78563512746268</v>
      </c>
      <c r="H30" s="574">
        <f t="shared" si="0"/>
        <v>398.56786487834682</v>
      </c>
      <c r="I30" s="577"/>
      <c r="J30" s="576">
        <f>G30/'4.1 CBA (FR)'!F29</f>
        <v>4.5473773506522841</v>
      </c>
    </row>
    <row r="31" spans="2:11" ht="12.45" customHeight="1">
      <c r="B31" s="599">
        <f>+B30-1</f>
        <v>-4</v>
      </c>
      <c r="C31" s="600" t="s">
        <v>365</v>
      </c>
      <c r="D31" s="600"/>
      <c r="E31" s="601">
        <f>NPV(0.05,'4.2 IRR_Calc'!F8:F52)</f>
        <v>83.573875719721954</v>
      </c>
      <c r="F31" s="601">
        <f>NPV(0.05,'4.2 IRR_Calc'!G8:G52)</f>
        <v>126.65763097243081</v>
      </c>
      <c r="G31" s="601">
        <f>NPV(0.05,'4.2 IRR_Calc'!H8:H52)</f>
        <v>177.01636276182708</v>
      </c>
      <c r="H31" s="601"/>
      <c r="I31" s="577"/>
      <c r="J31" s="576">
        <f>G31/'4.1 CBA (FR)'!F32</f>
        <v>4.122810274554463</v>
      </c>
    </row>
    <row r="32" spans="2:11" ht="12.45" customHeight="1">
      <c r="B32" s="599"/>
      <c r="C32" s="600" t="s">
        <v>366</v>
      </c>
      <c r="D32" s="600"/>
      <c r="E32" s="601">
        <f>NPV(0.05,'4.2 IRR_Calc'!J8:J58)</f>
        <v>243.12400209373661</v>
      </c>
      <c r="F32" s="601">
        <f>NPV(0.05,'4.2 IRR_Calc'!K8:K58)</f>
        <v>368.45856282888957</v>
      </c>
      <c r="G32" s="601">
        <f>NPV(0.05,'4.2 IRR_Calc'!L8:L58)</f>
        <v>514.95669167077028</v>
      </c>
      <c r="H32" s="601"/>
      <c r="I32" s="577"/>
      <c r="J32" s="576">
        <f>G32/'4.1 CBA (FR)'!F33</f>
        <v>4.1228102745544684</v>
      </c>
    </row>
    <row r="33" spans="2:15" ht="12.45" customHeight="1">
      <c r="B33" s="602"/>
      <c r="C33" s="600" t="s">
        <v>367</v>
      </c>
      <c r="D33" s="600"/>
      <c r="E33" s="603">
        <f>NPV(0.05,'4.2 IRR_Calc'!N8:N84)</f>
        <v>668.59100575403193</v>
      </c>
      <c r="F33" s="603">
        <f>NPV(0.05,'4.2 IRR_Calc'!O8:O84)</f>
        <v>1013.2610477737729</v>
      </c>
      <c r="G33" s="603">
        <f>NPV(0.05,'4.2 IRR_Calc'!P8:P84)</f>
        <v>1416.1309020866879</v>
      </c>
      <c r="H33" s="603"/>
      <c r="I33" s="577"/>
      <c r="J33" s="576">
        <f>G33/'4.1 CBA (FR)'!F34</f>
        <v>4.1228102745544648</v>
      </c>
    </row>
    <row r="34" spans="2:15" ht="12" hidden="1" customHeight="1">
      <c r="B34" s="584"/>
      <c r="C34" s="571"/>
      <c r="D34" s="571"/>
      <c r="E34" s="588"/>
      <c r="F34" s="588"/>
      <c r="G34" s="588"/>
      <c r="H34" s="588"/>
      <c r="I34" s="577"/>
      <c r="J34" s="576" t="e">
        <f>G34/'4.1 CBA (FR)'!F35</f>
        <v>#DIV/0!</v>
      </c>
    </row>
    <row r="35" spans="2:15" ht="24" customHeight="1">
      <c r="B35" s="599">
        <f>+B31-1</f>
        <v>-5</v>
      </c>
      <c r="C35" s="604" t="s">
        <v>368</v>
      </c>
      <c r="D35" s="604"/>
      <c r="E35" s="605">
        <f>E30/(1+disc5)/disc5</f>
        <v>4866.46850718115</v>
      </c>
      <c r="F35" s="605">
        <f>F30/(1+disc5)/disc5</f>
        <v>6219.2852383343788</v>
      </c>
      <c r="G35" s="605">
        <f>G30/(1+disc5)/disc5</f>
        <v>11900.678764332621</v>
      </c>
      <c r="H35" s="605"/>
      <c r="I35" s="577"/>
      <c r="J35" s="576">
        <f>G35/'4.1 CBA (FR)'!F36</f>
        <v>4.5473773506522841</v>
      </c>
    </row>
    <row r="36" spans="2:15" ht="12" hidden="1" customHeight="1">
      <c r="B36" s="599"/>
      <c r="C36" s="606" t="s">
        <v>156</v>
      </c>
      <c r="D36" s="606"/>
      <c r="E36" s="587">
        <f>E30/(1+disc7)/disc7</f>
        <v>3411.0760564353855</v>
      </c>
      <c r="F36" s="587">
        <f>F30/(1+disc7)/disc7</f>
        <v>4359.3120829446589</v>
      </c>
      <c r="G36" s="587">
        <f>G30/(1+disc7)/disc7</f>
        <v>8341.5972647191265</v>
      </c>
      <c r="H36" s="587"/>
      <c r="I36" s="577"/>
      <c r="J36" s="576">
        <f>G36/'4.1 CBA (FR)'!F37</f>
        <v>4.547377350652285</v>
      </c>
    </row>
    <row r="37" spans="2:15" ht="12" hidden="1" customHeight="1">
      <c r="B37" s="599"/>
      <c r="C37" s="606" t="s">
        <v>157</v>
      </c>
      <c r="D37" s="606"/>
      <c r="E37" s="587">
        <f>E30/(1+disc10)/disc10</f>
        <v>2322.6326966091851</v>
      </c>
      <c r="F37" s="587">
        <f>F30/(1+disc10)/disc10</f>
        <v>2968.2952273868627</v>
      </c>
      <c r="G37" s="587">
        <f>G30/(1+disc10)/disc10</f>
        <v>5679.8694102496602</v>
      </c>
      <c r="H37" s="587"/>
      <c r="I37" s="577"/>
      <c r="J37" s="576">
        <f>G37/'4.1 CBA (FR)'!F38</f>
        <v>4.5473773506522841</v>
      </c>
    </row>
    <row r="38" spans="2:15" ht="10.199999999999999" customHeight="1">
      <c r="B38" s="607"/>
      <c r="C38" s="607"/>
      <c r="D38" s="607"/>
      <c r="E38" s="5"/>
      <c r="F38" s="5"/>
      <c r="G38" s="5"/>
      <c r="H38" s="5"/>
      <c r="I38" s="577"/>
      <c r="J38" s="576"/>
    </row>
    <row r="39" spans="2:15" ht="12.45" customHeight="1">
      <c r="B39" s="608">
        <f>+B35-1</f>
        <v>-6</v>
      </c>
      <c r="C39" s="609" t="s">
        <v>369</v>
      </c>
      <c r="D39" s="609"/>
      <c r="E39" s="610">
        <f>E26/2+E$30</f>
        <v>394.63883167769166</v>
      </c>
      <c r="F39" s="610">
        <f t="shared" ref="E39:H41" si="1">F26/2+F$30</f>
        <v>392.87777416412916</v>
      </c>
      <c r="G39" s="610">
        <f t="shared" si="1"/>
        <v>883.04997700794775</v>
      </c>
      <c r="H39" s="610">
        <f t="shared" si="1"/>
        <v>553.30784055014635</v>
      </c>
      <c r="I39" s="577"/>
      <c r="J39" s="576">
        <f>G39/'4.1 CBA (FR)'!F40</f>
        <v>4.4371608408076533</v>
      </c>
    </row>
    <row r="40" spans="2:15" ht="12" hidden="1" customHeight="1">
      <c r="B40" s="584"/>
      <c r="C40" s="571" t="s">
        <v>154</v>
      </c>
      <c r="D40" s="571"/>
      <c r="E40" s="611">
        <f t="shared" si="1"/>
        <v>397.2892932977046</v>
      </c>
      <c r="F40" s="611">
        <f t="shared" si="1"/>
        <v>394.14187510034964</v>
      </c>
      <c r="G40" s="611">
        <f t="shared" si="1"/>
        <v>887.9692978056712</v>
      </c>
      <c r="H40" s="611">
        <f t="shared" si="1"/>
        <v>556.25526865818063</v>
      </c>
      <c r="I40" s="577"/>
      <c r="J40" s="576"/>
    </row>
    <row r="41" spans="2:15" ht="12" hidden="1" customHeight="1">
      <c r="B41" s="584"/>
      <c r="C41" s="571" t="s">
        <v>155</v>
      </c>
      <c r="D41" s="571"/>
      <c r="E41" s="611">
        <f t="shared" si="1"/>
        <v>401.26498572772402</v>
      </c>
      <c r="F41" s="611">
        <f t="shared" si="1"/>
        <v>396.03802650468032</v>
      </c>
      <c r="G41" s="611">
        <f t="shared" si="1"/>
        <v>895.3482790022565</v>
      </c>
      <c r="H41" s="611">
        <f t="shared" si="1"/>
        <v>560.67641082023204</v>
      </c>
      <c r="I41" s="577"/>
      <c r="J41" s="576"/>
    </row>
    <row r="42" spans="2:15" ht="8.5500000000000007" hidden="1" customHeight="1">
      <c r="B42" s="584"/>
      <c r="C42" s="571"/>
      <c r="D42" s="571"/>
      <c r="E42" s="588"/>
      <c r="F42" s="588"/>
      <c r="G42" s="588"/>
      <c r="H42" s="588"/>
      <c r="I42" s="577"/>
      <c r="J42" s="576"/>
    </row>
    <row r="43" spans="2:15" ht="12.45" customHeight="1">
      <c r="B43" s="599">
        <f>+B39-1</f>
        <v>-7</v>
      </c>
      <c r="C43" s="612" t="s">
        <v>370</v>
      </c>
      <c r="D43" s="612"/>
      <c r="E43" s="601">
        <f t="shared" ref="E43:G45" si="2">E$26/2+E$30+E31</f>
        <v>478.21270739741362</v>
      </c>
      <c r="F43" s="601">
        <f t="shared" si="2"/>
        <v>519.53540513656003</v>
      </c>
      <c r="G43" s="601">
        <f t="shared" si="2"/>
        <v>1060.0663397697749</v>
      </c>
      <c r="H43" s="601"/>
      <c r="I43" s="577"/>
      <c r="J43" s="576">
        <f>G43/'4.1 CBA (FR)'!F45</f>
        <v>4.3813765590258527</v>
      </c>
      <c r="O43" s="598"/>
    </row>
    <row r="44" spans="2:15" ht="12.45" customHeight="1">
      <c r="B44" s="613"/>
      <c r="C44" s="612" t="s">
        <v>371</v>
      </c>
      <c r="D44" s="612"/>
      <c r="E44" s="601">
        <f t="shared" si="2"/>
        <v>637.76283377142829</v>
      </c>
      <c r="F44" s="601">
        <f t="shared" si="2"/>
        <v>761.33633699301868</v>
      </c>
      <c r="G44" s="601">
        <f t="shared" si="2"/>
        <v>1398.0066686787181</v>
      </c>
      <c r="H44" s="601"/>
      <c r="I44" s="577"/>
      <c r="J44" s="576">
        <f>G44/'4.1 CBA (FR)'!F46</f>
        <v>4.3159453030826596</v>
      </c>
    </row>
    <row r="45" spans="2:15" ht="12.45" customHeight="1">
      <c r="B45" s="583"/>
      <c r="C45" s="612" t="s">
        <v>372</v>
      </c>
      <c r="D45" s="612"/>
      <c r="E45" s="601">
        <f t="shared" si="2"/>
        <v>1063.2298374317236</v>
      </c>
      <c r="F45" s="601">
        <f t="shared" si="2"/>
        <v>1406.1388219379021</v>
      </c>
      <c r="G45" s="601">
        <f t="shared" si="2"/>
        <v>2299.1808790946357</v>
      </c>
      <c r="H45" s="601"/>
      <c r="I45" s="577"/>
      <c r="J45" s="576">
        <f>G45/'4.1 CBA (FR)'!F47</f>
        <v>4.2381277874841139</v>
      </c>
      <c r="N45" s="614"/>
      <c r="O45" s="614"/>
    </row>
    <row r="46" spans="2:15" ht="12" hidden="1" customHeight="1">
      <c r="B46" s="586"/>
      <c r="C46" s="571"/>
      <c r="D46" s="571"/>
      <c r="E46" s="588"/>
      <c r="F46" s="588"/>
      <c r="G46" s="588"/>
      <c r="H46" s="588"/>
      <c r="I46" s="577"/>
      <c r="J46" s="576" t="e">
        <f>G46/'4.1 CBA (FR)'!F48</f>
        <v>#DIV/0!</v>
      </c>
    </row>
    <row r="47" spans="2:15" ht="24" customHeight="1">
      <c r="B47" s="613">
        <f>+B43-1</f>
        <v>-8</v>
      </c>
      <c r="C47" s="615" t="s">
        <v>373</v>
      </c>
      <c r="D47" s="615"/>
      <c r="E47" s="616">
        <f t="shared" ref="E47:G49" si="3">E26/2+E$30+E35</f>
        <v>5261.107338858842</v>
      </c>
      <c r="F47" s="616">
        <f t="shared" si="3"/>
        <v>6612.1630124985077</v>
      </c>
      <c r="G47" s="616">
        <f t="shared" si="3"/>
        <v>12783.728741340568</v>
      </c>
      <c r="H47" s="616"/>
      <c r="I47" s="577"/>
      <c r="J47" s="576">
        <f>G47/'4.1 CBA (FR)'!F49</f>
        <v>4.5395882792385081</v>
      </c>
    </row>
    <row r="48" spans="2:15" ht="12" hidden="1" customHeight="1">
      <c r="B48" s="613"/>
      <c r="C48" s="606" t="s">
        <v>193</v>
      </c>
      <c r="D48" s="606"/>
      <c r="E48" s="617">
        <f t="shared" si="3"/>
        <v>3808.3653497330902</v>
      </c>
      <c r="F48" s="617">
        <f t="shared" si="3"/>
        <v>4753.4539580450082</v>
      </c>
      <c r="G48" s="617">
        <f t="shared" si="3"/>
        <v>9229.5665625247984</v>
      </c>
      <c r="H48" s="617"/>
      <c r="I48" s="577"/>
    </row>
    <row r="49" spans="2:14" ht="12" hidden="1" customHeight="1">
      <c r="B49" s="613"/>
      <c r="C49" s="606" t="s">
        <v>194</v>
      </c>
      <c r="D49" s="606"/>
      <c r="E49" s="617">
        <f t="shared" si="3"/>
        <v>2723.8976823369094</v>
      </c>
      <c r="F49" s="617">
        <f t="shared" si="3"/>
        <v>3364.3332538915429</v>
      </c>
      <c r="G49" s="617">
        <f t="shared" si="3"/>
        <v>6575.2176892519165</v>
      </c>
      <c r="H49" s="617"/>
      <c r="I49" s="577"/>
    </row>
    <row r="50" spans="2:14" ht="12" customHeight="1">
      <c r="B50" s="586"/>
      <c r="C50" s="571"/>
      <c r="D50" s="571"/>
      <c r="E50" s="618"/>
      <c r="F50" s="618"/>
      <c r="G50" s="618"/>
      <c r="H50" s="618"/>
      <c r="I50" s="577"/>
    </row>
    <row r="51" spans="2:14" ht="12.45" customHeight="1">
      <c r="B51" s="619" t="s">
        <v>374</v>
      </c>
      <c r="C51" s="590"/>
      <c r="D51" s="590"/>
      <c r="E51" s="620"/>
      <c r="F51" s="620"/>
      <c r="G51" s="620"/>
      <c r="H51" s="620"/>
      <c r="I51" s="577"/>
    </row>
    <row r="52" spans="2:14" ht="8.5500000000000007" customHeight="1">
      <c r="B52" s="621"/>
      <c r="C52" s="592" t="s">
        <v>197</v>
      </c>
      <c r="D52" s="592"/>
      <c r="E52" s="622"/>
      <c r="F52" s="622"/>
      <c r="G52" s="622"/>
      <c r="H52" s="622"/>
    </row>
    <row r="53" spans="2:14" ht="12.45" customHeight="1">
      <c r="B53" s="584">
        <f>+B47-1</f>
        <v>-9</v>
      </c>
      <c r="C53" s="623" t="s">
        <v>375</v>
      </c>
      <c r="D53" s="623"/>
      <c r="E53" s="624">
        <f>E39/E16</f>
        <v>0.74257249880623732</v>
      </c>
      <c r="F53" s="624">
        <f>F39/F16</f>
        <v>1.3566101676141635</v>
      </c>
      <c r="G53" s="624">
        <f>G39/G16</f>
        <v>1.3720803240833443</v>
      </c>
      <c r="H53" s="624">
        <f>H39/H16</f>
        <v>1.1333355555979674</v>
      </c>
    </row>
    <row r="54" spans="2:14" ht="12.45" hidden="1" customHeight="1">
      <c r="B54" s="584"/>
      <c r="C54" s="623" t="s">
        <v>302</v>
      </c>
      <c r="D54" s="623"/>
      <c r="E54" s="625" t="str">
        <f>"(" &amp; "xx" &amp; "%, " &amp; "xx" &amp; "%)"</f>
        <v>(xx%, xx%)</v>
      </c>
      <c r="F54" s="625" t="str">
        <f t="shared" ref="F54:H54" si="4">"(" &amp; "xx" &amp; "%, " &amp; "xx" &amp; "%)"</f>
        <v>(xx%, xx%)</v>
      </c>
      <c r="G54" s="625" t="str">
        <f t="shared" si="4"/>
        <v>(xx%, xx%)</v>
      </c>
      <c r="H54" s="625" t="str">
        <f t="shared" si="4"/>
        <v>(xx%, xx%)</v>
      </c>
      <c r="J54" s="626"/>
    </row>
    <row r="55" spans="2:14" ht="12.45" customHeight="1">
      <c r="B55" s="584"/>
      <c r="C55" s="623" t="s">
        <v>376</v>
      </c>
      <c r="D55" s="623"/>
      <c r="E55" s="627">
        <f t="shared" ref="E55:H56" si="5">E40/E17</f>
        <v>0.71987476267007178</v>
      </c>
      <c r="F55" s="627">
        <f t="shared" si="5"/>
        <v>1.3105730353140956</v>
      </c>
      <c r="G55" s="627">
        <f t="shared" si="5"/>
        <v>1.3286275258591846</v>
      </c>
      <c r="H55" s="627">
        <f t="shared" si="5"/>
        <v>1.0971774417320186</v>
      </c>
    </row>
    <row r="56" spans="2:14" ht="12.45" customHeight="1">
      <c r="B56" s="584"/>
      <c r="C56" s="623" t="s">
        <v>377</v>
      </c>
      <c r="D56" s="623"/>
      <c r="E56" s="627">
        <f t="shared" si="5"/>
        <v>0.68796055334842798</v>
      </c>
      <c r="F56" s="627">
        <f t="shared" si="5"/>
        <v>1.2460277732527658</v>
      </c>
      <c r="G56" s="627">
        <f t="shared" si="5"/>
        <v>1.2675919834195211</v>
      </c>
      <c r="H56" s="627">
        <f t="shared" si="5"/>
        <v>1.0463987252291995</v>
      </c>
    </row>
    <row r="57" spans="2:14" ht="12.45" customHeight="1">
      <c r="B57" s="599">
        <f>+B53-1</f>
        <v>-10</v>
      </c>
      <c r="C57" s="628" t="s">
        <v>378</v>
      </c>
      <c r="D57" s="628"/>
      <c r="E57" s="629">
        <f>E43/E$16</f>
        <v>0.89982935430696787</v>
      </c>
      <c r="F57" s="629">
        <f t="shared" ref="F57:G59" si="6">F43/F$16</f>
        <v>1.7939600033199126</v>
      </c>
      <c r="G57" s="629">
        <f t="shared" si="6"/>
        <v>1.6471278012479542</v>
      </c>
      <c r="H57" s="629"/>
    </row>
    <row r="58" spans="2:14" ht="12.45" customHeight="1">
      <c r="B58" s="599"/>
      <c r="C58" s="628" t="s">
        <v>379</v>
      </c>
      <c r="D58" s="628"/>
      <c r="E58" s="629">
        <f>E44/E$16</f>
        <v>1.2000469875356352</v>
      </c>
      <c r="F58" s="629">
        <f t="shared" si="6"/>
        <v>2.6289005987581602</v>
      </c>
      <c r="G58" s="629">
        <f t="shared" si="6"/>
        <v>2.1722184394713007</v>
      </c>
      <c r="H58" s="629"/>
    </row>
    <row r="59" spans="2:14" ht="12.45" customHeight="1">
      <c r="B59" s="583"/>
      <c r="C59" s="628" t="s">
        <v>380</v>
      </c>
      <c r="D59" s="628"/>
      <c r="E59" s="629">
        <f>E45/E$16</f>
        <v>2.000627342805037</v>
      </c>
      <c r="F59" s="629">
        <f t="shared" si="6"/>
        <v>4.8554088532405641</v>
      </c>
      <c r="G59" s="629">
        <f t="shared" si="6"/>
        <v>3.5724601413879018</v>
      </c>
      <c r="H59" s="629"/>
      <c r="K59" s="614"/>
      <c r="L59" s="614"/>
      <c r="M59" s="614"/>
      <c r="N59" s="614"/>
    </row>
    <row r="60" spans="2:14" ht="24" customHeight="1">
      <c r="B60" s="613">
        <f>+B57-1</f>
        <v>-11</v>
      </c>
      <c r="C60" s="630" t="s">
        <v>381</v>
      </c>
      <c r="D60" s="630"/>
      <c r="E60" s="631">
        <f t="shared" ref="E60:G62" si="7">E47/E16</f>
        <v>9.8995671725861918</v>
      </c>
      <c r="F60" s="631">
        <f t="shared" si="7"/>
        <v>22.831852964353235</v>
      </c>
      <c r="G60" s="631">
        <f t="shared" si="7"/>
        <v>19.86331819388549</v>
      </c>
      <c r="H60" s="631"/>
    </row>
    <row r="61" spans="2:14" ht="12" hidden="1" customHeight="1">
      <c r="B61" s="613"/>
      <c r="C61" s="632" t="s">
        <v>195</v>
      </c>
      <c r="D61" s="632"/>
      <c r="E61" s="633">
        <f t="shared" si="7"/>
        <v>6.9006292103766409</v>
      </c>
      <c r="F61" s="633">
        <f t="shared" si="7"/>
        <v>15.805853109200173</v>
      </c>
      <c r="G61" s="633">
        <f t="shared" si="7"/>
        <v>13.809774974228466</v>
      </c>
      <c r="H61" s="633"/>
    </row>
    <row r="62" spans="2:14" ht="12" hidden="1" customHeight="1">
      <c r="B62" s="613"/>
      <c r="C62" s="632" t="s">
        <v>196</v>
      </c>
      <c r="D62" s="632"/>
      <c r="E62" s="633">
        <f t="shared" si="7"/>
        <v>4.6700664734215005</v>
      </c>
      <c r="F62" s="633">
        <f t="shared" si="7"/>
        <v>10.584975159644602</v>
      </c>
      <c r="G62" s="633">
        <f t="shared" si="7"/>
        <v>9.3088839590129488</v>
      </c>
      <c r="H62" s="633"/>
    </row>
    <row r="63" spans="2:14" ht="8.4" customHeight="1">
      <c r="B63" s="586"/>
      <c r="C63" s="571"/>
      <c r="D63" s="571"/>
      <c r="E63" s="618"/>
      <c r="F63" s="618"/>
      <c r="G63" s="618"/>
      <c r="H63" s="618"/>
    </row>
    <row r="64" spans="2:14" ht="12.45" customHeight="1">
      <c r="B64" s="599">
        <f>+B60-1</f>
        <v>-12</v>
      </c>
      <c r="C64" s="623" t="s">
        <v>396</v>
      </c>
      <c r="D64" s="623"/>
      <c r="E64" s="618"/>
      <c r="F64" s="618"/>
      <c r="G64" s="618"/>
      <c r="H64" s="618"/>
    </row>
    <row r="65" spans="2:8" ht="12.45" customHeight="1">
      <c r="B65" s="583"/>
      <c r="C65" s="623" t="s">
        <v>395</v>
      </c>
      <c r="D65" s="623"/>
      <c r="E65" s="658">
        <f>IRR('4.2 IRR_Calc'!B5:B7)</f>
        <v>-8.5996182717428149E-2</v>
      </c>
      <c r="F65" s="658">
        <f>IRR('4.2 IRR_Calc'!C5:C7)</f>
        <v>0.41521914770525692</v>
      </c>
      <c r="G65" s="634">
        <f>IRR('4.2 IRR_Calc'!D5:D7)</f>
        <v>0.21386361982092716</v>
      </c>
      <c r="H65" s="634">
        <f>IRR('4.2 IRR_Calc'!E5:E7)</f>
        <v>0.15744542322296895</v>
      </c>
    </row>
    <row r="66" spans="2:8" ht="12.45" customHeight="1">
      <c r="B66" s="583"/>
      <c r="C66" s="628" t="s">
        <v>383</v>
      </c>
      <c r="D66" s="628"/>
      <c r="E66" s="635">
        <f>IRR('4.2 IRR_Calc'!F5:F52)</f>
        <v>2.389640983043928E-2</v>
      </c>
      <c r="F66" s="635">
        <f>IRR('4.2 IRR_Calc'!G5:G52)</f>
        <v>0.53020352715264862</v>
      </c>
      <c r="G66" s="635">
        <f>IRR('4.2 IRR_Calc'!H5:H52)</f>
        <v>0.32072825836334795</v>
      </c>
      <c r="H66" s="635"/>
    </row>
    <row r="67" spans="2:8" ht="12.45" customHeight="1">
      <c r="B67" s="583"/>
      <c r="C67" s="628" t="s">
        <v>384</v>
      </c>
      <c r="D67" s="628"/>
      <c r="E67" s="635">
        <f>IRR('4.2 IRR_Calc'!J5:J58)</f>
        <v>0.1545762919413074</v>
      </c>
      <c r="F67" s="635">
        <f>IRR('4.2 IRR_Calc'!K5:K58)</f>
        <v>0.65771814125104755</v>
      </c>
      <c r="G67" s="635">
        <f>IRR('4.2 IRR_Calc'!L5:L58)</f>
        <v>0.44323018368352884</v>
      </c>
      <c r="H67" s="635"/>
    </row>
    <row r="68" spans="2:8" ht="12.45" customHeight="1">
      <c r="B68" s="583"/>
      <c r="C68" s="628" t="s">
        <v>385</v>
      </c>
      <c r="D68" s="628"/>
      <c r="E68" s="635">
        <f>IRR('4.2 IRR_Calc'!N5:N84)</f>
        <v>0.30558778196292002</v>
      </c>
      <c r="F68" s="635">
        <f>IRR('4.2 IRR_Calc'!O5:O84)</f>
        <v>0.79768798419670839</v>
      </c>
      <c r="G68" s="635">
        <f>IRR('4.2 IRR_Calc'!P5:P84)</f>
        <v>0.58148667914015939</v>
      </c>
      <c r="H68" s="635"/>
    </row>
    <row r="69" spans="2:8" ht="12.45" customHeight="1" thickBot="1">
      <c r="B69" s="636"/>
      <c r="C69" s="637" t="s">
        <v>386</v>
      </c>
      <c r="D69" s="637"/>
      <c r="E69" s="638">
        <f>IRR('4.2 IRR_Calc'!R5:R165)</f>
        <v>0.47500184300139758</v>
      </c>
      <c r="F69" s="638">
        <f>IRR('4.2 IRR_Calc'!S5:S165)</f>
        <v>0.94967857614934181</v>
      </c>
      <c r="G69" s="638">
        <f>IRR('4.2 IRR_Calc'!T5:T165)</f>
        <v>0.73488823735825237</v>
      </c>
      <c r="H69" s="638"/>
    </row>
    <row r="70" spans="2:8" ht="15" customHeight="1" thickTop="1">
      <c r="B70" s="689" t="s">
        <v>399</v>
      </c>
      <c r="C70" s="689"/>
      <c r="D70" s="689"/>
      <c r="E70" s="689"/>
      <c r="F70" s="689"/>
      <c r="G70" s="689"/>
    </row>
    <row r="71" spans="2:8">
      <c r="B71" s="690"/>
      <c r="C71" s="690"/>
      <c r="D71" s="690"/>
      <c r="E71" s="690"/>
      <c r="F71" s="690"/>
      <c r="G71" s="690"/>
    </row>
    <row r="72" spans="2:8" ht="16.2" customHeight="1">
      <c r="B72" s="690"/>
      <c r="C72" s="690"/>
      <c r="D72" s="690"/>
      <c r="E72" s="690"/>
      <c r="F72" s="690"/>
      <c r="G72" s="690"/>
    </row>
    <row r="73" spans="2:8" ht="12.6" customHeight="1">
      <c r="B73" s="690"/>
      <c r="C73" s="690"/>
      <c r="D73" s="690"/>
      <c r="E73" s="690"/>
      <c r="F73" s="690"/>
      <c r="G73" s="690"/>
      <c r="H73" s="639"/>
    </row>
    <row r="74" spans="2:8" ht="12.75" customHeight="1">
      <c r="B74" s="2"/>
      <c r="C74" s="2"/>
      <c r="D74" s="2"/>
    </row>
    <row r="75" spans="2:8" ht="12.75" customHeight="1">
      <c r="B75" s="2"/>
      <c r="C75" s="2"/>
      <c r="D75" s="2"/>
    </row>
    <row r="76" spans="2:8" ht="12.75" customHeight="1">
      <c r="B76" s="2"/>
      <c r="C76" s="2"/>
      <c r="D76" s="2"/>
    </row>
    <row r="77" spans="2:8" ht="12.75" customHeight="1">
      <c r="B77" s="2"/>
      <c r="C77" s="2"/>
      <c r="D77" s="2"/>
    </row>
    <row r="78" spans="2:8" ht="13.5" customHeight="1">
      <c r="B78" s="2"/>
      <c r="C78" s="2"/>
      <c r="D78" s="2"/>
    </row>
    <row r="79" spans="2:8" ht="13.5" customHeight="1">
      <c r="B79" s="2"/>
      <c r="C79" s="2"/>
      <c r="D79" s="2"/>
    </row>
    <row r="80" spans="2:8" ht="13.5" customHeight="1">
      <c r="B80" s="2"/>
      <c r="C80" s="2"/>
      <c r="D80" s="2"/>
    </row>
    <row r="81" s="2" customFormat="1"/>
    <row r="82" s="2" customFormat="1"/>
    <row r="83" s="2" customFormat="1"/>
    <row r="84" s="2" customFormat="1"/>
    <row r="85" s="2" customFormat="1" ht="13.5" customHeight="1"/>
    <row r="86" s="2" customFormat="1"/>
    <row r="87" s="2" customFormat="1" ht="13.5" customHeight="1"/>
    <row r="88" s="2" customFormat="1" ht="13.5" customHeight="1"/>
    <row r="89" s="2" customFormat="1" ht="13.5" customHeight="1"/>
    <row r="90" s="2" customFormat="1" ht="13.5" customHeight="1"/>
    <row r="91" s="2" customFormat="1" ht="13.5" customHeight="1"/>
    <row r="92" s="2" customFormat="1" ht="13.5" customHeigh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hidden="1"/>
    <row r="113" s="2" customFormat="1" hidden="1"/>
    <row r="114" s="2" customFormat="1" hidden="1"/>
    <row r="115" s="2" customFormat="1"/>
    <row r="116" s="2" customFormat="1"/>
    <row r="117" s="2" customFormat="1"/>
    <row r="118" s="2" customFormat="1"/>
    <row r="119" s="2" customFormat="1"/>
    <row r="120" s="2" customFormat="1"/>
    <row r="121" s="2" customFormat="1"/>
    <row r="122" s="2" customFormat="1"/>
  </sheetData>
  <mergeCells count="1">
    <mergeCell ref="B70:G7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0CA5-DF43-441C-A0B0-22C3741A4802}">
  <dimension ref="B2:M125"/>
  <sheetViews>
    <sheetView topLeftCell="A10" workbookViewId="0">
      <selection activeCell="C43" sqref="C43"/>
    </sheetView>
  </sheetViews>
  <sheetFormatPr defaultColWidth="8.77734375" defaultRowHeight="13.8"/>
  <cols>
    <col min="1" max="1" width="2.77734375" style="351" customWidth="1"/>
    <col min="2" max="2" width="4" style="364" customWidth="1"/>
    <col min="3" max="3" width="57.21875" style="388" customWidth="1"/>
    <col min="4" max="4" width="7.21875" style="351" customWidth="1"/>
    <col min="5" max="5" width="9.77734375" style="351" customWidth="1"/>
    <col min="6" max="7" width="7.44140625" style="351" customWidth="1"/>
    <col min="8" max="8" width="11.33203125" style="351" customWidth="1"/>
    <col min="9" max="16384" width="8.77734375" style="351"/>
  </cols>
  <sheetData>
    <row r="2" spans="2:8" ht="14.4" thickBot="1">
      <c r="B2" s="304"/>
      <c r="C2" s="352"/>
      <c r="D2" s="353"/>
      <c r="E2" s="353"/>
      <c r="F2" s="353"/>
      <c r="G2" s="353"/>
    </row>
    <row r="3" spans="2:8" ht="12" customHeight="1" thickTop="1">
      <c r="B3" s="354"/>
      <c r="C3" s="355"/>
      <c r="D3" s="508" t="s">
        <v>141</v>
      </c>
      <c r="E3" s="508" t="s">
        <v>241</v>
      </c>
      <c r="F3" s="508" t="s">
        <v>201</v>
      </c>
      <c r="G3" s="508" t="s">
        <v>304</v>
      </c>
    </row>
    <row r="4" spans="2:8" ht="12.45" customHeight="1">
      <c r="B4" s="356" t="s">
        <v>199</v>
      </c>
      <c r="C4" s="357"/>
      <c r="D4" s="358"/>
      <c r="E4" s="358"/>
      <c r="F4" s="358"/>
      <c r="G4" s="358"/>
    </row>
    <row r="5" spans="2:8" ht="12.45" customHeight="1">
      <c r="B5" s="356"/>
      <c r="C5" s="359" t="s">
        <v>183</v>
      </c>
      <c r="D5" s="346">
        <f>'4.1 CBA (ed7)'!E5</f>
        <v>77.534919087631735</v>
      </c>
      <c r="E5" s="346">
        <f>'4.1 CBA (ed7)'!F5</f>
        <v>77.534919087631735</v>
      </c>
      <c r="F5" s="346">
        <f>'4.1 CBA (ed7)'!G5</f>
        <v>77.534919087631735</v>
      </c>
      <c r="G5" s="346"/>
      <c r="H5" s="396"/>
    </row>
    <row r="6" spans="2:8" ht="12.45" customHeight="1">
      <c r="B6" s="356"/>
      <c r="C6" s="359" t="s">
        <v>184</v>
      </c>
      <c r="D6" s="346">
        <f>'4.1 CBA (ed7)'!E6</f>
        <v>3.2093470015796295</v>
      </c>
      <c r="E6" s="346">
        <f>'4.1 CBA (ed7)'!F6</f>
        <v>3.2093470015796295</v>
      </c>
      <c r="F6" s="346">
        <f>'4.1 CBA (ed7)'!G6</f>
        <v>3.2093470015796295</v>
      </c>
      <c r="G6" s="346"/>
      <c r="H6" s="398"/>
    </row>
    <row r="7" spans="2:8" ht="12.45" customHeight="1">
      <c r="B7" s="356"/>
      <c r="C7" s="359" t="s">
        <v>185</v>
      </c>
      <c r="D7" s="346">
        <f>'4.1 CBA (ed7)'!E7</f>
        <v>1.4442087063454137</v>
      </c>
      <c r="E7" s="346">
        <f>'4.1 CBA (ed7)'!F7</f>
        <v>1.4442087063454137</v>
      </c>
      <c r="F7" s="346">
        <f>'4.1 CBA (ed7)'!G7</f>
        <v>1.4442087063454137</v>
      </c>
      <c r="G7" s="346"/>
      <c r="H7" s="397"/>
    </row>
    <row r="8" spans="2:8" ht="12.45" customHeight="1">
      <c r="B8" s="356"/>
      <c r="C8" s="359" t="s">
        <v>186</v>
      </c>
      <c r="D8" s="346">
        <f>'4.1 CBA (ed7)'!E8</f>
        <v>8.60457657191286</v>
      </c>
      <c r="E8" s="346">
        <f>'4.1 CBA (ed7)'!F8</f>
        <v>8.60457657191286</v>
      </c>
      <c r="F8" s="346">
        <f>'4.1 CBA (ed7)'!G8</f>
        <v>8.60457657191286</v>
      </c>
      <c r="G8" s="346"/>
      <c r="H8" s="398"/>
    </row>
    <row r="9" spans="2:8" ht="12.45" customHeight="1">
      <c r="B9" s="356"/>
      <c r="C9" s="359" t="s">
        <v>187</v>
      </c>
      <c r="D9" s="346">
        <f>'4.1 CBA (ed7)'!E9</f>
        <v>0</v>
      </c>
      <c r="E9" s="346">
        <f>'4.1 CBA (ed7)'!F9</f>
        <v>37.871929173175715</v>
      </c>
      <c r="F9" s="346">
        <f>'4.1 CBA (ed7)'!G9</f>
        <v>37.871929173175715</v>
      </c>
      <c r="G9" s="346"/>
      <c r="H9" s="398"/>
    </row>
    <row r="10" spans="2:8" ht="12.45" customHeight="1">
      <c r="B10" s="356"/>
      <c r="C10" s="359" t="s">
        <v>188</v>
      </c>
      <c r="D10" s="346">
        <f>'4.1 CBA (ed7)'!E10</f>
        <v>1.9594531115242388</v>
      </c>
      <c r="E10" s="346">
        <f>'4.1 CBA (ed7)'!F10</f>
        <v>1.9594531115242388</v>
      </c>
      <c r="F10" s="346">
        <f>'4.1 CBA (ed7)'!G10</f>
        <v>1.9594531115242388</v>
      </c>
      <c r="G10" s="346"/>
      <c r="H10" s="397"/>
    </row>
    <row r="11" spans="2:8" ht="12.45" customHeight="1">
      <c r="B11" s="356"/>
      <c r="C11" s="359" t="s">
        <v>189</v>
      </c>
      <c r="D11" s="346">
        <f>'4.1 CBA (ed7)'!E11</f>
        <v>0</v>
      </c>
      <c r="E11" s="346">
        <f>'4.1 CBA (ed7)'!F11</f>
        <v>63.839213487437462</v>
      </c>
      <c r="F11" s="346">
        <f>'4.1 CBA (ed7)'!G11</f>
        <v>63.839213487437462</v>
      </c>
      <c r="G11" s="346"/>
      <c r="H11" s="398"/>
    </row>
    <row r="12" spans="2:8" ht="12.45" customHeight="1">
      <c r="B12" s="356"/>
      <c r="C12" s="359" t="s">
        <v>190</v>
      </c>
      <c r="D12" s="346">
        <f>'4.1 CBA (ed7)'!E12</f>
        <v>64.56767076949275</v>
      </c>
      <c r="E12" s="346">
        <f>'4.1 CBA (ed7)'!F12</f>
        <v>64.56767076949275</v>
      </c>
      <c r="F12" s="346">
        <f>'4.1 CBA (ed7)'!G12</f>
        <v>64.56767076949275</v>
      </c>
      <c r="G12" s="346"/>
      <c r="H12" s="398"/>
    </row>
    <row r="13" spans="2:8" ht="12.45" customHeight="1">
      <c r="B13" s="356"/>
      <c r="C13" s="359" t="s">
        <v>191</v>
      </c>
      <c r="D13" s="346">
        <f>'4.1 CBA (ed7)'!E13</f>
        <v>321.07228646064357</v>
      </c>
      <c r="E13" s="346">
        <f>'4.1 CBA (ed7)'!F13</f>
        <v>0</v>
      </c>
      <c r="F13" s="346">
        <f>'4.1 CBA (ed7)'!G13</f>
        <v>321.07228646064357</v>
      </c>
      <c r="G13" s="346"/>
      <c r="H13" s="398"/>
    </row>
    <row r="14" spans="2:8" ht="12.45" customHeight="1">
      <c r="B14" s="356"/>
      <c r="C14" s="359" t="s">
        <v>192</v>
      </c>
      <c r="D14" s="346">
        <f>'4.1 CBA (ed7)'!E14</f>
        <v>3.6467388421307181</v>
      </c>
      <c r="E14" s="346">
        <f>'4.1 CBA (ed7)'!F14</f>
        <v>3.6467388421307181</v>
      </c>
      <c r="F14" s="346">
        <f>'4.1 CBA (ed7)'!G14</f>
        <v>3.6467388421307181</v>
      </c>
      <c r="G14" s="346"/>
      <c r="H14" s="395"/>
    </row>
    <row r="15" spans="2:8" ht="12.45" customHeight="1">
      <c r="B15" s="360"/>
      <c r="C15" s="357" t="s">
        <v>182</v>
      </c>
      <c r="D15" s="346">
        <f>SUM(D5:D14)</f>
        <v>482.03920055126093</v>
      </c>
      <c r="E15" s="346">
        <f>SUM(E5:E14)</f>
        <v>262.67805675123049</v>
      </c>
      <c r="F15" s="346">
        <f>SUM(F5:F14)</f>
        <v>583.75034321187411</v>
      </c>
      <c r="G15" s="346">
        <f>AVERAGE(D15:F15)</f>
        <v>442.82253350478851</v>
      </c>
      <c r="H15" s="396"/>
    </row>
    <row r="16" spans="2:8" ht="12.45" customHeight="1">
      <c r="B16" s="361">
        <v>-1</v>
      </c>
      <c r="C16" s="357" t="s">
        <v>181</v>
      </c>
      <c r="D16" s="347">
        <f>D15*(1+disc5)^2</f>
        <v>531.44821860776517</v>
      </c>
      <c r="E16" s="347">
        <f>E15*(1+disc5)^2</f>
        <v>289.60255756823165</v>
      </c>
      <c r="F16" s="347">
        <f>F15*(1+disc5)^2</f>
        <v>643.58475339109123</v>
      </c>
      <c r="G16" s="347">
        <f>G15*(1+disc5)^2</f>
        <v>488.21184318902937</v>
      </c>
      <c r="H16" s="398"/>
    </row>
    <row r="17" spans="2:12" ht="12" hidden="1" customHeight="1">
      <c r="B17" s="361"/>
      <c r="C17" s="357" t="s">
        <v>174</v>
      </c>
      <c r="D17" s="348">
        <f>D15*(1+disc7)^2</f>
        <v>551.88668071113864</v>
      </c>
      <c r="E17" s="348">
        <f>E15*(1+disc7)^2</f>
        <v>300.7401071744838</v>
      </c>
      <c r="F17" s="348">
        <f>F15*(1+disc7)^2</f>
        <v>668.33576794327473</v>
      </c>
      <c r="G17" s="348"/>
      <c r="H17" s="398"/>
    </row>
    <row r="18" spans="2:12" ht="12" hidden="1" customHeight="1">
      <c r="B18" s="361"/>
      <c r="C18" s="357" t="s">
        <v>175</v>
      </c>
      <c r="D18" s="348">
        <f>D15*(1+disc10)^2</f>
        <v>583.26743266702579</v>
      </c>
      <c r="E18" s="348">
        <f>E15*(1+disc10)^2</f>
        <v>317.84044866898893</v>
      </c>
      <c r="F18" s="348">
        <f>F15*(1+disc10)^2</f>
        <v>706.33791528636777</v>
      </c>
      <c r="G18" s="348"/>
      <c r="H18" s="398"/>
    </row>
    <row r="19" spans="2:12" ht="12" customHeight="1">
      <c r="B19" s="360"/>
      <c r="C19" s="357"/>
      <c r="D19" s="349"/>
      <c r="E19" s="349"/>
      <c r="F19" s="349"/>
      <c r="G19" s="349"/>
      <c r="H19" s="398"/>
      <c r="K19" s="392"/>
      <c r="L19" s="392"/>
    </row>
    <row r="20" spans="2:12" ht="12.45" customHeight="1">
      <c r="B20" s="362" t="s">
        <v>283</v>
      </c>
      <c r="C20" s="363"/>
      <c r="D20" s="350"/>
      <c r="E20" s="350"/>
      <c r="F20" s="350"/>
      <c r="G20" s="350"/>
      <c r="H20" s="398"/>
    </row>
    <row r="21" spans="2:12" ht="7.2" customHeight="1">
      <c r="C21" s="365" t="s">
        <v>197</v>
      </c>
      <c r="H21" s="398"/>
    </row>
    <row r="22" spans="2:12" ht="12" hidden="1" customHeight="1">
      <c r="B22" s="366"/>
      <c r="C22" s="357" t="s">
        <v>177</v>
      </c>
      <c r="D22" s="399">
        <f>'4.1 CBA (ed7)'!E22</f>
        <v>0.15262697339254899</v>
      </c>
      <c r="E22" s="399">
        <f>'4.1 CBA (ed7)'!F22</f>
        <v>8.8033499570979432E-2</v>
      </c>
      <c r="F22" s="399">
        <f>'4.1 CBA (ed7)'!G22</f>
        <v>0.24952689818903459</v>
      </c>
      <c r="G22" s="399">
        <f>'4.1 CBA (ed7)'!H22</f>
        <v>0.1635545655197406</v>
      </c>
      <c r="H22" s="460"/>
      <c r="I22" s="460"/>
      <c r="J22" s="460"/>
    </row>
    <row r="23" spans="2:12" ht="12" hidden="1" customHeight="1">
      <c r="B23" s="366"/>
      <c r="C23" s="357" t="s">
        <v>178</v>
      </c>
      <c r="D23" s="399">
        <f>'4.1 CBA (ed7)'!E23</f>
        <v>0.11941047796757651</v>
      </c>
      <c r="E23" s="399">
        <f>'4.1 CBA (ed7)'!F23</f>
        <v>0.1809686115716401</v>
      </c>
      <c r="F23" s="399">
        <f>'4.1 CBA (ed7)'!G23</f>
        <v>0.25292124247486092</v>
      </c>
      <c r="G23" s="399">
        <f>'4.1 CBA (ed7)'!H23</f>
        <v>0.18292683471879517</v>
      </c>
      <c r="H23" s="460"/>
      <c r="I23" s="460"/>
      <c r="J23" s="460"/>
    </row>
    <row r="24" spans="2:12" ht="12" hidden="1" customHeight="1">
      <c r="B24" s="366"/>
      <c r="C24" s="357"/>
      <c r="D24" s="399"/>
      <c r="E24" s="399"/>
      <c r="F24" s="399"/>
      <c r="G24" s="399"/>
      <c r="H24" s="460"/>
      <c r="I24" s="460"/>
      <c r="J24" s="460"/>
    </row>
    <row r="25" spans="2:12" ht="12" hidden="1" customHeight="1">
      <c r="B25" s="366"/>
      <c r="C25" s="357" t="s">
        <v>244</v>
      </c>
      <c r="D25" s="391">
        <f>D22*30.4167*adultperhh_fu1</f>
        <v>24.66450851129861</v>
      </c>
      <c r="E25" s="391">
        <f>E22*30.4167*adultperhh_fu1</f>
        <v>14.226207538449586</v>
      </c>
      <c r="F25" s="391">
        <f>F22*30.4167*adultperhh_fu1</f>
        <v>40.323529762674546</v>
      </c>
      <c r="G25" s="391">
        <f>G22*30.4167*adultperhh_fu1</f>
        <v>26.430406655238841</v>
      </c>
      <c r="H25" s="460"/>
      <c r="I25" s="460"/>
      <c r="J25" s="460"/>
    </row>
    <row r="26" spans="2:12" ht="12" hidden="1" customHeight="1">
      <c r="B26" s="366"/>
      <c r="C26" s="357" t="s">
        <v>245</v>
      </c>
      <c r="D26" s="391">
        <f>D23*30.4167*adultperhh_fu2</f>
        <v>22.28639128200826</v>
      </c>
      <c r="E26" s="391">
        <f>E23*30.4167*adultperhh_fu2</f>
        <v>33.775405273417093</v>
      </c>
      <c r="F26" s="391">
        <f>F23*30.4167*adultperhh_fu2</f>
        <v>47.204415133963117</v>
      </c>
      <c r="G26" s="391">
        <f>G23*30.4167*adultperhh_fu2</f>
        <v>34.140881804604192</v>
      </c>
      <c r="H26" s="460"/>
      <c r="I26" s="460"/>
      <c r="J26" s="460"/>
    </row>
    <row r="27" spans="2:12" ht="12" hidden="1" customHeight="1">
      <c r="B27" s="366"/>
      <c r="C27" s="357"/>
      <c r="D27" s="391"/>
      <c r="E27" s="391"/>
      <c r="F27" s="391"/>
      <c r="G27" s="391"/>
      <c r="H27" s="398"/>
    </row>
    <row r="28" spans="2:12" ht="12.45" customHeight="1">
      <c r="B28" s="361">
        <f>+B16-1</f>
        <v>-2</v>
      </c>
      <c r="C28" s="357" t="s">
        <v>280</v>
      </c>
      <c r="D28" s="495">
        <f>NPV(disc5/12, '4.1.1 smooth cashflow'!D5:D10)*(1+disc5)^2</f>
        <v>160.80256096719091</v>
      </c>
      <c r="E28" s="495">
        <f>NPV(disc5/12, '4.1.1 smooth cashflow'!E5:E10)*(1+disc5)^2</f>
        <v>92.749085350130315</v>
      </c>
      <c r="F28" s="495">
        <f>NPV(disc5/12, '4.1.1 smooth cashflow'!F5:F10)*(1+disc5)^2</f>
        <v>262.89300879863407</v>
      </c>
      <c r="G28" s="495"/>
      <c r="H28" s="468"/>
      <c r="K28" s="367"/>
    </row>
    <row r="29" spans="2:12" ht="12" hidden="1" customHeight="1">
      <c r="B29" s="361"/>
      <c r="C29" s="357" t="s">
        <v>281</v>
      </c>
      <c r="D29" s="495">
        <f>NPV(disc7/12, '4.1.1 smooth cashflow'!D5:D10)*(1+disc7)^2</f>
        <v>166.02428301300463</v>
      </c>
      <c r="E29" s="495">
        <f>NPV(disc7/12, '4.1.1 smooth cashflow'!E5:E10)*(1+disc7)^2</f>
        <v>95.760915141825279</v>
      </c>
      <c r="F29" s="495">
        <f>NPV(disc7/12, '4.1.1 smooth cashflow'!F5:F10)*(1+disc7)^2</f>
        <v>271.42990156624495</v>
      </c>
      <c r="G29" s="495"/>
      <c r="H29" s="398"/>
    </row>
    <row r="30" spans="2:12" ht="12" hidden="1" customHeight="1">
      <c r="B30" s="361"/>
      <c r="C30" s="357" t="s">
        <v>282</v>
      </c>
      <c r="D30" s="495">
        <f>NPV(disc10/12, '4.1.1 smooth cashflow'!D5:D10)*(1+disc10)^2</f>
        <v>173.95554192329894</v>
      </c>
      <c r="E30" s="495">
        <f>NPV(disc10/12, '4.1.1 smooth cashflow'!E5:E10)*(1+disc10)^2</f>
        <v>100.33557493070117</v>
      </c>
      <c r="F30" s="495">
        <f>NPV(disc10/12, '4.1.1 smooth cashflow'!F5:F10)*(1+disc10)^2</f>
        <v>284.39656394989743</v>
      </c>
      <c r="G30" s="495"/>
      <c r="H30" s="398"/>
    </row>
    <row r="31" spans="2:12" ht="12" hidden="1" customHeight="1">
      <c r="B31" s="361"/>
      <c r="C31" s="357"/>
      <c r="D31" s="496"/>
      <c r="E31" s="496"/>
      <c r="F31" s="496"/>
      <c r="G31" s="496"/>
      <c r="H31" s="398"/>
      <c r="J31" s="367"/>
    </row>
    <row r="32" spans="2:12" ht="12" customHeight="1">
      <c r="B32" s="361">
        <f>+B28-1</f>
        <v>-3</v>
      </c>
      <c r="C32" s="357" t="s">
        <v>279</v>
      </c>
      <c r="D32" s="496">
        <f>NPV(disc5/12,0,0,0,0,0,0,'4.1.1 smooth cashflow'!D11:D22)*(1+disc5)^2</f>
        <v>293.75913074703311</v>
      </c>
      <c r="E32" s="496">
        <f>NPV(disc5/12,0,0,0,0,0,0,'4.1.1 smooth cashflow'!E11:E22)*(1+disc5)^2</f>
        <v>310.69741265103079</v>
      </c>
      <c r="F32" s="496">
        <f>NPV(disc5/12,0,0,0,0,0,0,'4.1.1 smooth cashflow'!F11:F22)*(1+disc5)^2</f>
        <v>552.97367348609589</v>
      </c>
      <c r="G32" s="496"/>
      <c r="H32" s="398"/>
      <c r="J32" s="367"/>
    </row>
    <row r="33" spans="2:13" ht="12" hidden="1" customHeight="1">
      <c r="B33" s="361"/>
      <c r="C33" s="357" t="s">
        <v>284</v>
      </c>
      <c r="D33" s="496">
        <f>NPV(disc7/12,0,0,0,0,0,0,'4.1.1 smooth cashflow'!D11:D22)*(1+disc7)^2</f>
        <v>298.87738410171136</v>
      </c>
      <c r="E33" s="496">
        <f>NPV(disc7/12,0,0,0,0,0,0,'4.1.1 smooth cashflow'!E11:E22)*(1+disc7)^2</f>
        <v>315.64655888935243</v>
      </c>
      <c r="F33" s="496">
        <f>NPV(disc7/12,0,0,0,0,0,0,'4.1.1 smooth cashflow'!F11:F22)*(1+disc7)^2</f>
        <v>562.36934248699106</v>
      </c>
      <c r="G33" s="496"/>
      <c r="H33" s="398"/>
      <c r="J33" s="367"/>
    </row>
    <row r="34" spans="2:13" ht="12" hidden="1" customHeight="1">
      <c r="B34" s="361"/>
      <c r="C34" s="357" t="s">
        <v>285</v>
      </c>
      <c r="D34" s="496">
        <f>NPV(disc10/12,0,0,0,0,0,0,'4.1.1 smooth cashflow'!D11:D22)*(1+disc10)^2</f>
        <v>306.36142004991319</v>
      </c>
      <c r="E34" s="496">
        <f>NPV(disc10/12,0,0,0,0,0,0,'4.1.1 smooth cashflow'!E11:E22)*(1+disc10)^2</f>
        <v>322.83862879964812</v>
      </c>
      <c r="F34" s="496">
        <f>NPV(disc10/12,0,0,0,0,0,0,'4.1.1 smooth cashflow'!F11:F22)*(1+disc10)^2</f>
        <v>576.08491526312082</v>
      </c>
      <c r="G34" s="496"/>
      <c r="H34" s="398"/>
      <c r="J34" s="367"/>
    </row>
    <row r="35" spans="2:13" ht="12" hidden="1" customHeight="1">
      <c r="B35" s="368"/>
      <c r="C35" s="369"/>
      <c r="D35" s="495"/>
      <c r="E35" s="495"/>
      <c r="F35" s="495"/>
      <c r="G35" s="495"/>
      <c r="H35" s="398"/>
      <c r="J35" s="367"/>
    </row>
    <row r="36" spans="2:13" ht="12.45" customHeight="1">
      <c r="B36" s="368">
        <f>+B32-1</f>
        <v>-4</v>
      </c>
      <c r="C36" s="370" t="s">
        <v>292</v>
      </c>
      <c r="D36" s="497">
        <f>NPV(disc5,'4.2 IRR_Calc_smooth'!F9:F33)</f>
        <v>91.799728358447794</v>
      </c>
      <c r="E36" s="497">
        <f>NPV(disc5,'4.2 IRR_Calc_smooth'!G9:G33)</f>
        <v>97.092941453447096</v>
      </c>
      <c r="F36" s="497">
        <f>NPV(disc5,'4.2 IRR_Calc_smooth'!H9:H33)</f>
        <v>172.8042729644049</v>
      </c>
      <c r="G36" s="497"/>
      <c r="H36" s="398"/>
    </row>
    <row r="37" spans="2:13" ht="12.45" hidden="1" customHeight="1">
      <c r="B37" s="368"/>
      <c r="C37" s="370" t="s">
        <v>293</v>
      </c>
      <c r="D37" s="497">
        <f>NPV(disc5,'4.2 IRR_Calc_smooth'!J9:J57)</f>
        <v>267.05375522457547</v>
      </c>
      <c r="E37" s="497">
        <f>NPV(disc5,'4.2 IRR_Calc_smooth'!K9:K57)</f>
        <v>282.45219331911869</v>
      </c>
      <c r="F37" s="497">
        <f>NPV(disc5,'4.2 IRR_Calc_smooth'!L9:L57)</f>
        <v>502.70333953281437</v>
      </c>
      <c r="G37" s="497"/>
      <c r="H37" s="398"/>
    </row>
    <row r="38" spans="2:13" ht="12.45" hidden="1" customHeight="1">
      <c r="B38" s="360"/>
      <c r="C38" s="370" t="s">
        <v>294</v>
      </c>
      <c r="D38" s="498">
        <f>NPV(disc5,'4.2 IRR_Calc_smooth'!N9:N87)</f>
        <v>734.3978268654846</v>
      </c>
      <c r="E38" s="498">
        <f>NPV(disc5,'4.2 IRR_Calc_smooth'!O9:O87)</f>
        <v>776.74353162535795</v>
      </c>
      <c r="F38" s="498">
        <f>NPV(disc5,'4.2 IRR_Calc_smooth'!P9:P87)</f>
        <v>1382.43418371129</v>
      </c>
      <c r="G38" s="498"/>
      <c r="H38" s="398"/>
    </row>
    <row r="39" spans="2:13" ht="24" customHeight="1">
      <c r="B39" s="368">
        <f>+B36-1</f>
        <v>-5</v>
      </c>
      <c r="C39" s="371" t="s">
        <v>300</v>
      </c>
      <c r="D39" s="499">
        <f>D32/(1+disc5)/disc5</f>
        <v>5595.4120142292013</v>
      </c>
      <c r="E39" s="499">
        <f>E32/(1+disc5)/disc5</f>
        <v>5918.0459552577286</v>
      </c>
      <c r="F39" s="499">
        <f>F32/(1+disc5)/disc5</f>
        <v>10532.831875925634</v>
      </c>
      <c r="G39" s="499"/>
      <c r="H39" s="398"/>
    </row>
    <row r="40" spans="2:13" ht="12" hidden="1" customHeight="1">
      <c r="B40" s="368"/>
      <c r="C40" s="369" t="s">
        <v>264</v>
      </c>
      <c r="D40" s="500">
        <f>D33/(1+disc7)/disc7</f>
        <v>3990.3522576997502</v>
      </c>
      <c r="E40" s="500">
        <f>E33/(1+disc7)/disc7</f>
        <v>4214.2397715534362</v>
      </c>
      <c r="F40" s="500">
        <f>F33/(1+disc7)/disc7</f>
        <v>7508.2689250599587</v>
      </c>
      <c r="G40" s="500"/>
      <c r="H40" s="398"/>
    </row>
    <row r="41" spans="2:13" ht="12" hidden="1" customHeight="1">
      <c r="B41" s="368"/>
      <c r="C41" s="369" t="s">
        <v>265</v>
      </c>
      <c r="D41" s="500">
        <f>D34/(1+disc10)/disc10</f>
        <v>2785.103818635574</v>
      </c>
      <c r="E41" s="500">
        <f>E34/(1+disc10)/disc10</f>
        <v>2934.8966254513462</v>
      </c>
      <c r="F41" s="500">
        <f>F34/(1+disc10)/disc10</f>
        <v>5237.1355933010973</v>
      </c>
      <c r="G41" s="500"/>
      <c r="H41" s="398"/>
    </row>
    <row r="42" spans="2:13" ht="10.199999999999999" customHeight="1">
      <c r="B42" s="372"/>
      <c r="C42" s="373"/>
      <c r="D42" s="501"/>
      <c r="E42" s="501"/>
      <c r="F42" s="501"/>
      <c r="G42" s="501"/>
      <c r="H42" s="398"/>
    </row>
    <row r="43" spans="2:13" ht="12.45" customHeight="1">
      <c r="B43" s="374">
        <f>+B39-1</f>
        <v>-6</v>
      </c>
      <c r="C43" s="375" t="s">
        <v>306</v>
      </c>
      <c r="D43" s="502">
        <f t="shared" ref="D43:F45" si="0">D28+D32</f>
        <v>454.56169171422403</v>
      </c>
      <c r="E43" s="502">
        <f t="shared" si="0"/>
        <v>403.4464980011611</v>
      </c>
      <c r="F43" s="502">
        <f t="shared" si="0"/>
        <v>815.8666822847299</v>
      </c>
      <c r="G43" s="502"/>
      <c r="H43" s="398"/>
    </row>
    <row r="44" spans="2:13" ht="12" hidden="1" customHeight="1">
      <c r="B44" s="361"/>
      <c r="C44" s="357" t="s">
        <v>193</v>
      </c>
      <c r="D44" s="502">
        <f t="shared" si="0"/>
        <v>464.90166711471602</v>
      </c>
      <c r="E44" s="502">
        <f t="shared" si="0"/>
        <v>411.40747403117768</v>
      </c>
      <c r="F44" s="502">
        <f t="shared" si="0"/>
        <v>833.79924405323595</v>
      </c>
      <c r="G44" s="502"/>
      <c r="H44" s="398"/>
    </row>
    <row r="45" spans="2:13" ht="12" hidden="1" customHeight="1">
      <c r="B45" s="361"/>
      <c r="C45" s="357" t="s">
        <v>194</v>
      </c>
      <c r="D45" s="502">
        <f t="shared" si="0"/>
        <v>480.31696197321213</v>
      </c>
      <c r="E45" s="502">
        <f t="shared" si="0"/>
        <v>423.17420373034929</v>
      </c>
      <c r="F45" s="502">
        <f t="shared" si="0"/>
        <v>860.48147921301825</v>
      </c>
      <c r="G45" s="502"/>
      <c r="H45" s="398"/>
    </row>
    <row r="46" spans="2:13" ht="12.6" hidden="1" customHeight="1">
      <c r="B46" s="361"/>
      <c r="C46" s="357"/>
      <c r="D46" s="496"/>
      <c r="E46" s="496"/>
      <c r="F46" s="496"/>
      <c r="G46" s="496"/>
      <c r="H46" s="398"/>
    </row>
    <row r="47" spans="2:13" ht="12.45" customHeight="1">
      <c r="B47" s="368">
        <f>+B43-1</f>
        <v>-7</v>
      </c>
      <c r="C47" s="376" t="s">
        <v>286</v>
      </c>
      <c r="D47" s="497">
        <f t="shared" ref="D47:F49" si="1">D$28+D$32+D36</f>
        <v>546.36142007267176</v>
      </c>
      <c r="E47" s="497">
        <f t="shared" si="1"/>
        <v>500.53943945460821</v>
      </c>
      <c r="F47" s="497">
        <f t="shared" si="1"/>
        <v>988.67095524913475</v>
      </c>
      <c r="G47" s="497"/>
      <c r="H47" s="398"/>
      <c r="M47" s="367"/>
    </row>
    <row r="48" spans="2:13" ht="12.45" customHeight="1">
      <c r="B48" s="368"/>
      <c r="C48" s="376" t="s">
        <v>287</v>
      </c>
      <c r="D48" s="497">
        <f t="shared" si="1"/>
        <v>721.61544693879955</v>
      </c>
      <c r="E48" s="497">
        <f t="shared" si="1"/>
        <v>685.8986913202798</v>
      </c>
      <c r="F48" s="497">
        <f t="shared" si="1"/>
        <v>1318.5700218175443</v>
      </c>
      <c r="G48" s="497"/>
      <c r="H48" s="398"/>
    </row>
    <row r="49" spans="2:13" ht="12.45" customHeight="1">
      <c r="B49" s="360"/>
      <c r="C49" s="376" t="s">
        <v>288</v>
      </c>
      <c r="D49" s="497">
        <f t="shared" si="1"/>
        <v>1188.9595185797086</v>
      </c>
      <c r="E49" s="497">
        <f t="shared" si="1"/>
        <v>1180.1900296265189</v>
      </c>
      <c r="F49" s="497">
        <f t="shared" si="1"/>
        <v>2198.3008659960196</v>
      </c>
      <c r="G49" s="497"/>
      <c r="H49" s="398"/>
      <c r="L49" s="377"/>
      <c r="M49" s="377"/>
    </row>
    <row r="50" spans="2:13" ht="12" hidden="1" customHeight="1">
      <c r="B50" s="361"/>
      <c r="C50" s="357"/>
      <c r="D50" s="496"/>
      <c r="E50" s="496"/>
      <c r="F50" s="496"/>
      <c r="G50" s="496"/>
      <c r="H50" s="398"/>
    </row>
    <row r="51" spans="2:13" ht="24" customHeight="1">
      <c r="B51" s="368">
        <f>+B47-1</f>
        <v>-8</v>
      </c>
      <c r="C51" s="378" t="s">
        <v>299</v>
      </c>
      <c r="D51" s="503">
        <f t="shared" ref="D51:F53" si="2">D28+D32+D39</f>
        <v>6049.9737059434256</v>
      </c>
      <c r="E51" s="503">
        <f t="shared" si="2"/>
        <v>6321.4924532588893</v>
      </c>
      <c r="F51" s="503">
        <f t="shared" si="2"/>
        <v>11348.698558210364</v>
      </c>
      <c r="G51" s="503"/>
      <c r="H51" s="398"/>
    </row>
    <row r="52" spans="2:13" ht="12" hidden="1" customHeight="1">
      <c r="B52" s="368"/>
      <c r="C52" s="369" t="s">
        <v>193</v>
      </c>
      <c r="D52" s="481">
        <f t="shared" si="2"/>
        <v>4455.2539248144658</v>
      </c>
      <c r="E52" s="481">
        <f t="shared" si="2"/>
        <v>4625.6472455846142</v>
      </c>
      <c r="F52" s="481">
        <f t="shared" si="2"/>
        <v>8342.068169113194</v>
      </c>
      <c r="G52" s="481"/>
      <c r="H52" s="398"/>
    </row>
    <row r="53" spans="2:13" ht="12" hidden="1" customHeight="1">
      <c r="B53" s="368"/>
      <c r="C53" s="369" t="s">
        <v>194</v>
      </c>
      <c r="D53" s="481">
        <f t="shared" si="2"/>
        <v>3265.4207806087861</v>
      </c>
      <c r="E53" s="481">
        <f t="shared" si="2"/>
        <v>3358.0708291816954</v>
      </c>
      <c r="F53" s="481">
        <f t="shared" si="2"/>
        <v>6097.6170725141155</v>
      </c>
      <c r="G53" s="481"/>
      <c r="H53" s="398"/>
    </row>
    <row r="54" spans="2:13" ht="12" customHeight="1">
      <c r="B54" s="361"/>
      <c r="C54" s="357"/>
      <c r="D54" s="337"/>
      <c r="E54" s="337"/>
      <c r="F54" s="337"/>
      <c r="G54" s="337"/>
      <c r="H54" s="398"/>
    </row>
    <row r="55" spans="2:13" ht="12.45" customHeight="1">
      <c r="B55" s="379" t="s">
        <v>176</v>
      </c>
      <c r="C55" s="363"/>
      <c r="D55" s="338"/>
      <c r="E55" s="338"/>
      <c r="F55" s="338"/>
      <c r="G55" s="338"/>
      <c r="H55" s="398"/>
    </row>
    <row r="56" spans="2:13" ht="8.5500000000000007" customHeight="1">
      <c r="B56" s="380"/>
      <c r="C56" s="365" t="s">
        <v>197</v>
      </c>
      <c r="D56" s="339"/>
      <c r="E56" s="339"/>
      <c r="F56" s="339"/>
      <c r="G56" s="339"/>
    </row>
    <row r="57" spans="2:13" ht="12.45" customHeight="1">
      <c r="B57" s="361">
        <f>+B51-1</f>
        <v>-9</v>
      </c>
      <c r="C57" s="381" t="s">
        <v>198</v>
      </c>
      <c r="D57" s="340">
        <f t="shared" ref="D57:F59" si="3">D43/D16</f>
        <v>0.85532640019951378</v>
      </c>
      <c r="E57" s="340">
        <f t="shared" si="3"/>
        <v>1.3931040574671283</v>
      </c>
      <c r="F57" s="340">
        <f t="shared" si="3"/>
        <v>1.2676911284580215</v>
      </c>
      <c r="G57" s="340"/>
    </row>
    <row r="58" spans="2:13" ht="12.45" customHeight="1">
      <c r="B58" s="361"/>
      <c r="C58" s="381" t="s">
        <v>172</v>
      </c>
      <c r="D58" s="340">
        <f t="shared" si="3"/>
        <v>0.84238609729747915</v>
      </c>
      <c r="E58" s="340">
        <f t="shared" si="3"/>
        <v>1.3679833990099854</v>
      </c>
      <c r="F58" s="340">
        <f t="shared" si="3"/>
        <v>1.2475753716117211</v>
      </c>
      <c r="G58" s="340"/>
    </row>
    <row r="59" spans="2:13" ht="12.45" customHeight="1">
      <c r="B59" s="361"/>
      <c r="C59" s="381" t="s">
        <v>173</v>
      </c>
      <c r="D59" s="340">
        <f t="shared" si="3"/>
        <v>0.82349353842187556</v>
      </c>
      <c r="E59" s="340">
        <f t="shared" si="3"/>
        <v>1.3314045002845403</v>
      </c>
      <c r="F59" s="340">
        <f t="shared" si="3"/>
        <v>1.2182292081321398</v>
      </c>
      <c r="G59" s="340"/>
    </row>
    <row r="60" spans="2:13" ht="12.45" customHeight="1">
      <c r="B60" s="368">
        <f>+B57-1</f>
        <v>-10</v>
      </c>
      <c r="C60" s="382" t="s">
        <v>289</v>
      </c>
      <c r="D60" s="341">
        <f>D47/D$16</f>
        <v>1.0280614384294573</v>
      </c>
      <c r="E60" s="341">
        <f t="shared" ref="E60:F62" si="4">E47/E$16</f>
        <v>1.728366778448353</v>
      </c>
      <c r="F60" s="341">
        <f t="shared" si="4"/>
        <v>1.5361938735182292</v>
      </c>
      <c r="G60" s="341"/>
    </row>
    <row r="61" spans="2:13" ht="12.45" customHeight="1">
      <c r="B61" s="368"/>
      <c r="C61" s="382" t="s">
        <v>290</v>
      </c>
      <c r="D61" s="341">
        <f>D48/D$16</f>
        <v>1.3578283295957139</v>
      </c>
      <c r="E61" s="341">
        <f t="shared" si="4"/>
        <v>2.3684137912306906</v>
      </c>
      <c r="F61" s="341">
        <f t="shared" si="4"/>
        <v>2.0487900231786265</v>
      </c>
      <c r="G61" s="341"/>
    </row>
    <row r="62" spans="2:13" ht="12.45" customHeight="1">
      <c r="B62" s="360"/>
      <c r="C62" s="382" t="s">
        <v>291</v>
      </c>
      <c r="D62" s="341">
        <f>D49/D$16</f>
        <v>2.2372067060351162</v>
      </c>
      <c r="E62" s="341">
        <f t="shared" si="4"/>
        <v>4.0752058253092631</v>
      </c>
      <c r="F62" s="341">
        <f t="shared" si="4"/>
        <v>3.4157130889335474</v>
      </c>
      <c r="G62" s="341"/>
      <c r="K62" s="377"/>
      <c r="L62" s="377"/>
    </row>
    <row r="63" spans="2:13" ht="24" customHeight="1">
      <c r="B63" s="368">
        <f>+B60-1</f>
        <v>-11</v>
      </c>
      <c r="C63" s="383" t="s">
        <v>301</v>
      </c>
      <c r="D63" s="342">
        <f t="shared" ref="D63:F65" si="5">D51/D16</f>
        <v>11.383938254215135</v>
      </c>
      <c r="E63" s="342">
        <f t="shared" si="5"/>
        <v>21.828165145846537</v>
      </c>
      <c r="F63" s="342">
        <f t="shared" si="5"/>
        <v>17.633572732127835</v>
      </c>
      <c r="G63" s="342"/>
    </row>
    <row r="64" spans="2:13" ht="12" hidden="1" customHeight="1">
      <c r="B64" s="368"/>
      <c r="C64" s="384" t="s">
        <v>195</v>
      </c>
      <c r="D64" s="343">
        <f t="shared" si="5"/>
        <v>8.0727694299010935</v>
      </c>
      <c r="E64" s="343">
        <f t="shared" si="5"/>
        <v>15.380879155239843</v>
      </c>
      <c r="F64" s="343">
        <f t="shared" si="5"/>
        <v>12.481852040905927</v>
      </c>
      <c r="G64" s="343"/>
    </row>
    <row r="65" spans="2:7" ht="12" hidden="1" customHeight="1">
      <c r="B65" s="368"/>
      <c r="C65" s="384" t="s">
        <v>196</v>
      </c>
      <c r="D65" s="343">
        <f t="shared" si="5"/>
        <v>5.5984966718910592</v>
      </c>
      <c r="E65" s="343">
        <f t="shared" si="5"/>
        <v>10.565272114497036</v>
      </c>
      <c r="F65" s="343">
        <f t="shared" si="5"/>
        <v>8.6327194683326365</v>
      </c>
      <c r="G65" s="343"/>
    </row>
    <row r="66" spans="2:7" ht="8.4" customHeight="1">
      <c r="B66" s="361"/>
      <c r="C66" s="357"/>
      <c r="D66" s="337"/>
      <c r="E66" s="337"/>
      <c r="F66" s="337"/>
      <c r="G66" s="337"/>
    </row>
    <row r="67" spans="2:7" ht="12.45" customHeight="1">
      <c r="B67" s="368">
        <f>+B63-1</f>
        <v>-12</v>
      </c>
      <c r="C67" s="381" t="s">
        <v>242</v>
      </c>
      <c r="D67" s="337"/>
      <c r="E67" s="337"/>
      <c r="F67" s="337"/>
      <c r="G67" s="337"/>
    </row>
    <row r="68" spans="2:7" ht="12.45" customHeight="1">
      <c r="B68" s="360"/>
      <c r="C68" s="381" t="s">
        <v>295</v>
      </c>
      <c r="D68" s="344">
        <f>IRR('4.2 IRR_Calc_smooth'!B6:B8)</f>
        <v>-3.4939384314822686E-2</v>
      </c>
      <c r="E68" s="344">
        <f>IRR('4.2 IRR_Calc_smooth'!C6:C8)</f>
        <v>0.20821700591230874</v>
      </c>
      <c r="F68" s="344">
        <f>IRR('4.2 IRR_Calc_smooth'!D6:D8)</f>
        <v>0.15341093597195132</v>
      </c>
      <c r="G68" s="344"/>
    </row>
    <row r="69" spans="2:7" ht="12.45" customHeight="1">
      <c r="B69" s="360"/>
      <c r="C69" s="382" t="s">
        <v>296</v>
      </c>
      <c r="D69" s="345">
        <f>IRR('4.2 IRR_Calc_smooth'!F6:F33)</f>
        <v>2.0224727718058277E-2</v>
      </c>
      <c r="E69" s="345">
        <f>IRR('4.2 IRR_Calc_smooth'!G6:G33)</f>
        <v>0.32150754411157489</v>
      </c>
      <c r="F69" s="345">
        <f>IRR('4.2 IRR_Calc_smooth'!H6:H33)</f>
        <v>0.25955721926591191</v>
      </c>
      <c r="G69" s="345"/>
    </row>
    <row r="70" spans="2:7" ht="12.45" customHeight="1">
      <c r="B70" s="360"/>
      <c r="C70" s="382" t="s">
        <v>297</v>
      </c>
      <c r="D70" s="345">
        <f>IRR('4.2 IRR_Calc_smooth'!J6:J57)</f>
        <v>0.15128470644528935</v>
      </c>
      <c r="E70" s="345">
        <f>IRR('4.2 IRR_Calc_smooth'!K6:K57)</f>
        <v>0.44980326896062262</v>
      </c>
      <c r="F70" s="345">
        <f>IRR('4.2 IRR_Calc_smooth'!L6:L57)</f>
        <v>0.38230510016805375</v>
      </c>
      <c r="G70" s="345"/>
    </row>
    <row r="71" spans="2:7" ht="12.45" customHeight="1">
      <c r="B71" s="360"/>
      <c r="C71" s="382" t="s">
        <v>298</v>
      </c>
      <c r="D71" s="345">
        <f>IRR('4.2 IRR_Calc_smooth'!N6:N87)</f>
        <v>0.302688817537208</v>
      </c>
      <c r="E71" s="345">
        <f>IRR('4.2 IRR_Calc_smooth'!O6:O87)</f>
        <v>0.59296394171067046</v>
      </c>
      <c r="F71" s="345">
        <f>IRR('4.2 IRR_Calc_smooth'!P6:P87)</f>
        <v>0.52177359146211133</v>
      </c>
      <c r="G71" s="345"/>
    </row>
    <row r="72" spans="2:7" ht="12.45" customHeight="1" thickBot="1">
      <c r="B72" s="385"/>
      <c r="C72" s="386" t="s">
        <v>171</v>
      </c>
      <c r="D72" s="387">
        <f>IRR('4.2 IRR_Calc_smooth'!R6:R166)</f>
        <v>0.47247699627883177</v>
      </c>
      <c r="E72" s="387">
        <f>IRR('4.2 IRR_Calc_smooth'!S6:S166)</f>
        <v>0.75024689171954506</v>
      </c>
      <c r="F72" s="387">
        <f>IRR('4.2 IRR_Calc_smooth'!T6:T166)</f>
        <v>0.67721705490373263</v>
      </c>
      <c r="G72" s="387"/>
    </row>
    <row r="73" spans="2:7" ht="15" customHeight="1" thickTop="1">
      <c r="B73" s="691" t="s">
        <v>305</v>
      </c>
      <c r="C73" s="691"/>
      <c r="D73" s="691"/>
      <c r="E73" s="691"/>
      <c r="F73" s="691"/>
    </row>
    <row r="74" spans="2:7">
      <c r="B74" s="692"/>
      <c r="C74" s="692"/>
      <c r="D74" s="692"/>
      <c r="E74" s="692"/>
      <c r="F74" s="692"/>
    </row>
    <row r="75" spans="2:7" ht="16.2" customHeight="1">
      <c r="B75" s="692"/>
      <c r="C75" s="692"/>
      <c r="D75" s="692"/>
      <c r="E75" s="692"/>
      <c r="F75" s="692"/>
    </row>
    <row r="76" spans="2:7" ht="12.75" customHeight="1">
      <c r="B76" s="351"/>
      <c r="C76" s="351"/>
    </row>
    <row r="77" spans="2:7" ht="12.75" customHeight="1">
      <c r="B77" s="351"/>
      <c r="C77" s="351"/>
    </row>
    <row r="78" spans="2:7" ht="12.75" customHeight="1">
      <c r="B78" s="351"/>
      <c r="C78" s="351"/>
    </row>
    <row r="79" spans="2:7" ht="12.75" customHeight="1">
      <c r="B79" s="351"/>
      <c r="C79" s="351"/>
    </row>
    <row r="80" spans="2:7" ht="12.75" customHeight="1">
      <c r="B80" s="351"/>
      <c r="C80" s="351"/>
    </row>
    <row r="81" s="351" customFormat="1" ht="13.5" customHeight="1"/>
    <row r="82" s="351" customFormat="1" ht="13.5" customHeight="1"/>
    <row r="83" s="351" customFormat="1" ht="13.5" customHeight="1"/>
    <row r="84" s="351" customFormat="1"/>
    <row r="85" s="351" customFormat="1"/>
    <row r="86" s="351" customFormat="1"/>
    <row r="87" s="351" customFormat="1"/>
    <row r="88" s="351" customFormat="1" ht="13.5" customHeight="1"/>
    <row r="89" s="351" customFormat="1"/>
    <row r="90" s="351" customFormat="1" ht="13.5" customHeight="1"/>
    <row r="91" s="351" customFormat="1" ht="13.5" customHeight="1"/>
    <row r="92" s="351" customFormat="1" ht="13.5" customHeight="1"/>
    <row r="93" s="351" customFormat="1" ht="13.5" customHeight="1"/>
    <row r="94" s="351" customFormat="1" ht="13.5" customHeight="1"/>
    <row r="95" s="351" customFormat="1" ht="13.5" customHeight="1"/>
    <row r="96" s="351" customFormat="1"/>
    <row r="97" s="351" customFormat="1"/>
    <row r="98" s="351" customFormat="1"/>
    <row r="99" s="351" customFormat="1"/>
    <row r="100" s="351" customFormat="1"/>
    <row r="101" s="351" customFormat="1"/>
    <row r="102" s="351" customFormat="1"/>
    <row r="103" s="351" customFormat="1"/>
    <row r="104" s="351" customFormat="1"/>
    <row r="105" s="351" customFormat="1"/>
    <row r="106" s="351" customFormat="1"/>
    <row r="107" s="351" customFormat="1"/>
    <row r="108" s="351" customFormat="1"/>
    <row r="109" s="351" customFormat="1"/>
    <row r="110" s="351" customFormat="1"/>
    <row r="111" s="351" customFormat="1"/>
    <row r="112" s="351" customFormat="1"/>
    <row r="113" s="351" customFormat="1"/>
    <row r="114" s="351" customFormat="1"/>
    <row r="115" s="351" customFormat="1" hidden="1"/>
    <row r="116" s="351" customFormat="1" hidden="1"/>
    <row r="117" s="351" customFormat="1" hidden="1"/>
    <row r="118" s="351" customFormat="1"/>
    <row r="119" s="351" customFormat="1"/>
    <row r="120" s="351" customFormat="1"/>
    <row r="121" s="351" customFormat="1"/>
    <row r="122" s="351" customFormat="1"/>
    <row r="123" s="351" customFormat="1"/>
    <row r="124" s="351" customFormat="1"/>
    <row r="125" s="351" customFormat="1"/>
  </sheetData>
  <mergeCells count="1">
    <mergeCell ref="B73:F7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11890-D2AB-4343-B6A1-6F08880CF8D4}">
  <dimension ref="B2:J125"/>
  <sheetViews>
    <sheetView topLeftCell="A16" workbookViewId="0">
      <selection activeCell="B77" sqref="B77"/>
    </sheetView>
  </sheetViews>
  <sheetFormatPr defaultColWidth="8.77734375" defaultRowHeight="14.4"/>
  <cols>
    <col min="1" max="1" width="2.77734375" style="2" customWidth="1"/>
    <col min="2" max="2" width="4" style="190" customWidth="1"/>
    <col min="3" max="3" width="57.21875" style="640" customWidth="1"/>
    <col min="4" max="4" width="7.21875" style="2" customWidth="1"/>
    <col min="5" max="5" width="9.77734375" style="2" customWidth="1"/>
    <col min="6" max="6" width="7.44140625" style="2" customWidth="1"/>
    <col min="7" max="7" width="8.109375" style="2" hidden="1" customWidth="1"/>
    <col min="8" max="16384" width="8.77734375" style="2"/>
  </cols>
  <sheetData>
    <row r="2" spans="2:7" ht="15" thickBot="1">
      <c r="B2" s="564"/>
      <c r="C2" s="565"/>
      <c r="D2" s="566"/>
      <c r="E2" s="566"/>
      <c r="F2" s="566"/>
      <c r="G2" s="566"/>
    </row>
    <row r="3" spans="2:7" ht="12" customHeight="1" thickTop="1">
      <c r="B3" s="567"/>
      <c r="C3" s="568"/>
      <c r="D3" s="569" t="s">
        <v>141</v>
      </c>
      <c r="E3" s="569" t="s">
        <v>241</v>
      </c>
      <c r="F3" s="569" t="s">
        <v>201</v>
      </c>
      <c r="G3" s="569" t="s">
        <v>304</v>
      </c>
    </row>
    <row r="4" spans="2:7" ht="12.45" customHeight="1">
      <c r="B4" s="570" t="s">
        <v>199</v>
      </c>
      <c r="C4" s="571"/>
      <c r="D4" s="572"/>
      <c r="E4" s="572"/>
      <c r="F4" s="572"/>
      <c r="G4" s="572"/>
    </row>
    <row r="5" spans="2:7" ht="12.45" customHeight="1">
      <c r="B5" s="570"/>
      <c r="C5" s="573" t="s">
        <v>183</v>
      </c>
      <c r="D5" s="574">
        <f>'4.1 CBA (ed7)'!E5</f>
        <v>77.534919087631735</v>
      </c>
      <c r="E5" s="574">
        <f>'4.1 CBA (ed7)'!F5</f>
        <v>77.534919087631735</v>
      </c>
      <c r="F5" s="574">
        <f>'4.1 CBA (ed7)'!G5</f>
        <v>77.534919087631735</v>
      </c>
      <c r="G5" s="574"/>
    </row>
    <row r="6" spans="2:7" ht="12.45" customHeight="1">
      <c r="B6" s="570"/>
      <c r="C6" s="573" t="s">
        <v>184</v>
      </c>
      <c r="D6" s="574">
        <f>'4.1 CBA (ed7)'!E6</f>
        <v>3.2093470015796295</v>
      </c>
      <c r="E6" s="574">
        <f>'4.1 CBA (ed7)'!F6</f>
        <v>3.2093470015796295</v>
      </c>
      <c r="F6" s="574">
        <f>'4.1 CBA (ed7)'!G6</f>
        <v>3.2093470015796295</v>
      </c>
      <c r="G6" s="574"/>
    </row>
    <row r="7" spans="2:7" ht="12.45" customHeight="1">
      <c r="B7" s="570"/>
      <c r="C7" s="573" t="s">
        <v>185</v>
      </c>
      <c r="D7" s="574">
        <f>'4.1 CBA (ed7)'!E7</f>
        <v>1.4442087063454137</v>
      </c>
      <c r="E7" s="574">
        <f>'4.1 CBA (ed7)'!F7</f>
        <v>1.4442087063454137</v>
      </c>
      <c r="F7" s="574">
        <f>'4.1 CBA (ed7)'!G7</f>
        <v>1.4442087063454137</v>
      </c>
      <c r="G7" s="574"/>
    </row>
    <row r="8" spans="2:7" ht="12.45" customHeight="1">
      <c r="B8" s="570"/>
      <c r="C8" s="573" t="s">
        <v>186</v>
      </c>
      <c r="D8" s="574">
        <f>'4.1 CBA (ed7)'!E8</f>
        <v>8.60457657191286</v>
      </c>
      <c r="E8" s="574">
        <f>'4.1 CBA (ed7)'!F8</f>
        <v>8.60457657191286</v>
      </c>
      <c r="F8" s="574">
        <f>'4.1 CBA (ed7)'!G8</f>
        <v>8.60457657191286</v>
      </c>
      <c r="G8" s="574"/>
    </row>
    <row r="9" spans="2:7" ht="12.45" customHeight="1">
      <c r="B9" s="570"/>
      <c r="C9" s="573" t="s">
        <v>187</v>
      </c>
      <c r="D9" s="574">
        <f>'4.1 CBA (ed7)'!E9</f>
        <v>0</v>
      </c>
      <c r="E9" s="574">
        <f>'4.1 CBA (ed7)'!F9</f>
        <v>37.871929173175715</v>
      </c>
      <c r="F9" s="574">
        <f>'4.1 CBA (ed7)'!G9</f>
        <v>37.871929173175715</v>
      </c>
      <c r="G9" s="574"/>
    </row>
    <row r="10" spans="2:7" ht="12.45" customHeight="1">
      <c r="B10" s="570"/>
      <c r="C10" s="573" t="s">
        <v>188</v>
      </c>
      <c r="D10" s="574">
        <f>'4.1 CBA (ed7)'!E10</f>
        <v>1.9594531115242388</v>
      </c>
      <c r="E10" s="574">
        <f>'4.1 CBA (ed7)'!F10</f>
        <v>1.9594531115242388</v>
      </c>
      <c r="F10" s="574">
        <f>'4.1 CBA (ed7)'!G10</f>
        <v>1.9594531115242388</v>
      </c>
      <c r="G10" s="574"/>
    </row>
    <row r="11" spans="2:7" ht="12.45" customHeight="1">
      <c r="B11" s="570"/>
      <c r="C11" s="573" t="s">
        <v>189</v>
      </c>
      <c r="D11" s="574">
        <f>'4.1 CBA (ed7)'!E11</f>
        <v>0</v>
      </c>
      <c r="E11" s="574">
        <f>'4.1 CBA (ed7)'!F11</f>
        <v>63.839213487437462</v>
      </c>
      <c r="F11" s="574">
        <f>'4.1 CBA (ed7)'!G11</f>
        <v>63.839213487437462</v>
      </c>
      <c r="G11" s="574"/>
    </row>
    <row r="12" spans="2:7" ht="12.45" customHeight="1">
      <c r="B12" s="570"/>
      <c r="C12" s="573" t="s">
        <v>190</v>
      </c>
      <c r="D12" s="574">
        <f>'4.1 CBA (ed7)'!E12</f>
        <v>64.56767076949275</v>
      </c>
      <c r="E12" s="574">
        <f>'4.1 CBA (ed7)'!F12</f>
        <v>64.56767076949275</v>
      </c>
      <c r="F12" s="574">
        <f>'4.1 CBA (ed7)'!G12</f>
        <v>64.56767076949275</v>
      </c>
      <c r="G12" s="574"/>
    </row>
    <row r="13" spans="2:7" ht="12.45" customHeight="1">
      <c r="B13" s="570"/>
      <c r="C13" s="573" t="s">
        <v>191</v>
      </c>
      <c r="D13" s="574">
        <f>'4.1 CBA (ed7)'!E13</f>
        <v>321.07228646064357</v>
      </c>
      <c r="E13" s="574">
        <f>'4.1 CBA (ed7)'!F13</f>
        <v>0</v>
      </c>
      <c r="F13" s="574">
        <f>'4.1 CBA (ed7)'!G13</f>
        <v>321.07228646064357</v>
      </c>
      <c r="G13" s="574"/>
    </row>
    <row r="14" spans="2:7" ht="12.45" customHeight="1">
      <c r="B14" s="570"/>
      <c r="C14" s="573" t="s">
        <v>192</v>
      </c>
      <c r="D14" s="574">
        <f>'4.1 CBA (ed7)'!E14</f>
        <v>3.6467388421307181</v>
      </c>
      <c r="E14" s="574">
        <f>'4.1 CBA (ed7)'!F14</f>
        <v>3.6467388421307181</v>
      </c>
      <c r="F14" s="574">
        <f>'4.1 CBA (ed7)'!G14</f>
        <v>3.6467388421307181</v>
      </c>
      <c r="G14" s="574"/>
    </row>
    <row r="15" spans="2:7" ht="12.45" customHeight="1">
      <c r="B15" s="583"/>
      <c r="C15" s="571" t="s">
        <v>182</v>
      </c>
      <c r="D15" s="574">
        <f>SUM(D5:D14)</f>
        <v>482.03920055126093</v>
      </c>
      <c r="E15" s="574">
        <f>SUM(E5:E14)</f>
        <v>262.67805675123049</v>
      </c>
      <c r="F15" s="574">
        <f>SUM(F5:F14)</f>
        <v>583.75034321187411</v>
      </c>
      <c r="G15" s="574">
        <f>AVERAGE(D15:F15)</f>
        <v>442.82253350478851</v>
      </c>
    </row>
    <row r="16" spans="2:7" ht="12.45" customHeight="1">
      <c r="B16" s="586">
        <v>-1</v>
      </c>
      <c r="C16" s="571" t="s">
        <v>181</v>
      </c>
      <c r="D16" s="585">
        <f>D15*(1+disc5)^2</f>
        <v>531.44821860776517</v>
      </c>
      <c r="E16" s="585">
        <f>E15*(1+disc5)^2</f>
        <v>289.60255756823165</v>
      </c>
      <c r="F16" s="585">
        <f>F15*(1+disc5)^2</f>
        <v>643.58475339109123</v>
      </c>
      <c r="G16" s="585">
        <f>G15*(1+disc5)^2</f>
        <v>488.21184318902937</v>
      </c>
    </row>
    <row r="17" spans="2:9" ht="12" hidden="1" customHeight="1">
      <c r="B17" s="586"/>
      <c r="C17" s="571" t="s">
        <v>174</v>
      </c>
      <c r="D17" s="587">
        <f>D15*(1+disc7)^2</f>
        <v>551.88668071113864</v>
      </c>
      <c r="E17" s="587">
        <f>E15*(1+disc7)^2</f>
        <v>300.7401071744838</v>
      </c>
      <c r="F17" s="587">
        <f>F15*(1+disc7)^2</f>
        <v>668.33576794327473</v>
      </c>
      <c r="G17" s="587"/>
    </row>
    <row r="18" spans="2:9" ht="12" hidden="1" customHeight="1">
      <c r="B18" s="586"/>
      <c r="C18" s="571" t="s">
        <v>175</v>
      </c>
      <c r="D18" s="587">
        <f>D15*(1+disc10)^2</f>
        <v>583.26743266702579</v>
      </c>
      <c r="E18" s="587">
        <f>E15*(1+disc10)^2</f>
        <v>317.84044866898893</v>
      </c>
      <c r="F18" s="587">
        <f>F15*(1+disc10)^2</f>
        <v>706.33791528636777</v>
      </c>
      <c r="G18" s="587"/>
    </row>
    <row r="19" spans="2:9" ht="12" customHeight="1">
      <c r="B19" s="583"/>
      <c r="C19" s="571"/>
      <c r="D19" s="588"/>
      <c r="E19" s="588"/>
      <c r="F19" s="588"/>
      <c r="G19" s="588"/>
      <c r="H19" s="510"/>
      <c r="I19" s="510"/>
    </row>
    <row r="20" spans="2:9" ht="12" customHeight="1">
      <c r="B20" s="589" t="s">
        <v>362</v>
      </c>
      <c r="C20" s="590"/>
      <c r="D20" s="591"/>
      <c r="E20" s="591"/>
      <c r="F20" s="591"/>
      <c r="G20" s="591"/>
    </row>
    <row r="21" spans="2:9" ht="7.2" customHeight="1">
      <c r="C21" s="592" t="s">
        <v>197</v>
      </c>
    </row>
    <row r="22" spans="2:9" ht="12" hidden="1" customHeight="1">
      <c r="B22" s="593"/>
      <c r="C22" s="571" t="s">
        <v>177</v>
      </c>
      <c r="D22" s="596">
        <f>'4.1 CBA (ed7)'!E22</f>
        <v>0.15262697339254899</v>
      </c>
      <c r="E22" s="596">
        <f>'4.1 CBA (ed7)'!F22</f>
        <v>8.8033499570979432E-2</v>
      </c>
      <c r="F22" s="596">
        <f>'4.1 CBA (ed7)'!G22</f>
        <v>0.24952689818903459</v>
      </c>
      <c r="G22" s="596">
        <f>'4.1 CBA (ed7)'!H22</f>
        <v>0.1635545655197406</v>
      </c>
    </row>
    <row r="23" spans="2:9" ht="12" hidden="1" customHeight="1">
      <c r="B23" s="593"/>
      <c r="C23" s="571" t="s">
        <v>178</v>
      </c>
      <c r="D23" s="596">
        <f>'4.1 CBA (ed7)'!E23</f>
        <v>0.11941047796757651</v>
      </c>
      <c r="E23" s="596">
        <f>'4.1 CBA (ed7)'!F23</f>
        <v>0.1809686115716401</v>
      </c>
      <c r="F23" s="596">
        <f>'4.1 CBA (ed7)'!G23</f>
        <v>0.25292124247486092</v>
      </c>
      <c r="G23" s="596">
        <f>'4.1 CBA (ed7)'!H23</f>
        <v>0.18292683471879517</v>
      </c>
    </row>
    <row r="24" spans="2:9" ht="12" hidden="1" customHeight="1">
      <c r="B24" s="593"/>
      <c r="C24" s="571"/>
      <c r="D24" s="596"/>
      <c r="E24" s="596"/>
      <c r="F24" s="596"/>
      <c r="G24" s="596"/>
    </row>
    <row r="25" spans="2:9" ht="12" hidden="1" customHeight="1">
      <c r="B25" s="593"/>
      <c r="C25" s="571" t="s">
        <v>244</v>
      </c>
      <c r="D25" s="597">
        <f>D22*30.4167*adultperhh_fu1</f>
        <v>24.66450851129861</v>
      </c>
      <c r="E25" s="597">
        <f>E22*30.4167*adultperhh_fu1</f>
        <v>14.226207538449586</v>
      </c>
      <c r="F25" s="597">
        <f>F22*30.4167*adultperhh_fu1</f>
        <v>40.323529762674546</v>
      </c>
      <c r="G25" s="597">
        <f>G22*30.4167*adultperhh_fu1</f>
        <v>26.430406655238841</v>
      </c>
    </row>
    <row r="26" spans="2:9" ht="12" hidden="1" customHeight="1">
      <c r="B26" s="593"/>
      <c r="C26" s="571" t="s">
        <v>245</v>
      </c>
      <c r="D26" s="597">
        <f>D23*30.4167*adultperhh_fu2</f>
        <v>22.28639128200826</v>
      </c>
      <c r="E26" s="597">
        <f>E23*30.4167*adultperhh_fu2</f>
        <v>33.775405273417093</v>
      </c>
      <c r="F26" s="597">
        <f>F23*30.4167*adultperhh_fu2</f>
        <v>47.204415133963117</v>
      </c>
      <c r="G26" s="597">
        <f>G23*30.4167*adultperhh_fu2</f>
        <v>34.140881804604192</v>
      </c>
    </row>
    <row r="27" spans="2:9" ht="12" hidden="1" customHeight="1">
      <c r="B27" s="593"/>
      <c r="C27" s="571"/>
      <c r="D27" s="597"/>
      <c r="E27" s="597"/>
      <c r="F27" s="597"/>
      <c r="G27" s="597"/>
    </row>
    <row r="28" spans="2:9" ht="12.45" customHeight="1">
      <c r="B28" s="586">
        <f>+B16-1</f>
        <v>-2</v>
      </c>
      <c r="C28" s="571" t="s">
        <v>387</v>
      </c>
      <c r="D28" s="641">
        <f>NPV(disc5/12, '4.1.1 smooth cashflow'!U5:U10)*(1+disc5)^2</f>
        <v>93.476474393080196</v>
      </c>
      <c r="E28" s="641">
        <f>NPV(disc5/12, '4.1.1 smooth cashflow'!V5:V10)*(1+disc5)^2</f>
        <v>53.91616557327098</v>
      </c>
      <c r="F28" s="641">
        <f>NPV(disc5/12, '4.1.1 smooth cashflow'!W5:W10)*(1+disc5)^2</f>
        <v>152.82288700675176</v>
      </c>
      <c r="G28" s="641">
        <f>NPV(disc5/12, '4.1.1 smooth cashflow'!X5:X10)*(1+disc5)^2</f>
        <v>100.16908424408128</v>
      </c>
      <c r="H28" s="598"/>
    </row>
    <row r="29" spans="2:9" ht="12" hidden="1" customHeight="1">
      <c r="B29" s="586"/>
      <c r="C29" s="571" t="s">
        <v>281</v>
      </c>
      <c r="D29" s="641">
        <f>NPV(disc7/12, '4.1.1 smooth cashflow'!U5:U10)*(1+disc7)^2</f>
        <v>96.378089576788994</v>
      </c>
      <c r="E29" s="641">
        <f>NPV(disc7/12, '4.1.1 smooth cashflow'!V5:V10)*(1+disc7)^2</f>
        <v>55.589784156882679</v>
      </c>
      <c r="F29" s="641">
        <f>NPV(disc7/12, '4.1.1 smooth cashflow'!W5:W10)*(1+disc7)^2</f>
        <v>157.56668176619374</v>
      </c>
      <c r="G29" s="641"/>
    </row>
    <row r="30" spans="2:9" ht="12" hidden="1" customHeight="1">
      <c r="B30" s="586"/>
      <c r="C30" s="571" t="s">
        <v>282</v>
      </c>
      <c r="D30" s="641">
        <f>NPV(disc10/12, '4.1.1 smooth cashflow'!U5:U10)*(1+disc10)^2</f>
        <v>100.77233486926833</v>
      </c>
      <c r="E30" s="641">
        <f>NPV(disc10/12, '4.1.1 smooth cashflow'!V5:V10)*(1+disc10)^2</f>
        <v>58.124334783627518</v>
      </c>
      <c r="F30" s="641">
        <f>NPV(disc10/12, '4.1.1 smooth cashflow'!W5:W10)*(1+disc10)^2</f>
        <v>164.75074873248306</v>
      </c>
      <c r="G30" s="641"/>
    </row>
    <row r="31" spans="2:9" ht="12" hidden="1" customHeight="1">
      <c r="B31" s="586"/>
      <c r="C31" s="571"/>
      <c r="D31" s="642"/>
      <c r="E31" s="642"/>
      <c r="F31" s="642"/>
      <c r="G31" s="642"/>
    </row>
    <row r="32" spans="2:9" ht="12" customHeight="1">
      <c r="B32" s="586">
        <f>+B28-1</f>
        <v>-3</v>
      </c>
      <c r="C32" s="571" t="s">
        <v>388</v>
      </c>
      <c r="D32" s="642">
        <f>NPV(disc5/12,0,0,0,0,0,0,'4.1.1 smooth cashflow'!U11:U22)*(1+disc5)^2</f>
        <v>293.75913074703311</v>
      </c>
      <c r="E32" s="642">
        <f>NPV(disc5/12,0,0,0,0,0,0,'4.1.1 smooth cashflow'!V11:V22)*(1+disc5)^2</f>
        <v>310.69741265103079</v>
      </c>
      <c r="F32" s="642">
        <f>NPV(disc5/12,0,0,0,0,0,0,'4.1.1 smooth cashflow'!W11:W22)*(1+disc5)^2</f>
        <v>552.97367348609589</v>
      </c>
      <c r="G32" s="642">
        <f>NPV(disc5/12,0,0,0,0,0,0,'4.1.1 smooth cashflow'!X11:X22)*(1+disc5)^2</f>
        <v>384.06049836478661</v>
      </c>
    </row>
    <row r="33" spans="2:10" ht="12" hidden="1" customHeight="1">
      <c r="B33" s="586"/>
      <c r="C33" s="571" t="s">
        <v>284</v>
      </c>
      <c r="D33" s="642">
        <f>NPV(disc7/12,0,0,0,0,0,0,'4.1.1 smooth cashflow'!U11:U22)*(1+disc7)^2</f>
        <v>298.87738410171136</v>
      </c>
      <c r="E33" s="642">
        <f>NPV(disc7/12,0,0,0,0,0,0,'4.1.1 smooth cashflow'!V11:V22)*(1+disc7)^2</f>
        <v>315.64655888935243</v>
      </c>
      <c r="F33" s="642">
        <f>NPV(disc7/12,0,0,0,0,0,0,'4.1.1 smooth cashflow'!W11:W22)*(1+disc7)^2</f>
        <v>562.36934248699106</v>
      </c>
      <c r="G33" s="642"/>
    </row>
    <row r="34" spans="2:10" ht="12" hidden="1" customHeight="1">
      <c r="B34" s="586"/>
      <c r="C34" s="571" t="s">
        <v>285</v>
      </c>
      <c r="D34" s="642">
        <f>NPV(disc10/12,0,0,0,0,0,0,'4.1.1 smooth cashflow'!U11:U22)*(1+disc10)^2</f>
        <v>306.36142004991319</v>
      </c>
      <c r="E34" s="642">
        <f>NPV(disc10/12,0,0,0,0,0,0,'4.1.1 smooth cashflow'!V11:V22)*(1+disc10)^2</f>
        <v>322.83862879964812</v>
      </c>
      <c r="F34" s="642">
        <f>NPV(disc10/12,0,0,0,0,0,0,'4.1.1 smooth cashflow'!W11:W22)*(1+disc10)^2</f>
        <v>576.08491526312082</v>
      </c>
      <c r="G34" s="642"/>
    </row>
    <row r="35" spans="2:10" ht="12" hidden="1" customHeight="1">
      <c r="B35" s="613"/>
      <c r="C35" s="606"/>
      <c r="D35" s="641"/>
      <c r="E35" s="641"/>
      <c r="F35" s="641"/>
      <c r="G35" s="641"/>
    </row>
    <row r="36" spans="2:10" ht="12.45" customHeight="1">
      <c r="B36" s="613">
        <f>+B32-1</f>
        <v>-4</v>
      </c>
      <c r="C36" s="600" t="s">
        <v>389</v>
      </c>
      <c r="D36" s="643">
        <f>NPV(disc5,'4.2 IRR_Calc_smooth (2)'!G9:G33)</f>
        <v>91.799728358447794</v>
      </c>
      <c r="E36" s="643">
        <f>NPV(disc5,'4.2 IRR_Calc_smooth (2)'!H9:H33)</f>
        <v>97.092941453447096</v>
      </c>
      <c r="F36" s="643">
        <f>NPV(disc5,'4.2 IRR_Calc_smooth (2)'!I9:I33)</f>
        <v>172.8042729644049</v>
      </c>
      <c r="G36" s="643"/>
    </row>
    <row r="37" spans="2:10" ht="12.45" customHeight="1">
      <c r="B37" s="613"/>
      <c r="C37" s="600" t="s">
        <v>390</v>
      </c>
      <c r="D37" s="643">
        <f>NPV(disc5,'4.2 IRR_Calc_smooth (2)'!K9:K57)</f>
        <v>267.05375522457547</v>
      </c>
      <c r="E37" s="643">
        <f>NPV(disc5,'4.2 IRR_Calc_smooth (2)'!L9:L57)</f>
        <v>282.45219331911869</v>
      </c>
      <c r="F37" s="643">
        <f>NPV(disc5,'4.2 IRR_Calc_smooth (2)'!M9:M57)</f>
        <v>502.70333953281437</v>
      </c>
      <c r="G37" s="643"/>
    </row>
    <row r="38" spans="2:10" ht="12.45" customHeight="1">
      <c r="B38" s="583"/>
      <c r="C38" s="600" t="s">
        <v>391</v>
      </c>
      <c r="D38" s="644">
        <f>NPV(disc5,'4.2 IRR_Calc_smooth (2)'!O9:O87)</f>
        <v>734.3978268654846</v>
      </c>
      <c r="E38" s="644">
        <f>NPV(disc5,'4.2 IRR_Calc_smooth (2)'!P9:P87)</f>
        <v>776.74353162535795</v>
      </c>
      <c r="F38" s="644">
        <f>NPV(disc5,'4.2 IRR_Calc_smooth (2)'!Q9:Q87)</f>
        <v>1382.43418371129</v>
      </c>
      <c r="G38" s="644"/>
    </row>
    <row r="39" spans="2:10" ht="24" customHeight="1">
      <c r="B39" s="613">
        <f>+B36-1</f>
        <v>-5</v>
      </c>
      <c r="C39" s="604" t="s">
        <v>368</v>
      </c>
      <c r="D39" s="645">
        <f>D32/(1+disc5)/disc5</f>
        <v>5595.4120142292013</v>
      </c>
      <c r="E39" s="645">
        <f>E32/(1+disc5)/disc5</f>
        <v>5918.0459552577286</v>
      </c>
      <c r="F39" s="645">
        <f>F32/(1+disc5)/disc5</f>
        <v>10532.831875925634</v>
      </c>
      <c r="G39" s="645"/>
    </row>
    <row r="40" spans="2:10" ht="12" hidden="1" customHeight="1">
      <c r="B40" s="613"/>
      <c r="C40" s="606" t="s">
        <v>264</v>
      </c>
      <c r="D40" s="646">
        <f>D33/(1+disc7)/disc7</f>
        <v>3990.3522576997502</v>
      </c>
      <c r="E40" s="646">
        <f>E33/(1+disc7)/disc7</f>
        <v>4214.2397715534362</v>
      </c>
      <c r="F40" s="646">
        <f>F33/(1+disc7)/disc7</f>
        <v>7508.2689250599587</v>
      </c>
      <c r="G40" s="646"/>
    </row>
    <row r="41" spans="2:10" ht="12" hidden="1" customHeight="1">
      <c r="B41" s="613"/>
      <c r="C41" s="606" t="s">
        <v>265</v>
      </c>
      <c r="D41" s="646">
        <f>D34/(1+disc10)/disc10</f>
        <v>2785.103818635574</v>
      </c>
      <c r="E41" s="646">
        <f>E34/(1+disc10)/disc10</f>
        <v>2934.8966254513462</v>
      </c>
      <c r="F41" s="646">
        <f>F34/(1+disc10)/disc10</f>
        <v>5237.1355933010973</v>
      </c>
      <c r="G41" s="646"/>
    </row>
    <row r="42" spans="2:10" ht="10.199999999999999" customHeight="1">
      <c r="B42" s="5"/>
      <c r="C42" s="607"/>
      <c r="D42" s="647"/>
      <c r="E42" s="647"/>
      <c r="F42" s="647"/>
      <c r="G42" s="647"/>
    </row>
    <row r="43" spans="2:10" ht="12.45" customHeight="1">
      <c r="B43" s="648">
        <f>+B39-1</f>
        <v>-6</v>
      </c>
      <c r="C43" s="609" t="s">
        <v>392</v>
      </c>
      <c r="D43" s="649">
        <f>D28+D32</f>
        <v>387.23560514011331</v>
      </c>
      <c r="E43" s="649">
        <f>E28+E32</f>
        <v>364.61357822430176</v>
      </c>
      <c r="F43" s="649">
        <f t="shared" ref="F43:G43" si="0">F28+F32</f>
        <v>705.79656049284768</v>
      </c>
      <c r="G43" s="649">
        <f t="shared" si="0"/>
        <v>484.22958260886787</v>
      </c>
    </row>
    <row r="44" spans="2:10" ht="12" hidden="1" customHeight="1">
      <c r="B44" s="586"/>
      <c r="C44" s="571" t="s">
        <v>193</v>
      </c>
      <c r="D44" s="649">
        <f>D29+D33</f>
        <v>395.25547367850038</v>
      </c>
      <c r="E44" s="649">
        <f t="shared" ref="E44:F45" si="1">E29+E33</f>
        <v>371.23634304623511</v>
      </c>
      <c r="F44" s="649">
        <f t="shared" si="1"/>
        <v>719.93602425318477</v>
      </c>
      <c r="G44" s="649"/>
    </row>
    <row r="45" spans="2:10" ht="12" hidden="1" customHeight="1">
      <c r="B45" s="586"/>
      <c r="C45" s="571" t="s">
        <v>194</v>
      </c>
      <c r="D45" s="649">
        <f>D30+D34</f>
        <v>407.13375491918151</v>
      </c>
      <c r="E45" s="649">
        <f t="shared" si="1"/>
        <v>380.96296358327561</v>
      </c>
      <c r="F45" s="649">
        <f t="shared" si="1"/>
        <v>740.83566399560391</v>
      </c>
      <c r="G45" s="649"/>
    </row>
    <row r="46" spans="2:10" ht="12.6" hidden="1" customHeight="1">
      <c r="B46" s="586"/>
      <c r="C46" s="571"/>
      <c r="D46" s="642"/>
      <c r="E46" s="642"/>
      <c r="F46" s="642"/>
      <c r="G46" s="642"/>
    </row>
    <row r="47" spans="2:10" ht="12.45" customHeight="1">
      <c r="B47" s="613">
        <f>+B43-1</f>
        <v>-7</v>
      </c>
      <c r="C47" s="612" t="s">
        <v>393</v>
      </c>
      <c r="D47" s="643">
        <f>D$28+D$32+D36</f>
        <v>479.0353334985611</v>
      </c>
      <c r="E47" s="643">
        <f t="shared" ref="E47:F49" si="2">E$28+E$32+E36</f>
        <v>461.70651967774887</v>
      </c>
      <c r="F47" s="643">
        <f t="shared" si="2"/>
        <v>878.60083345725252</v>
      </c>
      <c r="G47" s="643"/>
      <c r="J47" s="598"/>
    </row>
    <row r="48" spans="2:10" ht="12.45" customHeight="1">
      <c r="B48" s="613"/>
      <c r="C48" s="612" t="s">
        <v>371</v>
      </c>
      <c r="D48" s="643">
        <f>D$28+D$32+D37</f>
        <v>654.28936036468872</v>
      </c>
      <c r="E48" s="643">
        <f t="shared" si="2"/>
        <v>647.0657715434204</v>
      </c>
      <c r="F48" s="643">
        <f t="shared" si="2"/>
        <v>1208.4999000256621</v>
      </c>
      <c r="G48" s="643"/>
    </row>
    <row r="49" spans="2:10" ht="12.45" customHeight="1">
      <c r="B49" s="583"/>
      <c r="C49" s="612" t="s">
        <v>372</v>
      </c>
      <c r="D49" s="643">
        <f>D$28+D$32+D38</f>
        <v>1121.633432005598</v>
      </c>
      <c r="E49" s="643">
        <f t="shared" si="2"/>
        <v>1141.3571098496598</v>
      </c>
      <c r="F49" s="643">
        <f t="shared" si="2"/>
        <v>2088.2307442041374</v>
      </c>
      <c r="G49" s="643"/>
      <c r="I49" s="614"/>
      <c r="J49" s="614"/>
    </row>
    <row r="50" spans="2:10" ht="12" hidden="1" customHeight="1">
      <c r="B50" s="586"/>
      <c r="C50" s="571"/>
      <c r="D50" s="642"/>
      <c r="E50" s="642"/>
      <c r="F50" s="642"/>
      <c r="G50" s="642"/>
    </row>
    <row r="51" spans="2:10" ht="24" customHeight="1">
      <c r="B51" s="613">
        <f>+B47-1</f>
        <v>-8</v>
      </c>
      <c r="C51" s="615" t="s">
        <v>394</v>
      </c>
      <c r="D51" s="650">
        <f>D28+D32+D39</f>
        <v>5982.6476193693143</v>
      </c>
      <c r="E51" s="650">
        <f>E28+E32+E39</f>
        <v>6282.6595334820304</v>
      </c>
      <c r="F51" s="650">
        <f t="shared" ref="F51" si="3">F28+F32+F39</f>
        <v>11238.628436418483</v>
      </c>
      <c r="G51" s="650"/>
    </row>
    <row r="52" spans="2:10" ht="12" hidden="1" customHeight="1">
      <c r="B52" s="613"/>
      <c r="C52" s="606" t="s">
        <v>193</v>
      </c>
      <c r="D52" s="651">
        <f>D29+D33+D40</f>
        <v>4385.6077313782507</v>
      </c>
      <c r="E52" s="651">
        <f t="shared" ref="E52:F53" si="4">E29+E33+E40</f>
        <v>4585.4761145996708</v>
      </c>
      <c r="F52" s="651">
        <f t="shared" si="4"/>
        <v>8228.2049493131435</v>
      </c>
      <c r="G52" s="651"/>
    </row>
    <row r="53" spans="2:10" ht="12" hidden="1" customHeight="1">
      <c r="B53" s="613"/>
      <c r="C53" s="606" t="s">
        <v>194</v>
      </c>
      <c r="D53" s="651">
        <f>D30+D34+D41</f>
        <v>3192.2375735547557</v>
      </c>
      <c r="E53" s="651">
        <f t="shared" si="4"/>
        <v>3315.8595890346219</v>
      </c>
      <c r="F53" s="651">
        <f t="shared" si="4"/>
        <v>5977.971257296701</v>
      </c>
      <c r="G53" s="651"/>
    </row>
    <row r="54" spans="2:10" ht="12" customHeight="1">
      <c r="B54" s="586"/>
      <c r="C54" s="571"/>
      <c r="D54" s="618"/>
      <c r="E54" s="618"/>
      <c r="F54" s="618"/>
      <c r="G54" s="618"/>
    </row>
    <row r="55" spans="2:10" ht="12.45" customHeight="1">
      <c r="B55" s="619" t="s">
        <v>374</v>
      </c>
      <c r="C55" s="590"/>
      <c r="D55" s="620"/>
      <c r="E55" s="620"/>
      <c r="F55" s="620"/>
      <c r="G55" s="620"/>
    </row>
    <row r="56" spans="2:10" ht="8.5500000000000007" customHeight="1">
      <c r="B56" s="621"/>
      <c r="C56" s="592"/>
      <c r="D56" s="622"/>
      <c r="E56" s="622"/>
      <c r="F56" s="622"/>
      <c r="G56" s="622"/>
    </row>
    <row r="57" spans="2:10" ht="12.45" customHeight="1">
      <c r="B57" s="586">
        <f>+B51-1</f>
        <v>-9</v>
      </c>
      <c r="C57" s="623" t="s">
        <v>375</v>
      </c>
      <c r="D57" s="627">
        <f>D43/D16</f>
        <v>0.72864221119143902</v>
      </c>
      <c r="E57" s="627">
        <f t="shared" ref="E57:G59" si="5">E43/E16</f>
        <v>1.2590136678554615</v>
      </c>
      <c r="F57" s="627">
        <f t="shared" si="5"/>
        <v>1.0966645135298161</v>
      </c>
      <c r="G57" s="624">
        <f t="shared" si="5"/>
        <v>0.99184317087813945</v>
      </c>
    </row>
    <row r="58" spans="2:10" ht="12.45" customHeight="1">
      <c r="B58" s="586"/>
      <c r="C58" s="623" t="s">
        <v>376</v>
      </c>
      <c r="D58" s="627">
        <f>D44/D17</f>
        <v>0.71618955030621556</v>
      </c>
      <c r="E58" s="627">
        <f t="shared" si="5"/>
        <v>1.2344091599024758</v>
      </c>
      <c r="F58" s="627">
        <f t="shared" si="5"/>
        <v>1.0772070847991628</v>
      </c>
      <c r="G58" s="627"/>
    </row>
    <row r="59" spans="2:10" ht="12.45" customHeight="1">
      <c r="B59" s="586"/>
      <c r="C59" s="623" t="s">
        <v>377</v>
      </c>
      <c r="D59" s="627">
        <f>D45/D18</f>
        <v>0.69802243725067536</v>
      </c>
      <c r="E59" s="627">
        <f t="shared" si="5"/>
        <v>1.198598117950761</v>
      </c>
      <c r="F59" s="627">
        <f t="shared" si="5"/>
        <v>1.0488402901255129</v>
      </c>
      <c r="G59" s="627"/>
    </row>
    <row r="60" spans="2:10" ht="12.45" customHeight="1">
      <c r="B60" s="613">
        <f>+B57-1</f>
        <v>-10</v>
      </c>
      <c r="C60" s="628" t="s">
        <v>378</v>
      </c>
      <c r="D60" s="629">
        <f>D47/D$16</f>
        <v>0.90137724942138275</v>
      </c>
      <c r="E60" s="629">
        <f t="shared" ref="E60:F62" si="6">E47/E$16</f>
        <v>1.5942763888366862</v>
      </c>
      <c r="F60" s="629">
        <f t="shared" si="6"/>
        <v>1.3651672585900239</v>
      </c>
      <c r="G60" s="629"/>
    </row>
    <row r="61" spans="2:10" ht="12.45" customHeight="1">
      <c r="B61" s="613"/>
      <c r="C61" s="628" t="s">
        <v>379</v>
      </c>
      <c r="D61" s="629">
        <f>D48/D$16</f>
        <v>1.2311441405876389</v>
      </c>
      <c r="E61" s="629">
        <f t="shared" si="6"/>
        <v>2.2343234016190237</v>
      </c>
      <c r="F61" s="629">
        <f t="shared" si="6"/>
        <v>1.8777634082504209</v>
      </c>
      <c r="G61" s="629"/>
    </row>
    <row r="62" spans="2:10" ht="12.45" customHeight="1">
      <c r="B62" s="583"/>
      <c r="C62" s="628" t="s">
        <v>380</v>
      </c>
      <c r="D62" s="629">
        <f>D49/D$16</f>
        <v>2.1105225170270416</v>
      </c>
      <c r="E62" s="629">
        <f t="shared" si="6"/>
        <v>3.9411154356975975</v>
      </c>
      <c r="F62" s="629">
        <f t="shared" si="6"/>
        <v>3.2446864740053423</v>
      </c>
      <c r="G62" s="629"/>
      <c r="H62" s="614"/>
      <c r="I62" s="614"/>
    </row>
    <row r="63" spans="2:10" ht="24" customHeight="1">
      <c r="B63" s="613">
        <f>+B60-1</f>
        <v>-11</v>
      </c>
      <c r="C63" s="630" t="s">
        <v>381</v>
      </c>
      <c r="D63" s="631">
        <f>D51/D16</f>
        <v>11.257254065207059</v>
      </c>
      <c r="E63" s="631">
        <f t="shared" ref="E63:F65" si="7">E51/E16</f>
        <v>21.694074756234873</v>
      </c>
      <c r="F63" s="631">
        <f t="shared" si="7"/>
        <v>17.462546117199633</v>
      </c>
      <c r="G63" s="631"/>
    </row>
    <row r="64" spans="2:10" ht="12" hidden="1" customHeight="1">
      <c r="B64" s="613"/>
      <c r="C64" s="632" t="s">
        <v>195</v>
      </c>
      <c r="D64" s="633">
        <f>D52/D17</f>
        <v>7.9465728829098312</v>
      </c>
      <c r="E64" s="633">
        <f t="shared" si="7"/>
        <v>15.247304916132331</v>
      </c>
      <c r="F64" s="633">
        <f t="shared" si="7"/>
        <v>12.31148375409337</v>
      </c>
      <c r="G64" s="633"/>
    </row>
    <row r="65" spans="2:7" ht="12" hidden="1" customHeight="1">
      <c r="B65" s="613"/>
      <c r="C65" s="632" t="s">
        <v>196</v>
      </c>
      <c r="D65" s="633">
        <f>D53/D18</f>
        <v>5.4730255707198587</v>
      </c>
      <c r="E65" s="633">
        <f t="shared" si="7"/>
        <v>10.432465732163257</v>
      </c>
      <c r="F65" s="633">
        <f t="shared" si="7"/>
        <v>8.4633305503260097</v>
      </c>
      <c r="G65" s="633"/>
    </row>
    <row r="66" spans="2:7" ht="8.4" customHeight="1">
      <c r="B66" s="586"/>
      <c r="C66" s="571"/>
      <c r="D66" s="618"/>
      <c r="E66" s="618"/>
      <c r="F66" s="618"/>
      <c r="G66" s="618"/>
    </row>
    <row r="67" spans="2:7" ht="12.45" customHeight="1">
      <c r="B67" s="613">
        <f>+B63-1</f>
        <v>-12</v>
      </c>
      <c r="C67" s="623" t="s">
        <v>382</v>
      </c>
      <c r="D67" s="618"/>
      <c r="E67" s="618"/>
      <c r="F67" s="618"/>
      <c r="G67" s="618"/>
    </row>
    <row r="68" spans="2:7" ht="12.45" customHeight="1">
      <c r="B68" s="583"/>
      <c r="C68" s="623" t="s">
        <v>395</v>
      </c>
      <c r="D68" s="634">
        <f>IRR('4.2 IRR_Calc_smooth (2)'!B6:B8)</f>
        <v>-0.12156844975046877</v>
      </c>
      <c r="E68" s="634">
        <f>IRR('4.2 IRR_Calc_smooth (2)'!C6:C8)</f>
        <v>0.18969325043810703</v>
      </c>
      <c r="F68" s="634">
        <f>IRR('4.2 IRR_Calc_smooth (2)'!D6:D8)</f>
        <v>0.10589759496820172</v>
      </c>
      <c r="G68" s="634">
        <f>IRR('4.2 IRR_Calc_smooth (2)'!E6:E8)</f>
        <v>4.5215985024123828E-2</v>
      </c>
    </row>
    <row r="69" spans="2:7" ht="12.45" customHeight="1">
      <c r="B69" s="583"/>
      <c r="C69" s="628" t="s">
        <v>383</v>
      </c>
      <c r="D69" s="635">
        <f>IRR('4.2 IRR_Calc_smooth (2)'!G6:G33)</f>
        <v>-1.3282334961225439E-3</v>
      </c>
      <c r="E69" s="635">
        <f>IRR('4.2 IRR_Calc_smooth (2)'!H6:H33)</f>
        <v>0.31065162028181903</v>
      </c>
      <c r="F69" s="635">
        <f>IRR('4.2 IRR_Calc_smooth (2)'!I6:I33)</f>
        <v>0.22294623004325742</v>
      </c>
      <c r="G69" s="635"/>
    </row>
    <row r="70" spans="2:7" ht="12.45" customHeight="1">
      <c r="B70" s="583"/>
      <c r="C70" s="628" t="s">
        <v>384</v>
      </c>
      <c r="D70" s="635">
        <f>IRR('4.2 IRR_Calc_smooth (2)'!K6:K57)</f>
        <v>0.13874996003129647</v>
      </c>
      <c r="E70" s="635">
        <f>IRR('4.2 IRR_Calc_smooth (2)'!L6:L57)</f>
        <v>0.44591644710010381</v>
      </c>
      <c r="F70" s="635">
        <f>IRR('4.2 IRR_Calc_smooth (2)'!M6:M57)</f>
        <v>0.35598313208086418</v>
      </c>
      <c r="G70" s="635"/>
    </row>
    <row r="71" spans="2:7" ht="12.45" customHeight="1">
      <c r="B71" s="583"/>
      <c r="C71" s="628" t="s">
        <v>385</v>
      </c>
      <c r="D71" s="635">
        <f>IRR('4.2 IRR_Calc_smooth (2)'!O6:O87)</f>
        <v>0.29758599107655681</v>
      </c>
      <c r="E71" s="635">
        <f>IRR('4.2 IRR_Calc_smooth (2)'!P6:P87)</f>
        <v>0.59509526761759513</v>
      </c>
      <c r="F71" s="635">
        <f>IRR('4.2 IRR_Calc_smooth (2)'!Q6:Q87)</f>
        <v>0.50462478864128846</v>
      </c>
      <c r="G71" s="635"/>
    </row>
    <row r="72" spans="2:7" ht="12.45" customHeight="1" thickBot="1">
      <c r="B72" s="636"/>
      <c r="C72" s="637" t="s">
        <v>386</v>
      </c>
      <c r="D72" s="638">
        <f>IRR('4.2 IRR_Calc_smooth (2)'!S6:S166)</f>
        <v>0.4730204546474972</v>
      </c>
      <c r="E72" s="638">
        <f>IRR('4.2 IRR_Calc_smooth (2)'!T6:T166)</f>
        <v>0.75731802909400581</v>
      </c>
      <c r="F72" s="638">
        <f>IRR('4.2 IRR_Calc_smooth (2)'!U6:U166)</f>
        <v>0.6678107499483783</v>
      </c>
      <c r="G72" s="638"/>
    </row>
    <row r="73" spans="2:7" ht="15" customHeight="1" thickTop="1">
      <c r="B73" s="689" t="s">
        <v>420</v>
      </c>
      <c r="C73" s="689"/>
      <c r="D73" s="689"/>
      <c r="E73" s="689"/>
      <c r="F73" s="689"/>
      <c r="G73" s="652"/>
    </row>
    <row r="74" spans="2:7">
      <c r="B74" s="690"/>
      <c r="C74" s="690"/>
      <c r="D74" s="690"/>
      <c r="E74" s="690"/>
      <c r="F74" s="690"/>
      <c r="G74" s="652"/>
    </row>
    <row r="75" spans="2:7" ht="16.2" customHeight="1">
      <c r="B75" s="690"/>
      <c r="C75" s="690"/>
      <c r="D75" s="690"/>
      <c r="E75" s="690"/>
      <c r="F75" s="690"/>
      <c r="G75" s="652"/>
    </row>
    <row r="76" spans="2:7" ht="12.75" customHeight="1">
      <c r="B76" s="690"/>
      <c r="C76" s="690"/>
      <c r="D76" s="690"/>
      <c r="E76" s="690"/>
      <c r="F76" s="690"/>
    </row>
    <row r="77" spans="2:7" ht="12.75" customHeight="1">
      <c r="B77" s="2"/>
      <c r="C77" s="2"/>
    </row>
    <row r="78" spans="2:7" ht="12.75" customHeight="1">
      <c r="B78" s="2"/>
      <c r="C78" s="2"/>
    </row>
    <row r="79" spans="2:7" ht="12.75" customHeight="1">
      <c r="B79" s="2"/>
      <c r="C79" s="2"/>
    </row>
    <row r="80" spans="2:7" ht="12.75" customHeight="1">
      <c r="B80" s="2"/>
      <c r="C80" s="2"/>
    </row>
    <row r="81" s="2" customFormat="1" ht="13.5" customHeight="1"/>
    <row r="82" s="2" customFormat="1" ht="13.5" customHeight="1"/>
    <row r="83" s="2" customFormat="1" ht="13.5" customHeight="1"/>
    <row r="84" s="2" customFormat="1"/>
    <row r="85" s="2" customFormat="1"/>
    <row r="86" s="2" customFormat="1"/>
    <row r="87" s="2" customFormat="1"/>
    <row r="88" s="2" customFormat="1" ht="13.5" customHeight="1"/>
    <row r="89" s="2" customFormat="1"/>
    <row r="90" s="2" customFormat="1" ht="13.5" customHeight="1"/>
    <row r="91" s="2" customFormat="1" ht="13.5" customHeight="1"/>
    <row r="92" s="2" customFormat="1" ht="13.5" customHeight="1"/>
    <row r="93" s="2" customFormat="1" ht="13.5" customHeight="1"/>
    <row r="94" s="2" customFormat="1" ht="13.5" customHeight="1"/>
    <row r="95" s="2" customFormat="1" ht="13.5" customHeigh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hidden="1"/>
    <row r="116" s="2" customFormat="1" hidden="1"/>
    <row r="117" s="2" customFormat="1" hidden="1"/>
    <row r="118" s="2" customFormat="1"/>
    <row r="119" s="2" customFormat="1"/>
    <row r="120" s="2" customFormat="1"/>
    <row r="121" s="2" customFormat="1"/>
    <row r="122" s="2" customFormat="1"/>
    <row r="123" s="2" customFormat="1"/>
    <row r="124" s="2" customFormat="1"/>
    <row r="125" s="2" customFormat="1"/>
  </sheetData>
  <mergeCells count="1">
    <mergeCell ref="B73:F7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784C8-393F-42FE-A281-A48EC339823A}">
  <dimension ref="B2:J125"/>
  <sheetViews>
    <sheetView topLeftCell="A13" workbookViewId="0">
      <selection activeCell="C28" sqref="C28"/>
    </sheetView>
  </sheetViews>
  <sheetFormatPr defaultColWidth="8.77734375" defaultRowHeight="14.4"/>
  <cols>
    <col min="1" max="1" width="2.77734375" style="2" customWidth="1"/>
    <col min="2" max="2" width="4" style="190" customWidth="1"/>
    <col min="3" max="3" width="57.21875" style="640" customWidth="1"/>
    <col min="4" max="4" width="7.21875" style="2" customWidth="1"/>
    <col min="5" max="5" width="9.77734375" style="2" customWidth="1"/>
    <col min="6" max="6" width="7.44140625" style="2" customWidth="1"/>
    <col min="7" max="7" width="8.109375" style="2" hidden="1" customWidth="1"/>
    <col min="8" max="16384" width="8.77734375" style="2"/>
  </cols>
  <sheetData>
    <row r="2" spans="2:7" ht="15" thickBot="1">
      <c r="B2" s="564"/>
      <c r="C2" s="565"/>
      <c r="D2" s="566"/>
      <c r="E2" s="566"/>
      <c r="F2" s="566"/>
      <c r="G2" s="566"/>
    </row>
    <row r="3" spans="2:7" ht="12" customHeight="1" thickTop="1">
      <c r="B3" s="567"/>
      <c r="C3" s="568"/>
      <c r="D3" s="569" t="s">
        <v>141</v>
      </c>
      <c r="E3" s="569" t="s">
        <v>241</v>
      </c>
      <c r="F3" s="569" t="s">
        <v>201</v>
      </c>
      <c r="G3" s="569" t="s">
        <v>304</v>
      </c>
    </row>
    <row r="4" spans="2:7" ht="12.45" customHeight="1">
      <c r="B4" s="570" t="s">
        <v>199</v>
      </c>
      <c r="C4" s="571"/>
      <c r="D4" s="572"/>
      <c r="E4" s="572"/>
      <c r="F4" s="572"/>
      <c r="G4" s="572"/>
    </row>
    <row r="5" spans="2:7" ht="12.45" customHeight="1">
      <c r="B5" s="570"/>
      <c r="C5" s="573" t="s">
        <v>183</v>
      </c>
      <c r="D5" s="574">
        <f>'4.1 CBA (ed7)'!E5</f>
        <v>77.534919087631735</v>
      </c>
      <c r="E5" s="574">
        <f>'4.1 CBA (ed7)'!F5</f>
        <v>77.534919087631735</v>
      </c>
      <c r="F5" s="574">
        <f>'4.1 CBA (ed7)'!G5</f>
        <v>77.534919087631735</v>
      </c>
      <c r="G5" s="574"/>
    </row>
    <row r="6" spans="2:7" ht="12.45" customHeight="1">
      <c r="B6" s="570"/>
      <c r="C6" s="573" t="s">
        <v>184</v>
      </c>
      <c r="D6" s="574">
        <f>'4.1 CBA (ed7)'!E6</f>
        <v>3.2093470015796295</v>
      </c>
      <c r="E6" s="574">
        <f>'4.1 CBA (ed7)'!F6</f>
        <v>3.2093470015796295</v>
      </c>
      <c r="F6" s="574">
        <f>'4.1 CBA (ed7)'!G6</f>
        <v>3.2093470015796295</v>
      </c>
      <c r="G6" s="574"/>
    </row>
    <row r="7" spans="2:7" ht="12.45" customHeight="1">
      <c r="B7" s="570"/>
      <c r="C7" s="573" t="s">
        <v>185</v>
      </c>
      <c r="D7" s="574">
        <f>'4.1 CBA (ed7)'!E7</f>
        <v>1.4442087063454137</v>
      </c>
      <c r="E7" s="574">
        <f>'4.1 CBA (ed7)'!F7</f>
        <v>1.4442087063454137</v>
      </c>
      <c r="F7" s="574">
        <f>'4.1 CBA (ed7)'!G7</f>
        <v>1.4442087063454137</v>
      </c>
      <c r="G7" s="574"/>
    </row>
    <row r="8" spans="2:7" ht="12.45" customHeight="1">
      <c r="B8" s="570"/>
      <c r="C8" s="573" t="s">
        <v>186</v>
      </c>
      <c r="D8" s="574">
        <f>'4.1 CBA (ed7)'!E8</f>
        <v>8.60457657191286</v>
      </c>
      <c r="E8" s="574">
        <f>'4.1 CBA (ed7)'!F8</f>
        <v>8.60457657191286</v>
      </c>
      <c r="F8" s="574">
        <f>'4.1 CBA (ed7)'!G8</f>
        <v>8.60457657191286</v>
      </c>
      <c r="G8" s="574"/>
    </row>
    <row r="9" spans="2:7" ht="12.45" customHeight="1">
      <c r="B9" s="570"/>
      <c r="C9" s="573" t="s">
        <v>187</v>
      </c>
      <c r="D9" s="574">
        <f>'4.1 CBA (ed7)'!E9</f>
        <v>0</v>
      </c>
      <c r="E9" s="574">
        <f>'4.1 CBA (ed7)'!F9</f>
        <v>37.871929173175715</v>
      </c>
      <c r="F9" s="574">
        <f>'4.1 CBA (ed7)'!G9</f>
        <v>37.871929173175715</v>
      </c>
      <c r="G9" s="574"/>
    </row>
    <row r="10" spans="2:7" ht="12.45" customHeight="1">
      <c r="B10" s="570"/>
      <c r="C10" s="573" t="s">
        <v>188</v>
      </c>
      <c r="D10" s="574">
        <f>'4.1 CBA (ed7)'!E10</f>
        <v>1.9594531115242388</v>
      </c>
      <c r="E10" s="574">
        <f>'4.1 CBA (ed7)'!F10</f>
        <v>1.9594531115242388</v>
      </c>
      <c r="F10" s="574">
        <f>'4.1 CBA (ed7)'!G10</f>
        <v>1.9594531115242388</v>
      </c>
      <c r="G10" s="574"/>
    </row>
    <row r="11" spans="2:7" ht="12.45" customHeight="1">
      <c r="B11" s="570"/>
      <c r="C11" s="573" t="s">
        <v>189</v>
      </c>
      <c r="D11" s="574">
        <f>'4.1 CBA (ed7)'!E11</f>
        <v>0</v>
      </c>
      <c r="E11" s="574">
        <f>'4.1 CBA (ed7)'!F11</f>
        <v>63.839213487437462</v>
      </c>
      <c r="F11" s="574">
        <f>'4.1 CBA (ed7)'!G11</f>
        <v>63.839213487437462</v>
      </c>
      <c r="G11" s="574"/>
    </row>
    <row r="12" spans="2:7" ht="12.45" customHeight="1">
      <c r="B12" s="570"/>
      <c r="C12" s="573" t="s">
        <v>190</v>
      </c>
      <c r="D12" s="574">
        <f>'4.1 CBA (ed7)'!E12</f>
        <v>64.56767076949275</v>
      </c>
      <c r="E12" s="574">
        <f>'4.1 CBA (ed7)'!F12</f>
        <v>64.56767076949275</v>
      </c>
      <c r="F12" s="574">
        <f>'4.1 CBA (ed7)'!G12</f>
        <v>64.56767076949275</v>
      </c>
      <c r="G12" s="574"/>
    </row>
    <row r="13" spans="2:7" ht="12.45" customHeight="1">
      <c r="B13" s="570"/>
      <c r="C13" s="573" t="s">
        <v>191</v>
      </c>
      <c r="D13" s="574">
        <f>'4.1 CBA (ed7)'!E13</f>
        <v>321.07228646064357</v>
      </c>
      <c r="E13" s="574">
        <f>'4.1 CBA (ed7)'!F13</f>
        <v>0</v>
      </c>
      <c r="F13" s="574">
        <f>'4.1 CBA (ed7)'!G13</f>
        <v>321.07228646064357</v>
      </c>
      <c r="G13" s="574"/>
    </row>
    <row r="14" spans="2:7" ht="12.45" customHeight="1">
      <c r="B14" s="570"/>
      <c r="C14" s="573" t="s">
        <v>192</v>
      </c>
      <c r="D14" s="574">
        <f>'4.1 CBA (ed7)'!E14</f>
        <v>3.6467388421307181</v>
      </c>
      <c r="E14" s="574">
        <f>'4.1 CBA (ed7)'!F14</f>
        <v>3.6467388421307181</v>
      </c>
      <c r="F14" s="574">
        <f>'4.1 CBA (ed7)'!G14</f>
        <v>3.6467388421307181</v>
      </c>
      <c r="G14" s="574"/>
    </row>
    <row r="15" spans="2:7" ht="12.45" customHeight="1">
      <c r="B15" s="583"/>
      <c r="C15" s="571" t="s">
        <v>182</v>
      </c>
      <c r="D15" s="574">
        <f>SUM(D5:D14)</f>
        <v>482.03920055126093</v>
      </c>
      <c r="E15" s="574">
        <f>SUM(E5:E14)</f>
        <v>262.67805675123049</v>
      </c>
      <c r="F15" s="574">
        <f>SUM(F5:F14)</f>
        <v>583.75034321187411</v>
      </c>
      <c r="G15" s="574">
        <f>AVERAGE(D15:F15)</f>
        <v>442.82253350478851</v>
      </c>
    </row>
    <row r="16" spans="2:7" ht="12.45" customHeight="1">
      <c r="B16" s="586">
        <v>-1</v>
      </c>
      <c r="C16" s="571" t="s">
        <v>181</v>
      </c>
      <c r="D16" s="585">
        <f>D15*(1+disc5)^2</f>
        <v>531.44821860776517</v>
      </c>
      <c r="E16" s="585">
        <f>E15*(1+disc5)^2</f>
        <v>289.60255756823165</v>
      </c>
      <c r="F16" s="585">
        <f>F15*(1+disc5)^2</f>
        <v>643.58475339109123</v>
      </c>
      <c r="G16" s="585">
        <f>G15*(1+disc5)^2</f>
        <v>488.21184318902937</v>
      </c>
    </row>
    <row r="17" spans="2:9" ht="12" hidden="1" customHeight="1">
      <c r="B17" s="586"/>
      <c r="C17" s="571" t="s">
        <v>174</v>
      </c>
      <c r="D17" s="587">
        <f>D15*(1+disc7)^2</f>
        <v>551.88668071113864</v>
      </c>
      <c r="E17" s="587">
        <f>E15*(1+disc7)^2</f>
        <v>300.7401071744838</v>
      </c>
      <c r="F17" s="587">
        <f>F15*(1+disc7)^2</f>
        <v>668.33576794327473</v>
      </c>
      <c r="G17" s="587"/>
    </row>
    <row r="18" spans="2:9" ht="12" hidden="1" customHeight="1">
      <c r="B18" s="586"/>
      <c r="C18" s="571" t="s">
        <v>175</v>
      </c>
      <c r="D18" s="587">
        <f>D15*(1+disc10)^2</f>
        <v>583.26743266702579</v>
      </c>
      <c r="E18" s="587">
        <f>E15*(1+disc10)^2</f>
        <v>317.84044866898893</v>
      </c>
      <c r="F18" s="587">
        <f>F15*(1+disc10)^2</f>
        <v>706.33791528636777</v>
      </c>
      <c r="G18" s="587"/>
    </row>
    <row r="19" spans="2:9" ht="12" customHeight="1">
      <c r="B19" s="583"/>
      <c r="C19" s="571"/>
      <c r="D19" s="588"/>
      <c r="E19" s="588"/>
      <c r="F19" s="588"/>
      <c r="G19" s="588"/>
      <c r="H19" s="510"/>
      <c r="I19" s="510"/>
    </row>
    <row r="20" spans="2:9" ht="12" customHeight="1">
      <c r="B20" s="589" t="s">
        <v>362</v>
      </c>
      <c r="C20" s="590"/>
      <c r="D20" s="591"/>
      <c r="E20" s="591"/>
      <c r="F20" s="591"/>
      <c r="G20" s="591"/>
    </row>
    <row r="21" spans="2:9" ht="7.2" customHeight="1">
      <c r="C21" s="592" t="s">
        <v>197</v>
      </c>
    </row>
    <row r="22" spans="2:9" ht="12" hidden="1" customHeight="1">
      <c r="B22" s="593"/>
      <c r="C22" s="571" t="s">
        <v>401</v>
      </c>
      <c r="D22" s="596">
        <f>'4.1 CBA (yr HH)'!E22</f>
        <v>265.04616200129755</v>
      </c>
      <c r="E22" s="596">
        <f>'4.1 CBA (yr HH)'!F22</f>
        <v>126.41009362204613</v>
      </c>
      <c r="F22" s="596">
        <f>'4.1 CBA (yr HH)'!G22</f>
        <v>491.93207977235238</v>
      </c>
      <c r="G22" s="596">
        <f>'4.1 CBA (yr HH)'!H22</f>
        <v>294.74281080342763</v>
      </c>
    </row>
    <row r="23" spans="2:9" ht="12" hidden="1" customHeight="1">
      <c r="B23" s="593"/>
      <c r="C23" s="571" t="s">
        <v>402</v>
      </c>
      <c r="D23" s="596">
        <f>'4.1 CBA (yr HH)'!E23</f>
        <v>255.4895966270104</v>
      </c>
      <c r="E23" s="596">
        <f>'4.1 CBA (yr HH)'!F23</f>
        <v>326.51247501255494</v>
      </c>
      <c r="F23" s="596">
        <f>'4.1 CBA (yr HH)'!G23</f>
        <v>624.78563512746268</v>
      </c>
      <c r="G23" s="596">
        <f>'4.1 CBA (yr HH)'!H23</f>
        <v>398.56786487834682</v>
      </c>
    </row>
    <row r="24" spans="2:9" ht="12" hidden="1" customHeight="1">
      <c r="B24" s="593"/>
      <c r="C24" s="571"/>
      <c r="D24" s="596"/>
      <c r="E24" s="596"/>
      <c r="F24" s="596"/>
      <c r="G24" s="596"/>
    </row>
    <row r="25" spans="2:9" ht="12" hidden="1" customHeight="1">
      <c r="B25" s="593"/>
      <c r="C25" s="571" t="s">
        <v>244</v>
      </c>
      <c r="D25" s="597">
        <f>D22/12</f>
        <v>22.087180166774797</v>
      </c>
      <c r="E25" s="597">
        <f t="shared" ref="E25:G25" si="0">E22/12</f>
        <v>10.534174468503844</v>
      </c>
      <c r="F25" s="597">
        <f t="shared" si="0"/>
        <v>40.994339981029363</v>
      </c>
      <c r="G25" s="597">
        <f t="shared" si="0"/>
        <v>24.561900900285636</v>
      </c>
    </row>
    <row r="26" spans="2:9" ht="12" hidden="1" customHeight="1">
      <c r="B26" s="593"/>
      <c r="C26" s="571" t="s">
        <v>245</v>
      </c>
      <c r="D26" s="597">
        <f>D23/12</f>
        <v>21.290799718917533</v>
      </c>
      <c r="E26" s="597">
        <f t="shared" ref="E26:G26" si="1">E23/12</f>
        <v>27.209372917712912</v>
      </c>
      <c r="F26" s="597">
        <f t="shared" si="1"/>
        <v>52.065469593955221</v>
      </c>
      <c r="G26" s="597">
        <f t="shared" si="1"/>
        <v>33.213988739862238</v>
      </c>
    </row>
    <row r="27" spans="2:9" ht="12" hidden="1" customHeight="1">
      <c r="B27" s="593"/>
      <c r="C27" s="571"/>
      <c r="D27" s="597"/>
      <c r="E27" s="597"/>
      <c r="F27" s="597"/>
      <c r="G27" s="597"/>
    </row>
    <row r="28" spans="2:9" ht="12.45" customHeight="1">
      <c r="B28" s="586">
        <f>+B16-1</f>
        <v>-2</v>
      </c>
      <c r="C28" s="571" t="s">
        <v>387</v>
      </c>
      <c r="D28" s="641">
        <f>NPV(disc5/12, '4.1.1 smooth cashflow'!Z5:Z10)*(1+disc5)^2</f>
        <v>83.708610302495288</v>
      </c>
      <c r="E28" s="641">
        <f>NPV(disc5/12, '4.1.1 smooth cashflow'!AA5:AA10)*(1+disc5)^2</f>
        <v>39.92366154412754</v>
      </c>
      <c r="F28" s="641">
        <f>NPV(disc5/12, '4.1.1 smooth cashflow'!AB5:AB10)*(1+disc5)^2</f>
        <v>155.36520298965229</v>
      </c>
      <c r="G28" s="641">
        <f>NPV(disc5/12, '4.1.1 smooth cashflow'!AC5:AC10)*(1+disc5)^2</f>
        <v>93.087599921124038</v>
      </c>
      <c r="H28" s="598"/>
    </row>
    <row r="29" spans="2:9" ht="12" hidden="1" customHeight="1">
      <c r="B29" s="586"/>
      <c r="C29" s="571" t="s">
        <v>281</v>
      </c>
      <c r="D29" s="641">
        <f>NPV(disc7/12, '4.1.1 smooth cashflow'!Z5:Z10)*(1+disc7)^2</f>
        <v>86.307019969076194</v>
      </c>
      <c r="E29" s="641">
        <f>NPV(disc7/12, '4.1.1 smooth cashflow'!AA5:AA10)*(1+disc7)^2</f>
        <v>41.1629370225603</v>
      </c>
      <c r="F29" s="641">
        <f>NPV(disc7/12, '4.1.1 smooth cashflow'!AB5:AB10)*(1+disc7)^2</f>
        <v>160.18791410431268</v>
      </c>
      <c r="G29" s="641"/>
    </row>
    <row r="30" spans="2:9" ht="12" hidden="1" customHeight="1">
      <c r="B30" s="586"/>
      <c r="C30" s="571" t="s">
        <v>282</v>
      </c>
      <c r="D30" s="641">
        <f>NPV(disc10/12, '4.1.1 smooth cashflow'!Z5:Z10)*(1+disc10)^2</f>
        <v>90.242086724107281</v>
      </c>
      <c r="E30" s="641">
        <f>NPV(disc10/12, '4.1.1 smooth cashflow'!AA5:AA10)*(1+disc10)^2</f>
        <v>43.039712574247204</v>
      </c>
      <c r="F30" s="641">
        <f>NPV(disc10/12, '4.1.1 smooth cashflow'!AB5:AB10)*(1+disc10)^2</f>
        <v>167.49149306666723</v>
      </c>
      <c r="G30" s="641"/>
    </row>
    <row r="31" spans="2:9" ht="12" hidden="1" customHeight="1">
      <c r="B31" s="586"/>
      <c r="C31" s="571"/>
      <c r="D31" s="642"/>
      <c r="E31" s="642"/>
      <c r="F31" s="642"/>
      <c r="G31" s="642"/>
    </row>
    <row r="32" spans="2:9" ht="12" customHeight="1">
      <c r="B32" s="586">
        <f>+B28-1</f>
        <v>-3</v>
      </c>
      <c r="C32" s="571" t="s">
        <v>388</v>
      </c>
      <c r="D32" s="642">
        <f>NPV(disc5/12,0,0,0,0,0,0,'4.1.1 smooth cashflow'!Z11:Z22)*(1+disc5)^2</f>
        <v>272.06482133043363</v>
      </c>
      <c r="E32" s="642">
        <f>NPV(disc5/12,0,0,0,0,0,0,'4.1.1 smooth cashflow'!AA11:AA22)*(1+disc5)^2</f>
        <v>244.91532036580429</v>
      </c>
      <c r="F32" s="642">
        <f>NPV(disc5/12,0,0,0,0,0,0,'4.1.1 smooth cashflow'!AB11:AB22)*(1+disc5)^2</f>
        <v>589.69296042285441</v>
      </c>
      <c r="G32" s="642">
        <f>NPV(disc5/12,0,0,0,0,0,0,'4.1.1 smooth cashflow'!AC11:AC22)*(1+disc5)^2</f>
        <v>366.94766739163759</v>
      </c>
    </row>
    <row r="33" spans="2:10" ht="12" hidden="1" customHeight="1">
      <c r="B33" s="586"/>
      <c r="C33" s="571" t="s">
        <v>284</v>
      </c>
      <c r="D33" s="642">
        <f>NPV(disc7/12,0,0,0,0,0,0,'4.1.1 smooth cashflow'!Z11:Z22)*(1+disc7)^2</f>
        <v>276.77550415536189</v>
      </c>
      <c r="E33" s="642">
        <f>NPV(disc7/12,0,0,0,0,0,0,'4.1.1 smooth cashflow'!AA11:AA22)*(1+disc7)^2</f>
        <v>248.78999779733059</v>
      </c>
      <c r="F33" s="642">
        <f>NPV(disc7/12,0,0,0,0,0,0,'4.1.1 smooth cashflow'!AB11:AB22)*(1+disc7)^2</f>
        <v>599.63398508559726</v>
      </c>
      <c r="G33" s="642"/>
    </row>
    <row r="34" spans="2:10" ht="12" hidden="1" customHeight="1">
      <c r="B34" s="586"/>
      <c r="C34" s="571" t="s">
        <v>285</v>
      </c>
      <c r="D34" s="642">
        <f>NPV(disc10/12,0,0,0,0,0,0,'4.1.1 smooth cashflow'!Z11:Z22)*(1+disc10)^2</f>
        <v>283.6607322485246</v>
      </c>
      <c r="E34" s="642">
        <f>NPV(disc10/12,0,0,0,0,0,0,'4.1.1 smooth cashflow'!AA11:AA22)*(1+disc10)^2</f>
        <v>254.41785322692871</v>
      </c>
      <c r="F34" s="642">
        <f>NPV(disc10/12,0,0,0,0,0,0,'4.1.1 smooth cashflow'!AB11:AB22)*(1+disc10)^2</f>
        <v>614.13790049199304</v>
      </c>
      <c r="G34" s="642"/>
    </row>
    <row r="35" spans="2:10" ht="12" hidden="1" customHeight="1">
      <c r="B35" s="613"/>
      <c r="C35" s="606"/>
      <c r="D35" s="641"/>
      <c r="E35" s="641"/>
      <c r="F35" s="641"/>
      <c r="G35" s="641"/>
    </row>
    <row r="36" spans="2:10" ht="12.45" customHeight="1">
      <c r="B36" s="613">
        <f>+B32-1</f>
        <v>-4</v>
      </c>
      <c r="C36" s="600" t="s">
        <v>389</v>
      </c>
      <c r="D36" s="643" t="s">
        <v>405</v>
      </c>
      <c r="E36" s="643">
        <f>NPV(disc5,'4.2 IRR_Calc_smooth (2)'!H9:H33)</f>
        <v>97.092941453447096</v>
      </c>
      <c r="F36" s="643">
        <f>NPV(disc5,'4.2 IRR_Calc_smooth (2)'!I9:I33)</f>
        <v>172.8042729644049</v>
      </c>
      <c r="G36" s="643"/>
    </row>
    <row r="37" spans="2:10" ht="12.45" customHeight="1">
      <c r="B37" s="613"/>
      <c r="C37" s="600" t="s">
        <v>390</v>
      </c>
      <c r="D37" s="643" t="s">
        <v>404</v>
      </c>
      <c r="E37" s="643">
        <f>NPV(disc5,'4.2 IRR_Calc_smooth (2)'!L9:L57)</f>
        <v>282.45219331911869</v>
      </c>
      <c r="F37" s="643">
        <f>NPV(disc5,'4.2 IRR_Calc_smooth (2)'!M9:M57)</f>
        <v>502.70333953281437</v>
      </c>
      <c r="G37" s="643"/>
    </row>
    <row r="38" spans="2:10" ht="12.45" customHeight="1">
      <c r="B38" s="583"/>
      <c r="C38" s="600" t="s">
        <v>391</v>
      </c>
      <c r="D38" s="644" t="s">
        <v>404</v>
      </c>
      <c r="E38" s="644">
        <f>NPV(disc5,'4.2 IRR_Calc_smooth (2)'!P9:P87)</f>
        <v>776.74353162535795</v>
      </c>
      <c r="F38" s="644">
        <f>NPV(disc5,'4.2 IRR_Calc_smooth (2)'!Q9:Q87)</f>
        <v>1382.43418371129</v>
      </c>
      <c r="G38" s="644"/>
    </row>
    <row r="39" spans="2:10" ht="24" customHeight="1">
      <c r="B39" s="613">
        <f>+B36-1</f>
        <v>-5</v>
      </c>
      <c r="C39" s="604" t="s">
        <v>368</v>
      </c>
      <c r="D39" s="645" t="s">
        <v>404</v>
      </c>
      <c r="E39" s="645">
        <f>E32/(1+disc5)/disc5</f>
        <v>4665.0537212534146</v>
      </c>
      <c r="F39" s="645">
        <f>F32/(1+disc5)/disc5</f>
        <v>11232.246865197225</v>
      </c>
      <c r="G39" s="645"/>
    </row>
    <row r="40" spans="2:10" ht="12" hidden="1" customHeight="1">
      <c r="B40" s="613"/>
      <c r="C40" s="606" t="s">
        <v>264</v>
      </c>
      <c r="D40" s="646">
        <f>D33/(1+disc7)/disc7</f>
        <v>3695.2670781757261</v>
      </c>
      <c r="E40" s="646">
        <f>E33/(1+disc7)/disc7</f>
        <v>3321.6288090431312</v>
      </c>
      <c r="F40" s="646">
        <f>F33/(1+disc7)/disc7</f>
        <v>8005.7941933991606</v>
      </c>
      <c r="G40" s="646"/>
    </row>
    <row r="41" spans="2:10" ht="12" hidden="1" customHeight="1">
      <c r="B41" s="613"/>
      <c r="C41" s="606" t="s">
        <v>265</v>
      </c>
      <c r="D41" s="646">
        <f>D34/(1+disc10)/disc10</f>
        <v>2578.7339295320412</v>
      </c>
      <c r="E41" s="646">
        <f>E34/(1+disc10)/disc10</f>
        <v>2312.8895747902607</v>
      </c>
      <c r="F41" s="646">
        <f>F34/(1+disc10)/disc10</f>
        <v>5583.0718226544814</v>
      </c>
      <c r="G41" s="646"/>
    </row>
    <row r="42" spans="2:10" ht="10.199999999999999" customHeight="1">
      <c r="B42" s="5"/>
      <c r="C42" s="607"/>
      <c r="D42" s="647"/>
      <c r="E42" s="647"/>
      <c r="F42" s="647"/>
      <c r="G42" s="647"/>
    </row>
    <row r="43" spans="2:10" ht="12.45" customHeight="1">
      <c r="B43" s="648">
        <f>+B39-1</f>
        <v>-6</v>
      </c>
      <c r="C43" s="609" t="s">
        <v>392</v>
      </c>
      <c r="D43" s="649">
        <f>D28+D32</f>
        <v>355.77343163292892</v>
      </c>
      <c r="E43" s="649">
        <f>E28+E32</f>
        <v>284.83898190993182</v>
      </c>
      <c r="F43" s="649">
        <f t="shared" ref="F43:G43" si="2">F28+F32</f>
        <v>745.0581634125067</v>
      </c>
      <c r="G43" s="649">
        <f t="shared" si="2"/>
        <v>460.03526731276162</v>
      </c>
    </row>
    <row r="44" spans="2:10" ht="12" hidden="1" customHeight="1">
      <c r="B44" s="586"/>
      <c r="C44" s="571" t="s">
        <v>193</v>
      </c>
      <c r="D44" s="649">
        <f>D29+D33</f>
        <v>363.08252412443807</v>
      </c>
      <c r="E44" s="649">
        <f t="shared" ref="E44:F45" si="3">E29+E33</f>
        <v>289.95293481989086</v>
      </c>
      <c r="F44" s="649">
        <f t="shared" si="3"/>
        <v>759.82189918990991</v>
      </c>
      <c r="G44" s="649"/>
    </row>
    <row r="45" spans="2:10" ht="12" hidden="1" customHeight="1">
      <c r="B45" s="586"/>
      <c r="C45" s="571" t="s">
        <v>194</v>
      </c>
      <c r="D45" s="649">
        <f>D30+D34</f>
        <v>373.90281897263185</v>
      </c>
      <c r="E45" s="649">
        <f t="shared" si="3"/>
        <v>297.45756580117592</v>
      </c>
      <c r="F45" s="649">
        <f t="shared" si="3"/>
        <v>781.62939355866024</v>
      </c>
      <c r="G45" s="649"/>
    </row>
    <row r="46" spans="2:10" ht="12.6" hidden="1" customHeight="1">
      <c r="B46" s="586"/>
      <c r="C46" s="571"/>
      <c r="D46" s="642"/>
      <c r="E46" s="642"/>
      <c r="F46" s="642"/>
      <c r="G46" s="642"/>
    </row>
    <row r="47" spans="2:10" ht="12.45" customHeight="1">
      <c r="B47" s="613">
        <f>+B43-1</f>
        <v>-7</v>
      </c>
      <c r="C47" s="612" t="s">
        <v>393</v>
      </c>
      <c r="D47" s="643" t="e">
        <f>D$28+D$32+D36</f>
        <v>#VALUE!</v>
      </c>
      <c r="E47" s="643">
        <f t="shared" ref="E47:F49" si="4">E$28+E$32+E36</f>
        <v>381.93192336337893</v>
      </c>
      <c r="F47" s="643">
        <f t="shared" si="4"/>
        <v>917.86243637691155</v>
      </c>
      <c r="G47" s="643"/>
      <c r="J47" s="598"/>
    </row>
    <row r="48" spans="2:10" ht="12.45" customHeight="1">
      <c r="B48" s="613"/>
      <c r="C48" s="612" t="s">
        <v>371</v>
      </c>
      <c r="D48" s="643" t="e">
        <f>D$28+D$32+D37</f>
        <v>#VALUE!</v>
      </c>
      <c r="E48" s="643">
        <f t="shared" si="4"/>
        <v>567.29117522905051</v>
      </c>
      <c r="F48" s="643">
        <f t="shared" si="4"/>
        <v>1247.7615029453211</v>
      </c>
      <c r="G48" s="643"/>
    </row>
    <row r="49" spans="2:10" ht="12.45" customHeight="1">
      <c r="B49" s="583"/>
      <c r="C49" s="612" t="s">
        <v>372</v>
      </c>
      <c r="D49" s="643" t="e">
        <f>D$28+D$32+D38</f>
        <v>#VALUE!</v>
      </c>
      <c r="E49" s="643">
        <f t="shared" si="4"/>
        <v>1061.5825135352898</v>
      </c>
      <c r="F49" s="643">
        <f t="shared" si="4"/>
        <v>2127.4923471237967</v>
      </c>
      <c r="G49" s="643"/>
      <c r="I49" s="614"/>
      <c r="J49" s="614"/>
    </row>
    <row r="50" spans="2:10" ht="12" hidden="1" customHeight="1">
      <c r="B50" s="586"/>
      <c r="C50" s="571"/>
      <c r="D50" s="642"/>
      <c r="E50" s="642"/>
      <c r="F50" s="642"/>
      <c r="G50" s="642"/>
    </row>
    <row r="51" spans="2:10" ht="24" customHeight="1">
      <c r="B51" s="613">
        <f>+B47-1</f>
        <v>-8</v>
      </c>
      <c r="C51" s="615" t="s">
        <v>394</v>
      </c>
      <c r="D51" s="650" t="e">
        <f>D28+D32+D39</f>
        <v>#VALUE!</v>
      </c>
      <c r="E51" s="650">
        <f>E28+E32+E39</f>
        <v>4949.8927031633466</v>
      </c>
      <c r="F51" s="650">
        <f t="shared" ref="F51" si="5">F28+F32+F39</f>
        <v>11977.305028609731</v>
      </c>
      <c r="G51" s="650"/>
    </row>
    <row r="52" spans="2:10" ht="12" hidden="1" customHeight="1">
      <c r="B52" s="613"/>
      <c r="C52" s="606" t="s">
        <v>193</v>
      </c>
      <c r="D52" s="651">
        <f>D29+D33+D40</f>
        <v>4058.349602300164</v>
      </c>
      <c r="E52" s="651">
        <f t="shared" ref="E52:F53" si="6">E29+E33+E40</f>
        <v>3611.581743863022</v>
      </c>
      <c r="F52" s="651">
        <f t="shared" si="6"/>
        <v>8765.6160925890708</v>
      </c>
      <c r="G52" s="651"/>
    </row>
    <row r="53" spans="2:10" ht="12" hidden="1" customHeight="1">
      <c r="B53" s="613"/>
      <c r="C53" s="606" t="s">
        <v>194</v>
      </c>
      <c r="D53" s="651">
        <f>D30+D34+D41</f>
        <v>2952.6367485046731</v>
      </c>
      <c r="E53" s="651">
        <f t="shared" si="6"/>
        <v>2610.3471405914365</v>
      </c>
      <c r="F53" s="651">
        <f t="shared" si="6"/>
        <v>6364.7012162131414</v>
      </c>
      <c r="G53" s="651"/>
    </row>
    <row r="54" spans="2:10" ht="12" customHeight="1">
      <c r="B54" s="586"/>
      <c r="C54" s="571"/>
      <c r="D54" s="618"/>
      <c r="E54" s="618"/>
      <c r="F54" s="618"/>
      <c r="G54" s="618"/>
    </row>
    <row r="55" spans="2:10" ht="12.45" customHeight="1">
      <c r="B55" s="619" t="s">
        <v>374</v>
      </c>
      <c r="C55" s="590"/>
      <c r="D55" s="620"/>
      <c r="E55" s="620"/>
      <c r="F55" s="620"/>
      <c r="G55" s="620"/>
    </row>
    <row r="56" spans="2:10" ht="8.5500000000000007" customHeight="1">
      <c r="B56" s="621"/>
      <c r="C56" s="592"/>
      <c r="D56" s="622"/>
      <c r="E56" s="622"/>
      <c r="F56" s="622"/>
      <c r="G56" s="622"/>
    </row>
    <row r="57" spans="2:10" ht="12.45" customHeight="1">
      <c r="B57" s="586">
        <f>+B51-1</f>
        <v>-9</v>
      </c>
      <c r="C57" s="623" t="s">
        <v>375</v>
      </c>
      <c r="D57" s="627">
        <f>D43/D16</f>
        <v>0.66944138521142948</v>
      </c>
      <c r="E57" s="627">
        <f t="shared" ref="E57:G59" si="7">E43/E16</f>
        <v>0.98355133428965835</v>
      </c>
      <c r="F57" s="627">
        <f t="shared" si="7"/>
        <v>1.1576690707583503</v>
      </c>
      <c r="G57" s="624">
        <f t="shared" si="7"/>
        <v>0.94228616886428518</v>
      </c>
    </row>
    <row r="58" spans="2:10" ht="12.45" customHeight="1">
      <c r="B58" s="586"/>
      <c r="C58" s="623" t="s">
        <v>376</v>
      </c>
      <c r="D58" s="627">
        <f>D44/D17</f>
        <v>0.65789325384077901</v>
      </c>
      <c r="E58" s="627">
        <f t="shared" si="7"/>
        <v>0.96413124788728488</v>
      </c>
      <c r="F58" s="627">
        <f t="shared" si="7"/>
        <v>1.1368864807702468</v>
      </c>
      <c r="G58" s="627"/>
    </row>
    <row r="59" spans="2:10" ht="12.45" customHeight="1">
      <c r="B59" s="586"/>
      <c r="C59" s="623" t="s">
        <v>377</v>
      </c>
      <c r="D59" s="627">
        <f>D45/D18</f>
        <v>0.64104868201356358</v>
      </c>
      <c r="E59" s="627">
        <f t="shared" si="7"/>
        <v>0.93587070823373864</v>
      </c>
      <c r="F59" s="627">
        <f t="shared" si="7"/>
        <v>1.1065941338314924</v>
      </c>
      <c r="G59" s="627"/>
    </row>
    <row r="60" spans="2:10" ht="12.45" customHeight="1">
      <c r="B60" s="613">
        <f>+B57-1</f>
        <v>-10</v>
      </c>
      <c r="C60" s="628" t="s">
        <v>378</v>
      </c>
      <c r="D60" s="629" t="e">
        <f>D47/D$16</f>
        <v>#VALUE!</v>
      </c>
      <c r="E60" s="629">
        <f t="shared" ref="E60:F62" si="8">E47/E$16</f>
        <v>1.3188140552708829</v>
      </c>
      <c r="F60" s="629">
        <f t="shared" si="8"/>
        <v>1.4261718158185581</v>
      </c>
      <c r="G60" s="629"/>
    </row>
    <row r="61" spans="2:10" ht="12.45" customHeight="1">
      <c r="B61" s="613"/>
      <c r="C61" s="628" t="s">
        <v>379</v>
      </c>
      <c r="D61" s="629" t="e">
        <f>D48/D$16</f>
        <v>#VALUE!</v>
      </c>
      <c r="E61" s="629">
        <f t="shared" si="8"/>
        <v>1.9588610680532206</v>
      </c>
      <c r="F61" s="629">
        <f t="shared" si="8"/>
        <v>1.9387679654789554</v>
      </c>
      <c r="G61" s="629"/>
    </row>
    <row r="62" spans="2:10" ht="12.45" customHeight="1">
      <c r="B62" s="583"/>
      <c r="C62" s="628" t="s">
        <v>380</v>
      </c>
      <c r="D62" s="629" t="e">
        <f>D49/D$16</f>
        <v>#VALUE!</v>
      </c>
      <c r="E62" s="629">
        <f t="shared" si="8"/>
        <v>3.665653102131794</v>
      </c>
      <c r="F62" s="629">
        <f t="shared" si="8"/>
        <v>3.3056910312338768</v>
      </c>
      <c r="G62" s="629"/>
      <c r="H62" s="614"/>
      <c r="I62" s="614"/>
    </row>
    <row r="63" spans="2:10" ht="24" customHeight="1">
      <c r="B63" s="613">
        <f>+B60-1</f>
        <v>-11</v>
      </c>
      <c r="C63" s="630" t="s">
        <v>381</v>
      </c>
      <c r="D63" s="631" t="e">
        <f>D51/D16</f>
        <v>#VALUE!</v>
      </c>
      <c r="E63" s="631">
        <f t="shared" ref="E63:F65" si="9">E51/E16</f>
        <v>17.092019990179576</v>
      </c>
      <c r="F63" s="631">
        <f t="shared" si="9"/>
        <v>18.610299522324773</v>
      </c>
      <c r="G63" s="631"/>
    </row>
    <row r="64" spans="2:10" ht="12" hidden="1" customHeight="1">
      <c r="B64" s="613"/>
      <c r="C64" s="632" t="s">
        <v>195</v>
      </c>
      <c r="D64" s="633">
        <f>D52/D17</f>
        <v>7.3535922212703895</v>
      </c>
      <c r="E64" s="633">
        <f t="shared" si="9"/>
        <v>12.008979373568055</v>
      </c>
      <c r="F64" s="633">
        <f t="shared" si="9"/>
        <v>13.115587273690634</v>
      </c>
      <c r="G64" s="633"/>
    </row>
    <row r="65" spans="2:7" ht="12" hidden="1" customHeight="1">
      <c r="B65" s="613"/>
      <c r="C65" s="632" t="s">
        <v>196</v>
      </c>
      <c r="D65" s="633">
        <f>D53/D18</f>
        <v>5.062234891126292</v>
      </c>
      <c r="E65" s="633">
        <f t="shared" si="9"/>
        <v>8.2127594254372287</v>
      </c>
      <c r="F65" s="633">
        <f t="shared" si="9"/>
        <v>9.0108446374887379</v>
      </c>
      <c r="G65" s="633"/>
    </row>
    <row r="66" spans="2:7" ht="8.4" customHeight="1">
      <c r="B66" s="586"/>
      <c r="C66" s="571"/>
      <c r="D66" s="618"/>
      <c r="E66" s="618"/>
      <c r="F66" s="618"/>
      <c r="G66" s="618"/>
    </row>
    <row r="67" spans="2:7" ht="12.45" customHeight="1">
      <c r="B67" s="613">
        <f>+B63-1</f>
        <v>-12</v>
      </c>
      <c r="C67" s="623" t="s">
        <v>382</v>
      </c>
      <c r="D67" s="618"/>
      <c r="E67" s="618"/>
      <c r="F67" s="618"/>
      <c r="G67" s="618"/>
    </row>
    <row r="68" spans="2:7" ht="12.45" customHeight="1">
      <c r="B68" s="583"/>
      <c r="C68" s="623" t="s">
        <v>395</v>
      </c>
      <c r="D68" s="634">
        <f>IRR('4.2 IRR_Calc_smooth (2)'!B6:B8)</f>
        <v>-0.12156844975046877</v>
      </c>
      <c r="E68" s="634">
        <f>IRR('4.2 IRR_Calc_smooth (2)'!C6:C8)</f>
        <v>0.18969325043810703</v>
      </c>
      <c r="F68" s="634">
        <f>IRR('4.2 IRR_Calc_smooth (2)'!D6:D8)</f>
        <v>0.10589759496820172</v>
      </c>
      <c r="G68" s="634">
        <f>IRR('4.2 IRR_Calc_smooth (2)'!E6:E8)</f>
        <v>4.5215985024123828E-2</v>
      </c>
    </row>
    <row r="69" spans="2:7" ht="12.45" customHeight="1">
      <c r="B69" s="583"/>
      <c r="C69" s="628" t="s">
        <v>383</v>
      </c>
      <c r="D69" s="635">
        <f>IRR('4.2 IRR_Calc_smooth (2)'!G6:G33)</f>
        <v>-1.3282334961225439E-3</v>
      </c>
      <c r="E69" s="635">
        <f>IRR('4.2 IRR_Calc_smooth (2)'!H6:H33)</f>
        <v>0.31065162028181903</v>
      </c>
      <c r="F69" s="635">
        <f>IRR('4.2 IRR_Calc_smooth (2)'!I6:I33)</f>
        <v>0.22294623004325742</v>
      </c>
      <c r="G69" s="635"/>
    </row>
    <row r="70" spans="2:7" ht="12.45" customHeight="1">
      <c r="B70" s="583"/>
      <c r="C70" s="628" t="s">
        <v>384</v>
      </c>
      <c r="D70" s="635">
        <f>IRR('4.2 IRR_Calc_smooth (2)'!K6:K57)</f>
        <v>0.13874996003129647</v>
      </c>
      <c r="E70" s="635">
        <f>IRR('4.2 IRR_Calc_smooth (2)'!L6:L57)</f>
        <v>0.44591644710010381</v>
      </c>
      <c r="F70" s="635">
        <f>IRR('4.2 IRR_Calc_smooth (2)'!M6:M57)</f>
        <v>0.35598313208086418</v>
      </c>
      <c r="G70" s="635"/>
    </row>
    <row r="71" spans="2:7" ht="12.45" customHeight="1">
      <c r="B71" s="583"/>
      <c r="C71" s="628" t="s">
        <v>385</v>
      </c>
      <c r="D71" s="635">
        <f>IRR('4.2 IRR_Calc_smooth (2)'!O6:O87)</f>
        <v>0.29758599107655681</v>
      </c>
      <c r="E71" s="635">
        <f>IRR('4.2 IRR_Calc_smooth (2)'!P6:P87)</f>
        <v>0.59509526761759513</v>
      </c>
      <c r="F71" s="635">
        <f>IRR('4.2 IRR_Calc_smooth (2)'!Q6:Q87)</f>
        <v>0.50462478864128846</v>
      </c>
      <c r="G71" s="635"/>
    </row>
    <row r="72" spans="2:7" ht="12.45" customHeight="1" thickBot="1">
      <c r="B72" s="636"/>
      <c r="C72" s="637" t="s">
        <v>386</v>
      </c>
      <c r="D72" s="638">
        <f>IRR('4.2 IRR_Calc_smooth (2)'!S6:S166)</f>
        <v>0.4730204546474972</v>
      </c>
      <c r="E72" s="638">
        <f>IRR('4.2 IRR_Calc_smooth (2)'!T6:T166)</f>
        <v>0.75731802909400581</v>
      </c>
      <c r="F72" s="638">
        <f>IRR('4.2 IRR_Calc_smooth (2)'!U6:U166)</f>
        <v>0.6678107499483783</v>
      </c>
      <c r="G72" s="638"/>
    </row>
    <row r="73" spans="2:7" ht="15" customHeight="1" thickTop="1">
      <c r="B73" s="689" t="s">
        <v>400</v>
      </c>
      <c r="C73" s="689"/>
      <c r="D73" s="689"/>
      <c r="E73" s="689"/>
      <c r="F73" s="689"/>
      <c r="G73" s="652"/>
    </row>
    <row r="74" spans="2:7">
      <c r="B74" s="690"/>
      <c r="C74" s="690"/>
      <c r="D74" s="690"/>
      <c r="E74" s="690"/>
      <c r="F74" s="690"/>
      <c r="G74" s="652"/>
    </row>
    <row r="75" spans="2:7" ht="16.2" customHeight="1">
      <c r="B75" s="690"/>
      <c r="C75" s="690"/>
      <c r="D75" s="690"/>
      <c r="E75" s="690"/>
      <c r="F75" s="690"/>
      <c r="G75" s="652"/>
    </row>
    <row r="76" spans="2:7" ht="12.75" customHeight="1">
      <c r="B76" s="690"/>
      <c r="C76" s="690"/>
      <c r="D76" s="690"/>
      <c r="E76" s="690"/>
      <c r="F76" s="690"/>
    </row>
    <row r="77" spans="2:7" ht="12.75" customHeight="1">
      <c r="B77" s="2"/>
      <c r="C77" s="2"/>
    </row>
    <row r="78" spans="2:7" ht="12.75" customHeight="1">
      <c r="B78" s="2"/>
      <c r="C78" s="2"/>
    </row>
    <row r="79" spans="2:7" ht="12.75" customHeight="1">
      <c r="B79" s="2"/>
      <c r="C79" s="2"/>
    </row>
    <row r="80" spans="2:7" ht="12.75" customHeight="1">
      <c r="B80" s="2"/>
      <c r="C80" s="2"/>
    </row>
    <row r="81" s="2" customFormat="1" ht="13.5" customHeight="1"/>
    <row r="82" s="2" customFormat="1" ht="13.5" customHeight="1"/>
    <row r="83" s="2" customFormat="1" ht="13.5" customHeight="1"/>
    <row r="84" s="2" customFormat="1"/>
    <row r="85" s="2" customFormat="1"/>
    <row r="86" s="2" customFormat="1"/>
    <row r="87" s="2" customFormat="1"/>
    <row r="88" s="2" customFormat="1" ht="13.5" customHeight="1"/>
    <row r="89" s="2" customFormat="1"/>
    <row r="90" s="2" customFormat="1" ht="13.5" customHeight="1"/>
    <row r="91" s="2" customFormat="1" ht="13.5" customHeight="1"/>
    <row r="92" s="2" customFormat="1" ht="13.5" customHeight="1"/>
    <row r="93" s="2" customFormat="1" ht="13.5" customHeight="1"/>
    <row r="94" s="2" customFormat="1" ht="13.5" customHeight="1"/>
    <row r="95" s="2" customFormat="1" ht="13.5" customHeigh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hidden="1"/>
    <row r="116" s="2" customFormat="1" hidden="1"/>
    <row r="117" s="2" customFormat="1" hidden="1"/>
    <row r="118" s="2" customFormat="1"/>
    <row r="119" s="2" customFormat="1"/>
    <row r="120" s="2" customFormat="1"/>
    <row r="121" s="2" customFormat="1"/>
    <row r="122" s="2" customFormat="1"/>
    <row r="123" s="2" customFormat="1"/>
    <row r="124" s="2" customFormat="1"/>
    <row r="125" s="2" customFormat="1"/>
  </sheetData>
  <mergeCells count="1">
    <mergeCell ref="B73:F7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51EA9-FC65-4B87-A06E-919D3CA867AB}">
  <dimension ref="A1:AC50"/>
  <sheetViews>
    <sheetView zoomScale="70" zoomScaleNormal="70" workbookViewId="0"/>
  </sheetViews>
  <sheetFormatPr defaultRowHeight="14.4"/>
  <cols>
    <col min="1" max="1" width="11.109375" bestFit="1" customWidth="1"/>
    <col min="4" max="4" width="10.5546875" bestFit="1" customWidth="1"/>
    <col min="5" max="5" width="11.5546875" bestFit="1" customWidth="1"/>
    <col min="6" max="6" width="10.5546875" bestFit="1" customWidth="1"/>
    <col min="7" max="7" width="10.5546875" customWidth="1"/>
    <col min="9" max="11" width="11.6640625" customWidth="1"/>
    <col min="12" max="12" width="11.109375" customWidth="1"/>
    <col min="13" max="15" width="11.6640625" customWidth="1"/>
    <col min="16" max="16" width="8.88671875" customWidth="1"/>
    <col min="17" max="17" width="9.5546875" customWidth="1"/>
    <col min="18" max="18" width="11.44140625" customWidth="1"/>
    <col min="19" max="19" width="9.5546875" customWidth="1"/>
    <col min="21" max="21" width="10.6640625" customWidth="1"/>
    <col min="22" max="22" width="11.6640625" bestFit="1" customWidth="1"/>
    <col min="23" max="23" width="10.6640625" customWidth="1"/>
    <col min="24" max="24" width="9.33203125" customWidth="1"/>
  </cols>
  <sheetData>
    <row r="1" spans="1:29" ht="28.8" customHeight="1">
      <c r="D1" s="693" t="s">
        <v>313</v>
      </c>
      <c r="E1" s="693"/>
      <c r="F1" s="693"/>
      <c r="G1" s="520"/>
      <c r="I1" s="693" t="s">
        <v>259</v>
      </c>
      <c r="J1" s="693"/>
      <c r="K1" s="693"/>
      <c r="M1" s="693" t="s">
        <v>258</v>
      </c>
      <c r="N1" s="693"/>
      <c r="O1" s="693"/>
      <c r="Q1" s="693" t="s">
        <v>314</v>
      </c>
      <c r="R1" s="693"/>
      <c r="S1" s="693"/>
      <c r="U1" s="693" t="s">
        <v>312</v>
      </c>
      <c r="V1" s="693"/>
      <c r="W1" s="693"/>
      <c r="X1" s="520"/>
      <c r="Z1" s="693" t="s">
        <v>312</v>
      </c>
      <c r="AA1" s="693"/>
      <c r="AB1" s="693"/>
      <c r="AC1" s="660"/>
    </row>
    <row r="2" spans="1:29">
      <c r="B2" s="474"/>
      <c r="C2" s="474"/>
      <c r="D2" s="694" t="s">
        <v>256</v>
      </c>
      <c r="E2" s="694"/>
      <c r="F2" s="694"/>
      <c r="G2" s="519"/>
      <c r="I2" s="694" t="s">
        <v>256</v>
      </c>
      <c r="J2" s="694"/>
      <c r="K2" s="694"/>
      <c r="M2" s="694" t="s">
        <v>256</v>
      </c>
      <c r="N2" s="694"/>
      <c r="O2" s="694"/>
      <c r="Q2" s="694" t="s">
        <v>256</v>
      </c>
      <c r="R2" s="694"/>
      <c r="S2" s="694"/>
      <c r="U2" s="694" t="s">
        <v>256</v>
      </c>
      <c r="V2" s="694"/>
      <c r="W2" s="694"/>
      <c r="X2" s="519"/>
      <c r="Z2" s="694" t="s">
        <v>256</v>
      </c>
      <c r="AA2" s="694"/>
      <c r="AB2" s="694"/>
      <c r="AC2" s="659"/>
    </row>
    <row r="3" spans="1:29">
      <c r="B3" s="475" t="s">
        <v>246</v>
      </c>
      <c r="C3" s="475" t="s">
        <v>91</v>
      </c>
      <c r="D3" s="475" t="str">
        <f>'4.1 CBA_smooth'!D3</f>
        <v>Capital</v>
      </c>
      <c r="E3" s="475" t="str">
        <f>'4.1 CBA_smooth'!E3</f>
        <v>Psychosocial</v>
      </c>
      <c r="F3" s="475" t="str">
        <f>'4.1 CBA_smooth'!F3</f>
        <v>Full</v>
      </c>
      <c r="G3" s="474" t="s">
        <v>304</v>
      </c>
      <c r="I3" s="475" t="str">
        <f t="shared" ref="I3:I22" si="0">D3</f>
        <v>Capital</v>
      </c>
      <c r="J3" s="475" t="str">
        <f t="shared" ref="J3:J22" si="1">E3</f>
        <v>Psychosocial</v>
      </c>
      <c r="K3" s="475" t="str">
        <f t="shared" ref="K3:K22" si="2">F3</f>
        <v>Full</v>
      </c>
      <c r="M3" s="475" t="str">
        <f t="shared" ref="M3:O10" si="3">D3</f>
        <v>Capital</v>
      </c>
      <c r="N3" s="475" t="str">
        <f t="shared" si="3"/>
        <v>Psychosocial</v>
      </c>
      <c r="O3" s="475" t="str">
        <f t="shared" si="3"/>
        <v>Full</v>
      </c>
      <c r="Q3" s="475" t="str">
        <f t="shared" ref="Q3:S10" si="4">D3</f>
        <v>Capital</v>
      </c>
      <c r="R3" s="475" t="str">
        <f t="shared" si="4"/>
        <v>Psychosocial</v>
      </c>
      <c r="S3" s="475" t="str">
        <f t="shared" si="4"/>
        <v>Full</v>
      </c>
      <c r="U3" s="475" t="str">
        <f t="shared" ref="U3:W4" si="5">D3</f>
        <v>Capital</v>
      </c>
      <c r="V3" s="475" t="str">
        <f t="shared" si="5"/>
        <v>Psychosocial</v>
      </c>
      <c r="W3" s="475" t="str">
        <f t="shared" si="5"/>
        <v>Full</v>
      </c>
      <c r="X3" s="474" t="s">
        <v>304</v>
      </c>
      <c r="Z3" s="475" t="str">
        <f t="shared" ref="Z3" si="6">I3</f>
        <v>Capital</v>
      </c>
      <c r="AA3" s="475" t="str">
        <f t="shared" ref="AA3" si="7">J3</f>
        <v>Psychosocial</v>
      </c>
      <c r="AB3" s="475" t="str">
        <f t="shared" ref="AB3" si="8">K3</f>
        <v>Full</v>
      </c>
      <c r="AC3" s="474" t="s">
        <v>304</v>
      </c>
    </row>
    <row r="4" spans="1:29">
      <c r="B4">
        <v>0</v>
      </c>
      <c r="C4">
        <v>0</v>
      </c>
      <c r="D4" s="471">
        <f>'4.1 CBA_smooth'!D15</f>
        <v>482.03920055126093</v>
      </c>
      <c r="E4" s="471">
        <f>'4.1 CBA_smooth'!E15</f>
        <v>262.67805675123049</v>
      </c>
      <c r="F4" s="471">
        <f>'4.1 CBA_smooth'!F15</f>
        <v>583.75034321187411</v>
      </c>
      <c r="G4" s="471">
        <f>'4.1 CBA_smooth'!G15</f>
        <v>442.82253350478851</v>
      </c>
      <c r="I4" s="471">
        <f t="shared" si="0"/>
        <v>482.03920055126093</v>
      </c>
      <c r="J4" s="471">
        <f t="shared" si="1"/>
        <v>262.67805675123049</v>
      </c>
      <c r="K4" s="471">
        <f t="shared" si="2"/>
        <v>583.75034321187411</v>
      </c>
      <c r="M4" s="471">
        <f t="shared" si="3"/>
        <v>482.03920055126093</v>
      </c>
      <c r="N4" s="471">
        <f t="shared" si="3"/>
        <v>262.67805675123049</v>
      </c>
      <c r="O4" s="471">
        <f t="shared" si="3"/>
        <v>583.75034321187411</v>
      </c>
      <c r="Q4" s="471">
        <f t="shared" si="4"/>
        <v>482.03920055126093</v>
      </c>
      <c r="R4" s="471">
        <f t="shared" si="4"/>
        <v>262.67805675123049</v>
      </c>
      <c r="S4" s="471">
        <f t="shared" si="4"/>
        <v>583.75034321187411</v>
      </c>
      <c r="U4" s="471">
        <f>D4</f>
        <v>482.03920055126093</v>
      </c>
      <c r="V4" s="471">
        <f t="shared" si="5"/>
        <v>262.67805675123049</v>
      </c>
      <c r="W4" s="471">
        <f t="shared" si="5"/>
        <v>583.75034321187411</v>
      </c>
      <c r="X4" s="471">
        <f>G4</f>
        <v>442.82253350478851</v>
      </c>
      <c r="Z4" s="471">
        <f>D4</f>
        <v>482.03920055126093</v>
      </c>
      <c r="AA4" s="471">
        <f t="shared" ref="AA4:AC4" si="9">E4</f>
        <v>262.67805675123049</v>
      </c>
      <c r="AB4" s="471">
        <f t="shared" si="9"/>
        <v>583.75034321187411</v>
      </c>
      <c r="AC4" s="471">
        <f t="shared" si="9"/>
        <v>442.82253350478851</v>
      </c>
    </row>
    <row r="5" spans="1:29">
      <c r="B5">
        <v>1</v>
      </c>
      <c r="C5">
        <v>1</v>
      </c>
      <c r="D5" s="471">
        <f>'4.1 CBA_smooth'!D$25</f>
        <v>24.66450851129861</v>
      </c>
      <c r="E5" s="471">
        <f>'4.1 CBA_smooth'!E$25</f>
        <v>14.226207538449586</v>
      </c>
      <c r="F5" s="471">
        <f>'4.1 CBA_smooth'!F$25</f>
        <v>40.323529762674546</v>
      </c>
      <c r="G5" s="471">
        <f>'4.1 CBA_smooth'!G$25</f>
        <v>26.430406655238841</v>
      </c>
      <c r="H5" t="s">
        <v>247</v>
      </c>
      <c r="I5" s="471">
        <f t="shared" si="0"/>
        <v>24.66450851129861</v>
      </c>
      <c r="J5" s="471">
        <f t="shared" si="1"/>
        <v>14.226207538449586</v>
      </c>
      <c r="K5" s="471">
        <f t="shared" si="2"/>
        <v>40.323529762674546</v>
      </c>
      <c r="M5" s="471">
        <f t="shared" si="3"/>
        <v>24.66450851129861</v>
      </c>
      <c r="N5" s="471">
        <f t="shared" si="3"/>
        <v>14.226207538449586</v>
      </c>
      <c r="O5" s="471">
        <f t="shared" si="3"/>
        <v>40.323529762674546</v>
      </c>
      <c r="Q5" s="471">
        <f t="shared" si="4"/>
        <v>24.66450851129861</v>
      </c>
      <c r="R5" s="471">
        <f t="shared" si="4"/>
        <v>14.226207538449586</v>
      </c>
      <c r="S5" s="471">
        <f t="shared" si="4"/>
        <v>40.323529762674546</v>
      </c>
      <c r="U5" s="473">
        <f>0+(U$10-0)/COUNT($C$5:$C$10)</f>
        <v>4.1107514185497687</v>
      </c>
      <c r="V5" s="473">
        <f>0+(V$10-0)/COUNT($C$5:$C$10)</f>
        <v>2.3710345897415976</v>
      </c>
      <c r="W5" s="473">
        <f t="shared" ref="W5:X5" si="10">0+(W$10-0)/COUNT($C$5:$C$10)</f>
        <v>6.7205882937790911</v>
      </c>
      <c r="X5" s="473">
        <f t="shared" si="10"/>
        <v>4.4050677758731398</v>
      </c>
      <c r="Z5" s="473">
        <f>0+(Z$10-0)/COUNT($C$5:$C$10)</f>
        <v>3.6811966944624661</v>
      </c>
      <c r="AA5" s="473">
        <f>0+(AA$10-0)/COUNT($C$5:$C$10)</f>
        <v>1.7556957447506407</v>
      </c>
      <c r="AB5" s="473">
        <f t="shared" ref="AB5:AC5" si="11">0+(AB$10-0)/COUNT($C$5:$C$10)</f>
        <v>6.8323899968382271</v>
      </c>
      <c r="AC5" s="473">
        <f t="shared" si="11"/>
        <v>4.0936501500476057</v>
      </c>
    </row>
    <row r="6" spans="1:29">
      <c r="B6">
        <v>1</v>
      </c>
      <c r="C6">
        <v>2</v>
      </c>
      <c r="D6" s="471">
        <f>'4.1 CBA_smooth'!D$25</f>
        <v>24.66450851129861</v>
      </c>
      <c r="E6" s="471">
        <f>'4.1 CBA_smooth'!E$25</f>
        <v>14.226207538449586</v>
      </c>
      <c r="F6" s="471">
        <f>'4.1 CBA_smooth'!F$25</f>
        <v>40.323529762674546</v>
      </c>
      <c r="G6" s="471">
        <f>'4.1 CBA_smooth'!G$25</f>
        <v>26.430406655238841</v>
      </c>
      <c r="I6" s="471">
        <f t="shared" si="0"/>
        <v>24.66450851129861</v>
      </c>
      <c r="J6" s="471">
        <f t="shared" si="1"/>
        <v>14.226207538449586</v>
      </c>
      <c r="K6" s="471">
        <f t="shared" si="2"/>
        <v>40.323529762674546</v>
      </c>
      <c r="M6" s="471">
        <f t="shared" si="3"/>
        <v>24.66450851129861</v>
      </c>
      <c r="N6" s="471">
        <f t="shared" si="3"/>
        <v>14.226207538449586</v>
      </c>
      <c r="O6" s="471">
        <f t="shared" si="3"/>
        <v>40.323529762674546</v>
      </c>
      <c r="Q6" s="471">
        <f t="shared" si="4"/>
        <v>24.66450851129861</v>
      </c>
      <c r="R6" s="471">
        <f t="shared" si="4"/>
        <v>14.226207538449586</v>
      </c>
      <c r="S6" s="471">
        <f t="shared" si="4"/>
        <v>40.323529762674546</v>
      </c>
      <c r="U6" s="473">
        <f>U5+(U$10-0)/COUNT($C$5:$C$10)</f>
        <v>8.2215028370995373</v>
      </c>
      <c r="V6" s="473">
        <f>V5+(V$10-0)/COUNT($C$5:$C$10)</f>
        <v>4.7420691794831953</v>
      </c>
      <c r="W6" s="473">
        <f t="shared" ref="W6:X9" si="12">W5+(W$10-0)/COUNT($C$5:$C$10)</f>
        <v>13.441176587558182</v>
      </c>
      <c r="X6" s="473">
        <f t="shared" si="12"/>
        <v>8.8101355517462796</v>
      </c>
      <c r="Y6" s="464"/>
      <c r="Z6" s="473">
        <f>Z5+(Z$10-0)/COUNT($C$5:$C$10)</f>
        <v>7.3623933889249322</v>
      </c>
      <c r="AA6" s="473">
        <f>AA5+(AA$10-0)/COUNT($C$5:$C$10)</f>
        <v>3.5113914895012814</v>
      </c>
      <c r="AB6" s="473">
        <f t="shared" ref="AB6:AC9" si="13">AB5+(AB$10-0)/COUNT($C$5:$C$10)</f>
        <v>13.664779993676454</v>
      </c>
      <c r="AC6" s="473">
        <f t="shared" si="13"/>
        <v>8.1873003000952114</v>
      </c>
    </row>
    <row r="7" spans="1:29">
      <c r="B7">
        <v>1</v>
      </c>
      <c r="C7">
        <v>3</v>
      </c>
      <c r="D7" s="471">
        <f>'4.1 CBA_smooth'!D$25</f>
        <v>24.66450851129861</v>
      </c>
      <c r="E7" s="471">
        <f>'4.1 CBA_smooth'!E$25</f>
        <v>14.226207538449586</v>
      </c>
      <c r="F7" s="471">
        <f>'4.1 CBA_smooth'!F$25</f>
        <v>40.323529762674546</v>
      </c>
      <c r="G7" s="471">
        <f>'4.1 CBA_smooth'!G$25</f>
        <v>26.430406655238841</v>
      </c>
      <c r="I7" s="471">
        <f t="shared" si="0"/>
        <v>24.66450851129861</v>
      </c>
      <c r="J7" s="471">
        <f t="shared" si="1"/>
        <v>14.226207538449586</v>
      </c>
      <c r="K7" s="471">
        <f t="shared" si="2"/>
        <v>40.323529762674546</v>
      </c>
      <c r="M7" s="471">
        <f t="shared" si="3"/>
        <v>24.66450851129861</v>
      </c>
      <c r="N7" s="471">
        <f t="shared" si="3"/>
        <v>14.226207538449586</v>
      </c>
      <c r="O7" s="471">
        <f t="shared" si="3"/>
        <v>40.323529762674546</v>
      </c>
      <c r="Q7" s="471">
        <f t="shared" si="4"/>
        <v>24.66450851129861</v>
      </c>
      <c r="R7" s="471">
        <f t="shared" si="4"/>
        <v>14.226207538449586</v>
      </c>
      <c r="S7" s="471">
        <f t="shared" si="4"/>
        <v>40.323529762674546</v>
      </c>
      <c r="U7" s="473">
        <f>U6+(U$10-0)/COUNT($C$5:$C$10)</f>
        <v>12.332254255649307</v>
      </c>
      <c r="V7" s="473">
        <f t="shared" ref="V7:V9" si="14">V6+(V$10-0)/COUNT($C$5:$C$10)</f>
        <v>7.1131037692247929</v>
      </c>
      <c r="W7" s="473">
        <f t="shared" si="12"/>
        <v>20.161764881337273</v>
      </c>
      <c r="X7" s="473">
        <f t="shared" ref="X7" si="15">X6+(X$10-0)/COUNT($C$5:$C$10)</f>
        <v>13.21520332761942</v>
      </c>
      <c r="Y7" s="464"/>
      <c r="Z7" s="473">
        <f>Z6+(Z$10-0)/COUNT($C$5:$C$10)</f>
        <v>11.043590083387398</v>
      </c>
      <c r="AA7" s="473">
        <f t="shared" ref="AA7:AB9" si="16">AA6+(AA$10-0)/COUNT($C$5:$C$10)</f>
        <v>5.2670872342519219</v>
      </c>
      <c r="AB7" s="473">
        <f t="shared" si="16"/>
        <v>20.497169990514681</v>
      </c>
      <c r="AC7" s="473">
        <f t="shared" si="13"/>
        <v>12.280950450142818</v>
      </c>
    </row>
    <row r="8" spans="1:29">
      <c r="B8">
        <v>1</v>
      </c>
      <c r="C8">
        <v>4</v>
      </c>
      <c r="D8" s="471">
        <f>'4.1 CBA_smooth'!D$25</f>
        <v>24.66450851129861</v>
      </c>
      <c r="E8" s="471">
        <f>'4.1 CBA_smooth'!E$25</f>
        <v>14.226207538449586</v>
      </c>
      <c r="F8" s="471">
        <f>'4.1 CBA_smooth'!F$25</f>
        <v>40.323529762674546</v>
      </c>
      <c r="G8" s="471">
        <f>'4.1 CBA_smooth'!G$25</f>
        <v>26.430406655238841</v>
      </c>
      <c r="I8" s="471">
        <f t="shared" si="0"/>
        <v>24.66450851129861</v>
      </c>
      <c r="J8" s="471">
        <f t="shared" si="1"/>
        <v>14.226207538449586</v>
      </c>
      <c r="K8" s="471">
        <f t="shared" si="2"/>
        <v>40.323529762674546</v>
      </c>
      <c r="M8" s="471">
        <f t="shared" si="3"/>
        <v>24.66450851129861</v>
      </c>
      <c r="N8" s="471">
        <f t="shared" si="3"/>
        <v>14.226207538449586</v>
      </c>
      <c r="O8" s="471">
        <f t="shared" si="3"/>
        <v>40.323529762674546</v>
      </c>
      <c r="Q8" s="471">
        <f t="shared" si="4"/>
        <v>24.66450851129861</v>
      </c>
      <c r="R8" s="471">
        <f t="shared" si="4"/>
        <v>14.226207538449586</v>
      </c>
      <c r="S8" s="471">
        <f t="shared" si="4"/>
        <v>40.323529762674546</v>
      </c>
      <c r="U8" s="473">
        <f>U7+(U$10-0)/COUNT($C$5:$C$10)</f>
        <v>16.443005674199075</v>
      </c>
      <c r="V8" s="473">
        <f t="shared" si="14"/>
        <v>9.4841383589663906</v>
      </c>
      <c r="W8" s="473">
        <f t="shared" si="12"/>
        <v>26.882353175116364</v>
      </c>
      <c r="X8" s="473">
        <f t="shared" ref="X8" si="17">X7+(X$10-0)/COUNT($C$5:$C$10)</f>
        <v>17.620271103492559</v>
      </c>
      <c r="Y8" s="464"/>
      <c r="Z8" s="473">
        <f>Z7+(Z$10-0)/COUNT($C$5:$C$10)</f>
        <v>14.724786777849864</v>
      </c>
      <c r="AA8" s="473">
        <f t="shared" si="16"/>
        <v>7.0227829790025629</v>
      </c>
      <c r="AB8" s="473">
        <f t="shared" si="16"/>
        <v>27.329559987352908</v>
      </c>
      <c r="AC8" s="473">
        <f t="shared" si="13"/>
        <v>16.374600600190423</v>
      </c>
    </row>
    <row r="9" spans="1:29">
      <c r="B9">
        <v>1</v>
      </c>
      <c r="C9">
        <v>5</v>
      </c>
      <c r="D9" s="471">
        <f>'4.1 CBA_smooth'!D$25</f>
        <v>24.66450851129861</v>
      </c>
      <c r="E9" s="471">
        <f>'4.1 CBA_smooth'!E$25</f>
        <v>14.226207538449586</v>
      </c>
      <c r="F9" s="471">
        <f>'4.1 CBA_smooth'!F$25</f>
        <v>40.323529762674546</v>
      </c>
      <c r="G9" s="471">
        <f>'4.1 CBA_smooth'!G$25</f>
        <v>26.430406655238841</v>
      </c>
      <c r="I9" s="471">
        <f t="shared" si="0"/>
        <v>24.66450851129861</v>
      </c>
      <c r="J9" s="471">
        <f t="shared" si="1"/>
        <v>14.226207538449586</v>
      </c>
      <c r="K9" s="471">
        <f t="shared" si="2"/>
        <v>40.323529762674546</v>
      </c>
      <c r="M9" s="471">
        <f t="shared" si="3"/>
        <v>24.66450851129861</v>
      </c>
      <c r="N9" s="471">
        <f t="shared" si="3"/>
        <v>14.226207538449586</v>
      </c>
      <c r="O9" s="471">
        <f t="shared" si="3"/>
        <v>40.323529762674546</v>
      </c>
      <c r="Q9" s="471">
        <f t="shared" si="4"/>
        <v>24.66450851129861</v>
      </c>
      <c r="R9" s="471">
        <f t="shared" si="4"/>
        <v>14.226207538449586</v>
      </c>
      <c r="S9" s="471">
        <f t="shared" si="4"/>
        <v>40.323529762674546</v>
      </c>
      <c r="U9" s="473">
        <f>U8+(U$10-0)/COUNT($C$5:$C$10)</f>
        <v>20.553757092748842</v>
      </c>
      <c r="V9" s="473">
        <f t="shared" si="14"/>
        <v>11.855172948707988</v>
      </c>
      <c r="W9" s="473">
        <f t="shared" si="12"/>
        <v>33.602941468895452</v>
      </c>
      <c r="X9" s="473">
        <f t="shared" ref="X9" si="18">X8+(X$10-0)/COUNT($C$5:$C$10)</f>
        <v>22.025338879365698</v>
      </c>
      <c r="Y9" s="464"/>
      <c r="Z9" s="473">
        <f>Z8+(Z$10-0)/COUNT($C$5:$C$10)</f>
        <v>18.405983472312329</v>
      </c>
      <c r="AA9" s="473">
        <f t="shared" si="16"/>
        <v>8.7784787237532029</v>
      </c>
      <c r="AB9" s="473">
        <f t="shared" si="16"/>
        <v>34.161949984191139</v>
      </c>
      <c r="AC9" s="473">
        <f t="shared" si="13"/>
        <v>20.468250750238028</v>
      </c>
    </row>
    <row r="10" spans="1:29">
      <c r="A10" s="180" t="s">
        <v>249</v>
      </c>
      <c r="B10">
        <v>1</v>
      </c>
      <c r="C10">
        <v>6</v>
      </c>
      <c r="D10" s="471">
        <f>'4.1 CBA_smooth'!D$25</f>
        <v>24.66450851129861</v>
      </c>
      <c r="E10" s="471">
        <f>'4.1 CBA_smooth'!E$25</f>
        <v>14.226207538449586</v>
      </c>
      <c r="F10" s="471">
        <f>'4.1 CBA_smooth'!F$25</f>
        <v>40.323529762674546</v>
      </c>
      <c r="G10" s="471">
        <f>'4.1 CBA_smooth'!G$25</f>
        <v>26.430406655238841</v>
      </c>
      <c r="I10" s="471">
        <f t="shared" si="0"/>
        <v>24.66450851129861</v>
      </c>
      <c r="J10" s="471">
        <f t="shared" si="1"/>
        <v>14.226207538449586</v>
      </c>
      <c r="K10" s="471">
        <f t="shared" si="2"/>
        <v>40.323529762674546</v>
      </c>
      <c r="M10" s="471">
        <f t="shared" si="3"/>
        <v>24.66450851129861</v>
      </c>
      <c r="N10" s="471">
        <f t="shared" si="3"/>
        <v>14.226207538449586</v>
      </c>
      <c r="O10" s="471">
        <f t="shared" si="3"/>
        <v>40.323529762674546</v>
      </c>
      <c r="Q10" s="471">
        <f t="shared" si="4"/>
        <v>24.66450851129861</v>
      </c>
      <c r="R10" s="471">
        <f t="shared" si="4"/>
        <v>14.226207538449586</v>
      </c>
      <c r="S10" s="471">
        <f t="shared" si="4"/>
        <v>40.323529762674546</v>
      </c>
      <c r="U10" s="471">
        <f>D10</f>
        <v>24.66450851129861</v>
      </c>
      <c r="V10" s="471">
        <f>E10</f>
        <v>14.226207538449586</v>
      </c>
      <c r="W10" s="471">
        <f>F10</f>
        <v>40.323529762674546</v>
      </c>
      <c r="X10" s="471">
        <f>G10</f>
        <v>26.430406655238841</v>
      </c>
      <c r="Y10" s="464"/>
      <c r="Z10" s="471">
        <f>'4.1 CBA_smooth (t_a25) (2)'!D25</f>
        <v>22.087180166774797</v>
      </c>
      <c r="AA10" s="471">
        <f>'4.1 CBA_smooth (t_a25) (2)'!E25</f>
        <v>10.534174468503844</v>
      </c>
      <c r="AB10" s="471">
        <f>'4.1 CBA_smooth (t_a25) (2)'!F25</f>
        <v>40.994339981029363</v>
      </c>
      <c r="AC10" s="471">
        <f>'4.1 CBA_smooth (t_a25) (2)'!G25</f>
        <v>24.561900900285636</v>
      </c>
    </row>
    <row r="11" spans="1:29">
      <c r="A11" s="472" t="s">
        <v>250</v>
      </c>
      <c r="B11">
        <v>1</v>
      </c>
      <c r="C11">
        <v>7</v>
      </c>
      <c r="D11" s="473">
        <f>D10+(D$22-D$10)/COUNT($C$11:$C$22)</f>
        <v>24.466332075524413</v>
      </c>
      <c r="E11" s="473">
        <f>E10+(E$22-E$10)/COUNT($C$11:$C$22)</f>
        <v>15.855307349696877</v>
      </c>
      <c r="F11" s="473">
        <f t="shared" ref="F11:G21" si="19">F10+(F$22-F$10)/COUNT($C$11:$C$22)</f>
        <v>40.896936876948594</v>
      </c>
      <c r="G11" s="473">
        <f t="shared" si="19"/>
        <v>27.072946251019285</v>
      </c>
      <c r="H11" t="s">
        <v>248</v>
      </c>
      <c r="I11" s="473">
        <f t="shared" si="0"/>
        <v>24.466332075524413</v>
      </c>
      <c r="J11" s="473">
        <f t="shared" si="1"/>
        <v>15.855307349696877</v>
      </c>
      <c r="K11" s="473">
        <f t="shared" si="2"/>
        <v>40.896936876948594</v>
      </c>
      <c r="M11" s="471">
        <f t="shared" ref="M11:M20" si="20">M12</f>
        <v>22.28639128200826</v>
      </c>
      <c r="N11" s="471">
        <f t="shared" ref="N11:N20" si="21">N12</f>
        <v>33.775405273417093</v>
      </c>
      <c r="O11" s="471">
        <f t="shared" ref="O11:O20" si="22">O12</f>
        <v>47.204415133963117</v>
      </c>
      <c r="Q11" s="471">
        <f t="shared" ref="Q11:Q21" si="23">Q12</f>
        <v>22.28639128200826</v>
      </c>
      <c r="R11" s="471">
        <f t="shared" ref="R11:S20" si="24">R12</f>
        <v>33.775405273417093</v>
      </c>
      <c r="S11" s="471">
        <f t="shared" si="24"/>
        <v>47.204415133963117</v>
      </c>
      <c r="U11" s="473">
        <f>U10+(U$22-U$10)/COUNT($C$11:$C$22)</f>
        <v>24.466332075524413</v>
      </c>
      <c r="V11" s="473">
        <f>V10+(V$22-V$10)/COUNT($C$11:$C$22)</f>
        <v>15.855307349696877</v>
      </c>
      <c r="W11" s="473">
        <f t="shared" ref="W11:X11" si="25">W10+(W$22-W$10)/COUNT($C$11:$C$22)</f>
        <v>40.896936876948594</v>
      </c>
      <c r="X11" s="473">
        <f t="shared" si="25"/>
        <v>27.072946251019285</v>
      </c>
      <c r="Y11" s="464"/>
      <c r="Z11" s="473">
        <f>Z10+(Z$22-Z$10)/COUNT($C$11:$C$22)</f>
        <v>22.020815129453357</v>
      </c>
      <c r="AA11" s="473">
        <f>AA10+(AA$22-AA$10)/COUNT($C$11:$C$22)</f>
        <v>11.923774339271267</v>
      </c>
      <c r="AB11" s="473">
        <f t="shared" ref="AB11:AC11" si="26">AB10+(AB$22-AB$10)/COUNT($C$11:$C$22)</f>
        <v>41.916934115439851</v>
      </c>
      <c r="AC11" s="473">
        <f t="shared" si="26"/>
        <v>25.282908220250352</v>
      </c>
    </row>
    <row r="12" spans="1:29">
      <c r="B12">
        <v>1</v>
      </c>
      <c r="C12">
        <v>8</v>
      </c>
      <c r="D12" s="473">
        <f t="shared" ref="D12:D21" si="27">D11+(D$22-D$10)/COUNT($C$11:$C$22)</f>
        <v>24.268155639750216</v>
      </c>
      <c r="E12" s="473">
        <f t="shared" ref="E12:E21" si="28">E11+(E$22-E$10)/COUNT($C$11:$C$22)</f>
        <v>17.484407160944169</v>
      </c>
      <c r="F12" s="473">
        <f t="shared" si="19"/>
        <v>41.470343991222641</v>
      </c>
      <c r="G12" s="473">
        <f t="shared" ref="G12" si="29">G11+(G$22-G$10)/COUNT($C$11:$C$22)</f>
        <v>27.71548584679973</v>
      </c>
      <c r="I12" s="473">
        <f t="shared" si="0"/>
        <v>24.268155639750216</v>
      </c>
      <c r="J12" s="473">
        <f t="shared" si="1"/>
        <v>17.484407160944169</v>
      </c>
      <c r="K12" s="473">
        <f t="shared" si="2"/>
        <v>41.470343991222641</v>
      </c>
      <c r="M12" s="471">
        <f t="shared" si="20"/>
        <v>22.28639128200826</v>
      </c>
      <c r="N12" s="471">
        <f t="shared" si="21"/>
        <v>33.775405273417093</v>
      </c>
      <c r="O12" s="471">
        <f t="shared" si="22"/>
        <v>47.204415133963117</v>
      </c>
      <c r="Q12" s="471">
        <f t="shared" si="23"/>
        <v>22.28639128200826</v>
      </c>
      <c r="R12" s="471">
        <f t="shared" si="24"/>
        <v>33.775405273417093</v>
      </c>
      <c r="S12" s="471">
        <f t="shared" si="24"/>
        <v>47.204415133963117</v>
      </c>
      <c r="U12" s="473">
        <f t="shared" ref="U12:U21" si="30">U11+(U$22-U$10)/COUNT($C$11:$C$22)</f>
        <v>24.268155639750216</v>
      </c>
      <c r="V12" s="473">
        <f t="shared" ref="V12:X21" si="31">V11+(V$22-V$10)/COUNT($C$11:$C$22)</f>
        <v>17.484407160944169</v>
      </c>
      <c r="W12" s="473">
        <f t="shared" si="31"/>
        <v>41.470343991222641</v>
      </c>
      <c r="X12" s="473">
        <f t="shared" si="31"/>
        <v>27.71548584679973</v>
      </c>
      <c r="Y12" s="464"/>
      <c r="Z12" s="473">
        <f t="shared" ref="Z12:AC21" si="32">Z11+(Z$22-Z$10)/COUNT($C$11:$C$22)</f>
        <v>21.954450092131918</v>
      </c>
      <c r="AA12" s="473">
        <f t="shared" si="32"/>
        <v>13.31337421003869</v>
      </c>
      <c r="AB12" s="473">
        <f t="shared" si="32"/>
        <v>42.839528249850339</v>
      </c>
      <c r="AC12" s="473">
        <f t="shared" si="32"/>
        <v>26.003915540215068</v>
      </c>
    </row>
    <row r="13" spans="1:29">
      <c r="B13">
        <v>1</v>
      </c>
      <c r="C13">
        <v>9</v>
      </c>
      <c r="D13" s="473">
        <f t="shared" si="27"/>
        <v>24.069979203976018</v>
      </c>
      <c r="E13" s="473">
        <f t="shared" si="28"/>
        <v>19.113506972191463</v>
      </c>
      <c r="F13" s="473">
        <f t="shared" si="19"/>
        <v>42.043751105496689</v>
      </c>
      <c r="G13" s="473">
        <f t="shared" ref="G13" si="33">G12+(G$22-G$10)/COUNT($C$11:$C$22)</f>
        <v>28.358025442580175</v>
      </c>
      <c r="H13" s="464"/>
      <c r="I13" s="473">
        <f t="shared" si="0"/>
        <v>24.069979203976018</v>
      </c>
      <c r="J13" s="473">
        <f t="shared" si="1"/>
        <v>19.113506972191463</v>
      </c>
      <c r="K13" s="473">
        <f t="shared" si="2"/>
        <v>42.043751105496689</v>
      </c>
      <c r="M13" s="471">
        <f t="shared" si="20"/>
        <v>22.28639128200826</v>
      </c>
      <c r="N13" s="471">
        <f t="shared" si="21"/>
        <v>33.775405273417093</v>
      </c>
      <c r="O13" s="471">
        <f t="shared" si="22"/>
        <v>47.204415133963117</v>
      </c>
      <c r="Q13" s="471">
        <f t="shared" si="23"/>
        <v>22.28639128200826</v>
      </c>
      <c r="R13" s="471">
        <f t="shared" si="24"/>
        <v>33.775405273417093</v>
      </c>
      <c r="S13" s="471">
        <f t="shared" si="24"/>
        <v>47.204415133963117</v>
      </c>
      <c r="U13" s="473">
        <f t="shared" si="30"/>
        <v>24.069979203976018</v>
      </c>
      <c r="V13" s="473">
        <f t="shared" si="31"/>
        <v>19.113506972191463</v>
      </c>
      <c r="W13" s="473">
        <f t="shared" si="31"/>
        <v>42.043751105496689</v>
      </c>
      <c r="X13" s="473">
        <f t="shared" si="31"/>
        <v>28.358025442580175</v>
      </c>
      <c r="Y13" s="464"/>
      <c r="Z13" s="473">
        <f t="shared" si="32"/>
        <v>21.888085054810478</v>
      </c>
      <c r="AA13" s="473">
        <f t="shared" si="32"/>
        <v>14.702974080806113</v>
      </c>
      <c r="AB13" s="473">
        <f t="shared" si="32"/>
        <v>43.762122384260827</v>
      </c>
      <c r="AC13" s="473">
        <f t="shared" si="32"/>
        <v>26.724922860179785</v>
      </c>
    </row>
    <row r="14" spans="1:29">
      <c r="B14">
        <v>1</v>
      </c>
      <c r="C14">
        <v>10</v>
      </c>
      <c r="D14" s="473">
        <f t="shared" si="27"/>
        <v>23.871802768201821</v>
      </c>
      <c r="E14" s="473">
        <f t="shared" si="28"/>
        <v>20.742606783438756</v>
      </c>
      <c r="F14" s="473">
        <f t="shared" si="19"/>
        <v>42.617158219770737</v>
      </c>
      <c r="G14" s="473">
        <f t="shared" ref="G14" si="34">G13+(G$22-G$10)/COUNT($C$11:$C$22)</f>
        <v>29.000565038360619</v>
      </c>
      <c r="I14" s="473">
        <f t="shared" si="0"/>
        <v>23.871802768201821</v>
      </c>
      <c r="J14" s="473">
        <f t="shared" si="1"/>
        <v>20.742606783438756</v>
      </c>
      <c r="K14" s="473">
        <f t="shared" si="2"/>
        <v>42.617158219770737</v>
      </c>
      <c r="M14" s="471">
        <f t="shared" si="20"/>
        <v>22.28639128200826</v>
      </c>
      <c r="N14" s="471">
        <f t="shared" si="21"/>
        <v>33.775405273417093</v>
      </c>
      <c r="O14" s="471">
        <f t="shared" si="22"/>
        <v>47.204415133963117</v>
      </c>
      <c r="Q14" s="471">
        <f t="shared" si="23"/>
        <v>22.28639128200826</v>
      </c>
      <c r="R14" s="471">
        <f t="shared" si="24"/>
        <v>33.775405273417093</v>
      </c>
      <c r="S14" s="471">
        <f t="shared" si="24"/>
        <v>47.204415133963117</v>
      </c>
      <c r="U14" s="473">
        <f t="shared" si="30"/>
        <v>23.871802768201821</v>
      </c>
      <c r="V14" s="473">
        <f t="shared" si="31"/>
        <v>20.742606783438756</v>
      </c>
      <c r="W14" s="473">
        <f t="shared" si="31"/>
        <v>42.617158219770737</v>
      </c>
      <c r="X14" s="473">
        <f t="shared" si="31"/>
        <v>29.000565038360619</v>
      </c>
      <c r="Y14" s="464"/>
      <c r="Z14" s="473">
        <f t="shared" si="32"/>
        <v>21.821720017489039</v>
      </c>
      <c r="AA14" s="473">
        <f t="shared" si="32"/>
        <v>16.092573951573534</v>
      </c>
      <c r="AB14" s="473">
        <f t="shared" si="32"/>
        <v>44.684716518671316</v>
      </c>
      <c r="AC14" s="473">
        <f t="shared" si="32"/>
        <v>27.445930180144501</v>
      </c>
    </row>
    <row r="15" spans="1:29">
      <c r="B15">
        <v>1</v>
      </c>
      <c r="C15">
        <v>11</v>
      </c>
      <c r="D15" s="473">
        <f t="shared" si="27"/>
        <v>23.673626332427624</v>
      </c>
      <c r="E15" s="473">
        <f t="shared" si="28"/>
        <v>22.371706594686049</v>
      </c>
      <c r="F15" s="473">
        <f t="shared" si="19"/>
        <v>43.190565334044784</v>
      </c>
      <c r="G15" s="473">
        <f t="shared" ref="G15" si="35">G14+(G$22-G$10)/COUNT($C$11:$C$22)</f>
        <v>29.643104634141064</v>
      </c>
      <c r="I15" s="473">
        <f t="shared" si="0"/>
        <v>23.673626332427624</v>
      </c>
      <c r="J15" s="473">
        <f t="shared" si="1"/>
        <v>22.371706594686049</v>
      </c>
      <c r="K15" s="473">
        <f t="shared" si="2"/>
        <v>43.190565334044784</v>
      </c>
      <c r="M15" s="471">
        <f t="shared" si="20"/>
        <v>22.28639128200826</v>
      </c>
      <c r="N15" s="471">
        <f t="shared" si="21"/>
        <v>33.775405273417093</v>
      </c>
      <c r="O15" s="471">
        <f t="shared" si="22"/>
        <v>47.204415133963117</v>
      </c>
      <c r="Q15" s="471">
        <f t="shared" si="23"/>
        <v>22.28639128200826</v>
      </c>
      <c r="R15" s="471">
        <f t="shared" si="24"/>
        <v>33.775405273417093</v>
      </c>
      <c r="S15" s="471">
        <f t="shared" si="24"/>
        <v>47.204415133963117</v>
      </c>
      <c r="U15" s="473">
        <f t="shared" si="30"/>
        <v>23.673626332427624</v>
      </c>
      <c r="V15" s="473">
        <f t="shared" si="31"/>
        <v>22.371706594686049</v>
      </c>
      <c r="W15" s="473">
        <f t="shared" si="31"/>
        <v>43.190565334044784</v>
      </c>
      <c r="X15" s="473">
        <f t="shared" si="31"/>
        <v>29.643104634141064</v>
      </c>
      <c r="Y15" s="464"/>
      <c r="Z15" s="473">
        <f t="shared" si="32"/>
        <v>21.755354980167599</v>
      </c>
      <c r="AA15" s="473">
        <f t="shared" si="32"/>
        <v>17.482173822340958</v>
      </c>
      <c r="AB15" s="473">
        <f t="shared" si="32"/>
        <v>45.607310653081804</v>
      </c>
      <c r="AC15" s="473">
        <f t="shared" si="32"/>
        <v>28.166937500109217</v>
      </c>
    </row>
    <row r="16" spans="1:29">
      <c r="B16">
        <v>1</v>
      </c>
      <c r="C16">
        <v>12</v>
      </c>
      <c r="D16" s="473">
        <f t="shared" si="27"/>
        <v>23.475449896653426</v>
      </c>
      <c r="E16" s="473">
        <f t="shared" si="28"/>
        <v>24.000806405933343</v>
      </c>
      <c r="F16" s="473">
        <f t="shared" si="19"/>
        <v>43.763972448318832</v>
      </c>
      <c r="G16" s="473">
        <f t="shared" ref="G16" si="36">G15+(G$22-G$10)/COUNT($C$11:$C$22)</f>
        <v>30.285644229921509</v>
      </c>
      <c r="I16" s="473">
        <f t="shared" si="0"/>
        <v>23.475449896653426</v>
      </c>
      <c r="J16" s="473">
        <f t="shared" si="1"/>
        <v>24.000806405933343</v>
      </c>
      <c r="K16" s="473">
        <f t="shared" si="2"/>
        <v>43.763972448318832</v>
      </c>
      <c r="M16" s="471">
        <f t="shared" si="20"/>
        <v>22.28639128200826</v>
      </c>
      <c r="N16" s="471">
        <f t="shared" si="21"/>
        <v>33.775405273417093</v>
      </c>
      <c r="O16" s="471">
        <f t="shared" si="22"/>
        <v>47.204415133963117</v>
      </c>
      <c r="Q16" s="471">
        <f t="shared" si="23"/>
        <v>22.28639128200826</v>
      </c>
      <c r="R16" s="471">
        <f t="shared" si="24"/>
        <v>33.775405273417093</v>
      </c>
      <c r="S16" s="471">
        <f t="shared" si="24"/>
        <v>47.204415133963117</v>
      </c>
      <c r="U16" s="473">
        <f t="shared" si="30"/>
        <v>23.475449896653426</v>
      </c>
      <c r="V16" s="473">
        <f t="shared" si="31"/>
        <v>24.000806405933343</v>
      </c>
      <c r="W16" s="473">
        <f t="shared" si="31"/>
        <v>43.763972448318832</v>
      </c>
      <c r="X16" s="473">
        <f t="shared" si="31"/>
        <v>30.285644229921509</v>
      </c>
      <c r="Y16" s="464"/>
      <c r="Z16" s="473">
        <f t="shared" si="32"/>
        <v>21.68898994284616</v>
      </c>
      <c r="AA16" s="473">
        <f t="shared" si="32"/>
        <v>18.871773693108381</v>
      </c>
      <c r="AB16" s="473">
        <f t="shared" si="32"/>
        <v>46.529904787492292</v>
      </c>
      <c r="AC16" s="473">
        <f t="shared" si="32"/>
        <v>28.887944820073933</v>
      </c>
    </row>
    <row r="17" spans="2:29">
      <c r="B17">
        <v>2</v>
      </c>
      <c r="C17">
        <v>13</v>
      </c>
      <c r="D17" s="473">
        <f t="shared" si="27"/>
        <v>23.277273460879229</v>
      </c>
      <c r="E17" s="473">
        <f t="shared" si="28"/>
        <v>25.629906217180636</v>
      </c>
      <c r="F17" s="473">
        <f t="shared" si="19"/>
        <v>44.337379562592879</v>
      </c>
      <c r="G17" s="473">
        <f t="shared" ref="G17" si="37">G16+(G$22-G$10)/COUNT($C$11:$C$22)</f>
        <v>30.928183825701954</v>
      </c>
      <c r="I17" s="473">
        <f t="shared" si="0"/>
        <v>23.277273460879229</v>
      </c>
      <c r="J17" s="473">
        <f t="shared" si="1"/>
        <v>25.629906217180636</v>
      </c>
      <c r="K17" s="473">
        <f t="shared" si="2"/>
        <v>44.337379562592879</v>
      </c>
      <c r="M17" s="471">
        <f t="shared" si="20"/>
        <v>22.28639128200826</v>
      </c>
      <c r="N17" s="471">
        <f t="shared" si="21"/>
        <v>33.775405273417093</v>
      </c>
      <c r="O17" s="471">
        <f t="shared" si="22"/>
        <v>47.204415133963117</v>
      </c>
      <c r="Q17" s="471">
        <f t="shared" si="23"/>
        <v>22.28639128200826</v>
      </c>
      <c r="R17" s="471">
        <f t="shared" si="24"/>
        <v>33.775405273417093</v>
      </c>
      <c r="S17" s="471">
        <f t="shared" si="24"/>
        <v>47.204415133963117</v>
      </c>
      <c r="U17" s="473">
        <f t="shared" si="30"/>
        <v>23.277273460879229</v>
      </c>
      <c r="V17" s="473">
        <f t="shared" si="31"/>
        <v>25.629906217180636</v>
      </c>
      <c r="W17" s="473">
        <f t="shared" si="31"/>
        <v>44.337379562592879</v>
      </c>
      <c r="X17" s="473">
        <f t="shared" si="31"/>
        <v>30.928183825701954</v>
      </c>
      <c r="Z17" s="473">
        <f t="shared" si="32"/>
        <v>21.62262490552472</v>
      </c>
      <c r="AA17" s="473">
        <f t="shared" si="32"/>
        <v>20.261373563875804</v>
      </c>
      <c r="AB17" s="473">
        <f t="shared" si="32"/>
        <v>47.45249892190278</v>
      </c>
      <c r="AC17" s="473">
        <f t="shared" si="32"/>
        <v>29.60895214003865</v>
      </c>
    </row>
    <row r="18" spans="2:29">
      <c r="B18">
        <v>2</v>
      </c>
      <c r="C18">
        <v>14</v>
      </c>
      <c r="D18" s="473">
        <f t="shared" si="27"/>
        <v>23.079097025105032</v>
      </c>
      <c r="E18" s="473">
        <f t="shared" si="28"/>
        <v>27.25900602842793</v>
      </c>
      <c r="F18" s="473">
        <f t="shared" si="19"/>
        <v>44.910786676866927</v>
      </c>
      <c r="G18" s="473">
        <f t="shared" ref="G18" si="38">G17+(G$22-G$10)/COUNT($C$11:$C$22)</f>
        <v>31.570723421482398</v>
      </c>
      <c r="I18" s="473">
        <f t="shared" si="0"/>
        <v>23.079097025105032</v>
      </c>
      <c r="J18" s="473">
        <f t="shared" si="1"/>
        <v>27.25900602842793</v>
      </c>
      <c r="K18" s="473">
        <f t="shared" si="2"/>
        <v>44.910786676866927</v>
      </c>
      <c r="M18" s="471">
        <f t="shared" si="20"/>
        <v>22.28639128200826</v>
      </c>
      <c r="N18" s="471">
        <f t="shared" si="21"/>
        <v>33.775405273417093</v>
      </c>
      <c r="O18" s="471">
        <f t="shared" si="22"/>
        <v>47.204415133963117</v>
      </c>
      <c r="Q18" s="471">
        <f t="shared" si="23"/>
        <v>22.28639128200826</v>
      </c>
      <c r="R18" s="471">
        <f t="shared" si="24"/>
        <v>33.775405273417093</v>
      </c>
      <c r="S18" s="471">
        <f t="shared" si="24"/>
        <v>47.204415133963117</v>
      </c>
      <c r="U18" s="473">
        <f t="shared" si="30"/>
        <v>23.079097025105032</v>
      </c>
      <c r="V18" s="473">
        <f t="shared" si="31"/>
        <v>27.25900602842793</v>
      </c>
      <c r="W18" s="473">
        <f t="shared" si="31"/>
        <v>44.910786676866927</v>
      </c>
      <c r="X18" s="473">
        <f t="shared" si="31"/>
        <v>31.570723421482398</v>
      </c>
      <c r="Z18" s="473">
        <f t="shared" si="32"/>
        <v>21.556259868203281</v>
      </c>
      <c r="AA18" s="473">
        <f t="shared" si="32"/>
        <v>21.650973434643227</v>
      </c>
      <c r="AB18" s="473">
        <f t="shared" si="32"/>
        <v>48.375093056313268</v>
      </c>
      <c r="AC18" s="473">
        <f t="shared" si="32"/>
        <v>30.329959460003366</v>
      </c>
    </row>
    <row r="19" spans="2:29">
      <c r="B19">
        <v>2</v>
      </c>
      <c r="C19">
        <v>15</v>
      </c>
      <c r="D19" s="473">
        <f t="shared" si="27"/>
        <v>22.880920589330835</v>
      </c>
      <c r="E19" s="473">
        <f t="shared" si="28"/>
        <v>28.888105839675223</v>
      </c>
      <c r="F19" s="473">
        <f t="shared" si="19"/>
        <v>45.484193791140974</v>
      </c>
      <c r="G19" s="473">
        <f t="shared" ref="G19" si="39">G18+(G$22-G$10)/COUNT($C$11:$C$22)</f>
        <v>32.213263017262847</v>
      </c>
      <c r="I19" s="473">
        <f t="shared" si="0"/>
        <v>22.880920589330835</v>
      </c>
      <c r="J19" s="473">
        <f t="shared" si="1"/>
        <v>28.888105839675223</v>
      </c>
      <c r="K19" s="473">
        <f t="shared" si="2"/>
        <v>45.484193791140974</v>
      </c>
      <c r="M19" s="471">
        <f t="shared" si="20"/>
        <v>22.28639128200826</v>
      </c>
      <c r="N19" s="471">
        <f t="shared" si="21"/>
        <v>33.775405273417093</v>
      </c>
      <c r="O19" s="471">
        <f t="shared" si="22"/>
        <v>47.204415133963117</v>
      </c>
      <c r="Q19" s="471">
        <f t="shared" si="23"/>
        <v>22.28639128200826</v>
      </c>
      <c r="R19" s="471">
        <f t="shared" si="24"/>
        <v>33.775405273417093</v>
      </c>
      <c r="S19" s="471">
        <f t="shared" si="24"/>
        <v>47.204415133963117</v>
      </c>
      <c r="U19" s="473">
        <f t="shared" si="30"/>
        <v>22.880920589330835</v>
      </c>
      <c r="V19" s="473">
        <f t="shared" si="31"/>
        <v>28.888105839675223</v>
      </c>
      <c r="W19" s="473">
        <f t="shared" si="31"/>
        <v>45.484193791140974</v>
      </c>
      <c r="X19" s="473">
        <f t="shared" si="31"/>
        <v>32.213263017262847</v>
      </c>
      <c r="Z19" s="473">
        <f t="shared" si="32"/>
        <v>21.489894830881841</v>
      </c>
      <c r="AA19" s="473">
        <f t="shared" si="32"/>
        <v>23.04057330541065</v>
      </c>
      <c r="AB19" s="473">
        <f t="shared" si="32"/>
        <v>49.297687190723757</v>
      </c>
      <c r="AC19" s="473">
        <f t="shared" si="32"/>
        <v>31.050966779968082</v>
      </c>
    </row>
    <row r="20" spans="2:29">
      <c r="B20">
        <v>2</v>
      </c>
      <c r="C20">
        <v>16</v>
      </c>
      <c r="D20" s="473">
        <f t="shared" si="27"/>
        <v>22.682744153556637</v>
      </c>
      <c r="E20" s="473">
        <f t="shared" si="28"/>
        <v>30.517205650922516</v>
      </c>
      <c r="F20" s="473">
        <f t="shared" si="19"/>
        <v>46.057600905415022</v>
      </c>
      <c r="G20" s="473">
        <f t="shared" ref="G20" si="40">G19+(G$22-G$10)/COUNT($C$11:$C$22)</f>
        <v>32.855802613043295</v>
      </c>
      <c r="I20" s="473">
        <f t="shared" si="0"/>
        <v>22.682744153556637</v>
      </c>
      <c r="J20" s="473">
        <f t="shared" si="1"/>
        <v>30.517205650922516</v>
      </c>
      <c r="K20" s="473">
        <f t="shared" si="2"/>
        <v>46.057600905415022</v>
      </c>
      <c r="M20" s="471">
        <f t="shared" si="20"/>
        <v>22.28639128200826</v>
      </c>
      <c r="N20" s="471">
        <f t="shared" si="21"/>
        <v>33.775405273417093</v>
      </c>
      <c r="O20" s="471">
        <f t="shared" si="22"/>
        <v>47.204415133963117</v>
      </c>
      <c r="Q20" s="471">
        <f t="shared" si="23"/>
        <v>22.28639128200826</v>
      </c>
      <c r="R20" s="471">
        <f t="shared" si="24"/>
        <v>33.775405273417093</v>
      </c>
      <c r="S20" s="471">
        <f t="shared" si="24"/>
        <v>47.204415133963117</v>
      </c>
      <c r="U20" s="473">
        <f t="shared" si="30"/>
        <v>22.682744153556637</v>
      </c>
      <c r="V20" s="473">
        <f t="shared" si="31"/>
        <v>30.517205650922516</v>
      </c>
      <c r="W20" s="473">
        <f t="shared" si="31"/>
        <v>46.057600905415022</v>
      </c>
      <c r="X20" s="473">
        <f t="shared" si="31"/>
        <v>32.855802613043295</v>
      </c>
      <c r="Z20" s="473">
        <f t="shared" si="32"/>
        <v>21.423529793560402</v>
      </c>
      <c r="AA20" s="473">
        <f t="shared" si="32"/>
        <v>24.430173176178073</v>
      </c>
      <c r="AB20" s="473">
        <f t="shared" si="32"/>
        <v>50.220281325134245</v>
      </c>
      <c r="AC20" s="473">
        <f t="shared" si="32"/>
        <v>31.771974099932798</v>
      </c>
    </row>
    <row r="21" spans="2:29">
      <c r="B21">
        <v>2</v>
      </c>
      <c r="C21">
        <v>17</v>
      </c>
      <c r="D21" s="473">
        <f t="shared" si="27"/>
        <v>22.48456771778244</v>
      </c>
      <c r="E21" s="473">
        <f t="shared" si="28"/>
        <v>32.146305462169806</v>
      </c>
      <c r="F21" s="473">
        <f t="shared" si="19"/>
        <v>46.631008019689069</v>
      </c>
      <c r="G21" s="473">
        <f t="shared" ref="G21" si="41">G20+(G$22-G$10)/COUNT($C$11:$C$22)</f>
        <v>33.498342208823743</v>
      </c>
      <c r="I21" s="473">
        <f t="shared" si="0"/>
        <v>22.48456771778244</v>
      </c>
      <c r="J21" s="473">
        <f t="shared" si="1"/>
        <v>32.146305462169806</v>
      </c>
      <c r="K21" s="473">
        <f t="shared" si="2"/>
        <v>46.631008019689069</v>
      </c>
      <c r="M21" s="471">
        <f>M22</f>
        <v>22.28639128200826</v>
      </c>
      <c r="N21" s="471">
        <f>N22</f>
        <v>33.775405273417093</v>
      </c>
      <c r="O21" s="471">
        <f>O22</f>
        <v>47.204415133963117</v>
      </c>
      <c r="Q21" s="471">
        <f t="shared" si="23"/>
        <v>22.28639128200826</v>
      </c>
      <c r="R21" s="471">
        <f>R22</f>
        <v>33.775405273417093</v>
      </c>
      <c r="S21" s="471">
        <f>S22</f>
        <v>47.204415133963117</v>
      </c>
      <c r="U21" s="473">
        <f t="shared" si="30"/>
        <v>22.48456771778244</v>
      </c>
      <c r="V21" s="473">
        <f t="shared" si="31"/>
        <v>32.146305462169806</v>
      </c>
      <c r="W21" s="473">
        <f t="shared" si="31"/>
        <v>46.631008019689069</v>
      </c>
      <c r="X21" s="473">
        <f t="shared" si="31"/>
        <v>33.498342208823743</v>
      </c>
      <c r="Z21" s="473">
        <f t="shared" si="32"/>
        <v>21.357164756238962</v>
      </c>
      <c r="AA21" s="473">
        <f t="shared" si="32"/>
        <v>25.819773046945496</v>
      </c>
      <c r="AB21" s="473">
        <f t="shared" si="32"/>
        <v>51.142875459544733</v>
      </c>
      <c r="AC21" s="473">
        <f t="shared" si="32"/>
        <v>32.492981419897518</v>
      </c>
    </row>
    <row r="22" spans="2:29">
      <c r="B22">
        <v>2</v>
      </c>
      <c r="C22">
        <v>18</v>
      </c>
      <c r="D22" s="471">
        <f>'4.1 CBA_smooth'!D26</f>
        <v>22.28639128200826</v>
      </c>
      <c r="E22" s="471">
        <f>'4.1 CBA_smooth'!E26</f>
        <v>33.775405273417093</v>
      </c>
      <c r="F22" s="471">
        <f>'4.1 CBA_smooth'!F26</f>
        <v>47.204415133963117</v>
      </c>
      <c r="G22" s="471">
        <f>'4.1 CBA_smooth'!G26</f>
        <v>34.140881804604192</v>
      </c>
      <c r="H22" t="s">
        <v>251</v>
      </c>
      <c r="I22" s="471">
        <f t="shared" si="0"/>
        <v>22.28639128200826</v>
      </c>
      <c r="J22" s="471">
        <f t="shared" si="1"/>
        <v>33.775405273417093</v>
      </c>
      <c r="K22" s="471">
        <f t="shared" si="2"/>
        <v>47.204415133963117</v>
      </c>
      <c r="M22" s="471">
        <f>D22</f>
        <v>22.28639128200826</v>
      </c>
      <c r="N22" s="471">
        <f>E22</f>
        <v>33.775405273417093</v>
      </c>
      <c r="O22" s="471">
        <f>F22</f>
        <v>47.204415133963117</v>
      </c>
      <c r="Q22" s="471">
        <f>D22</f>
        <v>22.28639128200826</v>
      </c>
      <c r="R22" s="471">
        <f>E22</f>
        <v>33.775405273417093</v>
      </c>
      <c r="S22" s="471">
        <f>F22</f>
        <v>47.204415133963117</v>
      </c>
      <c r="U22" s="471">
        <f>D22</f>
        <v>22.28639128200826</v>
      </c>
      <c r="V22" s="471">
        <f>E22</f>
        <v>33.775405273417093</v>
      </c>
      <c r="W22" s="471">
        <f>F22</f>
        <v>47.204415133963117</v>
      </c>
      <c r="X22" s="471">
        <f>G22</f>
        <v>34.140881804604192</v>
      </c>
      <c r="Z22" s="471">
        <f>'4.1 CBA_smooth (t_a25) (2)'!D26</f>
        <v>21.290799718917533</v>
      </c>
      <c r="AA22" s="471">
        <f>'4.1 CBA_smooth (t_a25) (2)'!E26</f>
        <v>27.209372917712912</v>
      </c>
      <c r="AB22" s="471">
        <f>'4.1 CBA_smooth (t_a25) (2)'!F26</f>
        <v>52.065469593955221</v>
      </c>
      <c r="AC22" s="471">
        <f>'4.1 CBA_smooth (t_a25) (2)'!G26</f>
        <v>33.213988739862238</v>
      </c>
    </row>
    <row r="23" spans="2:29">
      <c r="D23" s="464"/>
      <c r="I23" s="464"/>
      <c r="M23" s="464"/>
      <c r="Q23" s="464"/>
      <c r="U23" s="464"/>
      <c r="V23" s="464"/>
    </row>
    <row r="24" spans="2:29">
      <c r="C24" t="s">
        <v>253</v>
      </c>
      <c r="D24" s="464"/>
      <c r="I24" s="464"/>
      <c r="M24" s="464"/>
      <c r="P24" t="s">
        <v>253</v>
      </c>
      <c r="Q24" s="464"/>
      <c r="U24" s="464"/>
      <c r="V24" s="464"/>
      <c r="W24" s="464"/>
      <c r="X24" s="464"/>
    </row>
    <row r="25" spans="2:29">
      <c r="C25" t="s">
        <v>252</v>
      </c>
      <c r="D25" s="464">
        <f>D4*(1+disc5)^2</f>
        <v>531.44821860776517</v>
      </c>
      <c r="E25" s="464">
        <f>E4*(1+disc5)^2</f>
        <v>289.60255756823165</v>
      </c>
      <c r="F25" s="464">
        <f>F4*(1+disc5)^2</f>
        <v>643.58475339109123</v>
      </c>
      <c r="G25" s="464"/>
      <c r="I25" s="464">
        <f>I4*(1+disc5)^2</f>
        <v>531.44821860776517</v>
      </c>
      <c r="J25" s="464">
        <f>J4*(1+disc5)^2</f>
        <v>289.60255756823165</v>
      </c>
      <c r="K25" s="464">
        <f>K4*(1+disc5)^2</f>
        <v>643.58475339109123</v>
      </c>
      <c r="M25" s="464">
        <f>M4*(1+disc5)^2</f>
        <v>531.44821860776517</v>
      </c>
      <c r="N25" s="464">
        <f>N4*(1+disc5)^2</f>
        <v>289.60255756823165</v>
      </c>
      <c r="O25" s="464">
        <f>O4*(1+disc5)^2</f>
        <v>643.58475339109123</v>
      </c>
      <c r="P25" t="s">
        <v>252</v>
      </c>
      <c r="Q25" s="464">
        <f>Q4*(1+disc5)^2</f>
        <v>531.44821860776517</v>
      </c>
      <c r="R25" s="464">
        <f>R4*(1+disc5)^2</f>
        <v>289.60255756823165</v>
      </c>
      <c r="S25" s="464">
        <f>S4*(1+disc5)^2</f>
        <v>643.58475339109123</v>
      </c>
      <c r="U25" s="464">
        <f>U4*(1+disc5)^2</f>
        <v>531.44821860776517</v>
      </c>
      <c r="V25" s="464">
        <f>V4*(1+disc5)^2</f>
        <v>289.60255756823165</v>
      </c>
      <c r="W25" s="464">
        <f>W4*(1+disc5)^2</f>
        <v>643.58475339109123</v>
      </c>
      <c r="X25" s="464">
        <f>X4*(1+disc5)^2</f>
        <v>488.21184318902937</v>
      </c>
    </row>
    <row r="26" spans="2:29">
      <c r="C26" t="s">
        <v>254</v>
      </c>
      <c r="D26" s="464">
        <f>NPV(disc5/12,'4.1.1 smooth cashflow'!D5:D22)*(1+disc5)^2</f>
        <v>454.56169171422403</v>
      </c>
      <c r="E26" s="464">
        <f>NPV(disc5/12,'4.1.1 smooth cashflow'!E5:E22)*(1+disc5)^2</f>
        <v>403.44649800116116</v>
      </c>
      <c r="F26" s="464">
        <f>NPV(disc5/12,'4.1.1 smooth cashflow'!F5:F22)*(1+disc5)^2</f>
        <v>815.8666822847299</v>
      </c>
      <c r="G26" s="464"/>
      <c r="I26" s="464">
        <f>SUM(I5:I10)*(1+disc5) + SUM('4.1.1 smooth cashflow'!I11:I22)</f>
        <v>435.90274376637717</v>
      </c>
      <c r="J26" s="464">
        <f>SUM(J5:J10)*(1+disc5) + SUM('4.1.1 smooth cashflow'!J11:J22)</f>
        <v>387.40938323091632</v>
      </c>
      <c r="K26" s="464">
        <f>SUM(K5:K10)*(1+disc5) + SUM('4.1.1 smooth cashflow'!K11:K22)</f>
        <v>782.64634957032001</v>
      </c>
      <c r="M26" s="464">
        <f>NPV(disc5/12,'4.1.1 smooth cashflow'!M5:M22)*(1+disc5)^2</f>
        <v>440.74698526044477</v>
      </c>
      <c r="N26" s="464">
        <f>NPV(disc5/12,'4.1.1 smooth cashflow'!N5:N22)*(1+disc5)^2</f>
        <v>517.0096246583164</v>
      </c>
      <c r="O26" s="464">
        <f>NPV(disc5/12,'4.1.1 smooth cashflow'!O5:O22)*(1+disc5)^2</f>
        <v>855.83839199511351</v>
      </c>
      <c r="P26" t="s">
        <v>254</v>
      </c>
      <c r="Q26" s="464">
        <f>SUM(Q5:Q10)*(1+disc5) + SUM('4.1.1 smooth cashflow'!Q11:Q22)</f>
        <v>422.82309900528037</v>
      </c>
      <c r="R26" s="464">
        <f>SUM(R5:R10)*(1+disc5) + SUM('4.1.1 smooth cashflow'!R11:R22)</f>
        <v>494.92997077323764</v>
      </c>
      <c r="S26" s="464">
        <f>SUM(S5:S10)*(1+disc5) + SUM('4.1.1 smooth cashflow'!S11:S22)</f>
        <v>820.49121911240707</v>
      </c>
      <c r="U26" s="464">
        <f>NPV(disc5/12,'4.1.1 smooth cashflow'!U5:U22)*(1+disc5)^2</f>
        <v>387.23560514011336</v>
      </c>
      <c r="V26" s="464">
        <f>NPV(disc5/12,'4.1.1 smooth cashflow'!V5:V22)*(1+disc5)^2</f>
        <v>364.61357822430176</v>
      </c>
      <c r="W26" s="464">
        <f>NPV(disc5/12,'4.1.1 smooth cashflow'!W5:W22)*(1+disc5)^2</f>
        <v>705.79656049284756</v>
      </c>
      <c r="X26" s="464">
        <f>NPV(disc5/12,'4.1.1 smooth cashflow'!X5:X22)*(1+disc5)^2</f>
        <v>484.22958260886782</v>
      </c>
    </row>
    <row r="28" spans="2:29">
      <c r="C28" t="s">
        <v>255</v>
      </c>
      <c r="D28" s="477">
        <f>D26/D25</f>
        <v>0.85532640019951378</v>
      </c>
      <c r="E28" s="477">
        <f>E26/E25</f>
        <v>1.3931040574671285</v>
      </c>
      <c r="F28" s="477">
        <f t="shared" ref="F28" si="42">F26/F25</f>
        <v>1.2676911284580215</v>
      </c>
      <c r="G28" s="477"/>
      <c r="I28" s="477">
        <f>I26/I25</f>
        <v>0.82021677466209508</v>
      </c>
      <c r="J28" s="477">
        <f>J26/J25</f>
        <v>1.3377277689947229</v>
      </c>
      <c r="K28" s="477">
        <f t="shared" ref="K28" si="43">K26/K25</f>
        <v>1.2160734781961566</v>
      </c>
      <c r="M28" s="477">
        <f>M26/M25</f>
        <v>0.82933194585743386</v>
      </c>
      <c r="N28" s="477">
        <f>N26/N25</f>
        <v>1.7852384626696767</v>
      </c>
      <c r="O28" s="477">
        <f t="shared" ref="O28" si="44">O26/O25</f>
        <v>1.3297990474224934</v>
      </c>
      <c r="P28" t="s">
        <v>255</v>
      </c>
      <c r="Q28" s="477">
        <f>Q26/Q25</f>
        <v>0.79560544978953918</v>
      </c>
      <c r="R28" s="477">
        <f>R26/R25</f>
        <v>1.7089972372106208</v>
      </c>
      <c r="S28" s="477">
        <f t="shared" ref="S28" si="45">S26/S25</f>
        <v>1.2748767194828401</v>
      </c>
      <c r="U28" s="477">
        <f>U26/U25</f>
        <v>0.72864221119143913</v>
      </c>
      <c r="V28" s="477">
        <f>V26/V25</f>
        <v>1.2590136678554615</v>
      </c>
      <c r="W28" s="477">
        <f t="shared" ref="W28:X28" si="46">W26/W25</f>
        <v>1.0966645135298159</v>
      </c>
      <c r="X28" s="477">
        <f t="shared" si="46"/>
        <v>0.99184317087813934</v>
      </c>
      <c r="Z28" s="663"/>
    </row>
    <row r="29" spans="2:29" ht="15" thickBot="1">
      <c r="U29" s="521"/>
    </row>
    <row r="30" spans="2:29">
      <c r="C30" t="s">
        <v>260</v>
      </c>
      <c r="D30" s="305">
        <f>NPV(disc5/12,D5:D10)*(1+disc5)^2</f>
        <v>160.80256096719091</v>
      </c>
      <c r="E30" s="305">
        <f>NPV(disc5/12,E5:E10)*(1+disc5)^2</f>
        <v>92.749085350130315</v>
      </c>
      <c r="F30" s="305">
        <f>NPV(disc5/12,F5:F10)*(1+disc5)^2</f>
        <v>262.89300879863407</v>
      </c>
      <c r="G30" s="305"/>
      <c r="P30" s="483" t="s">
        <v>263</v>
      </c>
      <c r="Q30" s="484"/>
      <c r="R30" s="484"/>
      <c r="S30" s="485"/>
      <c r="U30" s="305">
        <f>NPV(disc5/12,U5:U10)*(1+disc5)^2</f>
        <v>93.476474393080196</v>
      </c>
      <c r="V30" s="305">
        <f>NPV(disc5/12,V5:V10)*(1+disc5)^2</f>
        <v>53.91616557327098</v>
      </c>
      <c r="W30" s="305">
        <f>NPV(disc5/12,W5:W10)*(1+disc5)^2</f>
        <v>152.82288700675176</v>
      </c>
      <c r="X30" s="305">
        <f>NPV(disc5/12,X5:X10)*(1+disc5)^2</f>
        <v>100.16908424408128</v>
      </c>
    </row>
    <row r="31" spans="2:29">
      <c r="C31" t="s">
        <v>261</v>
      </c>
      <c r="D31" s="305">
        <f>NPV(disc5/12,0,0,0,0,0,0,'4.1.1 smooth cashflow'!D11:D22)*(1+disc5)^2</f>
        <v>293.75913074703311</v>
      </c>
      <c r="E31" s="305">
        <f>NPV(disc5/12,0,0,0,0,0,0,'4.1.1 smooth cashflow'!E11:E22)*(1+disc5)^2</f>
        <v>310.69741265103079</v>
      </c>
      <c r="F31" s="305">
        <f>NPV(disc5/12,0,0,0,0,0,0,'4.1.1 smooth cashflow'!F11:F22)*(1+disc5)^2</f>
        <v>552.97367348609589</v>
      </c>
      <c r="G31" s="305"/>
      <c r="I31" t="s">
        <v>403</v>
      </c>
      <c r="P31" s="486" t="s">
        <v>262</v>
      </c>
      <c r="Q31" s="306"/>
      <c r="R31" s="306"/>
      <c r="S31" s="487"/>
      <c r="U31" s="305">
        <f>NPV(disc5/12,0,0,0,0,0,0,'4.1.1 smooth cashflow'!U11:U22)*(1+disc5)^2</f>
        <v>293.75913074703311</v>
      </c>
      <c r="V31" s="305">
        <f>NPV(disc5/12,0,0,0,0,0,0,'4.1.1 smooth cashflow'!V11:V22)*(1+disc5)^2</f>
        <v>310.69741265103079</v>
      </c>
      <c r="W31" s="305">
        <f>NPV(disc5/12,0,0,0,0,0,0,'4.1.1 smooth cashflow'!W11:W22)*(1+disc5)^2</f>
        <v>552.97367348609589</v>
      </c>
      <c r="X31" s="305">
        <f>NPV(disc5/12,0,0,0,0,0,0,'4.1.1 smooth cashflow'!X11:X22)*(1+disc5)^2</f>
        <v>384.06049836478661</v>
      </c>
    </row>
    <row r="32" spans="2:29">
      <c r="C32" t="s">
        <v>257</v>
      </c>
      <c r="D32" s="305">
        <f>SUM(D30:D31)</f>
        <v>454.56169171422403</v>
      </c>
      <c r="E32" s="305">
        <f>SUM(E30:E31)</f>
        <v>403.4464980011611</v>
      </c>
      <c r="F32" s="305">
        <f t="shared" ref="F32" si="47">SUM(F30:F31)</f>
        <v>815.8666822847299</v>
      </c>
      <c r="G32" s="305"/>
      <c r="P32" s="486" t="s">
        <v>252</v>
      </c>
      <c r="Q32" s="480">
        <f>Q4*(1+disc5)^1.5</f>
        <v>518.64035530768604</v>
      </c>
      <c r="R32" s="480">
        <f>R4*(1+disc5)^1.5</f>
        <v>282.62315705691901</v>
      </c>
      <c r="S32" s="488">
        <f>S4*(1+disc5)^1.5</f>
        <v>628.07440778292971</v>
      </c>
      <c r="U32" s="305">
        <f>NPV(disc5/12,'4.1.1 smooth cashflow'!U11:U22)*(1+disc5)^1.5</f>
        <v>293.92161824270732</v>
      </c>
      <c r="V32" s="305">
        <f>NPV(disc5/12,'4.1.1 smooth cashflow'!V11:V22)*(1+disc5)^1.5</f>
        <v>310.86926924784791</v>
      </c>
      <c r="W32" s="305">
        <f>NPV(disc5/12,'4.1.1 smooth cashflow'!W11:W22)*(1+disc5)^1.5</f>
        <v>553.27954076977846</v>
      </c>
      <c r="X32" s="305">
        <f>NPV(disc5/12,'4.1.1 smooth cashflow'!X11:X22)*(1+disc5)^1.5</f>
        <v>384.27293441199299</v>
      </c>
    </row>
    <row r="33" spans="4:24">
      <c r="D33" s="464"/>
      <c r="E33" s="464"/>
      <c r="F33" s="464"/>
      <c r="G33" s="464"/>
      <c r="I33" s="664"/>
      <c r="J33" s="301" t="s">
        <v>141</v>
      </c>
      <c r="K33" s="301" t="s">
        <v>241</v>
      </c>
      <c r="L33" s="478" t="s">
        <v>201</v>
      </c>
      <c r="M33" s="476" t="s">
        <v>304</v>
      </c>
      <c r="N33" s="476"/>
      <c r="O33" s="476"/>
      <c r="P33" s="486" t="s">
        <v>254</v>
      </c>
      <c r="Q33" s="480">
        <f>Q26</f>
        <v>422.82309900528037</v>
      </c>
      <c r="R33" s="480">
        <f>R26</f>
        <v>494.92997077323764</v>
      </c>
      <c r="S33" s="488">
        <f>S26</f>
        <v>820.49121911240707</v>
      </c>
      <c r="U33" s="308">
        <f>U31/U32</f>
        <v>0.99944717405733652</v>
      </c>
      <c r="V33" s="308">
        <f t="shared" ref="V33:X33" si="48">V31/V32</f>
        <v>0.9994471740573363</v>
      </c>
      <c r="W33" s="308">
        <f t="shared" si="48"/>
        <v>0.9994471740573363</v>
      </c>
      <c r="X33" s="308">
        <f t="shared" si="48"/>
        <v>0.99944717405733652</v>
      </c>
    </row>
    <row r="34" spans="4:24">
      <c r="D34" s="464"/>
      <c r="E34" s="464"/>
      <c r="F34" s="464"/>
      <c r="G34" s="464"/>
      <c r="I34" s="549">
        <v>6</v>
      </c>
      <c r="J34" s="662">
        <f>'4.1 CBA (ed7)'!E25/2</f>
        <v>147.98688889037919</v>
      </c>
      <c r="K34" s="662">
        <f>'4.1 CBA (ed7)'!F25/2</f>
        <v>85.357151688613484</v>
      </c>
      <c r="L34" s="665">
        <f>'4.1 CBA (ed7)'!G25/2</f>
        <v>241.94091343532028</v>
      </c>
      <c r="M34" s="665">
        <f>'4.1 CBA (ed7)'!H25/2</f>
        <v>158.58226614264825</v>
      </c>
      <c r="P34" s="486"/>
      <c r="Q34" s="482"/>
      <c r="R34" s="482"/>
      <c r="S34" s="489"/>
      <c r="U34" s="307">
        <f>SUM(U30:U31)</f>
        <v>387.23560514011331</v>
      </c>
      <c r="V34" s="307">
        <f>SUM(V30:V31)</f>
        <v>364.61357822430176</v>
      </c>
      <c r="W34" s="307">
        <f>SUM(W30:W31)</f>
        <v>705.79656049284768</v>
      </c>
      <c r="X34" s="307">
        <f>SUM(X30:X31)</f>
        <v>484.22958260886787</v>
      </c>
    </row>
    <row r="35" spans="4:24" ht="15" thickBot="1">
      <c r="D35" s="464"/>
      <c r="E35" s="464"/>
      <c r="F35" s="464"/>
      <c r="G35" s="464"/>
      <c r="I35" s="551">
        <v>18</v>
      </c>
      <c r="J35" s="666">
        <f>'4.1 CBA (ed7)'!E30</f>
        <v>267.4364023031103</v>
      </c>
      <c r="K35" s="666">
        <f>'4.1 CBA (ed7)'!F30</f>
        <v>405.30441911177871</v>
      </c>
      <c r="L35" s="667">
        <f>'4.1 CBA (ed7)'!G30</f>
        <v>566.45236083784698</v>
      </c>
      <c r="M35" s="667">
        <f>'4.1 CBA (ed7)'!H30</f>
        <v>409.69013267976254</v>
      </c>
      <c r="P35" s="490" t="s">
        <v>255</v>
      </c>
      <c r="Q35" s="491">
        <f>Q33/Q32</f>
        <v>0.81525298731225493</v>
      </c>
      <c r="R35" s="491">
        <f>R33/R32</f>
        <v>1.751201054885821</v>
      </c>
      <c r="S35" s="492">
        <f t="shared" ref="S35" si="49">S33/S32</f>
        <v>1.3063598977208748</v>
      </c>
      <c r="U35" s="307">
        <f>NPV(disc5/12,'4.1.1 smooth cashflow'!U5:U22)*(1+disc5)^2</f>
        <v>387.23560514011336</v>
      </c>
      <c r="V35" s="307">
        <f>NPV(disc5/12,'4.1.1 smooth cashflow'!V5:V22)*(1+disc5)^2</f>
        <v>364.61357822430176</v>
      </c>
      <c r="W35" s="307">
        <f>NPV(disc5/12,'4.1.1 smooth cashflow'!W5:W22)*(1+disc5)^2</f>
        <v>705.79656049284756</v>
      </c>
      <c r="X35" s="307">
        <f>NPV(disc5/12,'4.1.1 smooth cashflow'!X5:X22)*(1+disc5)^2</f>
        <v>484.22958260886782</v>
      </c>
    </row>
    <row r="36" spans="4:24">
      <c r="D36" s="464"/>
      <c r="E36" s="464"/>
      <c r="F36" s="464"/>
      <c r="G36" s="464"/>
      <c r="T36" s="522"/>
    </row>
    <row r="37" spans="4:24">
      <c r="D37" s="464"/>
      <c r="E37" s="464"/>
      <c r="F37" s="464"/>
      <c r="G37" s="464"/>
      <c r="T37" s="522"/>
    </row>
    <row r="38" spans="4:24">
      <c r="D38" s="464"/>
      <c r="E38" s="464"/>
      <c r="F38" s="464"/>
      <c r="G38" s="464"/>
    </row>
    <row r="39" spans="4:24">
      <c r="D39" s="464"/>
      <c r="E39" s="464"/>
      <c r="F39" s="464"/>
      <c r="G39" s="464"/>
    </row>
    <row r="40" spans="4:24">
      <c r="D40" s="464"/>
      <c r="E40" s="464"/>
      <c r="F40" s="464"/>
      <c r="G40" s="464"/>
    </row>
    <row r="41" spans="4:24">
      <c r="D41" s="464"/>
      <c r="E41" s="464"/>
      <c r="F41" s="464"/>
      <c r="G41" s="464"/>
    </row>
    <row r="42" spans="4:24">
      <c r="D42" s="464"/>
      <c r="E42" s="464"/>
      <c r="F42" s="464"/>
      <c r="G42" s="464"/>
    </row>
    <row r="43" spans="4:24">
      <c r="D43" s="464"/>
      <c r="E43" s="464"/>
      <c r="F43" s="464"/>
      <c r="G43" s="464"/>
    </row>
    <row r="44" spans="4:24">
      <c r="D44" s="464"/>
      <c r="E44" s="464"/>
      <c r="F44" s="464"/>
      <c r="G44" s="464"/>
    </row>
    <row r="45" spans="4:24">
      <c r="D45" s="464"/>
      <c r="E45" s="464"/>
      <c r="F45" s="464"/>
      <c r="G45" s="464"/>
    </row>
    <row r="46" spans="4:24">
      <c r="D46" s="464"/>
      <c r="E46" s="464"/>
      <c r="F46" s="464"/>
      <c r="G46" s="464"/>
    </row>
    <row r="47" spans="4:24">
      <c r="D47" s="464"/>
      <c r="E47" s="464"/>
      <c r="F47" s="464"/>
      <c r="G47" s="464"/>
    </row>
    <row r="48" spans="4:24">
      <c r="D48" s="464"/>
      <c r="E48" s="464"/>
      <c r="F48" s="464"/>
      <c r="G48" s="464"/>
    </row>
    <row r="49" spans="4:7">
      <c r="D49" s="464"/>
      <c r="E49" s="464"/>
      <c r="F49" s="464"/>
      <c r="G49" s="464"/>
    </row>
    <row r="50" spans="4:7">
      <c r="D50" s="464"/>
      <c r="E50" s="464"/>
      <c r="F50" s="464"/>
      <c r="G50" s="464"/>
    </row>
  </sheetData>
  <mergeCells count="12">
    <mergeCell ref="Z1:AB1"/>
    <mergeCell ref="Z2:AB2"/>
    <mergeCell ref="D2:F2"/>
    <mergeCell ref="D1:F1"/>
    <mergeCell ref="U1:W1"/>
    <mergeCell ref="U2:W2"/>
    <mergeCell ref="I2:K2"/>
    <mergeCell ref="I1:K1"/>
    <mergeCell ref="M1:O1"/>
    <mergeCell ref="M2:O2"/>
    <mergeCell ref="Q2:S2"/>
    <mergeCell ref="Q1:S1"/>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9315F-BC09-42A9-AFB1-64B3860AAA8A}">
  <dimension ref="A1:AQ165"/>
  <sheetViews>
    <sheetView workbookViewId="0">
      <selection activeCell="N1" sqref="N1"/>
    </sheetView>
  </sheetViews>
  <sheetFormatPr defaultColWidth="8.77734375" defaultRowHeight="14.4"/>
  <cols>
    <col min="4" max="4" width="13.77734375" bestFit="1" customWidth="1"/>
    <col min="6" max="6" width="8.77734375" style="479"/>
    <col min="18" max="18" width="9.5546875" bestFit="1" customWidth="1"/>
    <col min="22" max="22" width="2.33203125" style="180" customWidth="1"/>
  </cols>
  <sheetData>
    <row r="1" spans="1:43">
      <c r="B1" s="335"/>
      <c r="C1" s="335"/>
      <c r="D1" s="335"/>
      <c r="F1" s="657"/>
      <c r="G1" s="335"/>
      <c r="H1" s="335"/>
      <c r="J1" s="521">
        <f>NPV(0.05,J8:J165)</f>
        <v>243.12400209373661</v>
      </c>
      <c r="K1" s="335"/>
      <c r="L1" s="335"/>
      <c r="N1" s="521">
        <f>NPV(0.05,N8:N165)</f>
        <v>668.59100575403193</v>
      </c>
      <c r="R1" s="521">
        <f>NPV(0.05,R8:R165)</f>
        <v>5346.3273274255898</v>
      </c>
      <c r="U1" t="s">
        <v>4</v>
      </c>
      <c r="W1" t="s">
        <v>222</v>
      </c>
    </row>
    <row r="2" spans="1:43">
      <c r="I2" s="464"/>
    </row>
    <row r="3" spans="1:43">
      <c r="A3" s="301"/>
      <c r="B3" s="300" t="s">
        <v>165</v>
      </c>
      <c r="C3" s="329" t="s">
        <v>166</v>
      </c>
      <c r="D3" s="326">
        <v>1</v>
      </c>
      <c r="F3" s="513" t="s">
        <v>165</v>
      </c>
      <c r="G3" s="330" t="s">
        <v>167</v>
      </c>
      <c r="H3" s="326">
        <v>0.75</v>
      </c>
      <c r="J3" s="300" t="s">
        <v>165</v>
      </c>
      <c r="K3" s="330" t="s">
        <v>168</v>
      </c>
      <c r="L3" s="326">
        <v>0.5</v>
      </c>
      <c r="N3" s="300" t="s">
        <v>165</v>
      </c>
      <c r="O3" s="330" t="s">
        <v>169</v>
      </c>
      <c r="P3" s="326">
        <v>0.25</v>
      </c>
      <c r="R3" s="300" t="s">
        <v>158</v>
      </c>
      <c r="S3" s="329" t="s">
        <v>170</v>
      </c>
      <c r="T3" s="300"/>
      <c r="X3" s="301"/>
      <c r="Y3" s="300" t="s">
        <v>165</v>
      </c>
      <c r="Z3" s="329" t="s">
        <v>166</v>
      </c>
      <c r="AA3" s="326">
        <v>1</v>
      </c>
      <c r="AC3" s="300" t="s">
        <v>165</v>
      </c>
      <c r="AD3" s="330" t="s">
        <v>167</v>
      </c>
      <c r="AE3" s="326">
        <v>0.75</v>
      </c>
      <c r="AG3" s="300" t="s">
        <v>165</v>
      </c>
      <c r="AH3" s="330" t="s">
        <v>168</v>
      </c>
      <c r="AI3" s="326">
        <v>0.5</v>
      </c>
      <c r="AK3" s="300" t="s">
        <v>165</v>
      </c>
      <c r="AL3" s="330" t="s">
        <v>169</v>
      </c>
      <c r="AM3" s="326">
        <v>0.25</v>
      </c>
      <c r="AO3" s="300" t="s">
        <v>158</v>
      </c>
      <c r="AP3" s="329" t="s">
        <v>170</v>
      </c>
      <c r="AQ3" s="300"/>
    </row>
    <row r="4" spans="1:43">
      <c r="A4" s="302" t="s">
        <v>153</v>
      </c>
      <c r="B4" s="303" t="s">
        <v>141</v>
      </c>
      <c r="C4" s="303" t="s">
        <v>140</v>
      </c>
      <c r="D4" s="303" t="s">
        <v>201</v>
      </c>
      <c r="E4" s="512" t="s">
        <v>142</v>
      </c>
      <c r="F4" s="514" t="s">
        <v>141</v>
      </c>
      <c r="G4" s="303" t="s">
        <v>140</v>
      </c>
      <c r="H4" s="393" t="s">
        <v>201</v>
      </c>
      <c r="J4" s="303" t="s">
        <v>141</v>
      </c>
      <c r="K4" s="303" t="s">
        <v>140</v>
      </c>
      <c r="L4" s="393" t="s">
        <v>201</v>
      </c>
      <c r="N4" s="303" t="s">
        <v>141</v>
      </c>
      <c r="O4" s="303" t="s">
        <v>140</v>
      </c>
      <c r="P4" s="393" t="s">
        <v>201</v>
      </c>
      <c r="R4" s="303" t="s">
        <v>141</v>
      </c>
      <c r="S4" s="303" t="s">
        <v>140</v>
      </c>
      <c r="T4" s="393" t="s">
        <v>201</v>
      </c>
      <c r="X4" s="302" t="s">
        <v>153</v>
      </c>
      <c r="Y4" s="394" t="s">
        <v>141</v>
      </c>
      <c r="Z4" s="394" t="s">
        <v>140</v>
      </c>
      <c r="AA4" s="394" t="s">
        <v>201</v>
      </c>
      <c r="AC4" s="394" t="s">
        <v>141</v>
      </c>
      <c r="AD4" s="394" t="s">
        <v>140</v>
      </c>
      <c r="AE4" s="394" t="s">
        <v>201</v>
      </c>
      <c r="AG4" s="394" t="s">
        <v>141</v>
      </c>
      <c r="AH4" s="394" t="s">
        <v>140</v>
      </c>
      <c r="AI4" s="394" t="s">
        <v>201</v>
      </c>
      <c r="AK4" s="394" t="s">
        <v>141</v>
      </c>
      <c r="AL4" s="394" t="s">
        <v>140</v>
      </c>
      <c r="AM4" s="394" t="s">
        <v>201</v>
      </c>
      <c r="AO4" s="394" t="s">
        <v>141</v>
      </c>
      <c r="AP4" s="394" t="s">
        <v>140</v>
      </c>
      <c r="AQ4" s="394" t="s">
        <v>201</v>
      </c>
    </row>
    <row r="5" spans="1:43">
      <c r="A5" s="327">
        <v>0</v>
      </c>
      <c r="B5" s="328">
        <f>-'4.1 CBA (ed7)'!E15</f>
        <v>-482.03920055126093</v>
      </c>
      <c r="C5" s="328">
        <f>-'4.1 CBA (ed7)'!F15</f>
        <v>-262.67805675123049</v>
      </c>
      <c r="D5" s="328">
        <f>-'4.1 CBA (ed7)'!G15</f>
        <v>-583.75034321187411</v>
      </c>
      <c r="E5" s="328">
        <f>-'4.1 CBA (ed7)'!H15</f>
        <v>-442.82253350478851</v>
      </c>
      <c r="F5" s="515">
        <f>-'4.1 CBA (ed7)'!E15</f>
        <v>-482.03920055126093</v>
      </c>
      <c r="G5" s="515">
        <f>-'4.1 CBA (ed7)'!F15</f>
        <v>-262.67805675123049</v>
      </c>
      <c r="H5" s="515">
        <f>-'4.1 CBA (ed7)'!G15</f>
        <v>-583.75034321187411</v>
      </c>
      <c r="J5" s="328">
        <f>-'4.1 CBA (ed7)'!E15</f>
        <v>-482.03920055126093</v>
      </c>
      <c r="K5" s="328">
        <f>-'4.1 CBA (ed7)'!F15</f>
        <v>-262.67805675123049</v>
      </c>
      <c r="L5" s="328">
        <f>-'4.1 CBA (ed7)'!G15</f>
        <v>-583.75034321187411</v>
      </c>
      <c r="N5" s="328">
        <f>-'4.1 CBA (ed7)'!E15</f>
        <v>-482.03920055126093</v>
      </c>
      <c r="O5" s="328">
        <f>-'4.1 CBA (ed7)'!F15</f>
        <v>-262.67805675123049</v>
      </c>
      <c r="P5" s="328">
        <f>-'4.1 CBA (ed7)'!G15</f>
        <v>-583.75034321187411</v>
      </c>
      <c r="R5" s="328">
        <f>-'4.1 CBA (ed7)'!E15</f>
        <v>-482.03920055126093</v>
      </c>
      <c r="S5" s="328">
        <f>-'4.1 CBA (ed7)'!F15</f>
        <v>-262.67805675123049</v>
      </c>
      <c r="T5" s="328">
        <f>-'4.1 CBA (ed7)'!G15</f>
        <v>-583.75034321187411</v>
      </c>
      <c r="X5" s="327">
        <v>0</v>
      </c>
      <c r="Y5" s="328">
        <f>-'4.1 CBA (FR)'!D14</f>
        <v>-116.92005421130997</v>
      </c>
      <c r="Z5" s="328">
        <f>-'4.1 CBA (FR)'!E14</f>
        <v>-63.713350699181213</v>
      </c>
      <c r="AA5" s="328">
        <f>-'4.1 CBA (FR)'!F14</f>
        <v>-141.59039699706969</v>
      </c>
      <c r="AC5" s="328">
        <f>-'4.1 CBA (FR)'!D14</f>
        <v>-116.92005421130997</v>
      </c>
      <c r="AD5" s="328">
        <f>-'4.1 CBA (FR)'!E14</f>
        <v>-63.713350699181213</v>
      </c>
      <c r="AE5" s="328">
        <f>-'4.1 CBA (FR)'!F14</f>
        <v>-141.59039699706969</v>
      </c>
      <c r="AG5" s="328">
        <f>-'4.1 CBA (FR)'!D14</f>
        <v>-116.92005421130997</v>
      </c>
      <c r="AH5" s="328">
        <f>-'4.1 CBA (FR)'!E14</f>
        <v>-63.713350699181213</v>
      </c>
      <c r="AI5" s="328">
        <f>-'4.1 CBA (FR)'!F14</f>
        <v>-141.59039699706969</v>
      </c>
      <c r="AK5" s="328">
        <f>-'4.1 CBA (FR)'!D14</f>
        <v>-116.92005421130997</v>
      </c>
      <c r="AL5" s="328">
        <f>-'4.1 CBA (FR)'!E14</f>
        <v>-63.713350699181213</v>
      </c>
      <c r="AM5" s="328">
        <f>-'4.1 CBA (FR)'!F14</f>
        <v>-141.59039699706969</v>
      </c>
      <c r="AO5" s="328">
        <f>-'4.1 CBA (FR)'!D14</f>
        <v>-116.92005421130997</v>
      </c>
      <c r="AP5" s="328">
        <f>-'4.1 CBA (FR)'!E14</f>
        <v>-63.713350699181213</v>
      </c>
      <c r="AQ5" s="328">
        <f>-'4.1 CBA (FR)'!F14</f>
        <v>-141.59039699706969</v>
      </c>
    </row>
    <row r="6" spans="1:43">
      <c r="A6" s="327">
        <v>1</v>
      </c>
      <c r="B6" s="328">
        <f>'4.1 CBA (ed7)'!E25*0.5</f>
        <v>147.98688889037919</v>
      </c>
      <c r="C6" s="328">
        <f>'4.1 CBA (ed7)'!F25*0.5</f>
        <v>85.357151688613484</v>
      </c>
      <c r="D6" s="328">
        <f>'4.1 CBA (ed7)'!G25*0.5</f>
        <v>241.94091343532028</v>
      </c>
      <c r="E6" s="328">
        <f>'4.1 CBA (ed7)'!H25*0.5</f>
        <v>158.58226614264825</v>
      </c>
      <c r="F6" s="515">
        <f>'4.1 CBA (ed7)'!E25/2</f>
        <v>147.98688889037919</v>
      </c>
      <c r="G6" s="515">
        <f>'4.1 CBA (ed7)'!F25/2</f>
        <v>85.357151688613484</v>
      </c>
      <c r="H6" s="515">
        <f>'4.1 CBA (ed7)'!G25/2</f>
        <v>241.94091343532028</v>
      </c>
      <c r="I6" s="464"/>
      <c r="J6" s="328">
        <f>'4.1 CBA (ed7)'!E25/2</f>
        <v>147.98688889037919</v>
      </c>
      <c r="K6" s="328">
        <f>'4.1 CBA (ed7)'!F25/2</f>
        <v>85.357151688613484</v>
      </c>
      <c r="L6" s="328">
        <f>'4.1 CBA (ed7)'!G25/2</f>
        <v>241.94091343532028</v>
      </c>
      <c r="N6" s="328">
        <f>'4.1 CBA (ed7)'!E25/2</f>
        <v>147.98688889037919</v>
      </c>
      <c r="O6" s="328">
        <f>'4.1 CBA (ed7)'!F25/2</f>
        <v>85.357151688613484</v>
      </c>
      <c r="P6" s="328">
        <f>'4.1 CBA (ed7)'!G25/2</f>
        <v>241.94091343532028</v>
      </c>
      <c r="R6" s="328">
        <f>'4.1 CBA (ed7)'!E25/2</f>
        <v>147.98688889037919</v>
      </c>
      <c r="S6" s="328">
        <f>'4.1 CBA (ed7)'!F25/2</f>
        <v>85.357151688613484</v>
      </c>
      <c r="T6" s="328">
        <f>'4.1 CBA (ed7)'!G25/2</f>
        <v>241.94091343532028</v>
      </c>
      <c r="X6" s="327">
        <v>1</v>
      </c>
      <c r="Y6" s="328">
        <f>'4.1 CBA (FR)'!D24*0.5</f>
        <v>35.894663840777596</v>
      </c>
      <c r="Z6" s="328">
        <f>'4.1 CBA (FR)'!E24*0.5</f>
        <v>20.703633162365541</v>
      </c>
      <c r="AA6" s="328">
        <f>'4.1 CBA (FR)'!F24*0.5</f>
        <v>58.683494357807341</v>
      </c>
      <c r="AC6" s="328">
        <f>'4.1 CBA (FR)'!D24*0.5</f>
        <v>35.894663840777596</v>
      </c>
      <c r="AD6" s="328">
        <f>'4.1 CBA (FR)'!E24*0.5</f>
        <v>20.703633162365541</v>
      </c>
      <c r="AE6" s="328">
        <f>'4.1 CBA (FR)'!F24*0.5</f>
        <v>58.683494357807341</v>
      </c>
      <c r="AG6" s="328">
        <f>'4.1 CBA (FR)'!D24*0.5</f>
        <v>35.894663840777596</v>
      </c>
      <c r="AH6" s="328">
        <f>'4.1 CBA (FR)'!E24*0.5</f>
        <v>20.703633162365541</v>
      </c>
      <c r="AI6" s="328">
        <f>'4.1 CBA (FR)'!F24*0.5</f>
        <v>58.683494357807341</v>
      </c>
      <c r="AK6" s="328">
        <f>'4.1 CBA (FR)'!D24*0.5</f>
        <v>35.894663840777596</v>
      </c>
      <c r="AL6" s="328">
        <f>'4.1 CBA (FR)'!E24*0.5</f>
        <v>20.703633162365541</v>
      </c>
      <c r="AM6" s="328">
        <f>'4.1 CBA (FR)'!F24*0.5</f>
        <v>58.683494357807341</v>
      </c>
      <c r="AO6" s="328">
        <f>'4.1 CBA (FR)'!D24*0.5</f>
        <v>35.894663840777596</v>
      </c>
      <c r="AP6" s="328">
        <f>'4.1 CBA (FR)'!E24*0.5</f>
        <v>20.703633162365541</v>
      </c>
      <c r="AQ6" s="328">
        <f>'4.1 CBA (FR)'!F24*0.5</f>
        <v>58.683494357807341</v>
      </c>
    </row>
    <row r="7" spans="1:43">
      <c r="A7" s="327">
        <v>2</v>
      </c>
      <c r="B7" s="328">
        <f>'4.1 CBA (ed7)'!E30</f>
        <v>267.4364023031103</v>
      </c>
      <c r="C7" s="328">
        <f>'4.1 CBA (ed7)'!F30</f>
        <v>405.30441911177871</v>
      </c>
      <c r="D7" s="328">
        <f>'4.1 CBA (ed7)'!G30</f>
        <v>566.45236083784698</v>
      </c>
      <c r="E7" s="328">
        <f>'4.1 CBA (ed7)'!H30</f>
        <v>409.69013267976254</v>
      </c>
      <c r="F7" s="515">
        <f>'4.1 CBA (ed7)'!E$30</f>
        <v>267.4364023031103</v>
      </c>
      <c r="G7" s="328">
        <f>'4.1 CBA (ed7)'!F$30</f>
        <v>405.30441911177871</v>
      </c>
      <c r="H7" s="328">
        <f>'4.1 CBA (ed7)'!G$30</f>
        <v>566.45236083784698</v>
      </c>
      <c r="J7" s="328">
        <f>'4.1 CBA (ed7)'!E$30</f>
        <v>267.4364023031103</v>
      </c>
      <c r="K7" s="328">
        <f>'4.1 CBA (ed7)'!F$30</f>
        <v>405.30441911177871</v>
      </c>
      <c r="L7" s="328">
        <f>'4.1 CBA (ed7)'!G$30</f>
        <v>566.45236083784698</v>
      </c>
      <c r="N7" s="328">
        <f>'4.1 CBA (ed7)'!E$30</f>
        <v>267.4364023031103</v>
      </c>
      <c r="O7" s="328">
        <f>'4.1 CBA (ed7)'!F$30</f>
        <v>405.30441911177871</v>
      </c>
      <c r="P7" s="328">
        <f>'4.1 CBA (ed7)'!G$30</f>
        <v>566.45236083784698</v>
      </c>
      <c r="R7" s="328">
        <f>'4.1 CBA (ed7)'!E$30</f>
        <v>267.4364023031103</v>
      </c>
      <c r="S7" s="328">
        <f>'4.1 CBA (ed7)'!F$30</f>
        <v>405.30441911177871</v>
      </c>
      <c r="T7" s="328">
        <f>'4.1 CBA (ed7)'!G$30</f>
        <v>566.45236083784698</v>
      </c>
      <c r="X7" s="327">
        <v>2</v>
      </c>
      <c r="Y7" s="328">
        <f>'4.1 CBA (FR)'!$D$29</f>
        <v>64.86750166918533</v>
      </c>
      <c r="Z7" s="328">
        <f>'4.1 CBA (FR)'!$E$29</f>
        <v>98.307802776071426</v>
      </c>
      <c r="AA7" s="328">
        <f>'4.1 CBA (FR)'!$F$29</f>
        <v>137.39471940630619</v>
      </c>
      <c r="AC7" s="328">
        <f>'4.1 CBA (FR)'!$D$29</f>
        <v>64.86750166918533</v>
      </c>
      <c r="AD7" s="328">
        <f>'4.1 CBA (FR)'!$E$29</f>
        <v>98.307802776071426</v>
      </c>
      <c r="AE7" s="328">
        <f>'4.1 CBA (FR)'!$F$29</f>
        <v>137.39471940630619</v>
      </c>
      <c r="AG7" s="328">
        <f>'4.1 CBA (FR)'!$D$29</f>
        <v>64.86750166918533</v>
      </c>
      <c r="AH7" s="328">
        <f>'4.1 CBA (FR)'!$E$29</f>
        <v>98.307802776071426</v>
      </c>
      <c r="AI7" s="328">
        <f>'4.1 CBA (FR)'!$F$29</f>
        <v>137.39471940630619</v>
      </c>
      <c r="AK7" s="328">
        <f>'4.1 CBA (FR)'!$D$29</f>
        <v>64.86750166918533</v>
      </c>
      <c r="AL7" s="328">
        <f>'4.1 CBA (FR)'!$E$29</f>
        <v>98.307802776071426</v>
      </c>
      <c r="AM7" s="328">
        <f>'4.1 CBA (FR)'!$F$29</f>
        <v>137.39471940630619</v>
      </c>
      <c r="AO7" s="328">
        <f>'4.1 CBA (FR)'!$D$29</f>
        <v>64.86750166918533</v>
      </c>
      <c r="AP7" s="328">
        <f>'4.1 CBA (FR)'!$E$29</f>
        <v>98.307802776071426</v>
      </c>
      <c r="AQ7" s="328">
        <f>'4.1 CBA (FR)'!$F$29</f>
        <v>137.39471940630619</v>
      </c>
    </row>
    <row r="8" spans="1:43">
      <c r="A8">
        <v>3</v>
      </c>
      <c r="B8" s="305"/>
      <c r="C8" s="305"/>
      <c r="D8" s="305"/>
      <c r="F8" s="516">
        <f>F7*(1-$H$3)</f>
        <v>66.859100575777575</v>
      </c>
      <c r="G8" s="305">
        <f t="shared" ref="G8:G52" si="0">G7*(1-$H$3)</f>
        <v>101.32610477794468</v>
      </c>
      <c r="H8" s="305">
        <f t="shared" ref="H8:H52" si="1">H7*(1-$H$3)</f>
        <v>141.61309020946175</v>
      </c>
      <c r="I8" s="464"/>
      <c r="J8" s="305">
        <f t="shared" ref="J8:J39" si="2">J7*(1-$L$3)</f>
        <v>133.71820115155515</v>
      </c>
      <c r="K8" s="305">
        <f t="shared" ref="K8:K39" si="3">K7*(1-$L$3)</f>
        <v>202.65220955588936</v>
      </c>
      <c r="L8" s="305">
        <f t="shared" ref="L8:L39" si="4">L7*(1-$L$3)</f>
        <v>283.22618041892349</v>
      </c>
      <c r="N8" s="305">
        <f t="shared" ref="N8:N39" si="5">N7*(1-$P$3)</f>
        <v>200.57730172733272</v>
      </c>
      <c r="O8" s="305">
        <f t="shared" ref="O8:O39" si="6">O7*(1-$P$3)</f>
        <v>303.97831433383402</v>
      </c>
      <c r="P8" s="305">
        <f t="shared" ref="P8:P39" si="7">P7*(1-$P$3)</f>
        <v>424.83927062838524</v>
      </c>
      <c r="R8" s="305">
        <f>'4.1 CBA (ed7)'!E$30</f>
        <v>267.4364023031103</v>
      </c>
      <c r="S8" s="305">
        <f>'4.1 CBA (ed7)'!F$30</f>
        <v>405.30441911177871</v>
      </c>
      <c r="T8" s="305">
        <f>'4.1 CBA (ed7)'!G$30</f>
        <v>566.45236083784698</v>
      </c>
      <c r="U8" s="305"/>
      <c r="X8">
        <v>3</v>
      </c>
      <c r="Y8" s="305"/>
      <c r="Z8" s="305"/>
      <c r="AA8" s="305"/>
      <c r="AC8" s="305">
        <f t="shared" ref="AC8:AC52" si="8">AC7*(1-$H$3)</f>
        <v>16.216875417296333</v>
      </c>
      <c r="AD8" s="305">
        <f t="shared" ref="AD8:AD52" si="9">AD7*(1-$H$3)</f>
        <v>24.576950694017857</v>
      </c>
      <c r="AE8" s="305">
        <f t="shared" ref="AE8:AE52" si="10">AE7*(1-$H$3)</f>
        <v>34.348679851576549</v>
      </c>
      <c r="AG8" s="305">
        <f t="shared" ref="AG8:AG39" si="11">AG7*(1-$L$3)</f>
        <v>32.433750834592665</v>
      </c>
      <c r="AH8" s="305">
        <f t="shared" ref="AH8:AH39" si="12">AH7*(1-$L$3)</f>
        <v>49.153901388035713</v>
      </c>
      <c r="AI8" s="305">
        <f t="shared" ref="AI8:AI39" si="13">AI7*(1-$L$3)</f>
        <v>68.697359703153097</v>
      </c>
      <c r="AK8" s="305">
        <f t="shared" ref="AK8:AK39" si="14">AK7*(1-$P$3)</f>
        <v>48.650626251888994</v>
      </c>
      <c r="AL8" s="305">
        <f t="shared" ref="AL8:AL39" si="15">AL7*(1-$P$3)</f>
        <v>73.730852082053573</v>
      </c>
      <c r="AM8" s="305">
        <f t="shared" ref="AM8:AM39" si="16">AM7*(1-$P$3)</f>
        <v>103.04603955472965</v>
      </c>
      <c r="AO8" s="305">
        <f>AO7</f>
        <v>64.86750166918533</v>
      </c>
      <c r="AP8" s="305">
        <f>AP7</f>
        <v>98.307802776071426</v>
      </c>
      <c r="AQ8" s="305">
        <f>AQ7</f>
        <v>137.39471940630619</v>
      </c>
    </row>
    <row r="9" spans="1:43">
      <c r="A9">
        <v>4</v>
      </c>
      <c r="B9" s="305"/>
      <c r="D9" s="305"/>
      <c r="F9" s="516">
        <f t="shared" ref="F9:F52" si="17">F8*(1-$H$3)</f>
        <v>16.714775143944394</v>
      </c>
      <c r="G9" s="305">
        <f t="shared" si="0"/>
        <v>25.33152619448617</v>
      </c>
      <c r="H9" s="305">
        <f t="shared" si="1"/>
        <v>35.403272552365436</v>
      </c>
      <c r="I9" s="464"/>
      <c r="J9" s="305">
        <f t="shared" si="2"/>
        <v>66.859100575777575</v>
      </c>
      <c r="K9" s="305">
        <f t="shared" si="3"/>
        <v>101.32610477794468</v>
      </c>
      <c r="L9" s="305">
        <f t="shared" si="4"/>
        <v>141.61309020946175</v>
      </c>
      <c r="N9" s="305">
        <f t="shared" si="5"/>
        <v>150.43297629549954</v>
      </c>
      <c r="O9" s="305">
        <f t="shared" si="6"/>
        <v>227.9837357503755</v>
      </c>
      <c r="P9" s="305">
        <f t="shared" si="7"/>
        <v>318.62945297128891</v>
      </c>
      <c r="R9" s="305">
        <f>'4.1 CBA (ed7)'!E$30</f>
        <v>267.4364023031103</v>
      </c>
      <c r="S9" s="305">
        <f>'4.1 CBA (ed7)'!F$30</f>
        <v>405.30441911177871</v>
      </c>
      <c r="T9" s="305">
        <f>'4.1 CBA (ed7)'!G$30</f>
        <v>566.45236083784698</v>
      </c>
      <c r="U9" s="305"/>
      <c r="X9">
        <v>4</v>
      </c>
      <c r="Y9" s="305"/>
      <c r="Z9" s="305"/>
      <c r="AA9" s="305"/>
      <c r="AC9" s="305">
        <f t="shared" si="8"/>
        <v>4.0542188543240831</v>
      </c>
      <c r="AD9" s="305">
        <f t="shared" si="9"/>
        <v>6.1442376735044641</v>
      </c>
      <c r="AE9" s="305">
        <f t="shared" si="10"/>
        <v>8.5871699628941371</v>
      </c>
      <c r="AG9" s="305">
        <f t="shared" si="11"/>
        <v>16.216875417296333</v>
      </c>
      <c r="AH9" s="305">
        <f t="shared" si="12"/>
        <v>24.576950694017857</v>
      </c>
      <c r="AI9" s="305">
        <f t="shared" si="13"/>
        <v>34.348679851576549</v>
      </c>
      <c r="AK9" s="305">
        <f t="shared" si="14"/>
        <v>36.487969688916749</v>
      </c>
      <c r="AL9" s="305">
        <f t="shared" si="15"/>
        <v>55.298139061540184</v>
      </c>
      <c r="AM9" s="305">
        <f t="shared" si="16"/>
        <v>77.284529666047234</v>
      </c>
      <c r="AO9" s="305">
        <f t="shared" ref="AO9:AO72" si="18">AO8</f>
        <v>64.86750166918533</v>
      </c>
      <c r="AP9" s="305">
        <f t="shared" ref="AP9:AP72" si="19">AP8</f>
        <v>98.307802776071426</v>
      </c>
      <c r="AQ9" s="305">
        <f t="shared" ref="AQ9:AQ72" si="20">AQ8</f>
        <v>137.39471940630619</v>
      </c>
    </row>
    <row r="10" spans="1:43">
      <c r="A10">
        <v>5</v>
      </c>
      <c r="B10" s="465"/>
      <c r="C10" s="465"/>
      <c r="D10" s="465"/>
      <c r="F10" s="516">
        <f t="shared" si="17"/>
        <v>4.1786937859860984</v>
      </c>
      <c r="G10" s="305">
        <f t="shared" si="0"/>
        <v>6.3328815486215424</v>
      </c>
      <c r="H10" s="305">
        <f t="shared" si="1"/>
        <v>8.8508181380913591</v>
      </c>
      <c r="I10" s="464"/>
      <c r="J10" s="305">
        <f t="shared" si="2"/>
        <v>33.429550287888787</v>
      </c>
      <c r="K10" s="305">
        <f t="shared" si="3"/>
        <v>50.663052388972339</v>
      </c>
      <c r="L10" s="305">
        <f t="shared" si="4"/>
        <v>70.806545104730873</v>
      </c>
      <c r="N10" s="305">
        <f t="shared" si="5"/>
        <v>112.82473222162466</v>
      </c>
      <c r="O10" s="305">
        <f t="shared" si="6"/>
        <v>170.98780181278164</v>
      </c>
      <c r="P10" s="305">
        <f t="shared" si="7"/>
        <v>238.9720897284667</v>
      </c>
      <c r="R10" s="305">
        <f>'4.1 CBA (ed7)'!E$30</f>
        <v>267.4364023031103</v>
      </c>
      <c r="S10" s="305">
        <f>'4.1 CBA (ed7)'!F$30</f>
        <v>405.30441911177871</v>
      </c>
      <c r="T10" s="305">
        <f>'4.1 CBA (ed7)'!G$30</f>
        <v>566.45236083784698</v>
      </c>
      <c r="U10" s="305"/>
      <c r="X10">
        <v>5</v>
      </c>
      <c r="Y10" s="305"/>
      <c r="Z10" s="305"/>
      <c r="AA10" s="305"/>
      <c r="AC10" s="305">
        <f t="shared" si="8"/>
        <v>1.0135547135810208</v>
      </c>
      <c r="AD10" s="305">
        <f t="shared" si="9"/>
        <v>1.536059418376116</v>
      </c>
      <c r="AE10" s="305">
        <f t="shared" si="10"/>
        <v>2.1467924907235343</v>
      </c>
      <c r="AG10" s="305">
        <f t="shared" si="11"/>
        <v>8.1084377086481663</v>
      </c>
      <c r="AH10" s="305">
        <f t="shared" si="12"/>
        <v>12.288475347008928</v>
      </c>
      <c r="AI10" s="305">
        <f t="shared" si="13"/>
        <v>17.174339925788274</v>
      </c>
      <c r="AK10" s="305">
        <f t="shared" si="14"/>
        <v>27.365977266687562</v>
      </c>
      <c r="AL10" s="305">
        <f t="shared" si="15"/>
        <v>41.473604296155138</v>
      </c>
      <c r="AM10" s="305">
        <f t="shared" si="16"/>
        <v>57.963397249535426</v>
      </c>
      <c r="AO10" s="305">
        <f t="shared" si="18"/>
        <v>64.86750166918533</v>
      </c>
      <c r="AP10" s="305">
        <f t="shared" si="19"/>
        <v>98.307802776071426</v>
      </c>
      <c r="AQ10" s="305">
        <f t="shared" si="20"/>
        <v>137.39471940630619</v>
      </c>
    </row>
    <row r="11" spans="1:43">
      <c r="A11">
        <v>6</v>
      </c>
      <c r="B11" s="305"/>
      <c r="C11" s="305"/>
      <c r="D11" s="656"/>
      <c r="F11" s="516">
        <f t="shared" si="17"/>
        <v>1.0446734464965246</v>
      </c>
      <c r="G11" s="305">
        <f t="shared" si="0"/>
        <v>1.5832203871553856</v>
      </c>
      <c r="H11" s="305">
        <f t="shared" si="1"/>
        <v>2.2127045345228398</v>
      </c>
      <c r="I11" s="464"/>
      <c r="J11" s="305">
        <f t="shared" si="2"/>
        <v>16.714775143944394</v>
      </c>
      <c r="K11" s="305">
        <f t="shared" si="3"/>
        <v>25.33152619448617</v>
      </c>
      <c r="L11" s="305">
        <f t="shared" si="4"/>
        <v>35.403272552365436</v>
      </c>
      <c r="N11" s="305">
        <f t="shared" si="5"/>
        <v>84.618549166218486</v>
      </c>
      <c r="O11" s="305">
        <f t="shared" si="6"/>
        <v>128.24085135958623</v>
      </c>
      <c r="P11" s="305">
        <f t="shared" si="7"/>
        <v>179.22906729635002</v>
      </c>
      <c r="R11" s="305">
        <f>'4.1 CBA (ed7)'!E$30</f>
        <v>267.4364023031103</v>
      </c>
      <c r="S11" s="305">
        <f>'4.1 CBA (ed7)'!F$30</f>
        <v>405.30441911177871</v>
      </c>
      <c r="T11" s="305">
        <f>'4.1 CBA (ed7)'!G$30</f>
        <v>566.45236083784698</v>
      </c>
      <c r="U11" s="305"/>
      <c r="X11">
        <v>6</v>
      </c>
      <c r="Y11" s="305"/>
      <c r="Z11" s="305"/>
      <c r="AA11" s="305"/>
      <c r="AC11" s="305">
        <f t="shared" si="8"/>
        <v>0.2533886783952552</v>
      </c>
      <c r="AD11" s="305">
        <f t="shared" si="9"/>
        <v>0.38401485459402901</v>
      </c>
      <c r="AE11" s="305">
        <f t="shared" si="10"/>
        <v>0.53669812268088357</v>
      </c>
      <c r="AG11" s="305">
        <f t="shared" si="11"/>
        <v>4.0542188543240831</v>
      </c>
      <c r="AH11" s="305">
        <f t="shared" si="12"/>
        <v>6.1442376735044641</v>
      </c>
      <c r="AI11" s="305">
        <f t="shared" si="13"/>
        <v>8.5871699628941371</v>
      </c>
      <c r="AK11" s="305">
        <f t="shared" si="14"/>
        <v>20.52448295001567</v>
      </c>
      <c r="AL11" s="305">
        <f t="shared" si="15"/>
        <v>31.105203222116351</v>
      </c>
      <c r="AM11" s="305">
        <f t="shared" si="16"/>
        <v>43.472547937151568</v>
      </c>
      <c r="AO11" s="305">
        <f t="shared" si="18"/>
        <v>64.86750166918533</v>
      </c>
      <c r="AP11" s="305">
        <f t="shared" si="19"/>
        <v>98.307802776071426</v>
      </c>
      <c r="AQ11" s="305">
        <f t="shared" si="20"/>
        <v>137.39471940630619</v>
      </c>
    </row>
    <row r="12" spans="1:43">
      <c r="A12">
        <v>7</v>
      </c>
      <c r="D12" s="656"/>
      <c r="F12" s="516">
        <f t="shared" si="17"/>
        <v>0.26116836162413115</v>
      </c>
      <c r="G12" s="305">
        <f t="shared" si="0"/>
        <v>0.3958050967888464</v>
      </c>
      <c r="H12" s="305">
        <f t="shared" si="1"/>
        <v>0.55317613363070994</v>
      </c>
      <c r="I12" s="464"/>
      <c r="J12" s="305">
        <f t="shared" si="2"/>
        <v>8.3573875719721968</v>
      </c>
      <c r="K12" s="305">
        <f t="shared" si="3"/>
        <v>12.665763097243085</v>
      </c>
      <c r="L12" s="305">
        <f t="shared" si="4"/>
        <v>17.701636276182718</v>
      </c>
      <c r="N12" s="305">
        <f t="shared" si="5"/>
        <v>63.463911874663864</v>
      </c>
      <c r="O12" s="305">
        <f t="shared" si="6"/>
        <v>96.180638519689666</v>
      </c>
      <c r="P12" s="305">
        <f t="shared" si="7"/>
        <v>134.42180047226253</v>
      </c>
      <c r="R12" s="305">
        <f>'4.1 CBA (ed7)'!E$30</f>
        <v>267.4364023031103</v>
      </c>
      <c r="S12" s="305">
        <f>'4.1 CBA (ed7)'!F$30</f>
        <v>405.30441911177871</v>
      </c>
      <c r="T12" s="305">
        <f>'4.1 CBA (ed7)'!G$30</f>
        <v>566.45236083784698</v>
      </c>
      <c r="U12" s="305"/>
      <c r="X12">
        <v>7</v>
      </c>
      <c r="Y12" s="305"/>
      <c r="Z12" s="305"/>
      <c r="AA12" s="305"/>
      <c r="AC12" s="305">
        <f t="shared" si="8"/>
        <v>6.3347169598813799E-2</v>
      </c>
      <c r="AD12" s="305">
        <f t="shared" si="9"/>
        <v>9.6003713648507252E-2</v>
      </c>
      <c r="AE12" s="305">
        <f t="shared" si="10"/>
        <v>0.13417453067022089</v>
      </c>
      <c r="AG12" s="305">
        <f t="shared" si="11"/>
        <v>2.0271094271620416</v>
      </c>
      <c r="AH12" s="305">
        <f t="shared" si="12"/>
        <v>3.0721188367522321</v>
      </c>
      <c r="AI12" s="305">
        <f t="shared" si="13"/>
        <v>4.2935849814470686</v>
      </c>
      <c r="AK12" s="305">
        <f t="shared" si="14"/>
        <v>15.393362212511754</v>
      </c>
      <c r="AL12" s="305">
        <f t="shared" si="15"/>
        <v>23.328902416587262</v>
      </c>
      <c r="AM12" s="305">
        <f t="shared" si="16"/>
        <v>32.604410952863674</v>
      </c>
      <c r="AO12" s="305">
        <f t="shared" si="18"/>
        <v>64.86750166918533</v>
      </c>
      <c r="AP12" s="305">
        <f t="shared" si="19"/>
        <v>98.307802776071426</v>
      </c>
      <c r="AQ12" s="305">
        <f t="shared" si="20"/>
        <v>137.39471940630619</v>
      </c>
    </row>
    <row r="13" spans="1:43">
      <c r="A13">
        <v>8</v>
      </c>
      <c r="B13" s="305"/>
      <c r="C13" s="305"/>
      <c r="D13" s="656"/>
      <c r="F13" s="516">
        <f t="shared" si="17"/>
        <v>6.5292090406032788E-2</v>
      </c>
      <c r="G13" s="305">
        <f t="shared" si="0"/>
        <v>9.89512741972116E-2</v>
      </c>
      <c r="H13" s="305">
        <f t="shared" si="1"/>
        <v>0.13829403340767749</v>
      </c>
      <c r="I13" s="464"/>
      <c r="J13" s="305">
        <f t="shared" si="2"/>
        <v>4.1786937859860984</v>
      </c>
      <c r="K13" s="305">
        <f t="shared" si="3"/>
        <v>6.3328815486215424</v>
      </c>
      <c r="L13" s="305">
        <f t="shared" si="4"/>
        <v>8.8508181380913591</v>
      </c>
      <c r="N13" s="305">
        <f t="shared" si="5"/>
        <v>47.597933905997898</v>
      </c>
      <c r="O13" s="305">
        <f t="shared" si="6"/>
        <v>72.135478889767256</v>
      </c>
      <c r="P13" s="305">
        <f t="shared" si="7"/>
        <v>100.8163503541969</v>
      </c>
      <c r="R13" s="305">
        <f>'4.1 CBA (ed7)'!E$30</f>
        <v>267.4364023031103</v>
      </c>
      <c r="S13" s="305">
        <f>'4.1 CBA (ed7)'!F$30</f>
        <v>405.30441911177871</v>
      </c>
      <c r="T13" s="305">
        <f>'4.1 CBA (ed7)'!G$30</f>
        <v>566.45236083784698</v>
      </c>
      <c r="U13" s="305"/>
      <c r="X13">
        <v>8</v>
      </c>
      <c r="Y13" s="305"/>
      <c r="Z13" s="305"/>
      <c r="AA13" s="305"/>
      <c r="AC13" s="305">
        <f t="shared" si="8"/>
        <v>1.583679239970345E-2</v>
      </c>
      <c r="AD13" s="305">
        <f t="shared" si="9"/>
        <v>2.4000928412126813E-2</v>
      </c>
      <c r="AE13" s="305">
        <f t="shared" si="10"/>
        <v>3.3543632667555223E-2</v>
      </c>
      <c r="AG13" s="305">
        <f t="shared" si="11"/>
        <v>1.0135547135810208</v>
      </c>
      <c r="AH13" s="305">
        <f t="shared" si="12"/>
        <v>1.536059418376116</v>
      </c>
      <c r="AI13" s="305">
        <f t="shared" si="13"/>
        <v>2.1467924907235343</v>
      </c>
      <c r="AK13" s="305">
        <f t="shared" si="14"/>
        <v>11.545021659383815</v>
      </c>
      <c r="AL13" s="305">
        <f t="shared" si="15"/>
        <v>17.496676812440448</v>
      </c>
      <c r="AM13" s="305">
        <f t="shared" si="16"/>
        <v>24.453308214647755</v>
      </c>
      <c r="AO13" s="305">
        <f t="shared" si="18"/>
        <v>64.86750166918533</v>
      </c>
      <c r="AP13" s="305">
        <f t="shared" si="19"/>
        <v>98.307802776071426</v>
      </c>
      <c r="AQ13" s="305">
        <f t="shared" si="20"/>
        <v>137.39471940630619</v>
      </c>
    </row>
    <row r="14" spans="1:43">
      <c r="A14">
        <v>9</v>
      </c>
      <c r="B14" s="305"/>
      <c r="F14" s="516">
        <f t="shared" si="17"/>
        <v>1.6323022601508197E-2</v>
      </c>
      <c r="G14" s="305">
        <f t="shared" si="0"/>
        <v>2.47378185493029E-2</v>
      </c>
      <c r="H14" s="305">
        <f t="shared" si="1"/>
        <v>3.4573508351919371E-2</v>
      </c>
      <c r="I14" s="464"/>
      <c r="J14" s="305">
        <f t="shared" si="2"/>
        <v>2.0893468929930492</v>
      </c>
      <c r="K14" s="305">
        <f t="shared" si="3"/>
        <v>3.1664407743107712</v>
      </c>
      <c r="L14" s="305">
        <f t="shared" si="4"/>
        <v>4.4254090690456795</v>
      </c>
      <c r="N14" s="305">
        <f t="shared" si="5"/>
        <v>35.698450429498422</v>
      </c>
      <c r="O14" s="305">
        <f t="shared" si="6"/>
        <v>54.101609167325442</v>
      </c>
      <c r="P14" s="305">
        <f t="shared" si="7"/>
        <v>75.612262765647671</v>
      </c>
      <c r="R14" s="305">
        <f>'4.1 CBA (ed7)'!E$30</f>
        <v>267.4364023031103</v>
      </c>
      <c r="S14" s="305">
        <f>'4.1 CBA (ed7)'!F$30</f>
        <v>405.30441911177871</v>
      </c>
      <c r="T14" s="305">
        <f>'4.1 CBA (ed7)'!G$30</f>
        <v>566.45236083784698</v>
      </c>
      <c r="U14" s="305"/>
      <c r="X14">
        <v>9</v>
      </c>
      <c r="Y14" s="305"/>
      <c r="Z14" s="305"/>
      <c r="AA14" s="305"/>
      <c r="AC14" s="305">
        <f t="shared" si="8"/>
        <v>3.9591980999258624E-3</v>
      </c>
      <c r="AD14" s="305">
        <f t="shared" si="9"/>
        <v>6.0002321030317033E-3</v>
      </c>
      <c r="AE14" s="305">
        <f t="shared" si="10"/>
        <v>8.3859081668888058E-3</v>
      </c>
      <c r="AG14" s="305">
        <f t="shared" si="11"/>
        <v>0.50677735679051039</v>
      </c>
      <c r="AH14" s="305">
        <f t="shared" si="12"/>
        <v>0.76802970918805802</v>
      </c>
      <c r="AI14" s="305">
        <f t="shared" si="13"/>
        <v>1.0733962453617671</v>
      </c>
      <c r="AK14" s="305">
        <f t="shared" si="14"/>
        <v>8.6587662445378619</v>
      </c>
      <c r="AL14" s="305">
        <f t="shared" si="15"/>
        <v>13.122507609330336</v>
      </c>
      <c r="AM14" s="305">
        <f t="shared" si="16"/>
        <v>18.339981160985815</v>
      </c>
      <c r="AO14" s="305">
        <f t="shared" si="18"/>
        <v>64.86750166918533</v>
      </c>
      <c r="AP14" s="305">
        <f t="shared" si="19"/>
        <v>98.307802776071426</v>
      </c>
      <c r="AQ14" s="305">
        <f t="shared" si="20"/>
        <v>137.39471940630619</v>
      </c>
    </row>
    <row r="15" spans="1:43">
      <c r="A15">
        <v>10</v>
      </c>
      <c r="B15" s="305"/>
      <c r="C15" s="305"/>
      <c r="D15" s="654"/>
      <c r="F15" s="516">
        <f t="shared" si="17"/>
        <v>4.0807556503770492E-3</v>
      </c>
      <c r="G15" s="305">
        <f t="shared" si="0"/>
        <v>6.184454637325725E-3</v>
      </c>
      <c r="H15" s="305">
        <f t="shared" si="1"/>
        <v>8.6433770879798429E-3</v>
      </c>
      <c r="I15" s="464"/>
      <c r="J15" s="305">
        <f t="shared" si="2"/>
        <v>1.0446734464965246</v>
      </c>
      <c r="K15" s="305">
        <f t="shared" si="3"/>
        <v>1.5832203871553856</v>
      </c>
      <c r="L15" s="305">
        <f t="shared" si="4"/>
        <v>2.2127045345228398</v>
      </c>
      <c r="N15" s="305">
        <f t="shared" si="5"/>
        <v>26.773837822123816</v>
      </c>
      <c r="O15" s="305">
        <f t="shared" si="6"/>
        <v>40.57620687549408</v>
      </c>
      <c r="P15" s="305">
        <f t="shared" si="7"/>
        <v>56.709197074235753</v>
      </c>
      <c r="R15" s="305">
        <f>'4.1 CBA (ed7)'!E$30</f>
        <v>267.4364023031103</v>
      </c>
      <c r="S15" s="305">
        <f>'4.1 CBA (ed7)'!F$30</f>
        <v>405.30441911177871</v>
      </c>
      <c r="T15" s="305">
        <f>'4.1 CBA (ed7)'!G$30</f>
        <v>566.45236083784698</v>
      </c>
      <c r="U15" s="305"/>
      <c r="X15">
        <v>10</v>
      </c>
      <c r="Y15" s="305"/>
      <c r="Z15" s="305"/>
      <c r="AA15" s="305"/>
      <c r="AC15" s="305">
        <f t="shared" si="8"/>
        <v>9.8979952498146561E-4</v>
      </c>
      <c r="AD15" s="305">
        <f t="shared" si="9"/>
        <v>1.5000580257579258E-3</v>
      </c>
      <c r="AE15" s="305">
        <f t="shared" si="10"/>
        <v>2.0964770417222015E-3</v>
      </c>
      <c r="AG15" s="305">
        <f t="shared" si="11"/>
        <v>0.2533886783952552</v>
      </c>
      <c r="AH15" s="305">
        <f t="shared" si="12"/>
        <v>0.38401485459402901</v>
      </c>
      <c r="AI15" s="305">
        <f t="shared" si="13"/>
        <v>0.53669812268088357</v>
      </c>
      <c r="AK15" s="305">
        <f t="shared" si="14"/>
        <v>6.4940746834033964</v>
      </c>
      <c r="AL15" s="305">
        <f t="shared" si="15"/>
        <v>9.8418807069977525</v>
      </c>
      <c r="AM15" s="305">
        <f t="shared" si="16"/>
        <v>13.754985870739361</v>
      </c>
      <c r="AO15" s="305">
        <f t="shared" si="18"/>
        <v>64.86750166918533</v>
      </c>
      <c r="AP15" s="305">
        <f t="shared" si="19"/>
        <v>98.307802776071426</v>
      </c>
      <c r="AQ15" s="305">
        <f t="shared" si="20"/>
        <v>137.39471940630619</v>
      </c>
    </row>
    <row r="16" spans="1:43">
      <c r="A16">
        <v>11</v>
      </c>
      <c r="B16" s="464"/>
      <c r="D16" s="654"/>
      <c r="F16" s="516">
        <f t="shared" si="17"/>
        <v>1.0201889125942623E-3</v>
      </c>
      <c r="G16" s="305">
        <f t="shared" si="0"/>
        <v>1.5461136593314313E-3</v>
      </c>
      <c r="H16" s="305">
        <f t="shared" si="1"/>
        <v>2.1608442719949607E-3</v>
      </c>
      <c r="I16" s="464"/>
      <c r="J16" s="305">
        <f t="shared" si="2"/>
        <v>0.5223367232482623</v>
      </c>
      <c r="K16" s="305">
        <f t="shared" si="3"/>
        <v>0.7916101935776928</v>
      </c>
      <c r="L16" s="305">
        <f t="shared" si="4"/>
        <v>1.1063522672614199</v>
      </c>
      <c r="N16" s="305">
        <f t="shared" si="5"/>
        <v>20.080378366592861</v>
      </c>
      <c r="O16" s="305">
        <f t="shared" si="6"/>
        <v>30.43215515662056</v>
      </c>
      <c r="P16" s="305">
        <f t="shared" si="7"/>
        <v>42.531897805676813</v>
      </c>
      <c r="R16" s="305">
        <f>'4.1 CBA (ed7)'!E$30</f>
        <v>267.4364023031103</v>
      </c>
      <c r="S16" s="305">
        <f>'4.1 CBA (ed7)'!F$30</f>
        <v>405.30441911177871</v>
      </c>
      <c r="T16" s="305">
        <f>'4.1 CBA (ed7)'!G$30</f>
        <v>566.45236083784698</v>
      </c>
      <c r="U16" s="305"/>
      <c r="X16">
        <v>11</v>
      </c>
      <c r="Y16" s="305"/>
      <c r="Z16" s="305"/>
      <c r="AA16" s="305"/>
      <c r="AC16" s="305">
        <f t="shared" si="8"/>
        <v>2.474498812453664E-4</v>
      </c>
      <c r="AD16" s="305">
        <f t="shared" si="9"/>
        <v>3.7501450643948145E-4</v>
      </c>
      <c r="AE16" s="305">
        <f t="shared" si="10"/>
        <v>5.2411926043055036E-4</v>
      </c>
      <c r="AG16" s="305">
        <f t="shared" si="11"/>
        <v>0.1266943391976276</v>
      </c>
      <c r="AH16" s="305">
        <f t="shared" si="12"/>
        <v>0.1920074272970145</v>
      </c>
      <c r="AI16" s="305">
        <f t="shared" si="13"/>
        <v>0.26834906134044179</v>
      </c>
      <c r="AK16" s="305">
        <f t="shared" si="14"/>
        <v>4.8705560125525471</v>
      </c>
      <c r="AL16" s="305">
        <f t="shared" si="15"/>
        <v>7.3814105302483144</v>
      </c>
      <c r="AM16" s="305">
        <f t="shared" si="16"/>
        <v>10.316239403054521</v>
      </c>
      <c r="AO16" s="305">
        <f t="shared" si="18"/>
        <v>64.86750166918533</v>
      </c>
      <c r="AP16" s="305">
        <f t="shared" si="19"/>
        <v>98.307802776071426</v>
      </c>
      <c r="AQ16" s="305">
        <f t="shared" si="20"/>
        <v>137.39471940630619</v>
      </c>
    </row>
    <row r="17" spans="1:43">
      <c r="A17">
        <v>12</v>
      </c>
      <c r="B17" s="305"/>
      <c r="C17" s="464"/>
      <c r="D17" s="654"/>
      <c r="F17" s="516">
        <f t="shared" si="17"/>
        <v>2.5504722814856558E-4</v>
      </c>
      <c r="G17" s="305">
        <f t="shared" si="0"/>
        <v>3.8652841483285781E-4</v>
      </c>
      <c r="H17" s="305">
        <f t="shared" si="1"/>
        <v>5.4021106799874018E-4</v>
      </c>
      <c r="I17" s="464"/>
      <c r="J17" s="305">
        <f t="shared" si="2"/>
        <v>0.26116836162413115</v>
      </c>
      <c r="K17" s="305">
        <f t="shared" si="3"/>
        <v>0.3958050967888464</v>
      </c>
      <c r="L17" s="305">
        <f t="shared" si="4"/>
        <v>0.55317613363070994</v>
      </c>
      <c r="N17" s="305">
        <f t="shared" si="5"/>
        <v>15.060283774944645</v>
      </c>
      <c r="O17" s="305">
        <f t="shared" si="6"/>
        <v>22.824116367465422</v>
      </c>
      <c r="P17" s="305">
        <f t="shared" si="7"/>
        <v>31.898923354257612</v>
      </c>
      <c r="R17" s="305">
        <f>'4.1 CBA (ed7)'!E$30</f>
        <v>267.4364023031103</v>
      </c>
      <c r="S17" s="305">
        <f>'4.1 CBA (ed7)'!F$30</f>
        <v>405.30441911177871</v>
      </c>
      <c r="T17" s="305">
        <f>'4.1 CBA (ed7)'!G$30</f>
        <v>566.45236083784698</v>
      </c>
      <c r="U17" s="305"/>
      <c r="X17">
        <v>12</v>
      </c>
      <c r="Y17" s="305"/>
      <c r="Z17" s="305"/>
      <c r="AA17" s="305"/>
      <c r="AC17" s="305">
        <f t="shared" si="8"/>
        <v>6.1862470311341601E-5</v>
      </c>
      <c r="AD17" s="305">
        <f t="shared" si="9"/>
        <v>9.3753626609870364E-5</v>
      </c>
      <c r="AE17" s="305">
        <f t="shared" si="10"/>
        <v>1.3102981510763759E-4</v>
      </c>
      <c r="AG17" s="305">
        <f t="shared" si="11"/>
        <v>6.3347169598813799E-2</v>
      </c>
      <c r="AH17" s="305">
        <f t="shared" si="12"/>
        <v>9.6003713648507252E-2</v>
      </c>
      <c r="AI17" s="305">
        <f t="shared" si="13"/>
        <v>0.13417453067022089</v>
      </c>
      <c r="AK17" s="305">
        <f t="shared" si="14"/>
        <v>3.6529170094144101</v>
      </c>
      <c r="AL17" s="305">
        <f t="shared" si="15"/>
        <v>5.536057897686236</v>
      </c>
      <c r="AM17" s="305">
        <f t="shared" si="16"/>
        <v>7.7371795522908906</v>
      </c>
      <c r="AO17" s="305">
        <f t="shared" si="18"/>
        <v>64.86750166918533</v>
      </c>
      <c r="AP17" s="305">
        <f t="shared" si="19"/>
        <v>98.307802776071426</v>
      </c>
      <c r="AQ17" s="305">
        <f t="shared" si="20"/>
        <v>137.39471940630619</v>
      </c>
    </row>
    <row r="18" spans="1:43">
      <c r="A18">
        <v>13</v>
      </c>
      <c r="B18" s="305"/>
      <c r="C18" s="305"/>
      <c r="D18" s="305"/>
      <c r="F18" s="516">
        <f t="shared" si="17"/>
        <v>6.3761807037141394E-5</v>
      </c>
      <c r="G18" s="305">
        <f t="shared" si="0"/>
        <v>9.6632103708214453E-5</v>
      </c>
      <c r="H18" s="305">
        <f t="shared" si="1"/>
        <v>1.3505276699968504E-4</v>
      </c>
      <c r="I18" s="464"/>
      <c r="J18" s="305">
        <f t="shared" si="2"/>
        <v>0.13058418081206558</v>
      </c>
      <c r="K18" s="305">
        <f t="shared" si="3"/>
        <v>0.1979025483944232</v>
      </c>
      <c r="L18" s="305">
        <f t="shared" si="4"/>
        <v>0.27658806681535497</v>
      </c>
      <c r="N18" s="305">
        <f t="shared" si="5"/>
        <v>11.295212831208485</v>
      </c>
      <c r="O18" s="305">
        <f t="shared" si="6"/>
        <v>17.118087275599066</v>
      </c>
      <c r="P18" s="305">
        <f t="shared" si="7"/>
        <v>23.924192515693207</v>
      </c>
      <c r="R18" s="305">
        <f>'4.1 CBA (ed7)'!E$30</f>
        <v>267.4364023031103</v>
      </c>
      <c r="S18" s="305">
        <f>'4.1 CBA (ed7)'!F$30</f>
        <v>405.30441911177871</v>
      </c>
      <c r="T18" s="305">
        <f>'4.1 CBA (ed7)'!G$30</f>
        <v>566.45236083784698</v>
      </c>
      <c r="U18" s="305"/>
      <c r="X18">
        <v>13</v>
      </c>
      <c r="Y18" s="305"/>
      <c r="Z18" s="305"/>
      <c r="AA18" s="305"/>
      <c r="AC18" s="305">
        <f t="shared" si="8"/>
        <v>1.54656175778354E-5</v>
      </c>
      <c r="AD18" s="305">
        <f t="shared" si="9"/>
        <v>2.3438406652467591E-5</v>
      </c>
      <c r="AE18" s="305">
        <f t="shared" si="10"/>
        <v>3.2757453776909398E-5</v>
      </c>
      <c r="AG18" s="305">
        <f t="shared" si="11"/>
        <v>3.1673584799406899E-2</v>
      </c>
      <c r="AH18" s="305">
        <f t="shared" si="12"/>
        <v>4.8001856824253626E-2</v>
      </c>
      <c r="AI18" s="305">
        <f t="shared" si="13"/>
        <v>6.7087265335110446E-2</v>
      </c>
      <c r="AK18" s="305">
        <f t="shared" si="14"/>
        <v>2.7396877570608078</v>
      </c>
      <c r="AL18" s="305">
        <f t="shared" si="15"/>
        <v>4.1520434232646775</v>
      </c>
      <c r="AM18" s="305">
        <f t="shared" si="16"/>
        <v>5.8028846642181682</v>
      </c>
      <c r="AO18" s="305">
        <f t="shared" si="18"/>
        <v>64.86750166918533</v>
      </c>
      <c r="AP18" s="305">
        <f t="shared" si="19"/>
        <v>98.307802776071426</v>
      </c>
      <c r="AQ18" s="305">
        <f t="shared" si="20"/>
        <v>137.39471940630619</v>
      </c>
    </row>
    <row r="19" spans="1:43">
      <c r="A19">
        <v>14</v>
      </c>
      <c r="B19" s="464"/>
      <c r="C19" s="464"/>
      <c r="D19" s="464"/>
      <c r="F19" s="516">
        <f t="shared" si="17"/>
        <v>1.5940451759285349E-5</v>
      </c>
      <c r="G19" s="305">
        <f t="shared" si="0"/>
        <v>2.4158025927053613E-5</v>
      </c>
      <c r="H19" s="305">
        <f t="shared" si="1"/>
        <v>3.3763191749921261E-5</v>
      </c>
      <c r="I19" s="464"/>
      <c r="J19" s="305">
        <f t="shared" si="2"/>
        <v>6.5292090406032788E-2</v>
      </c>
      <c r="K19" s="305">
        <f t="shared" si="3"/>
        <v>9.89512741972116E-2</v>
      </c>
      <c r="L19" s="305">
        <f t="shared" si="4"/>
        <v>0.13829403340767749</v>
      </c>
      <c r="N19" s="305">
        <f t="shared" si="5"/>
        <v>8.4714096234063625</v>
      </c>
      <c r="O19" s="305">
        <f t="shared" si="6"/>
        <v>12.8385654566993</v>
      </c>
      <c r="P19" s="305">
        <f t="shared" si="7"/>
        <v>17.943144386769905</v>
      </c>
      <c r="R19" s="305">
        <f>'4.1 CBA (ed7)'!E$30</f>
        <v>267.4364023031103</v>
      </c>
      <c r="S19" s="305">
        <f>'4.1 CBA (ed7)'!F$30</f>
        <v>405.30441911177871</v>
      </c>
      <c r="T19" s="305">
        <f>'4.1 CBA (ed7)'!G$30</f>
        <v>566.45236083784698</v>
      </c>
      <c r="U19" s="305"/>
      <c r="X19">
        <v>14</v>
      </c>
      <c r="Y19" s="305"/>
      <c r="Z19" s="305"/>
      <c r="AA19" s="305"/>
      <c r="AC19" s="305">
        <f t="shared" si="8"/>
        <v>3.86640439445885E-6</v>
      </c>
      <c r="AD19" s="305">
        <f t="shared" si="9"/>
        <v>5.8596016631168977E-6</v>
      </c>
      <c r="AE19" s="305">
        <f t="shared" si="10"/>
        <v>8.1893634442273494E-6</v>
      </c>
      <c r="AG19" s="305">
        <f t="shared" si="11"/>
        <v>1.583679239970345E-2</v>
      </c>
      <c r="AH19" s="305">
        <f t="shared" si="12"/>
        <v>2.4000928412126813E-2</v>
      </c>
      <c r="AI19" s="305">
        <f t="shared" si="13"/>
        <v>3.3543632667555223E-2</v>
      </c>
      <c r="AK19" s="305">
        <f t="shared" si="14"/>
        <v>2.0547658177956061</v>
      </c>
      <c r="AL19" s="305">
        <f t="shared" si="15"/>
        <v>3.1140325674485081</v>
      </c>
      <c r="AM19" s="305">
        <f t="shared" si="16"/>
        <v>4.3521634981636259</v>
      </c>
      <c r="AO19" s="305">
        <f t="shared" si="18"/>
        <v>64.86750166918533</v>
      </c>
      <c r="AP19" s="305">
        <f t="shared" si="19"/>
        <v>98.307802776071426</v>
      </c>
      <c r="AQ19" s="305">
        <f t="shared" si="20"/>
        <v>137.39471940630619</v>
      </c>
    </row>
    <row r="20" spans="1:43">
      <c r="A20">
        <v>15</v>
      </c>
      <c r="B20" s="464"/>
      <c r="C20" s="464"/>
      <c r="D20" s="464"/>
      <c r="F20" s="516">
        <f t="shared" si="17"/>
        <v>3.9851129398213371E-6</v>
      </c>
      <c r="G20" s="305">
        <f t="shared" si="0"/>
        <v>6.0395064817634033E-6</v>
      </c>
      <c r="H20" s="305">
        <f t="shared" si="1"/>
        <v>8.4407979374803153E-6</v>
      </c>
      <c r="I20" s="464"/>
      <c r="J20" s="305">
        <f t="shared" si="2"/>
        <v>3.2646045203016394E-2</v>
      </c>
      <c r="K20" s="305">
        <f t="shared" si="3"/>
        <v>4.94756370986058E-2</v>
      </c>
      <c r="L20" s="305">
        <f t="shared" si="4"/>
        <v>6.9147016703838743E-2</v>
      </c>
      <c r="N20" s="305">
        <f t="shared" si="5"/>
        <v>6.3535572175547719</v>
      </c>
      <c r="O20" s="305">
        <f t="shared" si="6"/>
        <v>9.6289240925244748</v>
      </c>
      <c r="P20" s="305">
        <f t="shared" si="7"/>
        <v>13.45735829007743</v>
      </c>
      <c r="R20" s="305">
        <f>'4.1 CBA (ed7)'!E$30</f>
        <v>267.4364023031103</v>
      </c>
      <c r="S20" s="305">
        <f>'4.1 CBA (ed7)'!F$30</f>
        <v>405.30441911177871</v>
      </c>
      <c r="T20" s="305">
        <f>'4.1 CBA (ed7)'!G$30</f>
        <v>566.45236083784698</v>
      </c>
      <c r="U20" s="305"/>
      <c r="X20">
        <v>15</v>
      </c>
      <c r="Y20" s="305"/>
      <c r="Z20" s="305"/>
      <c r="AA20" s="305"/>
      <c r="AC20" s="305">
        <f t="shared" si="8"/>
        <v>9.6660109861471251E-7</v>
      </c>
      <c r="AD20" s="305">
        <f t="shared" si="9"/>
        <v>1.4649004157792244E-6</v>
      </c>
      <c r="AE20" s="305">
        <f t="shared" si="10"/>
        <v>2.0473408610568374E-6</v>
      </c>
      <c r="AG20" s="305">
        <f t="shared" si="11"/>
        <v>7.9183961998517249E-3</v>
      </c>
      <c r="AH20" s="305">
        <f t="shared" si="12"/>
        <v>1.2000464206063407E-2</v>
      </c>
      <c r="AI20" s="305">
        <f t="shared" si="13"/>
        <v>1.6771816333777612E-2</v>
      </c>
      <c r="AK20" s="305">
        <f t="shared" si="14"/>
        <v>1.5410743633467046</v>
      </c>
      <c r="AL20" s="305">
        <f t="shared" si="15"/>
        <v>2.3355244255863812</v>
      </c>
      <c r="AM20" s="305">
        <f t="shared" si="16"/>
        <v>3.2641226236227192</v>
      </c>
      <c r="AO20" s="305">
        <f t="shared" si="18"/>
        <v>64.86750166918533</v>
      </c>
      <c r="AP20" s="305">
        <f t="shared" si="19"/>
        <v>98.307802776071426</v>
      </c>
      <c r="AQ20" s="305">
        <f t="shared" si="20"/>
        <v>137.39471940630619</v>
      </c>
    </row>
    <row r="21" spans="1:43">
      <c r="A21">
        <v>16</v>
      </c>
      <c r="B21" s="305"/>
      <c r="C21" s="305"/>
      <c r="D21" s="305"/>
      <c r="F21" s="516">
        <f t="shared" si="17"/>
        <v>9.9627823495533429E-7</v>
      </c>
      <c r="G21" s="305">
        <f t="shared" si="0"/>
        <v>1.5098766204408508E-6</v>
      </c>
      <c r="H21" s="305">
        <f t="shared" si="1"/>
        <v>2.1101994843700788E-6</v>
      </c>
      <c r="I21" s="464"/>
      <c r="J21" s="305">
        <f t="shared" si="2"/>
        <v>1.6323022601508197E-2</v>
      </c>
      <c r="K21" s="305">
        <f t="shared" si="3"/>
        <v>2.47378185493029E-2</v>
      </c>
      <c r="L21" s="305">
        <f t="shared" si="4"/>
        <v>3.4573508351919371E-2</v>
      </c>
      <c r="N21" s="305">
        <f t="shared" si="5"/>
        <v>4.7651679131660787</v>
      </c>
      <c r="O21" s="305">
        <f t="shared" si="6"/>
        <v>7.2216930693933561</v>
      </c>
      <c r="P21" s="305">
        <f t="shared" si="7"/>
        <v>10.093018717558072</v>
      </c>
      <c r="R21" s="305">
        <f>'4.1 CBA (ed7)'!E$30</f>
        <v>267.4364023031103</v>
      </c>
      <c r="S21" s="305">
        <f>'4.1 CBA (ed7)'!F$30</f>
        <v>405.30441911177871</v>
      </c>
      <c r="T21" s="305">
        <f>'4.1 CBA (ed7)'!G$30</f>
        <v>566.45236083784698</v>
      </c>
      <c r="U21" s="305"/>
      <c r="X21">
        <v>16</v>
      </c>
      <c r="Y21" s="305"/>
      <c r="Z21" s="305"/>
      <c r="AA21" s="305"/>
      <c r="AC21" s="305">
        <f t="shared" si="8"/>
        <v>2.4165027465367813E-7</v>
      </c>
      <c r="AD21" s="305">
        <f t="shared" si="9"/>
        <v>3.6622510394480611E-7</v>
      </c>
      <c r="AE21" s="305">
        <f t="shared" si="10"/>
        <v>5.1183521526420934E-7</v>
      </c>
      <c r="AG21" s="305">
        <f t="shared" si="11"/>
        <v>3.9591980999258624E-3</v>
      </c>
      <c r="AH21" s="305">
        <f t="shared" si="12"/>
        <v>6.0002321030317033E-3</v>
      </c>
      <c r="AI21" s="305">
        <f t="shared" si="13"/>
        <v>8.3859081668888058E-3</v>
      </c>
      <c r="AK21" s="305">
        <f t="shared" si="14"/>
        <v>1.1558057725100284</v>
      </c>
      <c r="AL21" s="305">
        <f t="shared" si="15"/>
        <v>1.7516433191897858</v>
      </c>
      <c r="AM21" s="305">
        <f t="shared" si="16"/>
        <v>2.4480919677170396</v>
      </c>
      <c r="AO21" s="305">
        <f t="shared" si="18"/>
        <v>64.86750166918533</v>
      </c>
      <c r="AP21" s="305">
        <f t="shared" si="19"/>
        <v>98.307802776071426</v>
      </c>
      <c r="AQ21" s="305">
        <f t="shared" si="20"/>
        <v>137.39471940630619</v>
      </c>
    </row>
    <row r="22" spans="1:43">
      <c r="A22">
        <v>17</v>
      </c>
      <c r="B22" s="305"/>
      <c r="C22" s="305"/>
      <c r="D22" s="305"/>
      <c r="F22" s="516">
        <f t="shared" si="17"/>
        <v>2.4906955873883357E-7</v>
      </c>
      <c r="G22" s="305">
        <f t="shared" si="0"/>
        <v>3.7746915511021271E-7</v>
      </c>
      <c r="H22" s="305">
        <f t="shared" si="1"/>
        <v>5.2754987109251971E-7</v>
      </c>
      <c r="I22" s="464"/>
      <c r="J22" s="305">
        <f t="shared" si="2"/>
        <v>8.1615113007540985E-3</v>
      </c>
      <c r="K22" s="305">
        <f t="shared" si="3"/>
        <v>1.236890927465145E-2</v>
      </c>
      <c r="L22" s="305">
        <f t="shared" si="4"/>
        <v>1.7286754175959686E-2</v>
      </c>
      <c r="N22" s="305">
        <f t="shared" si="5"/>
        <v>3.5738759348745592</v>
      </c>
      <c r="O22" s="305">
        <f t="shared" si="6"/>
        <v>5.4162698020450168</v>
      </c>
      <c r="P22" s="305">
        <f t="shared" si="7"/>
        <v>7.5697640381685538</v>
      </c>
      <c r="R22" s="305">
        <f>'4.1 CBA (ed7)'!E$30</f>
        <v>267.4364023031103</v>
      </c>
      <c r="S22" s="305">
        <f>'4.1 CBA (ed7)'!F$30</f>
        <v>405.30441911177871</v>
      </c>
      <c r="T22" s="305">
        <f>'4.1 CBA (ed7)'!G$30</f>
        <v>566.45236083784698</v>
      </c>
      <c r="U22" s="305"/>
      <c r="X22">
        <v>17</v>
      </c>
      <c r="Y22" s="305"/>
      <c r="Z22" s="305"/>
      <c r="AA22" s="305"/>
      <c r="AC22" s="305">
        <f t="shared" si="8"/>
        <v>6.0412568663419532E-8</v>
      </c>
      <c r="AD22" s="305">
        <f t="shared" si="9"/>
        <v>9.1556275986201527E-8</v>
      </c>
      <c r="AE22" s="305">
        <f t="shared" si="10"/>
        <v>1.2795880381605233E-7</v>
      </c>
      <c r="AG22" s="305">
        <f t="shared" si="11"/>
        <v>1.9795990499629312E-3</v>
      </c>
      <c r="AH22" s="305">
        <f t="shared" si="12"/>
        <v>3.0001160515158516E-3</v>
      </c>
      <c r="AI22" s="305">
        <f t="shared" si="13"/>
        <v>4.1929540834444029E-3</v>
      </c>
      <c r="AK22" s="305">
        <f t="shared" si="14"/>
        <v>0.86685432938252127</v>
      </c>
      <c r="AL22" s="305">
        <f t="shared" si="15"/>
        <v>1.3137324893923394</v>
      </c>
      <c r="AM22" s="305">
        <f t="shared" si="16"/>
        <v>1.8360689757877797</v>
      </c>
      <c r="AO22" s="305">
        <f t="shared" si="18"/>
        <v>64.86750166918533</v>
      </c>
      <c r="AP22" s="305">
        <f t="shared" si="19"/>
        <v>98.307802776071426</v>
      </c>
      <c r="AQ22" s="305">
        <f t="shared" si="20"/>
        <v>137.39471940630619</v>
      </c>
    </row>
    <row r="23" spans="1:43">
      <c r="A23">
        <v>18</v>
      </c>
      <c r="B23" s="305"/>
      <c r="C23" s="305"/>
      <c r="D23" s="305"/>
      <c r="F23" s="516">
        <f t="shared" si="17"/>
        <v>6.2267389684708393E-8</v>
      </c>
      <c r="G23" s="305">
        <f t="shared" si="0"/>
        <v>9.4367288777553177E-8</v>
      </c>
      <c r="H23" s="305">
        <f t="shared" si="1"/>
        <v>1.3188746777312993E-7</v>
      </c>
      <c r="I23" s="464"/>
      <c r="J23" s="305">
        <f t="shared" si="2"/>
        <v>4.0807556503770492E-3</v>
      </c>
      <c r="K23" s="305">
        <f t="shared" si="3"/>
        <v>6.184454637325725E-3</v>
      </c>
      <c r="L23" s="305">
        <f t="shared" si="4"/>
        <v>8.6433770879798429E-3</v>
      </c>
      <c r="N23" s="305">
        <f t="shared" si="5"/>
        <v>2.6804069511559194</v>
      </c>
      <c r="O23" s="305">
        <f t="shared" si="6"/>
        <v>4.0622023515337631</v>
      </c>
      <c r="P23" s="305">
        <f t="shared" si="7"/>
        <v>5.6773230286264154</v>
      </c>
      <c r="R23" s="305">
        <f>'4.1 CBA (ed7)'!E$30</f>
        <v>267.4364023031103</v>
      </c>
      <c r="S23" s="305">
        <f>'4.1 CBA (ed7)'!F$30</f>
        <v>405.30441911177871</v>
      </c>
      <c r="T23" s="305">
        <f>'4.1 CBA (ed7)'!G$30</f>
        <v>566.45236083784698</v>
      </c>
      <c r="U23" s="305"/>
      <c r="X23">
        <v>18</v>
      </c>
      <c r="Y23" s="305"/>
      <c r="Z23" s="305"/>
      <c r="AA23" s="305"/>
      <c r="AC23" s="305">
        <f t="shared" si="8"/>
        <v>1.5103142165854883E-8</v>
      </c>
      <c r="AD23" s="305">
        <f t="shared" si="9"/>
        <v>2.2889068996550382E-8</v>
      </c>
      <c r="AE23" s="305">
        <f t="shared" si="10"/>
        <v>3.1989700954013084E-8</v>
      </c>
      <c r="AG23" s="305">
        <f t="shared" si="11"/>
        <v>9.8979952498146561E-4</v>
      </c>
      <c r="AH23" s="305">
        <f t="shared" si="12"/>
        <v>1.5000580257579258E-3</v>
      </c>
      <c r="AI23" s="305">
        <f t="shared" si="13"/>
        <v>2.0964770417222015E-3</v>
      </c>
      <c r="AK23" s="305">
        <f t="shared" si="14"/>
        <v>0.65014074703689095</v>
      </c>
      <c r="AL23" s="305">
        <f t="shared" si="15"/>
        <v>0.98529936704425458</v>
      </c>
      <c r="AM23" s="305">
        <f t="shared" si="16"/>
        <v>1.3770517318408348</v>
      </c>
      <c r="AO23" s="305">
        <f t="shared" si="18"/>
        <v>64.86750166918533</v>
      </c>
      <c r="AP23" s="305">
        <f t="shared" si="19"/>
        <v>98.307802776071426</v>
      </c>
      <c r="AQ23" s="305">
        <f t="shared" si="20"/>
        <v>137.39471940630619</v>
      </c>
    </row>
    <row r="24" spans="1:43">
      <c r="A24">
        <v>19</v>
      </c>
      <c r="B24" s="305"/>
      <c r="C24" s="305"/>
      <c r="D24" s="305"/>
      <c r="F24" s="516">
        <f t="shared" si="17"/>
        <v>1.5566847421177098E-8</v>
      </c>
      <c r="G24" s="305">
        <f t="shared" si="0"/>
        <v>2.3591822194388294E-8</v>
      </c>
      <c r="H24" s="305">
        <f t="shared" si="1"/>
        <v>3.2971866943282482E-8</v>
      </c>
      <c r="I24" s="464"/>
      <c r="J24" s="305">
        <f t="shared" si="2"/>
        <v>2.0403778251885246E-3</v>
      </c>
      <c r="K24" s="305">
        <f t="shared" si="3"/>
        <v>3.0922273186628625E-3</v>
      </c>
      <c r="L24" s="305">
        <f t="shared" si="4"/>
        <v>4.3216885439899214E-3</v>
      </c>
      <c r="N24" s="305">
        <f t="shared" si="5"/>
        <v>2.0103052133669395</v>
      </c>
      <c r="O24" s="305">
        <f t="shared" si="6"/>
        <v>3.0466517636503223</v>
      </c>
      <c r="P24" s="305">
        <f t="shared" si="7"/>
        <v>4.2579922714698117</v>
      </c>
      <c r="R24" s="305">
        <f>'4.1 CBA (ed7)'!E$30</f>
        <v>267.4364023031103</v>
      </c>
      <c r="S24" s="305">
        <f>'4.1 CBA (ed7)'!F$30</f>
        <v>405.30441911177871</v>
      </c>
      <c r="T24" s="305">
        <f>'4.1 CBA (ed7)'!G$30</f>
        <v>566.45236083784698</v>
      </c>
      <c r="U24" s="305"/>
      <c r="X24">
        <v>19</v>
      </c>
      <c r="Y24" s="305"/>
      <c r="Z24" s="305"/>
      <c r="AA24" s="305"/>
      <c r="AC24" s="305">
        <f t="shared" si="8"/>
        <v>3.7757855414637207E-9</v>
      </c>
      <c r="AD24" s="305">
        <f t="shared" si="9"/>
        <v>5.7222672491375954E-9</v>
      </c>
      <c r="AE24" s="305">
        <f t="shared" si="10"/>
        <v>7.9974252385032709E-9</v>
      </c>
      <c r="AG24" s="305">
        <f t="shared" si="11"/>
        <v>4.948997624907328E-4</v>
      </c>
      <c r="AH24" s="305">
        <f t="shared" si="12"/>
        <v>7.5002901287896291E-4</v>
      </c>
      <c r="AI24" s="305">
        <f t="shared" si="13"/>
        <v>1.0482385208611007E-3</v>
      </c>
      <c r="AK24" s="305">
        <f t="shared" si="14"/>
        <v>0.48760556027766822</v>
      </c>
      <c r="AL24" s="305">
        <f t="shared" si="15"/>
        <v>0.73897452528319096</v>
      </c>
      <c r="AM24" s="305">
        <f t="shared" si="16"/>
        <v>1.0327887988806261</v>
      </c>
      <c r="AO24" s="305">
        <f t="shared" si="18"/>
        <v>64.86750166918533</v>
      </c>
      <c r="AP24" s="305">
        <f t="shared" si="19"/>
        <v>98.307802776071426</v>
      </c>
      <c r="AQ24" s="305">
        <f t="shared" si="20"/>
        <v>137.39471940630619</v>
      </c>
    </row>
    <row r="25" spans="1:43">
      <c r="A25">
        <v>20</v>
      </c>
      <c r="B25" s="305"/>
      <c r="C25" s="305"/>
      <c r="D25" s="305"/>
      <c r="F25" s="516">
        <f t="shared" si="17"/>
        <v>3.8917118552942746E-9</v>
      </c>
      <c r="G25" s="305">
        <f t="shared" si="0"/>
        <v>5.8979555485970736E-9</v>
      </c>
      <c r="H25" s="305">
        <f t="shared" si="1"/>
        <v>8.2429667358206204E-9</v>
      </c>
      <c r="I25" s="464"/>
      <c r="J25" s="305">
        <f t="shared" si="2"/>
        <v>1.0201889125942623E-3</v>
      </c>
      <c r="K25" s="305">
        <f t="shared" si="3"/>
        <v>1.5461136593314313E-3</v>
      </c>
      <c r="L25" s="305">
        <f t="shared" si="4"/>
        <v>2.1608442719949607E-3</v>
      </c>
      <c r="N25" s="305">
        <f t="shared" si="5"/>
        <v>1.5077289100252047</v>
      </c>
      <c r="O25" s="305">
        <f t="shared" si="6"/>
        <v>2.2849888227377417</v>
      </c>
      <c r="P25" s="305">
        <f t="shared" si="7"/>
        <v>3.1934942036023588</v>
      </c>
      <c r="R25" s="305">
        <f>'4.1 CBA (ed7)'!E$30</f>
        <v>267.4364023031103</v>
      </c>
      <c r="S25" s="305">
        <f>'4.1 CBA (ed7)'!F$30</f>
        <v>405.30441911177871</v>
      </c>
      <c r="T25" s="305">
        <f>'4.1 CBA (ed7)'!G$30</f>
        <v>566.45236083784698</v>
      </c>
      <c r="U25" s="305"/>
      <c r="X25">
        <v>20</v>
      </c>
      <c r="Y25" s="305"/>
      <c r="Z25" s="305"/>
      <c r="AA25" s="305"/>
      <c r="AC25" s="305">
        <f t="shared" si="8"/>
        <v>9.4394638536593018E-10</v>
      </c>
      <c r="AD25" s="305">
        <f t="shared" si="9"/>
        <v>1.4305668122843989E-9</v>
      </c>
      <c r="AE25" s="305">
        <f t="shared" si="10"/>
        <v>1.9993563096258177E-9</v>
      </c>
      <c r="AG25" s="305">
        <f t="shared" si="11"/>
        <v>2.474498812453664E-4</v>
      </c>
      <c r="AH25" s="305">
        <f t="shared" si="12"/>
        <v>3.7501450643948145E-4</v>
      </c>
      <c r="AI25" s="305">
        <f t="shared" si="13"/>
        <v>5.2411926043055036E-4</v>
      </c>
      <c r="AK25" s="305">
        <f t="shared" si="14"/>
        <v>0.36570417020825119</v>
      </c>
      <c r="AL25" s="305">
        <f t="shared" si="15"/>
        <v>0.55423089396239322</v>
      </c>
      <c r="AM25" s="305">
        <f t="shared" si="16"/>
        <v>0.7745915991604696</v>
      </c>
      <c r="AO25" s="305">
        <f t="shared" si="18"/>
        <v>64.86750166918533</v>
      </c>
      <c r="AP25" s="305">
        <f t="shared" si="19"/>
        <v>98.307802776071426</v>
      </c>
      <c r="AQ25" s="305">
        <f t="shared" si="20"/>
        <v>137.39471940630619</v>
      </c>
    </row>
    <row r="26" spans="1:43">
      <c r="A26">
        <v>21</v>
      </c>
      <c r="B26" s="464"/>
      <c r="C26" s="464"/>
      <c r="D26" s="464"/>
      <c r="F26" s="516">
        <f t="shared" si="17"/>
        <v>9.7292796382356864E-10</v>
      </c>
      <c r="G26" s="305">
        <f t="shared" si="0"/>
        <v>1.4744888871492684E-9</v>
      </c>
      <c r="H26" s="305">
        <f t="shared" si="1"/>
        <v>2.0607416839551551E-9</v>
      </c>
      <c r="I26" s="464"/>
      <c r="J26" s="305">
        <f t="shared" si="2"/>
        <v>5.1009445629713115E-4</v>
      </c>
      <c r="K26" s="305">
        <f t="shared" si="3"/>
        <v>7.7305682966571563E-4</v>
      </c>
      <c r="L26" s="305">
        <f t="shared" si="4"/>
        <v>1.0804221359974804E-3</v>
      </c>
      <c r="N26" s="305">
        <f t="shared" si="5"/>
        <v>1.1307966825189035</v>
      </c>
      <c r="O26" s="305">
        <f t="shared" si="6"/>
        <v>1.7137416170533064</v>
      </c>
      <c r="P26" s="305">
        <f t="shared" si="7"/>
        <v>2.395120652701769</v>
      </c>
      <c r="R26" s="305">
        <f>'4.1 CBA (ed7)'!E$30</f>
        <v>267.4364023031103</v>
      </c>
      <c r="S26" s="305">
        <f>'4.1 CBA (ed7)'!F$30</f>
        <v>405.30441911177871</v>
      </c>
      <c r="T26" s="305">
        <f>'4.1 CBA (ed7)'!G$30</f>
        <v>566.45236083784698</v>
      </c>
      <c r="U26" s="305"/>
      <c r="X26">
        <v>21</v>
      </c>
      <c r="Y26" s="305"/>
      <c r="Z26" s="305"/>
      <c r="AA26" s="305"/>
      <c r="AC26" s="305">
        <f t="shared" si="8"/>
        <v>2.3598659634148255E-10</v>
      </c>
      <c r="AD26" s="305">
        <f t="shared" si="9"/>
        <v>3.5764170307109971E-10</v>
      </c>
      <c r="AE26" s="305">
        <f t="shared" si="10"/>
        <v>4.9983907740645443E-10</v>
      </c>
      <c r="AG26" s="305">
        <f t="shared" si="11"/>
        <v>1.237249406226832E-4</v>
      </c>
      <c r="AH26" s="305">
        <f t="shared" si="12"/>
        <v>1.8750725321974073E-4</v>
      </c>
      <c r="AI26" s="305">
        <f t="shared" si="13"/>
        <v>2.6205963021527518E-4</v>
      </c>
      <c r="AK26" s="305">
        <f t="shared" si="14"/>
        <v>0.27427812765618842</v>
      </c>
      <c r="AL26" s="305">
        <f t="shared" si="15"/>
        <v>0.41567317047179492</v>
      </c>
      <c r="AM26" s="305">
        <f t="shared" si="16"/>
        <v>0.58094369937035217</v>
      </c>
      <c r="AO26" s="305">
        <f t="shared" si="18"/>
        <v>64.86750166918533</v>
      </c>
      <c r="AP26" s="305">
        <f t="shared" si="19"/>
        <v>98.307802776071426</v>
      </c>
      <c r="AQ26" s="305">
        <f t="shared" si="20"/>
        <v>137.39471940630619</v>
      </c>
    </row>
    <row r="27" spans="1:43">
      <c r="A27">
        <v>22</v>
      </c>
      <c r="B27" s="305"/>
      <c r="C27" s="305"/>
      <c r="D27" s="305"/>
      <c r="F27" s="516">
        <f t="shared" si="17"/>
        <v>2.4323199095589216E-10</v>
      </c>
      <c r="G27" s="305">
        <f t="shared" si="0"/>
        <v>3.686222217873171E-10</v>
      </c>
      <c r="H27" s="305">
        <f t="shared" si="1"/>
        <v>5.1518542098878878E-10</v>
      </c>
      <c r="I27" s="464"/>
      <c r="J27" s="305">
        <f t="shared" si="2"/>
        <v>2.5504722814856558E-4</v>
      </c>
      <c r="K27" s="305">
        <f t="shared" si="3"/>
        <v>3.8652841483285781E-4</v>
      </c>
      <c r="L27" s="305">
        <f t="shared" si="4"/>
        <v>5.4021106799874018E-4</v>
      </c>
      <c r="N27" s="305">
        <f t="shared" si="5"/>
        <v>0.84809751188917759</v>
      </c>
      <c r="O27" s="305">
        <f t="shared" si="6"/>
        <v>1.2853062127899797</v>
      </c>
      <c r="P27" s="305">
        <f t="shared" si="7"/>
        <v>1.7963404895263269</v>
      </c>
      <c r="R27" s="305">
        <f>'4.1 CBA (ed7)'!E$30</f>
        <v>267.4364023031103</v>
      </c>
      <c r="S27" s="305">
        <f>'4.1 CBA (ed7)'!F$30</f>
        <v>405.30441911177871</v>
      </c>
      <c r="T27" s="305">
        <f>'4.1 CBA (ed7)'!G$30</f>
        <v>566.45236083784698</v>
      </c>
      <c r="U27" s="305"/>
      <c r="X27">
        <v>22</v>
      </c>
      <c r="Y27" s="305"/>
      <c r="Z27" s="305"/>
      <c r="AA27" s="305"/>
      <c r="AC27" s="305">
        <f t="shared" si="8"/>
        <v>5.8996649085370636E-11</v>
      </c>
      <c r="AD27" s="305">
        <f t="shared" si="9"/>
        <v>8.9410425767774929E-11</v>
      </c>
      <c r="AE27" s="305">
        <f t="shared" si="10"/>
        <v>1.2495976935161361E-10</v>
      </c>
      <c r="AG27" s="305">
        <f t="shared" si="11"/>
        <v>6.1862470311341601E-5</v>
      </c>
      <c r="AH27" s="305">
        <f t="shared" si="12"/>
        <v>9.3753626609870364E-5</v>
      </c>
      <c r="AI27" s="305">
        <f t="shared" si="13"/>
        <v>1.3102981510763759E-4</v>
      </c>
      <c r="AK27" s="305">
        <f t="shared" si="14"/>
        <v>0.20570859574214131</v>
      </c>
      <c r="AL27" s="305">
        <f t="shared" si="15"/>
        <v>0.3117548778538462</v>
      </c>
      <c r="AM27" s="305">
        <f t="shared" si="16"/>
        <v>0.4357077745277641</v>
      </c>
      <c r="AO27" s="305">
        <f t="shared" si="18"/>
        <v>64.86750166918533</v>
      </c>
      <c r="AP27" s="305">
        <f t="shared" si="19"/>
        <v>98.307802776071426</v>
      </c>
      <c r="AQ27" s="305">
        <f t="shared" si="20"/>
        <v>137.39471940630619</v>
      </c>
    </row>
    <row r="28" spans="1:43">
      <c r="A28">
        <v>23</v>
      </c>
      <c r="B28" s="305"/>
      <c r="C28" s="655"/>
      <c r="D28" s="305"/>
      <c r="F28" s="516">
        <f t="shared" si="17"/>
        <v>6.080799773897304E-11</v>
      </c>
      <c r="G28" s="305">
        <f t="shared" si="0"/>
        <v>9.2155555446829274E-11</v>
      </c>
      <c r="H28" s="305">
        <f t="shared" si="1"/>
        <v>1.2879635524719719E-10</v>
      </c>
      <c r="I28" s="464"/>
      <c r="J28" s="305">
        <f t="shared" si="2"/>
        <v>1.2752361407428279E-4</v>
      </c>
      <c r="K28" s="305">
        <f t="shared" si="3"/>
        <v>1.9326420741642891E-4</v>
      </c>
      <c r="L28" s="305">
        <f t="shared" si="4"/>
        <v>2.7010553399937009E-4</v>
      </c>
      <c r="N28" s="305">
        <f t="shared" si="5"/>
        <v>0.63607313391688325</v>
      </c>
      <c r="O28" s="305">
        <f t="shared" si="6"/>
        <v>0.96397965959248477</v>
      </c>
      <c r="P28" s="305">
        <f t="shared" si="7"/>
        <v>1.3472553671447451</v>
      </c>
      <c r="R28" s="305">
        <f>'4.1 CBA (ed7)'!E$30</f>
        <v>267.4364023031103</v>
      </c>
      <c r="S28" s="305">
        <f>'4.1 CBA (ed7)'!F$30</f>
        <v>405.30441911177871</v>
      </c>
      <c r="T28" s="305">
        <f>'4.1 CBA (ed7)'!G$30</f>
        <v>566.45236083784698</v>
      </c>
      <c r="U28" s="305"/>
      <c r="X28">
        <v>23</v>
      </c>
      <c r="Y28" s="305"/>
      <c r="Z28" s="305"/>
      <c r="AA28" s="305"/>
      <c r="AC28" s="305">
        <f t="shared" si="8"/>
        <v>1.4749162271342659E-11</v>
      </c>
      <c r="AD28" s="305">
        <f t="shared" si="9"/>
        <v>2.2352606441943732E-11</v>
      </c>
      <c r="AE28" s="305">
        <f t="shared" si="10"/>
        <v>3.1239942337903402E-11</v>
      </c>
      <c r="AG28" s="305">
        <f t="shared" si="11"/>
        <v>3.09312351556708E-5</v>
      </c>
      <c r="AH28" s="305">
        <f t="shared" si="12"/>
        <v>4.6876813304935182E-5</v>
      </c>
      <c r="AI28" s="305">
        <f t="shared" si="13"/>
        <v>6.5514907553818795E-5</v>
      </c>
      <c r="AK28" s="305">
        <f t="shared" si="14"/>
        <v>0.15428144680660599</v>
      </c>
      <c r="AL28" s="305">
        <f t="shared" si="15"/>
        <v>0.23381615839038467</v>
      </c>
      <c r="AM28" s="305">
        <f t="shared" si="16"/>
        <v>0.3267808308958231</v>
      </c>
      <c r="AO28" s="305">
        <f t="shared" si="18"/>
        <v>64.86750166918533</v>
      </c>
      <c r="AP28" s="305">
        <f t="shared" si="19"/>
        <v>98.307802776071426</v>
      </c>
      <c r="AQ28" s="305">
        <f t="shared" si="20"/>
        <v>137.39471940630619</v>
      </c>
    </row>
    <row r="29" spans="1:43">
      <c r="A29">
        <v>24</v>
      </c>
      <c r="B29" s="305"/>
      <c r="C29" s="305"/>
      <c r="D29" s="305"/>
      <c r="F29" s="516">
        <f t="shared" si="17"/>
        <v>1.520199943474326E-11</v>
      </c>
      <c r="G29" s="305">
        <f t="shared" si="0"/>
        <v>2.3038888861707319E-11</v>
      </c>
      <c r="H29" s="305">
        <f t="shared" si="1"/>
        <v>3.2199088811799298E-11</v>
      </c>
      <c r="I29" s="464"/>
      <c r="J29" s="305">
        <f t="shared" si="2"/>
        <v>6.3761807037141394E-5</v>
      </c>
      <c r="K29" s="305">
        <f t="shared" si="3"/>
        <v>9.6632103708214453E-5</v>
      </c>
      <c r="L29" s="305">
        <f t="shared" si="4"/>
        <v>1.3505276699968504E-4</v>
      </c>
      <c r="N29" s="305">
        <f t="shared" si="5"/>
        <v>0.47705485043766244</v>
      </c>
      <c r="O29" s="305">
        <f t="shared" si="6"/>
        <v>0.72298474469436358</v>
      </c>
      <c r="P29" s="305">
        <f t="shared" si="7"/>
        <v>1.0104415253585588</v>
      </c>
      <c r="R29" s="305">
        <f>'4.1 CBA (ed7)'!E$30</f>
        <v>267.4364023031103</v>
      </c>
      <c r="S29" s="305">
        <f>'4.1 CBA (ed7)'!F$30</f>
        <v>405.30441911177871</v>
      </c>
      <c r="T29" s="305">
        <f>'4.1 CBA (ed7)'!G$30</f>
        <v>566.45236083784698</v>
      </c>
      <c r="U29" s="305"/>
      <c r="X29">
        <v>24</v>
      </c>
      <c r="Y29" s="305"/>
      <c r="Z29" s="305"/>
      <c r="AA29" s="305"/>
      <c r="AC29" s="305">
        <f t="shared" si="8"/>
        <v>3.6872905678356648E-12</v>
      </c>
      <c r="AD29" s="305">
        <f t="shared" si="9"/>
        <v>5.588151610485933E-12</v>
      </c>
      <c r="AE29" s="305">
        <f t="shared" si="10"/>
        <v>7.8099855844758505E-12</v>
      </c>
      <c r="AG29" s="305">
        <f t="shared" si="11"/>
        <v>1.54656175778354E-5</v>
      </c>
      <c r="AH29" s="305">
        <f t="shared" si="12"/>
        <v>2.3438406652467591E-5</v>
      </c>
      <c r="AI29" s="305">
        <f t="shared" si="13"/>
        <v>3.2757453776909398E-5</v>
      </c>
      <c r="AK29" s="305">
        <f t="shared" si="14"/>
        <v>0.11571108510495449</v>
      </c>
      <c r="AL29" s="305">
        <f t="shared" si="15"/>
        <v>0.17536211879278851</v>
      </c>
      <c r="AM29" s="305">
        <f t="shared" si="16"/>
        <v>0.24508562317186733</v>
      </c>
      <c r="AO29" s="305">
        <f t="shared" si="18"/>
        <v>64.86750166918533</v>
      </c>
      <c r="AP29" s="305">
        <f t="shared" si="19"/>
        <v>98.307802776071426</v>
      </c>
      <c r="AQ29" s="305">
        <f t="shared" si="20"/>
        <v>137.39471940630619</v>
      </c>
    </row>
    <row r="30" spans="1:43">
      <c r="A30">
        <v>25</v>
      </c>
      <c r="B30" s="305"/>
      <c r="C30" s="305"/>
      <c r="D30" s="305"/>
      <c r="F30" s="516">
        <f t="shared" si="17"/>
        <v>3.800499858685815E-12</v>
      </c>
      <c r="G30" s="305">
        <f t="shared" si="0"/>
        <v>5.7597222154268296E-12</v>
      </c>
      <c r="H30" s="305">
        <f t="shared" si="1"/>
        <v>8.0497722029498246E-12</v>
      </c>
      <c r="I30" s="464"/>
      <c r="J30" s="305">
        <f t="shared" si="2"/>
        <v>3.1880903518570697E-5</v>
      </c>
      <c r="K30" s="305">
        <f t="shared" si="3"/>
        <v>4.8316051854107227E-5</v>
      </c>
      <c r="L30" s="305">
        <f t="shared" si="4"/>
        <v>6.7526383499842522E-5</v>
      </c>
      <c r="N30" s="305">
        <f t="shared" si="5"/>
        <v>0.35779113782824684</v>
      </c>
      <c r="O30" s="305">
        <f t="shared" si="6"/>
        <v>0.54223855852077274</v>
      </c>
      <c r="P30" s="305">
        <f t="shared" si="7"/>
        <v>0.75783114401891916</v>
      </c>
      <c r="R30" s="305">
        <f>'4.1 CBA (ed7)'!E$30</f>
        <v>267.4364023031103</v>
      </c>
      <c r="S30" s="305">
        <f>'4.1 CBA (ed7)'!F$30</f>
        <v>405.30441911177871</v>
      </c>
      <c r="T30" s="305">
        <f>'4.1 CBA (ed7)'!G$30</f>
        <v>566.45236083784698</v>
      </c>
      <c r="U30" s="305"/>
      <c r="X30">
        <v>25</v>
      </c>
      <c r="Y30" s="305"/>
      <c r="Z30" s="305"/>
      <c r="AA30" s="305"/>
      <c r="AC30" s="305">
        <f t="shared" si="8"/>
        <v>9.218226419589162E-13</v>
      </c>
      <c r="AD30" s="305">
        <f t="shared" si="9"/>
        <v>1.3970379026214833E-12</v>
      </c>
      <c r="AE30" s="305">
        <f t="shared" si="10"/>
        <v>1.9524963961189626E-12</v>
      </c>
      <c r="AG30" s="305">
        <f t="shared" si="11"/>
        <v>7.7328087889177001E-6</v>
      </c>
      <c r="AH30" s="305">
        <f t="shared" si="12"/>
        <v>1.1719203326233795E-5</v>
      </c>
      <c r="AI30" s="305">
        <f t="shared" si="13"/>
        <v>1.6378726888454699E-5</v>
      </c>
      <c r="AK30" s="305">
        <f t="shared" si="14"/>
        <v>8.6783313828715875E-2</v>
      </c>
      <c r="AL30" s="305">
        <f t="shared" si="15"/>
        <v>0.13152158909459138</v>
      </c>
      <c r="AM30" s="305">
        <f t="shared" si="16"/>
        <v>0.1838142173789005</v>
      </c>
      <c r="AO30" s="305">
        <f t="shared" si="18"/>
        <v>64.86750166918533</v>
      </c>
      <c r="AP30" s="305">
        <f t="shared" si="19"/>
        <v>98.307802776071426</v>
      </c>
      <c r="AQ30" s="305">
        <f t="shared" si="20"/>
        <v>137.39471940630619</v>
      </c>
    </row>
    <row r="31" spans="1:43">
      <c r="A31">
        <v>26</v>
      </c>
      <c r="B31" s="305"/>
      <c r="C31" s="305"/>
      <c r="D31" s="305"/>
      <c r="F31" s="516">
        <f t="shared" si="17"/>
        <v>9.5012496467145375E-13</v>
      </c>
      <c r="G31" s="305">
        <f t="shared" si="0"/>
        <v>1.4399305538567074E-12</v>
      </c>
      <c r="H31" s="305">
        <f t="shared" si="1"/>
        <v>2.0124430507374562E-12</v>
      </c>
      <c r="I31" s="464"/>
      <c r="J31" s="305">
        <f t="shared" si="2"/>
        <v>1.5940451759285349E-5</v>
      </c>
      <c r="K31" s="305">
        <f t="shared" si="3"/>
        <v>2.4158025927053613E-5</v>
      </c>
      <c r="L31" s="305">
        <f t="shared" si="4"/>
        <v>3.3763191749921261E-5</v>
      </c>
      <c r="N31" s="305">
        <f t="shared" si="5"/>
        <v>0.26834335337118514</v>
      </c>
      <c r="O31" s="305">
        <f t="shared" si="6"/>
        <v>0.40667891889057955</v>
      </c>
      <c r="P31" s="305">
        <f t="shared" si="7"/>
        <v>0.56837335801418942</v>
      </c>
      <c r="R31" s="305">
        <f>'4.1 CBA (ed7)'!E$30</f>
        <v>267.4364023031103</v>
      </c>
      <c r="S31" s="305">
        <f>'4.1 CBA (ed7)'!F$30</f>
        <v>405.30441911177871</v>
      </c>
      <c r="T31" s="305">
        <f>'4.1 CBA (ed7)'!G$30</f>
        <v>566.45236083784698</v>
      </c>
      <c r="U31" s="305"/>
      <c r="X31">
        <v>26</v>
      </c>
      <c r="Y31" s="305"/>
      <c r="Z31" s="305"/>
      <c r="AA31" s="305"/>
      <c r="AC31" s="305">
        <f t="shared" si="8"/>
        <v>2.3045566048972905E-13</v>
      </c>
      <c r="AD31" s="305">
        <f t="shared" si="9"/>
        <v>3.4925947565537082E-13</v>
      </c>
      <c r="AE31" s="305">
        <f t="shared" si="10"/>
        <v>4.8812409902974066E-13</v>
      </c>
      <c r="AG31" s="305">
        <f t="shared" si="11"/>
        <v>3.86640439445885E-6</v>
      </c>
      <c r="AH31" s="305">
        <f t="shared" si="12"/>
        <v>5.8596016631168977E-6</v>
      </c>
      <c r="AI31" s="305">
        <f t="shared" si="13"/>
        <v>8.1893634442273494E-6</v>
      </c>
      <c r="AK31" s="305">
        <f t="shared" si="14"/>
        <v>6.5087485371536913E-2</v>
      </c>
      <c r="AL31" s="305">
        <f t="shared" si="15"/>
        <v>9.8641191820943538E-2</v>
      </c>
      <c r="AM31" s="305">
        <f t="shared" si="16"/>
        <v>0.13786066303417538</v>
      </c>
      <c r="AO31" s="305">
        <f t="shared" si="18"/>
        <v>64.86750166918533</v>
      </c>
      <c r="AP31" s="305">
        <f t="shared" si="19"/>
        <v>98.307802776071426</v>
      </c>
      <c r="AQ31" s="305">
        <f t="shared" si="20"/>
        <v>137.39471940630619</v>
      </c>
    </row>
    <row r="32" spans="1:43">
      <c r="A32">
        <v>27</v>
      </c>
      <c r="B32" s="305"/>
      <c r="C32" s="305"/>
      <c r="D32" s="305"/>
      <c r="F32" s="516">
        <f t="shared" si="17"/>
        <v>2.3753124116786344E-13</v>
      </c>
      <c r="G32" s="305">
        <f t="shared" si="0"/>
        <v>3.5998263846417685E-13</v>
      </c>
      <c r="H32" s="305">
        <f t="shared" si="1"/>
        <v>5.0311076268436404E-13</v>
      </c>
      <c r="I32" s="464"/>
      <c r="J32" s="305">
        <f t="shared" si="2"/>
        <v>7.9702258796426743E-6</v>
      </c>
      <c r="K32" s="305">
        <f t="shared" si="3"/>
        <v>1.2079012963526807E-5</v>
      </c>
      <c r="L32" s="305">
        <f t="shared" si="4"/>
        <v>1.6881595874960631E-5</v>
      </c>
      <c r="N32" s="305">
        <f t="shared" si="5"/>
        <v>0.20125751502838884</v>
      </c>
      <c r="O32" s="305">
        <f t="shared" si="6"/>
        <v>0.30500918916793468</v>
      </c>
      <c r="P32" s="305">
        <f t="shared" si="7"/>
        <v>0.42628001851064207</v>
      </c>
      <c r="R32" s="305">
        <f>'4.1 CBA (ed7)'!E$30</f>
        <v>267.4364023031103</v>
      </c>
      <c r="S32" s="305">
        <f>'4.1 CBA (ed7)'!F$30</f>
        <v>405.30441911177871</v>
      </c>
      <c r="T32" s="305">
        <f>'4.1 CBA (ed7)'!G$30</f>
        <v>566.45236083784698</v>
      </c>
      <c r="U32" s="305"/>
      <c r="X32">
        <v>27</v>
      </c>
      <c r="Y32" s="305"/>
      <c r="Z32" s="305"/>
      <c r="AA32" s="305"/>
      <c r="AC32" s="305">
        <f t="shared" si="8"/>
        <v>5.7613915122432262E-14</v>
      </c>
      <c r="AD32" s="305">
        <f t="shared" si="9"/>
        <v>8.7314868913842704E-14</v>
      </c>
      <c r="AE32" s="305">
        <f t="shared" si="10"/>
        <v>1.2203102475743516E-13</v>
      </c>
      <c r="AG32" s="305">
        <f t="shared" si="11"/>
        <v>1.933202197229425E-6</v>
      </c>
      <c r="AH32" s="305">
        <f t="shared" si="12"/>
        <v>2.9298008315584489E-6</v>
      </c>
      <c r="AI32" s="305">
        <f t="shared" si="13"/>
        <v>4.0946817221136747E-6</v>
      </c>
      <c r="AK32" s="305">
        <f t="shared" si="14"/>
        <v>4.8815614028652685E-2</v>
      </c>
      <c r="AL32" s="305">
        <f t="shared" si="15"/>
        <v>7.398089386570765E-2</v>
      </c>
      <c r="AM32" s="305">
        <f t="shared" si="16"/>
        <v>0.10339549727563153</v>
      </c>
      <c r="AO32" s="305">
        <f t="shared" si="18"/>
        <v>64.86750166918533</v>
      </c>
      <c r="AP32" s="305">
        <f t="shared" si="19"/>
        <v>98.307802776071426</v>
      </c>
      <c r="AQ32" s="305">
        <f t="shared" si="20"/>
        <v>137.39471940630619</v>
      </c>
    </row>
    <row r="33" spans="1:43">
      <c r="A33">
        <v>28</v>
      </c>
      <c r="B33" s="305"/>
      <c r="C33" s="305"/>
      <c r="D33" s="305"/>
      <c r="F33" s="516">
        <f t="shared" si="17"/>
        <v>5.9382810291965859E-14</v>
      </c>
      <c r="G33" s="305">
        <f t="shared" si="0"/>
        <v>8.9995659616044213E-14</v>
      </c>
      <c r="H33" s="305">
        <f t="shared" si="1"/>
        <v>1.2577769067109101E-13</v>
      </c>
      <c r="I33" s="464"/>
      <c r="J33" s="305">
        <f t="shared" si="2"/>
        <v>3.9851129398213371E-6</v>
      </c>
      <c r="K33" s="305">
        <f t="shared" si="3"/>
        <v>6.0395064817634033E-6</v>
      </c>
      <c r="L33" s="305">
        <f t="shared" si="4"/>
        <v>8.4407979374803153E-6</v>
      </c>
      <c r="N33" s="305">
        <f t="shared" si="5"/>
        <v>0.15094313627129163</v>
      </c>
      <c r="O33" s="305">
        <f t="shared" si="6"/>
        <v>0.228756891875951</v>
      </c>
      <c r="P33" s="305">
        <f t="shared" si="7"/>
        <v>0.31971001388298154</v>
      </c>
      <c r="R33" s="305">
        <f>'4.1 CBA (ed7)'!E$30</f>
        <v>267.4364023031103</v>
      </c>
      <c r="S33" s="305">
        <f>'4.1 CBA (ed7)'!F$30</f>
        <v>405.30441911177871</v>
      </c>
      <c r="T33" s="305">
        <f>'4.1 CBA (ed7)'!G$30</f>
        <v>566.45236083784698</v>
      </c>
      <c r="U33" s="305"/>
      <c r="X33">
        <v>28</v>
      </c>
      <c r="Y33" s="305"/>
      <c r="Z33" s="305"/>
      <c r="AA33" s="305"/>
      <c r="AC33" s="305">
        <f t="shared" si="8"/>
        <v>1.4403478780608066E-14</v>
      </c>
      <c r="AD33" s="305">
        <f t="shared" si="9"/>
        <v>2.1828717228460676E-14</v>
      </c>
      <c r="AE33" s="305">
        <f t="shared" si="10"/>
        <v>3.0507756189358791E-14</v>
      </c>
      <c r="AG33" s="305">
        <f t="shared" si="11"/>
        <v>9.6660109861471251E-7</v>
      </c>
      <c r="AH33" s="305">
        <f t="shared" si="12"/>
        <v>1.4649004157792244E-6</v>
      </c>
      <c r="AI33" s="305">
        <f t="shared" si="13"/>
        <v>2.0473408610568374E-6</v>
      </c>
      <c r="AK33" s="305">
        <f t="shared" si="14"/>
        <v>3.661171052148951E-2</v>
      </c>
      <c r="AL33" s="305">
        <f t="shared" si="15"/>
        <v>5.5485670399280734E-2</v>
      </c>
      <c r="AM33" s="305">
        <f t="shared" si="16"/>
        <v>7.7546622956723654E-2</v>
      </c>
      <c r="AO33" s="305">
        <f t="shared" si="18"/>
        <v>64.86750166918533</v>
      </c>
      <c r="AP33" s="305">
        <f t="shared" si="19"/>
        <v>98.307802776071426</v>
      </c>
      <c r="AQ33" s="305">
        <f t="shared" si="20"/>
        <v>137.39471940630619</v>
      </c>
    </row>
    <row r="34" spans="1:43">
      <c r="A34">
        <v>29</v>
      </c>
      <c r="B34" s="305"/>
      <c r="C34" s="305"/>
      <c r="D34" s="305"/>
      <c r="F34" s="516">
        <f t="shared" si="17"/>
        <v>1.4845702572991465E-14</v>
      </c>
      <c r="G34" s="305">
        <f t="shared" si="0"/>
        <v>2.2498914904011053E-14</v>
      </c>
      <c r="H34" s="305">
        <f t="shared" si="1"/>
        <v>3.1444422667772752E-14</v>
      </c>
      <c r="I34" s="464"/>
      <c r="J34" s="305">
        <f t="shared" si="2"/>
        <v>1.9925564699106686E-6</v>
      </c>
      <c r="K34" s="305">
        <f t="shared" si="3"/>
        <v>3.0197532408817017E-6</v>
      </c>
      <c r="L34" s="305">
        <f t="shared" si="4"/>
        <v>4.2203989687401576E-6</v>
      </c>
      <c r="N34" s="305">
        <f t="shared" si="5"/>
        <v>0.11320735220346873</v>
      </c>
      <c r="O34" s="305">
        <f t="shared" si="6"/>
        <v>0.17156766890696323</v>
      </c>
      <c r="P34" s="305">
        <f t="shared" si="7"/>
        <v>0.23978251041223614</v>
      </c>
      <c r="R34" s="305">
        <f>'4.1 CBA (ed7)'!E$30</f>
        <v>267.4364023031103</v>
      </c>
      <c r="S34" s="305">
        <f>'4.1 CBA (ed7)'!F$30</f>
        <v>405.30441911177871</v>
      </c>
      <c r="T34" s="305">
        <f>'4.1 CBA (ed7)'!G$30</f>
        <v>566.45236083784698</v>
      </c>
      <c r="U34" s="305"/>
      <c r="X34">
        <v>29</v>
      </c>
      <c r="Y34" s="305"/>
      <c r="Z34" s="305"/>
      <c r="AA34" s="305"/>
      <c r="AC34" s="305">
        <f t="shared" si="8"/>
        <v>3.6008696951520164E-15</v>
      </c>
      <c r="AD34" s="305">
        <f t="shared" si="9"/>
        <v>5.457179307115169E-15</v>
      </c>
      <c r="AE34" s="305">
        <f t="shared" si="10"/>
        <v>7.6269390473396978E-15</v>
      </c>
      <c r="AG34" s="305">
        <f t="shared" si="11"/>
        <v>4.8330054930735625E-7</v>
      </c>
      <c r="AH34" s="305">
        <f t="shared" si="12"/>
        <v>7.3245020788961222E-7</v>
      </c>
      <c r="AI34" s="305">
        <f t="shared" si="13"/>
        <v>1.0236704305284187E-6</v>
      </c>
      <c r="AK34" s="305">
        <f t="shared" si="14"/>
        <v>2.7458782891117132E-2</v>
      </c>
      <c r="AL34" s="305">
        <f t="shared" si="15"/>
        <v>4.1614252799460551E-2</v>
      </c>
      <c r="AM34" s="305">
        <f t="shared" si="16"/>
        <v>5.8159967217542741E-2</v>
      </c>
      <c r="AO34" s="305">
        <f t="shared" si="18"/>
        <v>64.86750166918533</v>
      </c>
      <c r="AP34" s="305">
        <f t="shared" si="19"/>
        <v>98.307802776071426</v>
      </c>
      <c r="AQ34" s="305">
        <f t="shared" si="20"/>
        <v>137.39471940630619</v>
      </c>
    </row>
    <row r="35" spans="1:43">
      <c r="A35">
        <v>30</v>
      </c>
      <c r="B35" s="305"/>
      <c r="C35" s="305"/>
      <c r="D35" s="305"/>
      <c r="F35" s="516">
        <f t="shared" si="17"/>
        <v>3.7114256432478662E-15</v>
      </c>
      <c r="G35" s="305">
        <f t="shared" si="0"/>
        <v>5.6247287260027633E-15</v>
      </c>
      <c r="H35" s="305">
        <f t="shared" si="1"/>
        <v>7.8611056669431881E-15</v>
      </c>
      <c r="I35" s="464"/>
      <c r="J35" s="305">
        <f t="shared" si="2"/>
        <v>9.9627823495533429E-7</v>
      </c>
      <c r="K35" s="305">
        <f t="shared" si="3"/>
        <v>1.5098766204408508E-6</v>
      </c>
      <c r="L35" s="305">
        <f t="shared" si="4"/>
        <v>2.1101994843700788E-6</v>
      </c>
      <c r="N35" s="305">
        <f t="shared" si="5"/>
        <v>8.4905514152601544E-2</v>
      </c>
      <c r="O35" s="305">
        <f t="shared" si="6"/>
        <v>0.12867575168022244</v>
      </c>
      <c r="P35" s="305">
        <f t="shared" si="7"/>
        <v>0.17983688280917709</v>
      </c>
      <c r="R35" s="305">
        <f>'4.1 CBA (ed7)'!E$30</f>
        <v>267.4364023031103</v>
      </c>
      <c r="S35" s="305">
        <f>'4.1 CBA (ed7)'!F$30</f>
        <v>405.30441911177871</v>
      </c>
      <c r="T35" s="305">
        <f>'4.1 CBA (ed7)'!G$30</f>
        <v>566.45236083784698</v>
      </c>
      <c r="U35" s="305"/>
      <c r="X35">
        <v>30</v>
      </c>
      <c r="Y35" s="305"/>
      <c r="Z35" s="305"/>
      <c r="AA35" s="305"/>
      <c r="AC35" s="305">
        <f t="shared" si="8"/>
        <v>9.002174237880041E-16</v>
      </c>
      <c r="AD35" s="305">
        <f t="shared" si="9"/>
        <v>1.3642948267787922E-15</v>
      </c>
      <c r="AE35" s="305">
        <f t="shared" si="10"/>
        <v>1.9067347618349244E-15</v>
      </c>
      <c r="AG35" s="305">
        <f t="shared" si="11"/>
        <v>2.4165027465367813E-7</v>
      </c>
      <c r="AH35" s="305">
        <f t="shared" si="12"/>
        <v>3.6622510394480611E-7</v>
      </c>
      <c r="AI35" s="305">
        <f t="shared" si="13"/>
        <v>5.1183521526420934E-7</v>
      </c>
      <c r="AK35" s="305">
        <f t="shared" si="14"/>
        <v>2.0594087168337848E-2</v>
      </c>
      <c r="AL35" s="305">
        <f t="shared" si="15"/>
        <v>3.1210689599595415E-2</v>
      </c>
      <c r="AM35" s="305">
        <f t="shared" si="16"/>
        <v>4.3619975413157056E-2</v>
      </c>
      <c r="AO35" s="305">
        <f t="shared" si="18"/>
        <v>64.86750166918533</v>
      </c>
      <c r="AP35" s="305">
        <f t="shared" si="19"/>
        <v>98.307802776071426</v>
      </c>
      <c r="AQ35" s="305">
        <f t="shared" si="20"/>
        <v>137.39471940630619</v>
      </c>
    </row>
    <row r="36" spans="1:43">
      <c r="A36">
        <v>31</v>
      </c>
      <c r="B36" s="305"/>
      <c r="C36" s="305"/>
      <c r="D36" s="305"/>
      <c r="F36" s="516">
        <f t="shared" si="17"/>
        <v>9.2785641081196655E-16</v>
      </c>
      <c r="G36" s="305">
        <f t="shared" si="0"/>
        <v>1.4061821815006908E-15</v>
      </c>
      <c r="H36" s="305">
        <f t="shared" si="1"/>
        <v>1.965276416735797E-15</v>
      </c>
      <c r="I36" s="464"/>
      <c r="J36" s="305">
        <f t="shared" si="2"/>
        <v>4.9813911747766714E-7</v>
      </c>
      <c r="K36" s="305">
        <f t="shared" si="3"/>
        <v>7.5493831022042542E-7</v>
      </c>
      <c r="L36" s="305">
        <f t="shared" si="4"/>
        <v>1.0550997421850394E-6</v>
      </c>
      <c r="N36" s="305">
        <f t="shared" si="5"/>
        <v>6.3679135614451154E-2</v>
      </c>
      <c r="O36" s="305">
        <f t="shared" si="6"/>
        <v>9.6506813760166829E-2</v>
      </c>
      <c r="P36" s="305">
        <f t="shared" si="7"/>
        <v>0.13487766210688282</v>
      </c>
      <c r="R36" s="305">
        <f>'4.1 CBA (ed7)'!E$30</f>
        <v>267.4364023031103</v>
      </c>
      <c r="S36" s="305">
        <f>'4.1 CBA (ed7)'!F$30</f>
        <v>405.30441911177871</v>
      </c>
      <c r="T36" s="305">
        <f>'4.1 CBA (ed7)'!G$30</f>
        <v>566.45236083784698</v>
      </c>
      <c r="U36" s="305"/>
      <c r="X36">
        <v>31</v>
      </c>
      <c r="Y36" s="305"/>
      <c r="Z36" s="305"/>
      <c r="AA36" s="305"/>
      <c r="AC36" s="305">
        <f t="shared" si="8"/>
        <v>2.2505435594700102E-16</v>
      </c>
      <c r="AD36" s="305">
        <f t="shared" si="9"/>
        <v>3.4107370669469806E-16</v>
      </c>
      <c r="AE36" s="305">
        <f t="shared" si="10"/>
        <v>4.7668369045873111E-16</v>
      </c>
      <c r="AG36" s="305">
        <f t="shared" si="11"/>
        <v>1.2082513732683906E-7</v>
      </c>
      <c r="AH36" s="305">
        <f t="shared" si="12"/>
        <v>1.8311255197240305E-7</v>
      </c>
      <c r="AI36" s="305">
        <f t="shared" si="13"/>
        <v>2.5591760763210467E-7</v>
      </c>
      <c r="AK36" s="305">
        <f t="shared" si="14"/>
        <v>1.5445565376253386E-2</v>
      </c>
      <c r="AL36" s="305">
        <f t="shared" si="15"/>
        <v>2.3408017199696561E-2</v>
      </c>
      <c r="AM36" s="305">
        <f t="shared" si="16"/>
        <v>3.2714981559867795E-2</v>
      </c>
      <c r="AO36" s="305">
        <f t="shared" si="18"/>
        <v>64.86750166918533</v>
      </c>
      <c r="AP36" s="305">
        <f t="shared" si="19"/>
        <v>98.307802776071426</v>
      </c>
      <c r="AQ36" s="305">
        <f t="shared" si="20"/>
        <v>137.39471940630619</v>
      </c>
    </row>
    <row r="37" spans="1:43">
      <c r="A37">
        <v>32</v>
      </c>
      <c r="B37" s="305"/>
      <c r="C37" s="305"/>
      <c r="D37" s="305"/>
      <c r="F37" s="516">
        <f t="shared" si="17"/>
        <v>2.3196410270299164E-16</v>
      </c>
      <c r="G37" s="305">
        <f t="shared" si="0"/>
        <v>3.5154554537517271E-16</v>
      </c>
      <c r="H37" s="305">
        <f t="shared" si="1"/>
        <v>4.9131910418394926E-16</v>
      </c>
      <c r="I37" s="464"/>
      <c r="J37" s="305">
        <f t="shared" si="2"/>
        <v>2.4906955873883357E-7</v>
      </c>
      <c r="K37" s="305">
        <f t="shared" si="3"/>
        <v>3.7746915511021271E-7</v>
      </c>
      <c r="L37" s="305">
        <f t="shared" si="4"/>
        <v>5.2754987109251971E-7</v>
      </c>
      <c r="N37" s="305">
        <f t="shared" si="5"/>
        <v>4.7759351710838366E-2</v>
      </c>
      <c r="O37" s="305">
        <f t="shared" si="6"/>
        <v>7.2380110320125118E-2</v>
      </c>
      <c r="P37" s="305">
        <f t="shared" si="7"/>
        <v>0.10115824658016212</v>
      </c>
      <c r="R37" s="305">
        <f>'4.1 CBA (ed7)'!E$30</f>
        <v>267.4364023031103</v>
      </c>
      <c r="S37" s="305">
        <f>'4.1 CBA (ed7)'!F$30</f>
        <v>405.30441911177871</v>
      </c>
      <c r="T37" s="305">
        <f>'4.1 CBA (ed7)'!G$30</f>
        <v>566.45236083784698</v>
      </c>
      <c r="U37" s="305"/>
      <c r="X37">
        <v>32</v>
      </c>
      <c r="Y37" s="305"/>
      <c r="Z37" s="305"/>
      <c r="AA37" s="305"/>
      <c r="AC37" s="305">
        <f t="shared" si="8"/>
        <v>5.6263588986750256E-17</v>
      </c>
      <c r="AD37" s="305">
        <f t="shared" si="9"/>
        <v>8.5268426673674515E-17</v>
      </c>
      <c r="AE37" s="305">
        <f t="shared" si="10"/>
        <v>1.1917092261468278E-16</v>
      </c>
      <c r="AG37" s="305">
        <f t="shared" si="11"/>
        <v>6.0412568663419532E-8</v>
      </c>
      <c r="AH37" s="305">
        <f t="shared" si="12"/>
        <v>9.1556275986201527E-8</v>
      </c>
      <c r="AI37" s="305">
        <f t="shared" si="13"/>
        <v>1.2795880381605233E-7</v>
      </c>
      <c r="AK37" s="305">
        <f t="shared" si="14"/>
        <v>1.158417403219004E-2</v>
      </c>
      <c r="AL37" s="305">
        <f t="shared" si="15"/>
        <v>1.7556012899772419E-2</v>
      </c>
      <c r="AM37" s="305">
        <f t="shared" si="16"/>
        <v>2.4536236169900846E-2</v>
      </c>
      <c r="AO37" s="305">
        <f t="shared" si="18"/>
        <v>64.86750166918533</v>
      </c>
      <c r="AP37" s="305">
        <f t="shared" si="19"/>
        <v>98.307802776071426</v>
      </c>
      <c r="AQ37" s="305">
        <f t="shared" si="20"/>
        <v>137.39471940630619</v>
      </c>
    </row>
    <row r="38" spans="1:43">
      <c r="A38">
        <v>33</v>
      </c>
      <c r="B38" s="305"/>
      <c r="C38" s="305"/>
      <c r="D38" s="305"/>
      <c r="F38" s="516">
        <f t="shared" si="17"/>
        <v>5.7991025675747909E-17</v>
      </c>
      <c r="G38" s="305">
        <f t="shared" si="0"/>
        <v>8.7886386343793177E-17</v>
      </c>
      <c r="H38" s="305">
        <f t="shared" si="1"/>
        <v>1.2282977604598731E-16</v>
      </c>
      <c r="I38" s="464"/>
      <c r="J38" s="305">
        <f t="shared" si="2"/>
        <v>1.2453477936941679E-7</v>
      </c>
      <c r="K38" s="305">
        <f t="shared" si="3"/>
        <v>1.8873457755510635E-7</v>
      </c>
      <c r="L38" s="305">
        <f t="shared" si="4"/>
        <v>2.6377493554625985E-7</v>
      </c>
      <c r="N38" s="305">
        <f t="shared" si="5"/>
        <v>3.5819513783128774E-2</v>
      </c>
      <c r="O38" s="305">
        <f t="shared" si="6"/>
        <v>5.4285082740093839E-2</v>
      </c>
      <c r="P38" s="305">
        <f t="shared" si="7"/>
        <v>7.5868684935121583E-2</v>
      </c>
      <c r="R38" s="305">
        <f>'4.1 CBA (ed7)'!E$30</f>
        <v>267.4364023031103</v>
      </c>
      <c r="S38" s="305">
        <f>'4.1 CBA (ed7)'!F$30</f>
        <v>405.30441911177871</v>
      </c>
      <c r="T38" s="305">
        <f>'4.1 CBA (ed7)'!G$30</f>
        <v>566.45236083784698</v>
      </c>
      <c r="U38" s="305"/>
      <c r="X38">
        <v>33</v>
      </c>
      <c r="Y38" s="305"/>
      <c r="Z38" s="305"/>
      <c r="AA38" s="305"/>
      <c r="AC38" s="305">
        <f t="shared" si="8"/>
        <v>1.4065897246687564E-17</v>
      </c>
      <c r="AD38" s="305">
        <f t="shared" si="9"/>
        <v>2.1317106668418629E-17</v>
      </c>
      <c r="AE38" s="305">
        <f t="shared" si="10"/>
        <v>2.9792730653670694E-17</v>
      </c>
      <c r="AG38" s="305">
        <f t="shared" si="11"/>
        <v>3.0206284331709766E-8</v>
      </c>
      <c r="AH38" s="305">
        <f t="shared" si="12"/>
        <v>4.5778137993100763E-8</v>
      </c>
      <c r="AI38" s="305">
        <f t="shared" si="13"/>
        <v>6.3979401908026167E-8</v>
      </c>
      <c r="AK38" s="305">
        <f t="shared" si="14"/>
        <v>8.6881305241425302E-3</v>
      </c>
      <c r="AL38" s="305">
        <f t="shared" si="15"/>
        <v>1.3167009674829314E-2</v>
      </c>
      <c r="AM38" s="305">
        <f t="shared" si="16"/>
        <v>1.8402177127425635E-2</v>
      </c>
      <c r="AO38" s="305">
        <f t="shared" si="18"/>
        <v>64.86750166918533</v>
      </c>
      <c r="AP38" s="305">
        <f t="shared" si="19"/>
        <v>98.307802776071426</v>
      </c>
      <c r="AQ38" s="305">
        <f t="shared" si="20"/>
        <v>137.39471940630619</v>
      </c>
    </row>
    <row r="39" spans="1:43">
      <c r="A39">
        <v>34</v>
      </c>
      <c r="B39" s="305"/>
      <c r="C39" s="305"/>
      <c r="D39" s="305"/>
      <c r="F39" s="516">
        <f t="shared" si="17"/>
        <v>1.4497756418936977E-17</v>
      </c>
      <c r="G39" s="305">
        <f t="shared" si="0"/>
        <v>2.1971596585948294E-17</v>
      </c>
      <c r="H39" s="305">
        <f t="shared" si="1"/>
        <v>3.0707444011496829E-17</v>
      </c>
      <c r="I39" s="464"/>
      <c r="J39" s="305">
        <f t="shared" si="2"/>
        <v>6.2267389684708393E-8</v>
      </c>
      <c r="K39" s="305">
        <f t="shared" si="3"/>
        <v>9.4367288777553177E-8</v>
      </c>
      <c r="L39" s="305">
        <f t="shared" si="4"/>
        <v>1.3188746777312993E-7</v>
      </c>
      <c r="N39" s="305">
        <f t="shared" si="5"/>
        <v>2.6864635337346579E-2</v>
      </c>
      <c r="O39" s="305">
        <f t="shared" si="6"/>
        <v>4.0713812055070381E-2</v>
      </c>
      <c r="P39" s="305">
        <f t="shared" si="7"/>
        <v>5.6901513701341187E-2</v>
      </c>
      <c r="R39" s="305">
        <f>'4.1 CBA (ed7)'!E$30</f>
        <v>267.4364023031103</v>
      </c>
      <c r="S39" s="305">
        <f>'4.1 CBA (ed7)'!F$30</f>
        <v>405.30441911177871</v>
      </c>
      <c r="T39" s="305">
        <f>'4.1 CBA (ed7)'!G$30</f>
        <v>566.45236083784698</v>
      </c>
      <c r="U39" s="305"/>
      <c r="X39">
        <v>34</v>
      </c>
      <c r="Y39" s="305"/>
      <c r="Z39" s="305"/>
      <c r="AA39" s="305"/>
      <c r="AC39" s="305">
        <f t="shared" si="8"/>
        <v>3.516474311671891E-18</v>
      </c>
      <c r="AD39" s="305">
        <f t="shared" si="9"/>
        <v>5.3292766671046572E-18</v>
      </c>
      <c r="AE39" s="305">
        <f t="shared" si="10"/>
        <v>7.4481826634176736E-18</v>
      </c>
      <c r="AG39" s="305">
        <f t="shared" si="11"/>
        <v>1.5103142165854883E-8</v>
      </c>
      <c r="AH39" s="305">
        <f t="shared" si="12"/>
        <v>2.2889068996550382E-8</v>
      </c>
      <c r="AI39" s="305">
        <f t="shared" si="13"/>
        <v>3.1989700954013084E-8</v>
      </c>
      <c r="AK39" s="305">
        <f t="shared" si="14"/>
        <v>6.5160978931068977E-3</v>
      </c>
      <c r="AL39" s="305">
        <f t="shared" si="15"/>
        <v>9.8752572561219866E-3</v>
      </c>
      <c r="AM39" s="305">
        <f t="shared" si="16"/>
        <v>1.3801632845569227E-2</v>
      </c>
      <c r="AO39" s="305">
        <f t="shared" si="18"/>
        <v>64.86750166918533</v>
      </c>
      <c r="AP39" s="305">
        <f t="shared" si="19"/>
        <v>98.307802776071426</v>
      </c>
      <c r="AQ39" s="305">
        <f t="shared" si="20"/>
        <v>137.39471940630619</v>
      </c>
    </row>
    <row r="40" spans="1:43">
      <c r="A40">
        <v>35</v>
      </c>
      <c r="B40" s="305"/>
      <c r="C40" s="305"/>
      <c r="D40" s="305"/>
      <c r="F40" s="516">
        <f t="shared" si="17"/>
        <v>3.6244391047342443E-18</v>
      </c>
      <c r="G40" s="305">
        <f t="shared" si="0"/>
        <v>5.4928991464870736E-18</v>
      </c>
      <c r="H40" s="305">
        <f t="shared" si="1"/>
        <v>7.6768610028742071E-18</v>
      </c>
      <c r="I40" s="464"/>
      <c r="J40" s="305">
        <f t="shared" ref="J40:J58" si="21">J39*(1-$L$3)</f>
        <v>3.1133694842354196E-8</v>
      </c>
      <c r="K40" s="305">
        <f t="shared" ref="K40:K58" si="22">K39*(1-$L$3)</f>
        <v>4.7183644388776588E-8</v>
      </c>
      <c r="L40" s="305">
        <f t="shared" ref="L40:L58" si="23">L39*(1-$L$3)</f>
        <v>6.5943733886564963E-8</v>
      </c>
      <c r="N40" s="305">
        <f t="shared" ref="N40:N71" si="24">N39*(1-$P$3)</f>
        <v>2.0148476503009934E-2</v>
      </c>
      <c r="O40" s="305">
        <f t="shared" ref="O40:O71" si="25">O39*(1-$P$3)</f>
        <v>3.0535359041302786E-2</v>
      </c>
      <c r="P40" s="305">
        <f t="shared" ref="P40:P71" si="26">P39*(1-$P$3)</f>
        <v>4.2676135276005889E-2</v>
      </c>
      <c r="R40" s="305">
        <f>'4.1 CBA (ed7)'!E$30</f>
        <v>267.4364023031103</v>
      </c>
      <c r="S40" s="305">
        <f>'4.1 CBA (ed7)'!F$30</f>
        <v>405.30441911177871</v>
      </c>
      <c r="T40" s="305">
        <f>'4.1 CBA (ed7)'!G$30</f>
        <v>566.45236083784698</v>
      </c>
      <c r="U40" s="305"/>
      <c r="X40">
        <v>35</v>
      </c>
      <c r="Y40" s="305"/>
      <c r="Z40" s="305"/>
      <c r="AA40" s="305"/>
      <c r="AC40" s="305">
        <f t="shared" si="8"/>
        <v>8.7911857791797275E-19</v>
      </c>
      <c r="AD40" s="305">
        <f t="shared" si="9"/>
        <v>1.3323191667761643E-18</v>
      </c>
      <c r="AE40" s="305">
        <f t="shared" si="10"/>
        <v>1.8620456658544184E-18</v>
      </c>
      <c r="AG40" s="305">
        <f t="shared" ref="AG40:AG58" si="27">AG39*(1-$L$3)</f>
        <v>7.5515710829274415E-9</v>
      </c>
      <c r="AH40" s="305">
        <f t="shared" ref="AH40:AH58" si="28">AH39*(1-$L$3)</f>
        <v>1.1444534498275191E-8</v>
      </c>
      <c r="AI40" s="305">
        <f t="shared" ref="AI40:AI58" si="29">AI39*(1-$L$3)</f>
        <v>1.5994850477006542E-8</v>
      </c>
      <c r="AK40" s="305">
        <f t="shared" ref="AK40:AK71" si="30">AK39*(1-$P$3)</f>
        <v>4.8870734198301728E-3</v>
      </c>
      <c r="AL40" s="305">
        <f t="shared" ref="AL40:AL71" si="31">AL39*(1-$P$3)</f>
        <v>7.4064429420914899E-3</v>
      </c>
      <c r="AM40" s="305">
        <f t="shared" ref="AM40:AM71" si="32">AM39*(1-$P$3)</f>
        <v>1.035122463417692E-2</v>
      </c>
      <c r="AO40" s="305">
        <f t="shared" si="18"/>
        <v>64.86750166918533</v>
      </c>
      <c r="AP40" s="305">
        <f t="shared" si="19"/>
        <v>98.307802776071426</v>
      </c>
      <c r="AQ40" s="305">
        <f t="shared" si="20"/>
        <v>137.39471940630619</v>
      </c>
    </row>
    <row r="41" spans="1:43">
      <c r="A41">
        <v>36</v>
      </c>
      <c r="B41" s="305"/>
      <c r="C41" s="305"/>
      <c r="D41" s="305"/>
      <c r="F41" s="516">
        <f t="shared" si="17"/>
        <v>9.0610977618356109E-19</v>
      </c>
      <c r="G41" s="305">
        <f t="shared" si="0"/>
        <v>1.3732247866217684E-18</v>
      </c>
      <c r="H41" s="305">
        <f t="shared" si="1"/>
        <v>1.9192152507185518E-18</v>
      </c>
      <c r="I41" s="464"/>
      <c r="J41" s="305">
        <f t="shared" si="21"/>
        <v>1.5566847421177098E-8</v>
      </c>
      <c r="K41" s="305">
        <f t="shared" si="22"/>
        <v>2.3591822194388294E-8</v>
      </c>
      <c r="L41" s="305">
        <f t="shared" si="23"/>
        <v>3.2971866943282482E-8</v>
      </c>
      <c r="N41" s="305">
        <f t="shared" si="24"/>
        <v>1.511135737725745E-2</v>
      </c>
      <c r="O41" s="305">
        <f t="shared" si="25"/>
        <v>2.2901519280977091E-2</v>
      </c>
      <c r="P41" s="305">
        <f t="shared" si="26"/>
        <v>3.2007101457004417E-2</v>
      </c>
      <c r="R41" s="305">
        <f>'4.1 CBA (ed7)'!E$30</f>
        <v>267.4364023031103</v>
      </c>
      <c r="S41" s="305">
        <f>'4.1 CBA (ed7)'!F$30</f>
        <v>405.30441911177871</v>
      </c>
      <c r="T41" s="305">
        <f>'4.1 CBA (ed7)'!G$30</f>
        <v>566.45236083784698</v>
      </c>
      <c r="U41" s="305"/>
      <c r="X41">
        <v>36</v>
      </c>
      <c r="Y41" s="305"/>
      <c r="Z41" s="305"/>
      <c r="AA41" s="305"/>
      <c r="AC41" s="305">
        <f t="shared" si="8"/>
        <v>2.1977964447949319E-19</v>
      </c>
      <c r="AD41" s="305">
        <f t="shared" si="9"/>
        <v>3.3307979169404108E-19</v>
      </c>
      <c r="AE41" s="305">
        <f t="shared" si="10"/>
        <v>4.655114164636046E-19</v>
      </c>
      <c r="AG41" s="305">
        <f t="shared" si="27"/>
        <v>3.7757855414637207E-9</v>
      </c>
      <c r="AH41" s="305">
        <f t="shared" si="28"/>
        <v>5.7222672491375954E-9</v>
      </c>
      <c r="AI41" s="305">
        <f t="shared" si="29"/>
        <v>7.9974252385032709E-9</v>
      </c>
      <c r="AK41" s="305">
        <f t="shared" si="30"/>
        <v>3.6653050648726296E-3</v>
      </c>
      <c r="AL41" s="305">
        <f t="shared" si="31"/>
        <v>5.5548322065686172E-3</v>
      </c>
      <c r="AM41" s="305">
        <f t="shared" si="32"/>
        <v>7.7634184756326906E-3</v>
      </c>
      <c r="AO41" s="305">
        <f t="shared" si="18"/>
        <v>64.86750166918533</v>
      </c>
      <c r="AP41" s="305">
        <f t="shared" si="19"/>
        <v>98.307802776071426</v>
      </c>
      <c r="AQ41" s="305">
        <f t="shared" si="20"/>
        <v>137.39471940630619</v>
      </c>
    </row>
    <row r="42" spans="1:43">
      <c r="A42">
        <v>37</v>
      </c>
      <c r="B42" s="305"/>
      <c r="C42" s="305"/>
      <c r="D42" s="305"/>
      <c r="F42" s="516">
        <f t="shared" si="17"/>
        <v>2.2652744404589027E-19</v>
      </c>
      <c r="G42" s="305">
        <f t="shared" si="0"/>
        <v>3.433061966554421E-19</v>
      </c>
      <c r="H42" s="305">
        <f t="shared" si="1"/>
        <v>4.7980381267963795E-19</v>
      </c>
      <c r="I42" s="464"/>
      <c r="J42" s="305">
        <f t="shared" si="21"/>
        <v>7.7834237105885491E-9</v>
      </c>
      <c r="K42" s="305">
        <f t="shared" si="22"/>
        <v>1.1795911097194147E-8</v>
      </c>
      <c r="L42" s="305">
        <f t="shared" si="23"/>
        <v>1.6485933471641241E-8</v>
      </c>
      <c r="N42" s="305">
        <f t="shared" si="24"/>
        <v>1.1333518032943087E-2</v>
      </c>
      <c r="O42" s="305">
        <f t="shared" si="25"/>
        <v>1.717613946073282E-2</v>
      </c>
      <c r="P42" s="305">
        <f t="shared" si="26"/>
        <v>2.4005326092753312E-2</v>
      </c>
      <c r="R42" s="305">
        <f>'4.1 CBA (ed7)'!E$30</f>
        <v>267.4364023031103</v>
      </c>
      <c r="S42" s="305">
        <f>'4.1 CBA (ed7)'!F$30</f>
        <v>405.30441911177871</v>
      </c>
      <c r="T42" s="305">
        <f>'4.1 CBA (ed7)'!G$30</f>
        <v>566.45236083784698</v>
      </c>
      <c r="U42" s="305"/>
      <c r="X42">
        <v>37</v>
      </c>
      <c r="Y42" s="305"/>
      <c r="Z42" s="305"/>
      <c r="AA42" s="305"/>
      <c r="AC42" s="305">
        <f t="shared" si="8"/>
        <v>5.4944911119873297E-20</v>
      </c>
      <c r="AD42" s="305">
        <f t="shared" si="9"/>
        <v>8.3269947923510269E-20</v>
      </c>
      <c r="AE42" s="305">
        <f t="shared" si="10"/>
        <v>1.1637785411590115E-19</v>
      </c>
      <c r="AG42" s="305">
        <f t="shared" si="27"/>
        <v>1.8878927707318604E-9</v>
      </c>
      <c r="AH42" s="305">
        <f t="shared" si="28"/>
        <v>2.8611336245687977E-9</v>
      </c>
      <c r="AI42" s="305">
        <f t="shared" si="29"/>
        <v>3.9987126192516355E-9</v>
      </c>
      <c r="AK42" s="305">
        <f t="shared" si="30"/>
        <v>2.7489787986544724E-3</v>
      </c>
      <c r="AL42" s="305">
        <f t="shared" si="31"/>
        <v>4.1661241549264625E-3</v>
      </c>
      <c r="AM42" s="305">
        <f t="shared" si="32"/>
        <v>5.8225638567245179E-3</v>
      </c>
      <c r="AO42" s="305">
        <f t="shared" si="18"/>
        <v>64.86750166918533</v>
      </c>
      <c r="AP42" s="305">
        <f t="shared" si="19"/>
        <v>98.307802776071426</v>
      </c>
      <c r="AQ42" s="305">
        <f t="shared" si="20"/>
        <v>137.39471940630619</v>
      </c>
    </row>
    <row r="43" spans="1:43">
      <c r="A43">
        <v>38</v>
      </c>
      <c r="B43" s="305"/>
      <c r="C43" s="305"/>
      <c r="D43" s="305"/>
      <c r="F43" s="516">
        <f t="shared" si="17"/>
        <v>5.6631861011472568E-20</v>
      </c>
      <c r="G43" s="305">
        <f t="shared" si="0"/>
        <v>8.5826549163860524E-20</v>
      </c>
      <c r="H43" s="305">
        <f t="shared" si="1"/>
        <v>1.1995095316990949E-19</v>
      </c>
      <c r="I43" s="464"/>
      <c r="J43" s="305">
        <f t="shared" si="21"/>
        <v>3.8917118552942746E-9</v>
      </c>
      <c r="K43" s="305">
        <f t="shared" si="22"/>
        <v>5.8979555485970736E-9</v>
      </c>
      <c r="L43" s="305">
        <f t="shared" si="23"/>
        <v>8.2429667358206204E-9</v>
      </c>
      <c r="N43" s="305">
        <f t="shared" si="24"/>
        <v>8.5001385247073149E-3</v>
      </c>
      <c r="O43" s="305">
        <f t="shared" si="25"/>
        <v>1.2882104595549615E-2</v>
      </c>
      <c r="P43" s="305">
        <f t="shared" si="26"/>
        <v>1.8003994569564984E-2</v>
      </c>
      <c r="R43" s="305">
        <f>'4.1 CBA (ed7)'!E$30</f>
        <v>267.4364023031103</v>
      </c>
      <c r="S43" s="305">
        <f>'4.1 CBA (ed7)'!F$30</f>
        <v>405.30441911177871</v>
      </c>
      <c r="T43" s="305">
        <f>'4.1 CBA (ed7)'!G$30</f>
        <v>566.45236083784698</v>
      </c>
      <c r="U43" s="305"/>
      <c r="X43">
        <v>38</v>
      </c>
      <c r="Y43" s="305"/>
      <c r="Z43" s="305"/>
      <c r="AA43" s="305"/>
      <c r="AC43" s="305">
        <f t="shared" si="8"/>
        <v>1.3736227779968324E-20</v>
      </c>
      <c r="AD43" s="305">
        <f t="shared" si="9"/>
        <v>2.0817486980877567E-20</v>
      </c>
      <c r="AE43" s="305">
        <f t="shared" si="10"/>
        <v>2.9094463528975287E-20</v>
      </c>
      <c r="AG43" s="305">
        <f t="shared" si="27"/>
        <v>9.4394638536593018E-10</v>
      </c>
      <c r="AH43" s="305">
        <f t="shared" si="28"/>
        <v>1.4305668122843989E-9</v>
      </c>
      <c r="AI43" s="305">
        <f t="shared" si="29"/>
        <v>1.9993563096258177E-9</v>
      </c>
      <c r="AK43" s="305">
        <f t="shared" si="30"/>
        <v>2.0617340989908545E-3</v>
      </c>
      <c r="AL43" s="305">
        <f t="shared" si="31"/>
        <v>3.1245931161948469E-3</v>
      </c>
      <c r="AM43" s="305">
        <f t="shared" si="32"/>
        <v>4.3669228925433887E-3</v>
      </c>
      <c r="AO43" s="305">
        <f t="shared" si="18"/>
        <v>64.86750166918533</v>
      </c>
      <c r="AP43" s="305">
        <f t="shared" si="19"/>
        <v>98.307802776071426</v>
      </c>
      <c r="AQ43" s="305">
        <f t="shared" si="20"/>
        <v>137.39471940630619</v>
      </c>
    </row>
    <row r="44" spans="1:43">
      <c r="A44">
        <v>39</v>
      </c>
      <c r="B44" s="305"/>
      <c r="C44" s="305"/>
      <c r="D44" s="305"/>
      <c r="F44" s="516">
        <f t="shared" si="17"/>
        <v>1.4157965252868142E-20</v>
      </c>
      <c r="G44" s="305">
        <f t="shared" si="0"/>
        <v>2.1456637290965131E-20</v>
      </c>
      <c r="H44" s="305">
        <f t="shared" si="1"/>
        <v>2.9987738292477372E-20</v>
      </c>
      <c r="I44" s="464"/>
      <c r="J44" s="305">
        <f t="shared" si="21"/>
        <v>1.9458559276471373E-9</v>
      </c>
      <c r="K44" s="305">
        <f t="shared" si="22"/>
        <v>2.9489777742985368E-9</v>
      </c>
      <c r="L44" s="305">
        <f t="shared" si="23"/>
        <v>4.1214833679103102E-9</v>
      </c>
      <c r="N44" s="305">
        <f t="shared" si="24"/>
        <v>6.3751038935304857E-3</v>
      </c>
      <c r="O44" s="305">
        <f t="shared" si="25"/>
        <v>9.6615784466622112E-3</v>
      </c>
      <c r="P44" s="305">
        <f t="shared" si="26"/>
        <v>1.3502995927173737E-2</v>
      </c>
      <c r="R44" s="305">
        <f>'4.1 CBA (ed7)'!E$30</f>
        <v>267.4364023031103</v>
      </c>
      <c r="S44" s="305">
        <f>'4.1 CBA (ed7)'!F$30</f>
        <v>405.30441911177871</v>
      </c>
      <c r="T44" s="305">
        <f>'4.1 CBA (ed7)'!G$30</f>
        <v>566.45236083784698</v>
      </c>
      <c r="U44" s="305"/>
      <c r="X44">
        <v>39</v>
      </c>
      <c r="Y44" s="305"/>
      <c r="Z44" s="305"/>
      <c r="AA44" s="305"/>
      <c r="AC44" s="305">
        <f t="shared" si="8"/>
        <v>3.4340569449920811E-21</v>
      </c>
      <c r="AD44" s="305">
        <f t="shared" si="9"/>
        <v>5.2043717452193918E-21</v>
      </c>
      <c r="AE44" s="305">
        <f t="shared" si="10"/>
        <v>7.2736158822438219E-21</v>
      </c>
      <c r="AG44" s="305">
        <f t="shared" si="27"/>
        <v>4.7197319268296509E-10</v>
      </c>
      <c r="AH44" s="305">
        <f t="shared" si="28"/>
        <v>7.1528340614219943E-10</v>
      </c>
      <c r="AI44" s="305">
        <f t="shared" si="29"/>
        <v>9.9967815481290886E-10</v>
      </c>
      <c r="AK44" s="305">
        <f t="shared" si="30"/>
        <v>1.5463005742431409E-3</v>
      </c>
      <c r="AL44" s="305">
        <f t="shared" si="31"/>
        <v>2.343444837146135E-3</v>
      </c>
      <c r="AM44" s="305">
        <f t="shared" si="32"/>
        <v>3.2751921694075415E-3</v>
      </c>
      <c r="AO44" s="305">
        <f t="shared" si="18"/>
        <v>64.86750166918533</v>
      </c>
      <c r="AP44" s="305">
        <f t="shared" si="19"/>
        <v>98.307802776071426</v>
      </c>
      <c r="AQ44" s="305">
        <f t="shared" si="20"/>
        <v>137.39471940630619</v>
      </c>
    </row>
    <row r="45" spans="1:43">
      <c r="A45">
        <v>40</v>
      </c>
      <c r="B45" s="305"/>
      <c r="C45" s="305"/>
      <c r="D45" s="305"/>
      <c r="F45" s="516">
        <f t="shared" si="17"/>
        <v>3.5394913132170355E-21</v>
      </c>
      <c r="G45" s="305">
        <f t="shared" si="0"/>
        <v>5.3641593227412828E-21</v>
      </c>
      <c r="H45" s="305">
        <f t="shared" si="1"/>
        <v>7.4969345731193429E-21</v>
      </c>
      <c r="I45" s="464"/>
      <c r="J45" s="305">
        <f t="shared" si="21"/>
        <v>9.7292796382356864E-10</v>
      </c>
      <c r="K45" s="305">
        <f t="shared" si="22"/>
        <v>1.4744888871492684E-9</v>
      </c>
      <c r="L45" s="305">
        <f t="shared" si="23"/>
        <v>2.0607416839551551E-9</v>
      </c>
      <c r="N45" s="305">
        <f t="shared" si="24"/>
        <v>4.7813279201478643E-3</v>
      </c>
      <c r="O45" s="305">
        <f t="shared" si="25"/>
        <v>7.2461838349966584E-3</v>
      </c>
      <c r="P45" s="305">
        <f t="shared" si="26"/>
        <v>1.0127246945380303E-2</v>
      </c>
      <c r="R45" s="305">
        <f>'4.1 CBA (ed7)'!E$30</f>
        <v>267.4364023031103</v>
      </c>
      <c r="S45" s="305">
        <f>'4.1 CBA (ed7)'!F$30</f>
        <v>405.30441911177871</v>
      </c>
      <c r="T45" s="305">
        <f>'4.1 CBA (ed7)'!G$30</f>
        <v>566.45236083784698</v>
      </c>
      <c r="U45" s="305"/>
      <c r="X45">
        <v>40</v>
      </c>
      <c r="Y45" s="305"/>
      <c r="Z45" s="305"/>
      <c r="AA45" s="305"/>
      <c r="AC45" s="305">
        <f t="shared" si="8"/>
        <v>8.5851423624802026E-22</v>
      </c>
      <c r="AD45" s="305">
        <f t="shared" si="9"/>
        <v>1.301092936304848E-21</v>
      </c>
      <c r="AE45" s="305">
        <f t="shared" si="10"/>
        <v>1.8184039705609555E-21</v>
      </c>
      <c r="AG45" s="305">
        <f t="shared" si="27"/>
        <v>2.3598659634148255E-10</v>
      </c>
      <c r="AH45" s="305">
        <f t="shared" si="28"/>
        <v>3.5764170307109971E-10</v>
      </c>
      <c r="AI45" s="305">
        <f t="shared" si="29"/>
        <v>4.9983907740645443E-10</v>
      </c>
      <c r="AK45" s="305">
        <f t="shared" si="30"/>
        <v>1.1597254306823556E-3</v>
      </c>
      <c r="AL45" s="305">
        <f t="shared" si="31"/>
        <v>1.7575836278596012E-3</v>
      </c>
      <c r="AM45" s="305">
        <f t="shared" si="32"/>
        <v>2.4563941270556561E-3</v>
      </c>
      <c r="AO45" s="305">
        <f t="shared" si="18"/>
        <v>64.86750166918533</v>
      </c>
      <c r="AP45" s="305">
        <f t="shared" si="19"/>
        <v>98.307802776071426</v>
      </c>
      <c r="AQ45" s="305">
        <f t="shared" si="20"/>
        <v>137.39471940630619</v>
      </c>
    </row>
    <row r="46" spans="1:43">
      <c r="A46">
        <v>41</v>
      </c>
      <c r="B46" s="305"/>
      <c r="C46" s="305"/>
      <c r="D46" s="305"/>
      <c r="F46" s="516">
        <f t="shared" si="17"/>
        <v>8.8487282830425887E-22</v>
      </c>
      <c r="G46" s="305">
        <f t="shared" si="0"/>
        <v>1.3410398306853207E-21</v>
      </c>
      <c r="H46" s="305">
        <f t="shared" si="1"/>
        <v>1.8742336432798357E-21</v>
      </c>
      <c r="I46" s="464"/>
      <c r="J46" s="305">
        <f t="shared" si="21"/>
        <v>4.8646398191178432E-10</v>
      </c>
      <c r="K46" s="305">
        <f t="shared" si="22"/>
        <v>7.3724444357463419E-10</v>
      </c>
      <c r="L46" s="305">
        <f t="shared" si="23"/>
        <v>1.0303708419775776E-9</v>
      </c>
      <c r="N46" s="305">
        <f t="shared" si="24"/>
        <v>3.5859959401108982E-3</v>
      </c>
      <c r="O46" s="305">
        <f t="shared" si="25"/>
        <v>5.4346378762474938E-3</v>
      </c>
      <c r="P46" s="305">
        <f t="shared" si="26"/>
        <v>7.5954352090352277E-3</v>
      </c>
      <c r="R46" s="305">
        <f>'4.1 CBA (ed7)'!E$30</f>
        <v>267.4364023031103</v>
      </c>
      <c r="S46" s="305">
        <f>'4.1 CBA (ed7)'!F$30</f>
        <v>405.30441911177871</v>
      </c>
      <c r="T46" s="305">
        <f>'4.1 CBA (ed7)'!G$30</f>
        <v>566.45236083784698</v>
      </c>
      <c r="U46" s="305"/>
      <c r="X46">
        <v>41</v>
      </c>
      <c r="Y46" s="305"/>
      <c r="Z46" s="305"/>
      <c r="AA46" s="305"/>
      <c r="AC46" s="305">
        <f t="shared" si="8"/>
        <v>2.1462855906200507E-22</v>
      </c>
      <c r="AD46" s="305">
        <f t="shared" si="9"/>
        <v>3.2527323407621199E-22</v>
      </c>
      <c r="AE46" s="305">
        <f t="shared" si="10"/>
        <v>4.5460099264023887E-22</v>
      </c>
      <c r="AG46" s="305">
        <f t="shared" si="27"/>
        <v>1.1799329817074127E-10</v>
      </c>
      <c r="AH46" s="305">
        <f t="shared" si="28"/>
        <v>1.7882085153554986E-10</v>
      </c>
      <c r="AI46" s="305">
        <f t="shared" si="29"/>
        <v>2.4991953870322722E-10</v>
      </c>
      <c r="AK46" s="305">
        <f t="shared" si="30"/>
        <v>8.6979407301176668E-4</v>
      </c>
      <c r="AL46" s="305">
        <f t="shared" si="31"/>
        <v>1.3181877208947009E-3</v>
      </c>
      <c r="AM46" s="305">
        <f t="shared" si="32"/>
        <v>1.842295595291742E-3</v>
      </c>
      <c r="AO46" s="305">
        <f t="shared" si="18"/>
        <v>64.86750166918533</v>
      </c>
      <c r="AP46" s="305">
        <f t="shared" si="19"/>
        <v>98.307802776071426</v>
      </c>
      <c r="AQ46" s="305">
        <f t="shared" si="20"/>
        <v>137.39471940630619</v>
      </c>
    </row>
    <row r="47" spans="1:43">
      <c r="A47">
        <v>42</v>
      </c>
      <c r="B47" s="305"/>
      <c r="C47" s="305"/>
      <c r="D47" s="305"/>
      <c r="F47" s="516">
        <f t="shared" si="17"/>
        <v>2.2121820707606472E-22</v>
      </c>
      <c r="G47" s="305">
        <f t="shared" si="0"/>
        <v>3.3525995767133017E-22</v>
      </c>
      <c r="H47" s="305">
        <f t="shared" si="1"/>
        <v>4.6855841081995893E-22</v>
      </c>
      <c r="I47" s="464"/>
      <c r="J47" s="305">
        <f t="shared" si="21"/>
        <v>2.4323199095589216E-10</v>
      </c>
      <c r="K47" s="305">
        <f t="shared" si="22"/>
        <v>3.686222217873171E-10</v>
      </c>
      <c r="L47" s="305">
        <f t="shared" si="23"/>
        <v>5.1518542098878878E-10</v>
      </c>
      <c r="N47" s="305">
        <f t="shared" si="24"/>
        <v>2.6894969550831736E-3</v>
      </c>
      <c r="O47" s="305">
        <f t="shared" si="25"/>
        <v>4.0759784071856204E-3</v>
      </c>
      <c r="P47" s="305">
        <f t="shared" si="26"/>
        <v>5.6965764067764208E-3</v>
      </c>
      <c r="R47" s="305">
        <f>'4.1 CBA (ed7)'!E$30</f>
        <v>267.4364023031103</v>
      </c>
      <c r="S47" s="305">
        <f>'4.1 CBA (ed7)'!F$30</f>
        <v>405.30441911177871</v>
      </c>
      <c r="T47" s="305">
        <f>'4.1 CBA (ed7)'!G$30</f>
        <v>566.45236083784698</v>
      </c>
      <c r="U47" s="305"/>
      <c r="X47">
        <v>42</v>
      </c>
      <c r="Y47" s="305"/>
      <c r="Z47" s="305"/>
      <c r="AA47" s="305"/>
      <c r="AC47" s="305">
        <f t="shared" si="8"/>
        <v>5.3657139765501267E-23</v>
      </c>
      <c r="AD47" s="305">
        <f t="shared" si="9"/>
        <v>8.1318308519052997E-23</v>
      </c>
      <c r="AE47" s="305">
        <f t="shared" si="10"/>
        <v>1.1365024816005972E-22</v>
      </c>
      <c r="AG47" s="305">
        <f t="shared" si="27"/>
        <v>5.8996649085370636E-11</v>
      </c>
      <c r="AH47" s="305">
        <f t="shared" si="28"/>
        <v>8.9410425767774929E-11</v>
      </c>
      <c r="AI47" s="305">
        <f t="shared" si="29"/>
        <v>1.2495976935161361E-10</v>
      </c>
      <c r="AK47" s="305">
        <f t="shared" si="30"/>
        <v>6.5234555475882495E-4</v>
      </c>
      <c r="AL47" s="305">
        <f t="shared" si="31"/>
        <v>9.8864079067102566E-4</v>
      </c>
      <c r="AM47" s="305">
        <f t="shared" si="32"/>
        <v>1.3817216964688065E-3</v>
      </c>
      <c r="AO47" s="305">
        <f t="shared" si="18"/>
        <v>64.86750166918533</v>
      </c>
      <c r="AP47" s="305">
        <f t="shared" si="19"/>
        <v>98.307802776071426</v>
      </c>
      <c r="AQ47" s="305">
        <f t="shared" si="20"/>
        <v>137.39471940630619</v>
      </c>
    </row>
    <row r="48" spans="1:43">
      <c r="A48">
        <v>43</v>
      </c>
      <c r="B48" s="305"/>
      <c r="C48" s="305"/>
      <c r="D48" s="305"/>
      <c r="F48" s="516">
        <f t="shared" si="17"/>
        <v>5.530455176901618E-23</v>
      </c>
      <c r="G48" s="305">
        <f t="shared" si="0"/>
        <v>8.3814989417832543E-23</v>
      </c>
      <c r="H48" s="305">
        <f t="shared" si="1"/>
        <v>1.1713960270498973E-22</v>
      </c>
      <c r="I48" s="464"/>
      <c r="J48" s="305">
        <f t="shared" si="21"/>
        <v>1.2161599547794608E-10</v>
      </c>
      <c r="K48" s="305">
        <f t="shared" si="22"/>
        <v>1.8431111089365855E-10</v>
      </c>
      <c r="L48" s="305">
        <f t="shared" si="23"/>
        <v>2.5759271049439439E-10</v>
      </c>
      <c r="N48" s="305">
        <f t="shared" si="24"/>
        <v>2.0171227163123802E-3</v>
      </c>
      <c r="O48" s="305">
        <f t="shared" si="25"/>
        <v>3.0569838053892155E-3</v>
      </c>
      <c r="P48" s="305">
        <f t="shared" si="26"/>
        <v>4.2724323050823158E-3</v>
      </c>
      <c r="R48" s="305">
        <f>'4.1 CBA (ed7)'!E$30</f>
        <v>267.4364023031103</v>
      </c>
      <c r="S48" s="305">
        <f>'4.1 CBA (ed7)'!F$30</f>
        <v>405.30441911177871</v>
      </c>
      <c r="T48" s="305">
        <f>'4.1 CBA (ed7)'!G$30</f>
        <v>566.45236083784698</v>
      </c>
      <c r="U48" s="305"/>
      <c r="X48">
        <v>43</v>
      </c>
      <c r="Y48" s="305"/>
      <c r="Z48" s="305"/>
      <c r="AA48" s="305"/>
      <c r="AC48" s="305">
        <f t="shared" si="8"/>
        <v>1.3414284941375317E-23</v>
      </c>
      <c r="AD48" s="305">
        <f t="shared" si="9"/>
        <v>2.0329577129763249E-23</v>
      </c>
      <c r="AE48" s="305">
        <f t="shared" si="10"/>
        <v>2.8412562040014929E-23</v>
      </c>
      <c r="AG48" s="305">
        <f t="shared" si="27"/>
        <v>2.9498324542685318E-11</v>
      </c>
      <c r="AH48" s="305">
        <f t="shared" si="28"/>
        <v>4.4705212883887464E-11</v>
      </c>
      <c r="AI48" s="305">
        <f t="shared" si="29"/>
        <v>6.2479884675806804E-11</v>
      </c>
      <c r="AK48" s="305">
        <f t="shared" si="30"/>
        <v>4.8925916606911866E-4</v>
      </c>
      <c r="AL48" s="305">
        <f t="shared" si="31"/>
        <v>7.4148059300326919E-4</v>
      </c>
      <c r="AM48" s="305">
        <f t="shared" si="32"/>
        <v>1.0362912723516048E-3</v>
      </c>
      <c r="AO48" s="305">
        <f t="shared" si="18"/>
        <v>64.86750166918533</v>
      </c>
      <c r="AP48" s="305">
        <f t="shared" si="19"/>
        <v>98.307802776071426</v>
      </c>
      <c r="AQ48" s="305">
        <f t="shared" si="20"/>
        <v>137.39471940630619</v>
      </c>
    </row>
    <row r="49" spans="1:43">
      <c r="A49">
        <v>44</v>
      </c>
      <c r="B49" s="305"/>
      <c r="C49" s="305"/>
      <c r="D49" s="305"/>
      <c r="F49" s="516">
        <f t="shared" si="17"/>
        <v>1.3826137942254045E-23</v>
      </c>
      <c r="G49" s="305">
        <f t="shared" si="0"/>
        <v>2.0953747354458136E-23</v>
      </c>
      <c r="H49" s="305">
        <f t="shared" si="1"/>
        <v>2.9284900676247433E-23</v>
      </c>
      <c r="I49" s="464"/>
      <c r="J49" s="305">
        <f t="shared" si="21"/>
        <v>6.080799773897304E-11</v>
      </c>
      <c r="K49" s="305">
        <f t="shared" si="22"/>
        <v>9.2155555446829274E-11</v>
      </c>
      <c r="L49" s="305">
        <f t="shared" si="23"/>
        <v>1.2879635524719719E-10</v>
      </c>
      <c r="N49" s="305">
        <f t="shared" si="24"/>
        <v>1.512842037234285E-3</v>
      </c>
      <c r="O49" s="305">
        <f t="shared" si="25"/>
        <v>2.2927378540419114E-3</v>
      </c>
      <c r="P49" s="305">
        <f t="shared" si="26"/>
        <v>3.2043242288117366E-3</v>
      </c>
      <c r="R49" s="305">
        <f>'4.1 CBA (ed7)'!E$30</f>
        <v>267.4364023031103</v>
      </c>
      <c r="S49" s="305">
        <f>'4.1 CBA (ed7)'!F$30</f>
        <v>405.30441911177871</v>
      </c>
      <c r="T49" s="305">
        <f>'4.1 CBA (ed7)'!G$30</f>
        <v>566.45236083784698</v>
      </c>
      <c r="U49" s="305"/>
      <c r="X49">
        <v>44</v>
      </c>
      <c r="Y49" s="305"/>
      <c r="Z49" s="305"/>
      <c r="AA49" s="305"/>
      <c r="AC49" s="305">
        <f t="shared" si="8"/>
        <v>3.3535712353438292E-24</v>
      </c>
      <c r="AD49" s="305">
        <f t="shared" si="9"/>
        <v>5.0823942824408123E-24</v>
      </c>
      <c r="AE49" s="305">
        <f t="shared" si="10"/>
        <v>7.1031405100037323E-24</v>
      </c>
      <c r="AG49" s="305">
        <f t="shared" si="27"/>
        <v>1.4749162271342659E-11</v>
      </c>
      <c r="AH49" s="305">
        <f t="shared" si="28"/>
        <v>2.2352606441943732E-11</v>
      </c>
      <c r="AI49" s="305">
        <f t="shared" si="29"/>
        <v>3.1239942337903402E-11</v>
      </c>
      <c r="AK49" s="305">
        <f t="shared" si="30"/>
        <v>3.66944374551839E-4</v>
      </c>
      <c r="AL49" s="305">
        <f t="shared" si="31"/>
        <v>5.5611044475245195E-4</v>
      </c>
      <c r="AM49" s="305">
        <f t="shared" si="32"/>
        <v>7.7721845426370357E-4</v>
      </c>
      <c r="AO49" s="305">
        <f t="shared" si="18"/>
        <v>64.86750166918533</v>
      </c>
      <c r="AP49" s="305">
        <f t="shared" si="19"/>
        <v>98.307802776071426</v>
      </c>
      <c r="AQ49" s="305">
        <f t="shared" si="20"/>
        <v>137.39471940630619</v>
      </c>
    </row>
    <row r="50" spans="1:43">
      <c r="A50">
        <v>45</v>
      </c>
      <c r="B50" s="305"/>
      <c r="C50" s="305"/>
      <c r="D50" s="305"/>
      <c r="F50" s="516">
        <f t="shared" si="17"/>
        <v>3.4565344855635112E-24</v>
      </c>
      <c r="G50" s="305">
        <f t="shared" si="0"/>
        <v>5.238436838614534E-24</v>
      </c>
      <c r="H50" s="305">
        <f t="shared" si="1"/>
        <v>7.3212251690618583E-24</v>
      </c>
      <c r="I50" s="464"/>
      <c r="J50" s="305">
        <f t="shared" si="21"/>
        <v>3.040399886948652E-11</v>
      </c>
      <c r="K50" s="305">
        <f t="shared" si="22"/>
        <v>4.6077777723414637E-11</v>
      </c>
      <c r="L50" s="305">
        <f t="shared" si="23"/>
        <v>6.4398177623598597E-11</v>
      </c>
      <c r="N50" s="305">
        <f t="shared" si="24"/>
        <v>1.1346315279257137E-3</v>
      </c>
      <c r="O50" s="305">
        <f t="shared" si="25"/>
        <v>1.7195533905314335E-3</v>
      </c>
      <c r="P50" s="305">
        <f t="shared" si="26"/>
        <v>2.4032431716088025E-3</v>
      </c>
      <c r="R50" s="305">
        <f>'4.1 CBA (ed7)'!E$30</f>
        <v>267.4364023031103</v>
      </c>
      <c r="S50" s="305">
        <f>'4.1 CBA (ed7)'!F$30</f>
        <v>405.30441911177871</v>
      </c>
      <c r="T50" s="305">
        <f>'4.1 CBA (ed7)'!G$30</f>
        <v>566.45236083784698</v>
      </c>
      <c r="U50" s="305"/>
      <c r="X50">
        <v>45</v>
      </c>
      <c r="Y50" s="305"/>
      <c r="Z50" s="305"/>
      <c r="AA50" s="305"/>
      <c r="AC50" s="305">
        <f t="shared" si="8"/>
        <v>8.3839280883595729E-25</v>
      </c>
      <c r="AD50" s="305">
        <f t="shared" si="9"/>
        <v>1.2705985706102031E-24</v>
      </c>
      <c r="AE50" s="305">
        <f t="shared" si="10"/>
        <v>1.7757851275009331E-24</v>
      </c>
      <c r="AG50" s="305">
        <f t="shared" si="27"/>
        <v>7.3745811356713296E-12</v>
      </c>
      <c r="AH50" s="305">
        <f t="shared" si="28"/>
        <v>1.1176303220971866E-11</v>
      </c>
      <c r="AI50" s="305">
        <f t="shared" si="29"/>
        <v>1.5619971168951701E-11</v>
      </c>
      <c r="AK50" s="305">
        <f t="shared" si="30"/>
        <v>2.7520828091387927E-4</v>
      </c>
      <c r="AL50" s="305">
        <f t="shared" si="31"/>
        <v>4.1708283356433896E-4</v>
      </c>
      <c r="AM50" s="305">
        <f t="shared" si="32"/>
        <v>5.8291384069777768E-4</v>
      </c>
      <c r="AO50" s="305">
        <f t="shared" si="18"/>
        <v>64.86750166918533</v>
      </c>
      <c r="AP50" s="305">
        <f t="shared" si="19"/>
        <v>98.307802776071426</v>
      </c>
      <c r="AQ50" s="305">
        <f t="shared" si="20"/>
        <v>137.39471940630619</v>
      </c>
    </row>
    <row r="51" spans="1:43">
      <c r="A51">
        <v>46</v>
      </c>
      <c r="B51" s="305"/>
      <c r="C51" s="305"/>
      <c r="D51" s="305"/>
      <c r="F51" s="516">
        <f t="shared" si="17"/>
        <v>8.6413362139087781E-25</v>
      </c>
      <c r="G51" s="305">
        <f t="shared" si="0"/>
        <v>1.3096092096536335E-24</v>
      </c>
      <c r="H51" s="305">
        <f t="shared" si="1"/>
        <v>1.8303062922654646E-24</v>
      </c>
      <c r="I51" s="464"/>
      <c r="J51" s="305">
        <f t="shared" si="21"/>
        <v>1.520199943474326E-11</v>
      </c>
      <c r="K51" s="305">
        <f t="shared" si="22"/>
        <v>2.3038888861707319E-11</v>
      </c>
      <c r="L51" s="305">
        <f t="shared" si="23"/>
        <v>3.2199088811799298E-11</v>
      </c>
      <c r="N51" s="305">
        <f t="shared" si="24"/>
        <v>8.5097364594428524E-4</v>
      </c>
      <c r="O51" s="305">
        <f t="shared" si="25"/>
        <v>1.2896650428985751E-3</v>
      </c>
      <c r="P51" s="305">
        <f t="shared" si="26"/>
        <v>1.8024323787066017E-3</v>
      </c>
      <c r="R51" s="305">
        <f>'4.1 CBA (ed7)'!E$30</f>
        <v>267.4364023031103</v>
      </c>
      <c r="S51" s="305">
        <f>'4.1 CBA (ed7)'!F$30</f>
        <v>405.30441911177871</v>
      </c>
      <c r="T51" s="305">
        <f>'4.1 CBA (ed7)'!G$30</f>
        <v>566.45236083784698</v>
      </c>
      <c r="U51" s="305"/>
      <c r="X51">
        <v>46</v>
      </c>
      <c r="Y51" s="305"/>
      <c r="Z51" s="305"/>
      <c r="AA51" s="305"/>
      <c r="AC51" s="305">
        <f t="shared" si="8"/>
        <v>2.0959820220898932E-25</v>
      </c>
      <c r="AD51" s="305">
        <f t="shared" si="9"/>
        <v>3.1764964265255077E-25</v>
      </c>
      <c r="AE51" s="305">
        <f t="shared" si="10"/>
        <v>4.4394628187523327E-25</v>
      </c>
      <c r="AG51" s="305">
        <f t="shared" si="27"/>
        <v>3.6872905678356648E-12</v>
      </c>
      <c r="AH51" s="305">
        <f t="shared" si="28"/>
        <v>5.588151610485933E-12</v>
      </c>
      <c r="AI51" s="305">
        <f t="shared" si="29"/>
        <v>7.8099855844758505E-12</v>
      </c>
      <c r="AK51" s="305">
        <f t="shared" si="30"/>
        <v>2.0640621068540946E-4</v>
      </c>
      <c r="AL51" s="305">
        <f t="shared" si="31"/>
        <v>3.1281212517325423E-4</v>
      </c>
      <c r="AM51" s="305">
        <f t="shared" si="32"/>
        <v>4.3718538052333326E-4</v>
      </c>
      <c r="AO51" s="305">
        <f t="shared" si="18"/>
        <v>64.86750166918533</v>
      </c>
      <c r="AP51" s="305">
        <f t="shared" si="19"/>
        <v>98.307802776071426</v>
      </c>
      <c r="AQ51" s="305">
        <f t="shared" si="20"/>
        <v>137.39471940630619</v>
      </c>
    </row>
    <row r="52" spans="1:43">
      <c r="A52">
        <v>47</v>
      </c>
      <c r="B52" s="305"/>
      <c r="C52" s="305"/>
      <c r="D52" s="305"/>
      <c r="F52" s="516">
        <f t="shared" si="17"/>
        <v>2.1603340534771945E-25</v>
      </c>
      <c r="G52" s="305">
        <f t="shared" si="0"/>
        <v>3.2740230241340837E-25</v>
      </c>
      <c r="H52" s="305">
        <f t="shared" si="1"/>
        <v>4.5757657306636614E-25</v>
      </c>
      <c r="I52" s="464"/>
      <c r="J52" s="305">
        <f t="shared" si="21"/>
        <v>7.60099971737163E-12</v>
      </c>
      <c r="K52" s="305">
        <f t="shared" si="22"/>
        <v>1.1519444430853659E-11</v>
      </c>
      <c r="L52" s="305">
        <f t="shared" si="23"/>
        <v>1.6099544405899649E-11</v>
      </c>
      <c r="N52" s="305">
        <f t="shared" si="24"/>
        <v>6.3823023445821396E-4</v>
      </c>
      <c r="O52" s="305">
        <f t="shared" si="25"/>
        <v>9.6724878217393129E-4</v>
      </c>
      <c r="P52" s="305">
        <f t="shared" si="26"/>
        <v>1.3518242840299512E-3</v>
      </c>
      <c r="R52" s="305">
        <f>'4.1 CBA (ed7)'!E$30</f>
        <v>267.4364023031103</v>
      </c>
      <c r="S52" s="305">
        <f>'4.1 CBA (ed7)'!F$30</f>
        <v>405.30441911177871</v>
      </c>
      <c r="T52" s="305">
        <f>'4.1 CBA (ed7)'!G$30</f>
        <v>566.45236083784698</v>
      </c>
      <c r="U52" s="305"/>
      <c r="X52">
        <v>47</v>
      </c>
      <c r="Y52" s="305"/>
      <c r="Z52" s="305"/>
      <c r="AA52" s="305"/>
      <c r="AC52" s="305">
        <f t="shared" si="8"/>
        <v>5.2399550552247331E-26</v>
      </c>
      <c r="AD52" s="305">
        <f t="shared" si="9"/>
        <v>7.9412410663137692E-26</v>
      </c>
      <c r="AE52" s="305">
        <f t="shared" si="10"/>
        <v>1.1098657046880832E-25</v>
      </c>
      <c r="AG52" s="305">
        <f t="shared" si="27"/>
        <v>1.8436452839178324E-12</v>
      </c>
      <c r="AH52" s="305">
        <f t="shared" si="28"/>
        <v>2.7940758052429665E-12</v>
      </c>
      <c r="AI52" s="305">
        <f t="shared" si="29"/>
        <v>3.9049927922379253E-12</v>
      </c>
      <c r="AK52" s="305">
        <f t="shared" si="30"/>
        <v>1.5480465801405709E-4</v>
      </c>
      <c r="AL52" s="305">
        <f t="shared" si="31"/>
        <v>2.3460909387994068E-4</v>
      </c>
      <c r="AM52" s="305">
        <f t="shared" si="32"/>
        <v>3.2788903539249996E-4</v>
      </c>
      <c r="AO52" s="305">
        <f t="shared" si="18"/>
        <v>64.86750166918533</v>
      </c>
      <c r="AP52" s="305">
        <f t="shared" si="19"/>
        <v>98.307802776071426</v>
      </c>
      <c r="AQ52" s="305">
        <f t="shared" si="20"/>
        <v>137.39471940630619</v>
      </c>
    </row>
    <row r="53" spans="1:43">
      <c r="A53">
        <v>48</v>
      </c>
      <c r="B53" s="305"/>
      <c r="C53" s="305"/>
      <c r="D53" s="305"/>
      <c r="F53" s="516"/>
      <c r="G53" s="305"/>
      <c r="H53" s="305"/>
      <c r="I53" s="464"/>
      <c r="J53" s="305">
        <f t="shared" si="21"/>
        <v>3.800499858685815E-12</v>
      </c>
      <c r="K53" s="305">
        <f t="shared" si="22"/>
        <v>5.7597222154268296E-12</v>
      </c>
      <c r="L53" s="305">
        <f t="shared" si="23"/>
        <v>8.0497722029498246E-12</v>
      </c>
      <c r="N53" s="305">
        <f t="shared" si="24"/>
        <v>4.7867267584366047E-4</v>
      </c>
      <c r="O53" s="305">
        <f t="shared" si="25"/>
        <v>7.2543658663044852E-4</v>
      </c>
      <c r="P53" s="305">
        <f t="shared" si="26"/>
        <v>1.0138682130224634E-3</v>
      </c>
      <c r="R53" s="305">
        <f>'4.1 CBA (ed7)'!E$30</f>
        <v>267.4364023031103</v>
      </c>
      <c r="S53" s="305">
        <f>'4.1 CBA (ed7)'!F$30</f>
        <v>405.30441911177871</v>
      </c>
      <c r="T53" s="305">
        <f>'4.1 CBA (ed7)'!G$30</f>
        <v>566.45236083784698</v>
      </c>
      <c r="U53" s="305"/>
      <c r="X53">
        <v>48</v>
      </c>
      <c r="Y53" s="305"/>
      <c r="Z53" s="305"/>
      <c r="AA53" s="305"/>
      <c r="AC53" s="305"/>
      <c r="AD53" s="305"/>
      <c r="AE53" s="305"/>
      <c r="AG53" s="305">
        <f t="shared" si="27"/>
        <v>9.218226419589162E-13</v>
      </c>
      <c r="AH53" s="305">
        <f t="shared" si="28"/>
        <v>1.3970379026214833E-12</v>
      </c>
      <c r="AI53" s="305">
        <f t="shared" si="29"/>
        <v>1.9524963961189626E-12</v>
      </c>
      <c r="AK53" s="305">
        <f t="shared" si="30"/>
        <v>1.1610349351054281E-4</v>
      </c>
      <c r="AL53" s="305">
        <f t="shared" si="31"/>
        <v>1.759568204099555E-4</v>
      </c>
      <c r="AM53" s="305">
        <f t="shared" si="32"/>
        <v>2.4591677654437497E-4</v>
      </c>
      <c r="AO53" s="305">
        <f t="shared" si="18"/>
        <v>64.86750166918533</v>
      </c>
      <c r="AP53" s="305">
        <f t="shared" si="19"/>
        <v>98.307802776071426</v>
      </c>
      <c r="AQ53" s="305">
        <f t="shared" si="20"/>
        <v>137.39471940630619</v>
      </c>
    </row>
    <row r="54" spans="1:43">
      <c r="A54">
        <v>49</v>
      </c>
      <c r="B54" s="305"/>
      <c r="C54" s="305"/>
      <c r="D54" s="305"/>
      <c r="F54" s="516"/>
      <c r="G54" s="305"/>
      <c r="H54" s="305"/>
      <c r="I54" s="464"/>
      <c r="J54" s="305">
        <f t="shared" si="21"/>
        <v>1.9002499293429075E-12</v>
      </c>
      <c r="K54" s="305">
        <f t="shared" si="22"/>
        <v>2.8798611077134148E-12</v>
      </c>
      <c r="L54" s="305">
        <f t="shared" si="23"/>
        <v>4.0248861014749123E-12</v>
      </c>
      <c r="N54" s="305">
        <f t="shared" si="24"/>
        <v>3.5900450688274537E-4</v>
      </c>
      <c r="O54" s="305">
        <f t="shared" si="25"/>
        <v>5.4407743997283639E-4</v>
      </c>
      <c r="P54" s="305">
        <f t="shared" si="26"/>
        <v>7.604011597668475E-4</v>
      </c>
      <c r="R54" s="305">
        <f>'4.1 CBA (ed7)'!E$30</f>
        <v>267.4364023031103</v>
      </c>
      <c r="S54" s="305">
        <f>'4.1 CBA (ed7)'!F$30</f>
        <v>405.30441911177871</v>
      </c>
      <c r="T54" s="305">
        <f>'4.1 CBA (ed7)'!G$30</f>
        <v>566.45236083784698</v>
      </c>
      <c r="U54" s="305"/>
      <c r="X54">
        <v>49</v>
      </c>
      <c r="Y54" s="305"/>
      <c r="Z54" s="305"/>
      <c r="AA54" s="305"/>
      <c r="AC54" s="305"/>
      <c r="AD54" s="305"/>
      <c r="AE54" s="305"/>
      <c r="AG54" s="305">
        <f t="shared" si="27"/>
        <v>4.609113209794581E-13</v>
      </c>
      <c r="AH54" s="305">
        <f t="shared" si="28"/>
        <v>6.9851895131074163E-13</v>
      </c>
      <c r="AI54" s="305">
        <f t="shared" si="29"/>
        <v>9.7624819805948131E-13</v>
      </c>
      <c r="AK54" s="305">
        <f t="shared" si="30"/>
        <v>8.7077620132907109E-5</v>
      </c>
      <c r="AL54" s="305">
        <f t="shared" si="31"/>
        <v>1.3196761530746663E-4</v>
      </c>
      <c r="AM54" s="305">
        <f t="shared" si="32"/>
        <v>1.8443758240828124E-4</v>
      </c>
      <c r="AO54" s="305">
        <f t="shared" si="18"/>
        <v>64.86750166918533</v>
      </c>
      <c r="AP54" s="305">
        <f t="shared" si="19"/>
        <v>98.307802776071426</v>
      </c>
      <c r="AQ54" s="305">
        <f t="shared" si="20"/>
        <v>137.39471940630619</v>
      </c>
    </row>
    <row r="55" spans="1:43">
      <c r="A55">
        <v>50</v>
      </c>
      <c r="B55" s="305"/>
      <c r="C55" s="305"/>
      <c r="D55" s="305"/>
      <c r="F55" s="516"/>
      <c r="G55" s="305"/>
      <c r="H55" s="305"/>
      <c r="I55" s="464"/>
      <c r="J55" s="305">
        <f t="shared" si="21"/>
        <v>9.5012496467145375E-13</v>
      </c>
      <c r="K55" s="305">
        <f t="shared" si="22"/>
        <v>1.4399305538567074E-12</v>
      </c>
      <c r="L55" s="305">
        <f t="shared" si="23"/>
        <v>2.0124430507374562E-12</v>
      </c>
      <c r="N55" s="305">
        <f t="shared" si="24"/>
        <v>2.6925338016205901E-4</v>
      </c>
      <c r="O55" s="305">
        <f t="shared" si="25"/>
        <v>4.0805807997962729E-4</v>
      </c>
      <c r="P55" s="305">
        <f t="shared" si="26"/>
        <v>5.7030086982513568E-4</v>
      </c>
      <c r="R55" s="305">
        <f>'4.1 CBA (ed7)'!E$30</f>
        <v>267.4364023031103</v>
      </c>
      <c r="S55" s="305">
        <f>'4.1 CBA (ed7)'!F$30</f>
        <v>405.30441911177871</v>
      </c>
      <c r="T55" s="305">
        <f>'4.1 CBA (ed7)'!G$30</f>
        <v>566.45236083784698</v>
      </c>
      <c r="U55" s="305"/>
      <c r="X55">
        <v>50</v>
      </c>
      <c r="Y55" s="305"/>
      <c r="Z55" s="305"/>
      <c r="AA55" s="305"/>
      <c r="AC55" s="305"/>
      <c r="AD55" s="305"/>
      <c r="AE55" s="305"/>
      <c r="AG55" s="305">
        <f t="shared" si="27"/>
        <v>2.3045566048972905E-13</v>
      </c>
      <c r="AH55" s="305">
        <f t="shared" si="28"/>
        <v>3.4925947565537082E-13</v>
      </c>
      <c r="AI55" s="305">
        <f t="shared" si="29"/>
        <v>4.8812409902974066E-13</v>
      </c>
      <c r="AK55" s="305">
        <f t="shared" si="30"/>
        <v>6.5308215099680328E-5</v>
      </c>
      <c r="AL55" s="305">
        <f t="shared" si="31"/>
        <v>9.8975711480599974E-5</v>
      </c>
      <c r="AM55" s="305">
        <f t="shared" si="32"/>
        <v>1.3832818680621092E-4</v>
      </c>
      <c r="AO55" s="305">
        <f t="shared" si="18"/>
        <v>64.86750166918533</v>
      </c>
      <c r="AP55" s="305">
        <f t="shared" si="19"/>
        <v>98.307802776071426</v>
      </c>
      <c r="AQ55" s="305">
        <f t="shared" si="20"/>
        <v>137.39471940630619</v>
      </c>
    </row>
    <row r="56" spans="1:43">
      <c r="A56">
        <v>51</v>
      </c>
      <c r="B56" s="305"/>
      <c r="C56" s="305"/>
      <c r="D56" s="305"/>
      <c r="F56" s="516"/>
      <c r="G56" s="305"/>
      <c r="H56" s="305"/>
      <c r="I56" s="464"/>
      <c r="J56" s="305">
        <f t="shared" si="21"/>
        <v>4.7506248233572687E-13</v>
      </c>
      <c r="K56" s="305">
        <f t="shared" si="22"/>
        <v>7.1996527692835371E-13</v>
      </c>
      <c r="L56" s="305">
        <f t="shared" si="23"/>
        <v>1.0062215253687281E-12</v>
      </c>
      <c r="N56" s="305">
        <f t="shared" si="24"/>
        <v>2.0194003512154424E-4</v>
      </c>
      <c r="O56" s="305">
        <f t="shared" si="25"/>
        <v>3.0604355998472047E-4</v>
      </c>
      <c r="P56" s="305">
        <f t="shared" si="26"/>
        <v>4.2772565236885176E-4</v>
      </c>
      <c r="R56" s="305">
        <f>'4.1 CBA (ed7)'!E$30</f>
        <v>267.4364023031103</v>
      </c>
      <c r="S56" s="305">
        <f>'4.1 CBA (ed7)'!F$30</f>
        <v>405.30441911177871</v>
      </c>
      <c r="T56" s="305">
        <f>'4.1 CBA (ed7)'!G$30</f>
        <v>566.45236083784698</v>
      </c>
      <c r="U56" s="305"/>
      <c r="X56">
        <v>51</v>
      </c>
      <c r="Y56" s="305"/>
      <c r="Z56" s="305"/>
      <c r="AA56" s="305"/>
      <c r="AC56" s="305"/>
      <c r="AD56" s="305"/>
      <c r="AE56" s="305"/>
      <c r="AG56" s="305">
        <f t="shared" si="27"/>
        <v>1.1522783024486452E-13</v>
      </c>
      <c r="AH56" s="305">
        <f t="shared" si="28"/>
        <v>1.7462973782768541E-13</v>
      </c>
      <c r="AI56" s="305">
        <f t="shared" si="29"/>
        <v>2.4406204951487033E-13</v>
      </c>
      <c r="AK56" s="305">
        <f t="shared" si="30"/>
        <v>4.8981161324760243E-5</v>
      </c>
      <c r="AL56" s="305">
        <f t="shared" si="31"/>
        <v>7.423178361044998E-5</v>
      </c>
      <c r="AM56" s="305">
        <f t="shared" si="32"/>
        <v>1.0374614010465819E-4</v>
      </c>
      <c r="AO56" s="305">
        <f t="shared" si="18"/>
        <v>64.86750166918533</v>
      </c>
      <c r="AP56" s="305">
        <f t="shared" si="19"/>
        <v>98.307802776071426</v>
      </c>
      <c r="AQ56" s="305">
        <f t="shared" si="20"/>
        <v>137.39471940630619</v>
      </c>
    </row>
    <row r="57" spans="1:43">
      <c r="A57">
        <v>52</v>
      </c>
      <c r="B57" s="305"/>
      <c r="C57" s="305"/>
      <c r="D57" s="305"/>
      <c r="F57" s="516"/>
      <c r="G57" s="305"/>
      <c r="H57" s="305"/>
      <c r="I57" s="464"/>
      <c r="J57" s="305">
        <f t="shared" si="21"/>
        <v>2.3753124116786344E-13</v>
      </c>
      <c r="K57" s="305">
        <f t="shared" si="22"/>
        <v>3.5998263846417685E-13</v>
      </c>
      <c r="L57" s="305">
        <f t="shared" si="23"/>
        <v>5.0311076268436404E-13</v>
      </c>
      <c r="N57" s="305">
        <f t="shared" si="24"/>
        <v>1.514550263411582E-4</v>
      </c>
      <c r="O57" s="305">
        <f t="shared" si="25"/>
        <v>2.2953266998854035E-4</v>
      </c>
      <c r="P57" s="305">
        <f t="shared" si="26"/>
        <v>3.2079423927663882E-4</v>
      </c>
      <c r="R57" s="305">
        <f>'4.1 CBA (ed7)'!E$30</f>
        <v>267.4364023031103</v>
      </c>
      <c r="S57" s="305">
        <f>'4.1 CBA (ed7)'!F$30</f>
        <v>405.30441911177871</v>
      </c>
      <c r="T57" s="305">
        <f>'4.1 CBA (ed7)'!G$30</f>
        <v>566.45236083784698</v>
      </c>
      <c r="U57" s="305"/>
      <c r="X57">
        <v>52</v>
      </c>
      <c r="Y57" s="305"/>
      <c r="Z57" s="305"/>
      <c r="AA57" s="305"/>
      <c r="AC57" s="305"/>
      <c r="AD57" s="305"/>
      <c r="AE57" s="305"/>
      <c r="AG57" s="305">
        <f t="shared" si="27"/>
        <v>5.7613915122432262E-14</v>
      </c>
      <c r="AH57" s="305">
        <f t="shared" si="28"/>
        <v>8.7314868913842704E-14</v>
      </c>
      <c r="AI57" s="305">
        <f t="shared" si="29"/>
        <v>1.2203102475743516E-13</v>
      </c>
      <c r="AK57" s="305">
        <f t="shared" si="30"/>
        <v>3.6735870993570182E-5</v>
      </c>
      <c r="AL57" s="305">
        <f t="shared" si="31"/>
        <v>5.5673837707837485E-5</v>
      </c>
      <c r="AM57" s="305">
        <f t="shared" si="32"/>
        <v>7.7809605078493644E-5</v>
      </c>
      <c r="AO57" s="305">
        <f t="shared" si="18"/>
        <v>64.86750166918533</v>
      </c>
      <c r="AP57" s="305">
        <f t="shared" si="19"/>
        <v>98.307802776071426</v>
      </c>
      <c r="AQ57" s="305">
        <f t="shared" si="20"/>
        <v>137.39471940630619</v>
      </c>
    </row>
    <row r="58" spans="1:43">
      <c r="A58">
        <v>53</v>
      </c>
      <c r="B58" s="305"/>
      <c r="C58" s="305"/>
      <c r="D58" s="305"/>
      <c r="F58" s="516"/>
      <c r="G58" s="305"/>
      <c r="H58" s="305"/>
      <c r="I58" s="464"/>
      <c r="J58" s="305">
        <f t="shared" si="21"/>
        <v>1.1876562058393172E-13</v>
      </c>
      <c r="K58" s="305">
        <f t="shared" si="22"/>
        <v>1.7999131923208843E-13</v>
      </c>
      <c r="L58" s="305">
        <f t="shared" si="23"/>
        <v>2.5155538134218202E-13</v>
      </c>
      <c r="N58" s="305">
        <f t="shared" si="24"/>
        <v>1.1359126975586865E-4</v>
      </c>
      <c r="O58" s="305">
        <f t="shared" si="25"/>
        <v>1.7214950249140528E-4</v>
      </c>
      <c r="P58" s="305">
        <f t="shared" si="26"/>
        <v>2.4059567945747913E-4</v>
      </c>
      <c r="R58" s="305">
        <f>'4.1 CBA (ed7)'!E$30</f>
        <v>267.4364023031103</v>
      </c>
      <c r="S58" s="305">
        <f>'4.1 CBA (ed7)'!F$30</f>
        <v>405.30441911177871</v>
      </c>
      <c r="T58" s="305">
        <f>'4.1 CBA (ed7)'!G$30</f>
        <v>566.45236083784698</v>
      </c>
      <c r="U58" s="305"/>
      <c r="X58">
        <v>53</v>
      </c>
      <c r="Y58" s="305"/>
      <c r="Z58" s="305"/>
      <c r="AA58" s="305"/>
      <c r="AC58" s="305"/>
      <c r="AD58" s="305"/>
      <c r="AE58" s="305"/>
      <c r="AG58" s="305">
        <f t="shared" si="27"/>
        <v>2.8806957561216131E-14</v>
      </c>
      <c r="AH58" s="305">
        <f t="shared" si="28"/>
        <v>4.3657434456921352E-14</v>
      </c>
      <c r="AI58" s="305">
        <f t="shared" si="29"/>
        <v>6.1015512378717582E-14</v>
      </c>
      <c r="AK58" s="305">
        <f t="shared" si="30"/>
        <v>2.7551903245177635E-5</v>
      </c>
      <c r="AL58" s="305">
        <f t="shared" si="31"/>
        <v>4.1755378280878114E-5</v>
      </c>
      <c r="AM58" s="305">
        <f t="shared" si="32"/>
        <v>5.8357203808870236E-5</v>
      </c>
      <c r="AO58" s="305">
        <f t="shared" si="18"/>
        <v>64.86750166918533</v>
      </c>
      <c r="AP58" s="305">
        <f t="shared" si="19"/>
        <v>98.307802776071426</v>
      </c>
      <c r="AQ58" s="305">
        <f t="shared" si="20"/>
        <v>137.39471940630619</v>
      </c>
    </row>
    <row r="59" spans="1:43">
      <c r="A59">
        <v>54</v>
      </c>
      <c r="B59" s="305"/>
      <c r="C59" s="305"/>
      <c r="D59" s="305"/>
      <c r="F59" s="516"/>
      <c r="G59" s="305"/>
      <c r="H59" s="305"/>
      <c r="I59" s="464"/>
      <c r="J59" s="305"/>
      <c r="K59" s="305"/>
      <c r="L59" s="305"/>
      <c r="N59" s="305">
        <f t="shared" si="24"/>
        <v>8.5193452316901486E-5</v>
      </c>
      <c r="O59" s="305">
        <f t="shared" si="25"/>
        <v>1.2911212686855396E-4</v>
      </c>
      <c r="P59" s="305">
        <f t="shared" si="26"/>
        <v>1.8044675959310935E-4</v>
      </c>
      <c r="R59" s="305">
        <f>'4.1 CBA (ed7)'!E$30</f>
        <v>267.4364023031103</v>
      </c>
      <c r="S59" s="305">
        <f>'4.1 CBA (ed7)'!F$30</f>
        <v>405.30441911177871</v>
      </c>
      <c r="T59" s="305">
        <f>'4.1 CBA (ed7)'!G$30</f>
        <v>566.45236083784698</v>
      </c>
      <c r="U59" s="305"/>
      <c r="X59">
        <v>54</v>
      </c>
      <c r="Y59" s="305"/>
      <c r="Z59" s="305"/>
      <c r="AA59" s="305"/>
      <c r="AC59" s="305"/>
      <c r="AD59" s="305"/>
      <c r="AE59" s="305"/>
      <c r="AG59" s="305"/>
      <c r="AH59" s="305"/>
      <c r="AI59" s="305"/>
      <c r="AK59" s="305">
        <f t="shared" si="30"/>
        <v>2.0663927433883226E-5</v>
      </c>
      <c r="AL59" s="305">
        <f t="shared" si="31"/>
        <v>3.1316533710658584E-5</v>
      </c>
      <c r="AM59" s="305">
        <f t="shared" si="32"/>
        <v>4.3767902856652677E-5</v>
      </c>
      <c r="AO59" s="305">
        <f t="shared" si="18"/>
        <v>64.86750166918533</v>
      </c>
      <c r="AP59" s="305">
        <f t="shared" si="19"/>
        <v>98.307802776071426</v>
      </c>
      <c r="AQ59" s="305">
        <f t="shared" si="20"/>
        <v>137.39471940630619</v>
      </c>
    </row>
    <row r="60" spans="1:43">
      <c r="A60">
        <v>55</v>
      </c>
      <c r="B60" s="305"/>
      <c r="C60" s="305"/>
      <c r="D60" s="305"/>
      <c r="F60" s="516"/>
      <c r="G60" s="305"/>
      <c r="H60" s="305"/>
      <c r="I60" s="464"/>
      <c r="J60" s="305"/>
      <c r="K60" s="305"/>
      <c r="L60" s="305"/>
      <c r="N60" s="305">
        <f t="shared" si="24"/>
        <v>6.3895089237676111E-5</v>
      </c>
      <c r="O60" s="305">
        <f t="shared" si="25"/>
        <v>9.6834095151415462E-5</v>
      </c>
      <c r="P60" s="305">
        <f t="shared" si="26"/>
        <v>1.3533506969483201E-4</v>
      </c>
      <c r="R60" s="305">
        <f>'4.1 CBA (ed7)'!E$30</f>
        <v>267.4364023031103</v>
      </c>
      <c r="S60" s="305">
        <f>'4.1 CBA (ed7)'!F$30</f>
        <v>405.30441911177871</v>
      </c>
      <c r="T60" s="305">
        <f>'4.1 CBA (ed7)'!G$30</f>
        <v>566.45236083784698</v>
      </c>
      <c r="U60" s="305"/>
      <c r="X60">
        <v>55</v>
      </c>
      <c r="Y60" s="305"/>
      <c r="Z60" s="305"/>
      <c r="AA60" s="305"/>
      <c r="AC60" s="305"/>
      <c r="AD60" s="305"/>
      <c r="AE60" s="305"/>
      <c r="AG60" s="305"/>
      <c r="AH60" s="305"/>
      <c r="AI60" s="305"/>
      <c r="AK60" s="305">
        <f t="shared" si="30"/>
        <v>1.5497945575412421E-5</v>
      </c>
      <c r="AL60" s="305">
        <f t="shared" si="31"/>
        <v>2.348740028299394E-5</v>
      </c>
      <c r="AM60" s="305">
        <f t="shared" si="32"/>
        <v>3.2825927142489509E-5</v>
      </c>
      <c r="AO60" s="305">
        <f t="shared" si="18"/>
        <v>64.86750166918533</v>
      </c>
      <c r="AP60" s="305">
        <f t="shared" si="19"/>
        <v>98.307802776071426</v>
      </c>
      <c r="AQ60" s="305">
        <f t="shared" si="20"/>
        <v>137.39471940630619</v>
      </c>
    </row>
    <row r="61" spans="1:43">
      <c r="A61">
        <v>56</v>
      </c>
      <c r="B61" s="305"/>
      <c r="C61" s="305"/>
      <c r="D61" s="305"/>
      <c r="F61" s="516"/>
      <c r="G61" s="305"/>
      <c r="H61" s="305"/>
      <c r="I61" s="464"/>
      <c r="J61" s="305"/>
      <c r="K61" s="305"/>
      <c r="L61" s="305"/>
      <c r="N61" s="305">
        <f t="shared" si="24"/>
        <v>4.792131692825708E-5</v>
      </c>
      <c r="O61" s="305">
        <f t="shared" si="25"/>
        <v>7.2625571363561597E-5</v>
      </c>
      <c r="P61" s="305">
        <f t="shared" si="26"/>
        <v>1.01501302271124E-4</v>
      </c>
      <c r="R61" s="305">
        <f>'4.1 CBA (ed7)'!E$30</f>
        <v>267.4364023031103</v>
      </c>
      <c r="S61" s="305">
        <f>'4.1 CBA (ed7)'!F$30</f>
        <v>405.30441911177871</v>
      </c>
      <c r="T61" s="305">
        <f>'4.1 CBA (ed7)'!G$30</f>
        <v>566.45236083784698</v>
      </c>
      <c r="U61" s="305"/>
      <c r="X61">
        <v>56</v>
      </c>
      <c r="Y61" s="305"/>
      <c r="Z61" s="305"/>
      <c r="AA61" s="305"/>
      <c r="AC61" s="305"/>
      <c r="AD61" s="305"/>
      <c r="AE61" s="305"/>
      <c r="AG61" s="305"/>
      <c r="AH61" s="305"/>
      <c r="AI61" s="305"/>
      <c r="AK61" s="305">
        <f t="shared" si="30"/>
        <v>1.1623459181559316E-5</v>
      </c>
      <c r="AL61" s="305">
        <f t="shared" si="31"/>
        <v>1.7615550212245455E-5</v>
      </c>
      <c r="AM61" s="305">
        <f t="shared" si="32"/>
        <v>2.461944535686713E-5</v>
      </c>
      <c r="AO61" s="305">
        <f t="shared" si="18"/>
        <v>64.86750166918533</v>
      </c>
      <c r="AP61" s="305">
        <f t="shared" si="19"/>
        <v>98.307802776071426</v>
      </c>
      <c r="AQ61" s="305">
        <f t="shared" si="20"/>
        <v>137.39471940630619</v>
      </c>
    </row>
    <row r="62" spans="1:43">
      <c r="A62">
        <v>57</v>
      </c>
      <c r="B62" s="305"/>
      <c r="C62" s="305"/>
      <c r="D62" s="305"/>
      <c r="F62" s="516"/>
      <c r="G62" s="305"/>
      <c r="H62" s="305"/>
      <c r="I62" s="464"/>
      <c r="J62" s="305"/>
      <c r="K62" s="305"/>
      <c r="L62" s="305"/>
      <c r="N62" s="305">
        <f t="shared" si="24"/>
        <v>3.594098769619281E-5</v>
      </c>
      <c r="O62" s="305">
        <f t="shared" si="25"/>
        <v>5.4469178522671197E-5</v>
      </c>
      <c r="P62" s="305">
        <f t="shared" si="26"/>
        <v>7.6125976703343007E-5</v>
      </c>
      <c r="R62" s="305">
        <f>'4.1 CBA (ed7)'!E$30</f>
        <v>267.4364023031103</v>
      </c>
      <c r="S62" s="305">
        <f>'4.1 CBA (ed7)'!F$30</f>
        <v>405.30441911177871</v>
      </c>
      <c r="T62" s="305">
        <f>'4.1 CBA (ed7)'!G$30</f>
        <v>566.45236083784698</v>
      </c>
      <c r="U62" s="305"/>
      <c r="X62">
        <v>57</v>
      </c>
      <c r="Y62" s="305"/>
      <c r="Z62" s="305"/>
      <c r="AA62" s="305"/>
      <c r="AC62" s="305"/>
      <c r="AD62" s="305"/>
      <c r="AE62" s="305"/>
      <c r="AG62" s="305"/>
      <c r="AH62" s="305"/>
      <c r="AI62" s="305"/>
      <c r="AK62" s="305">
        <f t="shared" si="30"/>
        <v>8.7175943861694862E-6</v>
      </c>
      <c r="AL62" s="305">
        <f t="shared" si="31"/>
        <v>1.3211662659184091E-5</v>
      </c>
      <c r="AM62" s="305">
        <f t="shared" si="32"/>
        <v>1.8464584017650346E-5</v>
      </c>
      <c r="AO62" s="305">
        <f t="shared" si="18"/>
        <v>64.86750166918533</v>
      </c>
      <c r="AP62" s="305">
        <f t="shared" si="19"/>
        <v>98.307802776071426</v>
      </c>
      <c r="AQ62" s="305">
        <f t="shared" si="20"/>
        <v>137.39471940630619</v>
      </c>
    </row>
    <row r="63" spans="1:43">
      <c r="A63">
        <v>58</v>
      </c>
      <c r="B63" s="305"/>
      <c r="C63" s="305"/>
      <c r="D63" s="305"/>
      <c r="F63" s="516"/>
      <c r="G63" s="305"/>
      <c r="H63" s="305"/>
      <c r="I63" s="464"/>
      <c r="J63" s="305"/>
      <c r="K63" s="305"/>
      <c r="L63" s="305"/>
      <c r="N63" s="305">
        <f t="shared" si="24"/>
        <v>2.6955740772144609E-5</v>
      </c>
      <c r="O63" s="305">
        <f t="shared" si="25"/>
        <v>4.0851883892003398E-5</v>
      </c>
      <c r="P63" s="305">
        <f t="shared" si="26"/>
        <v>5.7094482527507255E-5</v>
      </c>
      <c r="R63" s="305">
        <f>'4.1 CBA (ed7)'!E$30</f>
        <v>267.4364023031103</v>
      </c>
      <c r="S63" s="305">
        <f>'4.1 CBA (ed7)'!F$30</f>
        <v>405.30441911177871</v>
      </c>
      <c r="T63" s="305">
        <f>'4.1 CBA (ed7)'!G$30</f>
        <v>566.45236083784698</v>
      </c>
      <c r="U63" s="305"/>
      <c r="X63">
        <v>58</v>
      </c>
      <c r="Y63" s="305"/>
      <c r="Z63" s="305"/>
      <c r="AA63" s="305"/>
      <c r="AC63" s="305"/>
      <c r="AD63" s="305"/>
      <c r="AE63" s="305"/>
      <c r="AG63" s="305"/>
      <c r="AH63" s="305"/>
      <c r="AI63" s="305"/>
      <c r="AK63" s="305">
        <f t="shared" si="30"/>
        <v>6.5381957896271146E-6</v>
      </c>
      <c r="AL63" s="305">
        <f t="shared" si="31"/>
        <v>9.9087469943880687E-6</v>
      </c>
      <c r="AM63" s="305">
        <f t="shared" si="32"/>
        <v>1.384843801323776E-5</v>
      </c>
      <c r="AO63" s="305">
        <f t="shared" si="18"/>
        <v>64.86750166918533</v>
      </c>
      <c r="AP63" s="305">
        <f t="shared" si="19"/>
        <v>98.307802776071426</v>
      </c>
      <c r="AQ63" s="305">
        <f t="shared" si="20"/>
        <v>137.39471940630619</v>
      </c>
    </row>
    <row r="64" spans="1:43">
      <c r="A64">
        <v>59</v>
      </c>
      <c r="B64" s="305"/>
      <c r="C64" s="305"/>
      <c r="D64" s="305"/>
      <c r="F64" s="516"/>
      <c r="G64" s="305"/>
      <c r="H64" s="305"/>
      <c r="I64" s="464"/>
      <c r="J64" s="305"/>
      <c r="K64" s="305"/>
      <c r="L64" s="305"/>
      <c r="N64" s="305">
        <f t="shared" si="24"/>
        <v>2.0216805579108457E-5</v>
      </c>
      <c r="O64" s="305">
        <f t="shared" si="25"/>
        <v>3.0638912919002547E-5</v>
      </c>
      <c r="P64" s="305">
        <f t="shared" si="26"/>
        <v>4.2820861895630441E-5</v>
      </c>
      <c r="R64" s="305">
        <f>'4.1 CBA (ed7)'!E$30</f>
        <v>267.4364023031103</v>
      </c>
      <c r="S64" s="305">
        <f>'4.1 CBA (ed7)'!F$30</f>
        <v>405.30441911177871</v>
      </c>
      <c r="T64" s="305">
        <f>'4.1 CBA (ed7)'!G$30</f>
        <v>566.45236083784698</v>
      </c>
      <c r="U64" s="305"/>
      <c r="X64">
        <v>59</v>
      </c>
      <c r="Y64" s="305"/>
      <c r="Z64" s="305"/>
      <c r="AA64" s="305"/>
      <c r="AC64" s="305"/>
      <c r="AD64" s="305"/>
      <c r="AE64" s="305"/>
      <c r="AG64" s="305"/>
      <c r="AH64" s="305"/>
      <c r="AI64" s="305"/>
      <c r="AK64" s="305">
        <f t="shared" si="30"/>
        <v>4.9036468422203355E-6</v>
      </c>
      <c r="AL64" s="305">
        <f t="shared" si="31"/>
        <v>7.4315602457910515E-6</v>
      </c>
      <c r="AM64" s="305">
        <f t="shared" si="32"/>
        <v>1.0386328509928319E-5</v>
      </c>
      <c r="AO64" s="305">
        <f t="shared" si="18"/>
        <v>64.86750166918533</v>
      </c>
      <c r="AP64" s="305">
        <f t="shared" si="19"/>
        <v>98.307802776071426</v>
      </c>
      <c r="AQ64" s="305">
        <f t="shared" si="20"/>
        <v>137.39471940630619</v>
      </c>
    </row>
    <row r="65" spans="1:43">
      <c r="A65">
        <v>60</v>
      </c>
      <c r="B65" s="305"/>
      <c r="C65" s="305"/>
      <c r="D65" s="305"/>
      <c r="F65" s="516"/>
      <c r="G65" s="305"/>
      <c r="H65" s="305"/>
      <c r="I65" s="464"/>
      <c r="J65" s="305"/>
      <c r="K65" s="305"/>
      <c r="L65" s="305"/>
      <c r="N65" s="305">
        <f t="shared" si="24"/>
        <v>1.5162604184331343E-5</v>
      </c>
      <c r="O65" s="305">
        <f t="shared" si="25"/>
        <v>2.297918468925191E-5</v>
      </c>
      <c r="P65" s="305">
        <f t="shared" si="26"/>
        <v>3.2115646421722831E-5</v>
      </c>
      <c r="R65" s="305">
        <f>'4.1 CBA (ed7)'!E$30</f>
        <v>267.4364023031103</v>
      </c>
      <c r="S65" s="305">
        <f>'4.1 CBA (ed7)'!F$30</f>
        <v>405.30441911177871</v>
      </c>
      <c r="T65" s="305">
        <f>'4.1 CBA (ed7)'!G$30</f>
        <v>566.45236083784698</v>
      </c>
      <c r="U65" s="305"/>
      <c r="X65">
        <v>60</v>
      </c>
      <c r="Y65" s="305"/>
      <c r="Z65" s="305"/>
      <c r="AA65" s="305"/>
      <c r="AC65" s="305"/>
      <c r="AD65" s="305"/>
      <c r="AE65" s="305"/>
      <c r="AG65" s="305"/>
      <c r="AH65" s="305"/>
      <c r="AI65" s="305"/>
      <c r="AK65" s="305">
        <f t="shared" si="30"/>
        <v>3.6777351316652517E-6</v>
      </c>
      <c r="AL65" s="305">
        <f t="shared" si="31"/>
        <v>5.5736701843432888E-6</v>
      </c>
      <c r="AM65" s="305">
        <f t="shared" si="32"/>
        <v>7.7897463824462399E-6</v>
      </c>
      <c r="AO65" s="305">
        <f t="shared" si="18"/>
        <v>64.86750166918533</v>
      </c>
      <c r="AP65" s="305">
        <f t="shared" si="19"/>
        <v>98.307802776071426</v>
      </c>
      <c r="AQ65" s="305">
        <f t="shared" si="20"/>
        <v>137.39471940630619</v>
      </c>
    </row>
    <row r="66" spans="1:43">
      <c r="A66">
        <v>61</v>
      </c>
      <c r="B66" s="305"/>
      <c r="C66" s="305"/>
      <c r="D66" s="305"/>
      <c r="F66" s="516"/>
      <c r="G66" s="305"/>
      <c r="H66" s="305"/>
      <c r="I66" s="464"/>
      <c r="J66" s="305"/>
      <c r="K66" s="305"/>
      <c r="L66" s="305"/>
      <c r="N66" s="305">
        <f t="shared" si="24"/>
        <v>1.1371953138248507E-5</v>
      </c>
      <c r="O66" s="305">
        <f t="shared" si="25"/>
        <v>1.7234388516938932E-5</v>
      </c>
      <c r="P66" s="305">
        <f t="shared" si="26"/>
        <v>2.4086734816292123E-5</v>
      </c>
      <c r="R66" s="305">
        <f>'4.1 CBA (ed7)'!E$30</f>
        <v>267.4364023031103</v>
      </c>
      <c r="S66" s="305">
        <f>'4.1 CBA (ed7)'!F$30</f>
        <v>405.30441911177871</v>
      </c>
      <c r="T66" s="305">
        <f>'4.1 CBA (ed7)'!G$30</f>
        <v>566.45236083784698</v>
      </c>
      <c r="U66" s="305"/>
      <c r="X66">
        <v>61</v>
      </c>
      <c r="Y66" s="305"/>
      <c r="Z66" s="305"/>
      <c r="AA66" s="305"/>
      <c r="AC66" s="305"/>
      <c r="AD66" s="305"/>
      <c r="AE66" s="305"/>
      <c r="AG66" s="305"/>
      <c r="AH66" s="305"/>
      <c r="AI66" s="305"/>
      <c r="AK66" s="305">
        <f t="shared" si="30"/>
        <v>2.7583013487489386E-6</v>
      </c>
      <c r="AL66" s="305">
        <f t="shared" si="31"/>
        <v>4.1802526382574666E-6</v>
      </c>
      <c r="AM66" s="305">
        <f t="shared" si="32"/>
        <v>5.8423097868346795E-6</v>
      </c>
      <c r="AO66" s="305">
        <f t="shared" si="18"/>
        <v>64.86750166918533</v>
      </c>
      <c r="AP66" s="305">
        <f t="shared" si="19"/>
        <v>98.307802776071426</v>
      </c>
      <c r="AQ66" s="305">
        <f t="shared" si="20"/>
        <v>137.39471940630619</v>
      </c>
    </row>
    <row r="67" spans="1:43">
      <c r="A67">
        <v>62</v>
      </c>
      <c r="B67" s="305"/>
      <c r="C67" s="305"/>
      <c r="D67" s="305"/>
      <c r="F67" s="516"/>
      <c r="G67" s="305"/>
      <c r="H67" s="305"/>
      <c r="I67" s="464"/>
      <c r="J67" s="305"/>
      <c r="K67" s="305"/>
      <c r="L67" s="305"/>
      <c r="N67" s="305">
        <f t="shared" si="24"/>
        <v>8.5289648536863799E-6</v>
      </c>
      <c r="O67" s="305">
        <f t="shared" si="25"/>
        <v>1.2925791387704198E-5</v>
      </c>
      <c r="P67" s="305">
        <f t="shared" si="26"/>
        <v>1.8065051112219092E-5</v>
      </c>
      <c r="R67" s="305">
        <f>'4.1 CBA (ed7)'!E$30</f>
        <v>267.4364023031103</v>
      </c>
      <c r="S67" s="305">
        <f>'4.1 CBA (ed7)'!F$30</f>
        <v>405.30441911177871</v>
      </c>
      <c r="T67" s="305">
        <f>'4.1 CBA (ed7)'!G$30</f>
        <v>566.45236083784698</v>
      </c>
      <c r="U67" s="305"/>
      <c r="X67">
        <v>62</v>
      </c>
      <c r="Y67" s="305"/>
      <c r="Z67" s="305"/>
      <c r="AA67" s="305"/>
      <c r="AC67" s="305"/>
      <c r="AD67" s="305"/>
      <c r="AE67" s="305"/>
      <c r="AG67" s="305"/>
      <c r="AH67" s="305"/>
      <c r="AI67" s="305"/>
      <c r="AK67" s="305">
        <f t="shared" si="30"/>
        <v>2.0687260115617038E-6</v>
      </c>
      <c r="AL67" s="305">
        <f t="shared" si="31"/>
        <v>3.1351894786931002E-6</v>
      </c>
      <c r="AM67" s="305">
        <f t="shared" si="32"/>
        <v>4.3817323401260096E-6</v>
      </c>
      <c r="AO67" s="305">
        <f t="shared" si="18"/>
        <v>64.86750166918533</v>
      </c>
      <c r="AP67" s="305">
        <f t="shared" si="19"/>
        <v>98.307802776071426</v>
      </c>
      <c r="AQ67" s="305">
        <f t="shared" si="20"/>
        <v>137.39471940630619</v>
      </c>
    </row>
    <row r="68" spans="1:43">
      <c r="A68">
        <v>63</v>
      </c>
      <c r="B68" s="305"/>
      <c r="C68" s="305"/>
      <c r="D68" s="305"/>
      <c r="F68" s="516"/>
      <c r="G68" s="305"/>
      <c r="H68" s="305"/>
      <c r="I68" s="464"/>
      <c r="J68" s="305"/>
      <c r="K68" s="305"/>
      <c r="L68" s="305"/>
      <c r="N68" s="305">
        <f t="shared" si="24"/>
        <v>6.3967236402647853E-6</v>
      </c>
      <c r="O68" s="305">
        <f t="shared" si="25"/>
        <v>9.6943435407781485E-6</v>
      </c>
      <c r="P68" s="305">
        <f t="shared" si="26"/>
        <v>1.3548788334164318E-5</v>
      </c>
      <c r="R68" s="305">
        <f>'4.1 CBA (ed7)'!E$30</f>
        <v>267.4364023031103</v>
      </c>
      <c r="S68" s="305">
        <f>'4.1 CBA (ed7)'!F$30</f>
        <v>405.30441911177871</v>
      </c>
      <c r="T68" s="305">
        <f>'4.1 CBA (ed7)'!G$30</f>
        <v>566.45236083784698</v>
      </c>
      <c r="U68" s="305"/>
      <c r="X68">
        <v>63</v>
      </c>
      <c r="Y68" s="305"/>
      <c r="Z68" s="305"/>
      <c r="AA68" s="305"/>
      <c r="AC68" s="305"/>
      <c r="AD68" s="305"/>
      <c r="AE68" s="305"/>
      <c r="AG68" s="305"/>
      <c r="AH68" s="305"/>
      <c r="AI68" s="305"/>
      <c r="AK68" s="305">
        <f t="shared" si="30"/>
        <v>1.5515445086712778E-6</v>
      </c>
      <c r="AL68" s="305">
        <f t="shared" si="31"/>
        <v>2.3513921090198249E-6</v>
      </c>
      <c r="AM68" s="305">
        <f t="shared" si="32"/>
        <v>3.2862992550945074E-6</v>
      </c>
      <c r="AO68" s="305">
        <f t="shared" si="18"/>
        <v>64.86750166918533</v>
      </c>
      <c r="AP68" s="305">
        <f t="shared" si="19"/>
        <v>98.307802776071426</v>
      </c>
      <c r="AQ68" s="305">
        <f t="shared" si="20"/>
        <v>137.39471940630619</v>
      </c>
    </row>
    <row r="69" spans="1:43">
      <c r="A69">
        <v>64</v>
      </c>
      <c r="B69" s="305"/>
      <c r="C69" s="305"/>
      <c r="D69" s="305"/>
      <c r="F69" s="516"/>
      <c r="G69" s="305"/>
      <c r="H69" s="305"/>
      <c r="I69" s="464"/>
      <c r="J69" s="305"/>
      <c r="K69" s="305"/>
      <c r="L69" s="305"/>
      <c r="N69" s="305">
        <f t="shared" si="24"/>
        <v>4.7975427301985886E-6</v>
      </c>
      <c r="O69" s="305">
        <f t="shared" si="25"/>
        <v>7.2707576555836118E-6</v>
      </c>
      <c r="P69" s="305">
        <f t="shared" si="26"/>
        <v>1.0161591250623239E-5</v>
      </c>
      <c r="R69" s="305">
        <f>'4.1 CBA (ed7)'!E$30</f>
        <v>267.4364023031103</v>
      </c>
      <c r="S69" s="305">
        <f>'4.1 CBA (ed7)'!F$30</f>
        <v>405.30441911177871</v>
      </c>
      <c r="T69" s="305">
        <f>'4.1 CBA (ed7)'!G$30</f>
        <v>566.45236083784698</v>
      </c>
      <c r="U69" s="305"/>
      <c r="X69">
        <v>64</v>
      </c>
      <c r="Y69" s="305"/>
      <c r="Z69" s="305"/>
      <c r="AA69" s="305"/>
      <c r="AC69" s="305"/>
      <c r="AD69" s="305"/>
      <c r="AE69" s="305"/>
      <c r="AG69" s="305"/>
      <c r="AH69" s="305"/>
      <c r="AI69" s="305"/>
      <c r="AK69" s="305">
        <f t="shared" si="30"/>
        <v>1.1636583815034583E-6</v>
      </c>
      <c r="AL69" s="305">
        <f t="shared" si="31"/>
        <v>1.7635440817648687E-6</v>
      </c>
      <c r="AM69" s="305">
        <f t="shared" si="32"/>
        <v>2.4647244413208806E-6</v>
      </c>
      <c r="AO69" s="305">
        <f t="shared" si="18"/>
        <v>64.86750166918533</v>
      </c>
      <c r="AP69" s="305">
        <f t="shared" si="19"/>
        <v>98.307802776071426</v>
      </c>
      <c r="AQ69" s="305">
        <f t="shared" si="20"/>
        <v>137.39471940630619</v>
      </c>
    </row>
    <row r="70" spans="1:43">
      <c r="A70">
        <v>65</v>
      </c>
      <c r="B70" s="305"/>
      <c r="C70" s="305"/>
      <c r="D70" s="305"/>
      <c r="F70" s="516"/>
      <c r="G70" s="305"/>
      <c r="H70" s="305"/>
      <c r="I70" s="464"/>
      <c r="J70" s="305"/>
      <c r="K70" s="305"/>
      <c r="L70" s="305"/>
      <c r="N70" s="305">
        <f t="shared" si="24"/>
        <v>3.5981570476489414E-6</v>
      </c>
      <c r="O70" s="305">
        <f t="shared" si="25"/>
        <v>5.4530682416877084E-6</v>
      </c>
      <c r="P70" s="305">
        <f t="shared" si="26"/>
        <v>7.6211934379674291E-6</v>
      </c>
      <c r="R70" s="305">
        <f>'4.1 CBA (ed7)'!E$30</f>
        <v>267.4364023031103</v>
      </c>
      <c r="S70" s="305">
        <f>'4.1 CBA (ed7)'!F$30</f>
        <v>405.30441911177871</v>
      </c>
      <c r="T70" s="305">
        <f>'4.1 CBA (ed7)'!G$30</f>
        <v>566.45236083784698</v>
      </c>
      <c r="U70" s="305"/>
      <c r="X70">
        <v>65</v>
      </c>
      <c r="Y70" s="305"/>
      <c r="Z70" s="305"/>
      <c r="AA70" s="305"/>
      <c r="AC70" s="305"/>
      <c r="AD70" s="305"/>
      <c r="AE70" s="305"/>
      <c r="AG70" s="305"/>
      <c r="AH70" s="305"/>
      <c r="AI70" s="305"/>
      <c r="AK70" s="305">
        <f t="shared" si="30"/>
        <v>8.727437861275937E-7</v>
      </c>
      <c r="AL70" s="305">
        <f t="shared" si="31"/>
        <v>1.3226580613236516E-6</v>
      </c>
      <c r="AM70" s="305">
        <f t="shared" si="32"/>
        <v>1.8485433309906605E-6</v>
      </c>
      <c r="AO70" s="305">
        <f t="shared" si="18"/>
        <v>64.86750166918533</v>
      </c>
      <c r="AP70" s="305">
        <f t="shared" si="19"/>
        <v>98.307802776071426</v>
      </c>
      <c r="AQ70" s="305">
        <f t="shared" si="20"/>
        <v>137.39471940630619</v>
      </c>
    </row>
    <row r="71" spans="1:43">
      <c r="A71">
        <v>66</v>
      </c>
      <c r="B71" s="305"/>
      <c r="C71" s="305"/>
      <c r="D71" s="305"/>
      <c r="F71" s="516"/>
      <c r="G71" s="305"/>
      <c r="H71" s="305"/>
      <c r="I71" s="464"/>
      <c r="J71" s="305"/>
      <c r="K71" s="305"/>
      <c r="L71" s="305"/>
      <c r="N71" s="305">
        <f t="shared" si="24"/>
        <v>2.698617785736706E-6</v>
      </c>
      <c r="O71" s="305">
        <f t="shared" si="25"/>
        <v>4.0898011812657813E-6</v>
      </c>
      <c r="P71" s="305">
        <f t="shared" si="26"/>
        <v>5.7158950784755716E-6</v>
      </c>
      <c r="R71" s="305">
        <f>'4.1 CBA (ed7)'!E$30</f>
        <v>267.4364023031103</v>
      </c>
      <c r="S71" s="305">
        <f>'4.1 CBA (ed7)'!F$30</f>
        <v>405.30441911177871</v>
      </c>
      <c r="T71" s="305">
        <f>'4.1 CBA (ed7)'!G$30</f>
        <v>566.45236083784698</v>
      </c>
      <c r="U71" s="305"/>
      <c r="X71">
        <v>66</v>
      </c>
      <c r="Y71" s="305"/>
      <c r="Z71" s="305"/>
      <c r="AA71" s="305"/>
      <c r="AC71" s="305"/>
      <c r="AD71" s="305"/>
      <c r="AE71" s="305"/>
      <c r="AG71" s="305"/>
      <c r="AH71" s="305"/>
      <c r="AI71" s="305"/>
      <c r="AK71" s="305">
        <f t="shared" si="30"/>
        <v>6.545578395956953E-7</v>
      </c>
      <c r="AL71" s="305">
        <f t="shared" si="31"/>
        <v>9.9199354599273868E-7</v>
      </c>
      <c r="AM71" s="305">
        <f t="shared" si="32"/>
        <v>1.3864074982429954E-6</v>
      </c>
      <c r="AO71" s="305">
        <f t="shared" si="18"/>
        <v>64.86750166918533</v>
      </c>
      <c r="AP71" s="305">
        <f t="shared" si="19"/>
        <v>98.307802776071426</v>
      </c>
      <c r="AQ71" s="305">
        <f t="shared" si="20"/>
        <v>137.39471940630619</v>
      </c>
    </row>
    <row r="72" spans="1:43">
      <c r="A72">
        <v>67</v>
      </c>
      <c r="B72" s="305"/>
      <c r="C72" s="305"/>
      <c r="D72" s="305"/>
      <c r="F72" s="516"/>
      <c r="G72" s="305"/>
      <c r="H72" s="305"/>
      <c r="I72" s="464"/>
      <c r="J72" s="305"/>
      <c r="K72" s="305"/>
      <c r="L72" s="305"/>
      <c r="N72" s="305">
        <f t="shared" ref="N72:N84" si="33">N71*(1-$P$3)</f>
        <v>2.0239633393025294E-6</v>
      </c>
      <c r="O72" s="305">
        <f t="shared" ref="O72:O84" si="34">O71*(1-$P$3)</f>
        <v>3.067350885949336E-6</v>
      </c>
      <c r="P72" s="305">
        <f t="shared" ref="P72:P84" si="35">P71*(1-$P$3)</f>
        <v>4.2869213088566783E-6</v>
      </c>
      <c r="R72" s="305">
        <f>'4.1 CBA (ed7)'!E$30</f>
        <v>267.4364023031103</v>
      </c>
      <c r="S72" s="305">
        <f>'4.1 CBA (ed7)'!F$30</f>
        <v>405.30441911177871</v>
      </c>
      <c r="T72" s="305">
        <f>'4.1 CBA (ed7)'!G$30</f>
        <v>566.45236083784698</v>
      </c>
      <c r="U72" s="305"/>
      <c r="X72">
        <v>67</v>
      </c>
      <c r="Y72" s="305"/>
      <c r="Z72" s="305"/>
      <c r="AA72" s="305"/>
      <c r="AC72" s="305"/>
      <c r="AD72" s="305"/>
      <c r="AE72" s="305"/>
      <c r="AG72" s="305"/>
      <c r="AH72" s="305"/>
      <c r="AI72" s="305"/>
      <c r="AK72" s="305">
        <f t="shared" ref="AK72:AK84" si="36">AK71*(1-$P$3)</f>
        <v>4.9091837969677153E-7</v>
      </c>
      <c r="AL72" s="305">
        <f t="shared" ref="AL72:AL84" si="37">AL71*(1-$P$3)</f>
        <v>7.4399515949455406E-7</v>
      </c>
      <c r="AM72" s="305">
        <f t="shared" ref="AM72:AM84" si="38">AM71*(1-$P$3)</f>
        <v>1.0398056236822464E-6</v>
      </c>
      <c r="AO72" s="305">
        <f t="shared" si="18"/>
        <v>64.86750166918533</v>
      </c>
      <c r="AP72" s="305">
        <f t="shared" si="19"/>
        <v>98.307802776071426</v>
      </c>
      <c r="AQ72" s="305">
        <f t="shared" si="20"/>
        <v>137.39471940630619</v>
      </c>
    </row>
    <row r="73" spans="1:43">
      <c r="A73">
        <v>68</v>
      </c>
      <c r="B73" s="305"/>
      <c r="C73" s="305"/>
      <c r="D73" s="305"/>
      <c r="F73" s="516"/>
      <c r="G73" s="305"/>
      <c r="H73" s="305"/>
      <c r="I73" s="464"/>
      <c r="J73" s="305"/>
      <c r="K73" s="305"/>
      <c r="L73" s="305"/>
      <c r="N73" s="305">
        <f t="shared" si="33"/>
        <v>1.517972504476897E-6</v>
      </c>
      <c r="O73" s="305">
        <f t="shared" si="34"/>
        <v>2.300513164462002E-6</v>
      </c>
      <c r="P73" s="305">
        <f t="shared" si="35"/>
        <v>3.2151909816425087E-6</v>
      </c>
      <c r="R73" s="305">
        <f>'4.1 CBA (ed7)'!E$30</f>
        <v>267.4364023031103</v>
      </c>
      <c r="S73" s="305">
        <f>'4.1 CBA (ed7)'!F$30</f>
        <v>405.30441911177871</v>
      </c>
      <c r="T73" s="305">
        <f>'4.1 CBA (ed7)'!G$30</f>
        <v>566.45236083784698</v>
      </c>
      <c r="U73" s="305"/>
      <c r="X73">
        <v>68</v>
      </c>
      <c r="Y73" s="305"/>
      <c r="Z73" s="305"/>
      <c r="AA73" s="305"/>
      <c r="AC73" s="305"/>
      <c r="AD73" s="305"/>
      <c r="AE73" s="305"/>
      <c r="AG73" s="305"/>
      <c r="AH73" s="305"/>
      <c r="AI73" s="305"/>
      <c r="AK73" s="305">
        <f t="shared" si="36"/>
        <v>3.6818878477257864E-7</v>
      </c>
      <c r="AL73" s="305">
        <f t="shared" si="37"/>
        <v>5.5799636962091555E-7</v>
      </c>
      <c r="AM73" s="305">
        <f t="shared" si="38"/>
        <v>7.7985421776168483E-7</v>
      </c>
      <c r="AO73" s="305">
        <f t="shared" ref="AO73:AO136" si="39">AO72</f>
        <v>64.86750166918533</v>
      </c>
      <c r="AP73" s="305">
        <f t="shared" ref="AP73:AP136" si="40">AP72</f>
        <v>98.307802776071426</v>
      </c>
      <c r="AQ73" s="305">
        <f t="shared" ref="AQ73:AQ136" si="41">AQ72</f>
        <v>137.39471940630619</v>
      </c>
    </row>
    <row r="74" spans="1:43">
      <c r="A74">
        <v>69</v>
      </c>
      <c r="B74" s="305"/>
      <c r="C74" s="305"/>
      <c r="D74" s="305"/>
      <c r="F74" s="516"/>
      <c r="G74" s="305"/>
      <c r="H74" s="305"/>
      <c r="I74" s="464"/>
      <c r="J74" s="305"/>
      <c r="K74" s="305"/>
      <c r="L74" s="305"/>
      <c r="N74" s="305">
        <f t="shared" si="33"/>
        <v>1.1384793783576727E-6</v>
      </c>
      <c r="O74" s="305">
        <f t="shared" si="34"/>
        <v>1.7253848733465014E-6</v>
      </c>
      <c r="P74" s="305">
        <f t="shared" si="35"/>
        <v>2.4113932362318816E-6</v>
      </c>
      <c r="R74" s="305">
        <f>'4.1 CBA (ed7)'!E$30</f>
        <v>267.4364023031103</v>
      </c>
      <c r="S74" s="305">
        <f>'4.1 CBA (ed7)'!F$30</f>
        <v>405.30441911177871</v>
      </c>
      <c r="T74" s="305">
        <f>'4.1 CBA (ed7)'!G$30</f>
        <v>566.45236083784698</v>
      </c>
      <c r="U74" s="305"/>
      <c r="X74">
        <v>69</v>
      </c>
      <c r="Y74" s="305"/>
      <c r="Z74" s="305"/>
      <c r="AA74" s="305"/>
      <c r="AC74" s="305"/>
      <c r="AD74" s="305"/>
      <c r="AE74" s="305"/>
      <c r="AG74" s="305"/>
      <c r="AH74" s="305"/>
      <c r="AI74" s="305"/>
      <c r="AK74" s="305">
        <f t="shared" si="36"/>
        <v>2.7614158857943398E-7</v>
      </c>
      <c r="AL74" s="305">
        <f t="shared" si="37"/>
        <v>4.1849727721568663E-7</v>
      </c>
      <c r="AM74" s="305">
        <f t="shared" si="38"/>
        <v>5.8489066332126362E-7</v>
      </c>
      <c r="AO74" s="305">
        <f t="shared" si="39"/>
        <v>64.86750166918533</v>
      </c>
      <c r="AP74" s="305">
        <f t="shared" si="40"/>
        <v>98.307802776071426</v>
      </c>
      <c r="AQ74" s="305">
        <f t="shared" si="41"/>
        <v>137.39471940630619</v>
      </c>
    </row>
    <row r="75" spans="1:43">
      <c r="A75">
        <v>70</v>
      </c>
      <c r="B75" s="305"/>
      <c r="C75" s="305"/>
      <c r="D75" s="305"/>
      <c r="F75" s="516"/>
      <c r="G75" s="305"/>
      <c r="H75" s="305"/>
      <c r="I75" s="464"/>
      <c r="J75" s="305"/>
      <c r="K75" s="305"/>
      <c r="L75" s="305"/>
      <c r="N75" s="305">
        <f t="shared" si="33"/>
        <v>8.5385953376825449E-7</v>
      </c>
      <c r="O75" s="305">
        <f t="shared" si="34"/>
        <v>1.2940386550098759E-6</v>
      </c>
      <c r="P75" s="305">
        <f t="shared" si="35"/>
        <v>1.8085449271739113E-6</v>
      </c>
      <c r="R75" s="305">
        <f>'4.1 CBA (ed7)'!E$30</f>
        <v>267.4364023031103</v>
      </c>
      <c r="S75" s="305">
        <f>'4.1 CBA (ed7)'!F$30</f>
        <v>405.30441911177871</v>
      </c>
      <c r="T75" s="305">
        <f>'4.1 CBA (ed7)'!G$30</f>
        <v>566.45236083784698</v>
      </c>
      <c r="U75" s="305"/>
      <c r="X75">
        <v>70</v>
      </c>
      <c r="Y75" s="305"/>
      <c r="Z75" s="305"/>
      <c r="AA75" s="305"/>
      <c r="AC75" s="305"/>
      <c r="AD75" s="305"/>
      <c r="AE75" s="305"/>
      <c r="AG75" s="305"/>
      <c r="AH75" s="305"/>
      <c r="AI75" s="305"/>
      <c r="AK75" s="305">
        <f t="shared" si="36"/>
        <v>2.071061914345755E-7</v>
      </c>
      <c r="AL75" s="305">
        <f t="shared" si="37"/>
        <v>3.1387295791176498E-7</v>
      </c>
      <c r="AM75" s="305">
        <f t="shared" si="38"/>
        <v>4.3866799749094769E-7</v>
      </c>
      <c r="AO75" s="305">
        <f t="shared" si="39"/>
        <v>64.86750166918533</v>
      </c>
      <c r="AP75" s="305">
        <f t="shared" si="40"/>
        <v>98.307802776071426</v>
      </c>
      <c r="AQ75" s="305">
        <f t="shared" si="41"/>
        <v>137.39471940630619</v>
      </c>
    </row>
    <row r="76" spans="1:43">
      <c r="A76">
        <v>71</v>
      </c>
      <c r="B76" s="305"/>
      <c r="C76" s="305"/>
      <c r="D76" s="305"/>
      <c r="F76" s="516"/>
      <c r="G76" s="305"/>
      <c r="H76" s="305"/>
      <c r="I76" s="464"/>
      <c r="J76" s="305"/>
      <c r="K76" s="305"/>
      <c r="L76" s="305"/>
      <c r="N76" s="305">
        <f t="shared" si="33"/>
        <v>6.4039465032619081E-7</v>
      </c>
      <c r="O76" s="305">
        <f t="shared" si="34"/>
        <v>9.7052899125740705E-7</v>
      </c>
      <c r="P76" s="305">
        <f t="shared" si="35"/>
        <v>1.3564086953804336E-6</v>
      </c>
      <c r="R76" s="305">
        <f>'4.1 CBA (ed7)'!E$30</f>
        <v>267.4364023031103</v>
      </c>
      <c r="S76" s="305">
        <f>'4.1 CBA (ed7)'!F$30</f>
        <v>405.30441911177871</v>
      </c>
      <c r="T76" s="305">
        <f>'4.1 CBA (ed7)'!G$30</f>
        <v>566.45236083784698</v>
      </c>
      <c r="U76" s="305"/>
      <c r="X76">
        <v>71</v>
      </c>
      <c r="Y76" s="305"/>
      <c r="Z76" s="305"/>
      <c r="AA76" s="305"/>
      <c r="AC76" s="305"/>
      <c r="AD76" s="305"/>
      <c r="AE76" s="305"/>
      <c r="AG76" s="305"/>
      <c r="AH76" s="305"/>
      <c r="AI76" s="305"/>
      <c r="AK76" s="305">
        <f t="shared" si="36"/>
        <v>1.5532964357593161E-7</v>
      </c>
      <c r="AL76" s="305">
        <f t="shared" si="37"/>
        <v>2.3540471843382372E-7</v>
      </c>
      <c r="AM76" s="305">
        <f t="shared" si="38"/>
        <v>3.2900099811821077E-7</v>
      </c>
      <c r="AO76" s="305">
        <f t="shared" si="39"/>
        <v>64.86750166918533</v>
      </c>
      <c r="AP76" s="305">
        <f t="shared" si="40"/>
        <v>98.307802776071426</v>
      </c>
      <c r="AQ76" s="305">
        <f t="shared" si="41"/>
        <v>137.39471940630619</v>
      </c>
    </row>
    <row r="77" spans="1:43">
      <c r="A77">
        <v>72</v>
      </c>
      <c r="B77" s="305"/>
      <c r="C77" s="305"/>
      <c r="D77" s="305"/>
      <c r="F77" s="516"/>
      <c r="G77" s="305"/>
      <c r="H77" s="305"/>
      <c r="I77" s="464"/>
      <c r="J77" s="305"/>
      <c r="K77" s="305"/>
      <c r="L77" s="305"/>
      <c r="N77" s="305">
        <f t="shared" si="33"/>
        <v>4.8029598774464311E-7</v>
      </c>
      <c r="O77" s="305">
        <f t="shared" si="34"/>
        <v>7.2789674344305529E-7</v>
      </c>
      <c r="P77" s="305">
        <f t="shared" si="35"/>
        <v>1.0173065215353251E-6</v>
      </c>
      <c r="R77" s="305">
        <f>'4.1 CBA (ed7)'!E$30</f>
        <v>267.4364023031103</v>
      </c>
      <c r="S77" s="305">
        <f>'4.1 CBA (ed7)'!F$30</f>
        <v>405.30441911177871</v>
      </c>
      <c r="T77" s="305">
        <f>'4.1 CBA (ed7)'!G$30</f>
        <v>566.45236083784698</v>
      </c>
      <c r="U77" s="305"/>
      <c r="X77">
        <v>72</v>
      </c>
      <c r="Y77" s="305"/>
      <c r="Z77" s="305"/>
      <c r="AA77" s="305"/>
      <c r="AC77" s="305"/>
      <c r="AD77" s="305"/>
      <c r="AE77" s="305"/>
      <c r="AG77" s="305"/>
      <c r="AH77" s="305"/>
      <c r="AI77" s="305"/>
      <c r="AK77" s="305">
        <f t="shared" si="36"/>
        <v>1.1649723268194871E-7</v>
      </c>
      <c r="AL77" s="305">
        <f t="shared" si="37"/>
        <v>1.765535388253678E-7</v>
      </c>
      <c r="AM77" s="305">
        <f t="shared" si="38"/>
        <v>2.4675074858865806E-7</v>
      </c>
      <c r="AO77" s="305">
        <f t="shared" si="39"/>
        <v>64.86750166918533</v>
      </c>
      <c r="AP77" s="305">
        <f t="shared" si="40"/>
        <v>98.307802776071426</v>
      </c>
      <c r="AQ77" s="305">
        <f t="shared" si="41"/>
        <v>137.39471940630619</v>
      </c>
    </row>
    <row r="78" spans="1:43">
      <c r="A78">
        <v>73</v>
      </c>
      <c r="B78" s="305"/>
      <c r="C78" s="305"/>
      <c r="D78" s="305"/>
      <c r="F78" s="516"/>
      <c r="G78" s="305"/>
      <c r="H78" s="305"/>
      <c r="I78" s="464"/>
      <c r="J78" s="305"/>
      <c r="K78" s="305"/>
      <c r="L78" s="305"/>
      <c r="N78" s="305">
        <f t="shared" si="33"/>
        <v>3.6022199080848236E-7</v>
      </c>
      <c r="O78" s="305">
        <f t="shared" si="34"/>
        <v>5.4592255758229144E-7</v>
      </c>
      <c r="P78" s="305">
        <f t="shared" si="35"/>
        <v>7.629798911514938E-7</v>
      </c>
      <c r="R78" s="305">
        <f>'4.1 CBA (ed7)'!E$30</f>
        <v>267.4364023031103</v>
      </c>
      <c r="S78" s="305">
        <f>'4.1 CBA (ed7)'!F$30</f>
        <v>405.30441911177871</v>
      </c>
      <c r="T78" s="305">
        <f>'4.1 CBA (ed7)'!G$30</f>
        <v>566.45236083784698</v>
      </c>
      <c r="U78" s="305"/>
      <c r="X78">
        <v>73</v>
      </c>
      <c r="Y78" s="305"/>
      <c r="Z78" s="305"/>
      <c r="AA78" s="305"/>
      <c r="AC78" s="305"/>
      <c r="AD78" s="305"/>
      <c r="AE78" s="305"/>
      <c r="AG78" s="305"/>
      <c r="AH78" s="305"/>
      <c r="AI78" s="305"/>
      <c r="AK78" s="305">
        <f t="shared" si="36"/>
        <v>8.7372924511461535E-8</v>
      </c>
      <c r="AL78" s="305">
        <f t="shared" si="37"/>
        <v>1.3241515411902585E-7</v>
      </c>
      <c r="AM78" s="305">
        <f t="shared" si="38"/>
        <v>1.8506306144149356E-7</v>
      </c>
      <c r="AO78" s="305">
        <f t="shared" si="39"/>
        <v>64.86750166918533</v>
      </c>
      <c r="AP78" s="305">
        <f t="shared" si="40"/>
        <v>98.307802776071426</v>
      </c>
      <c r="AQ78" s="305">
        <f t="shared" si="41"/>
        <v>137.39471940630619</v>
      </c>
    </row>
    <row r="79" spans="1:43">
      <c r="A79">
        <v>74</v>
      </c>
      <c r="B79" s="305"/>
      <c r="C79" s="305"/>
      <c r="D79" s="305"/>
      <c r="F79" s="516"/>
      <c r="G79" s="305"/>
      <c r="H79" s="305"/>
      <c r="I79" s="464"/>
      <c r="J79" s="305"/>
      <c r="K79" s="305"/>
      <c r="L79" s="305"/>
      <c r="N79" s="305">
        <f t="shared" si="33"/>
        <v>2.701664931063618E-7</v>
      </c>
      <c r="O79" s="305">
        <f t="shared" si="34"/>
        <v>4.0944191818671858E-7</v>
      </c>
      <c r="P79" s="305">
        <f t="shared" si="35"/>
        <v>5.7223491836362037E-7</v>
      </c>
      <c r="R79" s="305">
        <f>'4.1 CBA (ed7)'!E$30</f>
        <v>267.4364023031103</v>
      </c>
      <c r="S79" s="305">
        <f>'4.1 CBA (ed7)'!F$30</f>
        <v>405.30441911177871</v>
      </c>
      <c r="T79" s="305">
        <f>'4.1 CBA (ed7)'!G$30</f>
        <v>566.45236083784698</v>
      </c>
      <c r="U79" s="305"/>
      <c r="X79">
        <v>74</v>
      </c>
      <c r="Y79" s="305"/>
      <c r="Z79" s="305"/>
      <c r="AA79" s="305"/>
      <c r="AC79" s="305"/>
      <c r="AD79" s="305"/>
      <c r="AE79" s="305"/>
      <c r="AG79" s="305"/>
      <c r="AH79" s="305"/>
      <c r="AI79" s="305"/>
      <c r="AK79" s="305">
        <f t="shared" si="36"/>
        <v>6.5529693383596158E-8</v>
      </c>
      <c r="AL79" s="305">
        <f t="shared" si="37"/>
        <v>9.9311365589269395E-8</v>
      </c>
      <c r="AM79" s="305">
        <f t="shared" si="38"/>
        <v>1.3879729608112017E-7</v>
      </c>
      <c r="AO79" s="305">
        <f t="shared" si="39"/>
        <v>64.86750166918533</v>
      </c>
      <c r="AP79" s="305">
        <f t="shared" si="40"/>
        <v>98.307802776071426</v>
      </c>
      <c r="AQ79" s="305">
        <f t="shared" si="41"/>
        <v>137.39471940630619</v>
      </c>
    </row>
    <row r="80" spans="1:43">
      <c r="A80">
        <v>75</v>
      </c>
      <c r="B80" s="305"/>
      <c r="C80" s="305"/>
      <c r="D80" s="305"/>
      <c r="F80" s="516"/>
      <c r="G80" s="305"/>
      <c r="H80" s="305"/>
      <c r="I80" s="464"/>
      <c r="J80" s="305"/>
      <c r="K80" s="305"/>
      <c r="L80" s="305"/>
      <c r="N80" s="305">
        <f t="shared" si="33"/>
        <v>2.0262486982977135E-7</v>
      </c>
      <c r="O80" s="305">
        <f t="shared" si="34"/>
        <v>3.0708143864003895E-7</v>
      </c>
      <c r="P80" s="305">
        <f t="shared" si="35"/>
        <v>4.2917618877271531E-7</v>
      </c>
      <c r="R80" s="305">
        <f>'4.1 CBA (ed7)'!E$30</f>
        <v>267.4364023031103</v>
      </c>
      <c r="S80" s="305">
        <f>'4.1 CBA (ed7)'!F$30</f>
        <v>405.30441911177871</v>
      </c>
      <c r="T80" s="305">
        <f>'4.1 CBA (ed7)'!G$30</f>
        <v>566.45236083784698</v>
      </c>
      <c r="U80" s="305"/>
      <c r="X80">
        <v>75</v>
      </c>
      <c r="Y80" s="305"/>
      <c r="Z80" s="305"/>
      <c r="AA80" s="305"/>
      <c r="AC80" s="305"/>
      <c r="AD80" s="305"/>
      <c r="AE80" s="305"/>
      <c r="AG80" s="305"/>
      <c r="AH80" s="305"/>
      <c r="AI80" s="305"/>
      <c r="AK80" s="305">
        <f t="shared" si="36"/>
        <v>4.9147270037697119E-8</v>
      </c>
      <c r="AL80" s="305">
        <f t="shared" si="37"/>
        <v>7.4483524191952053E-8</v>
      </c>
      <c r="AM80" s="305">
        <f t="shared" si="38"/>
        <v>1.0409797206084013E-7</v>
      </c>
      <c r="AO80" s="305">
        <f t="shared" si="39"/>
        <v>64.86750166918533</v>
      </c>
      <c r="AP80" s="305">
        <f t="shared" si="40"/>
        <v>98.307802776071426</v>
      </c>
      <c r="AQ80" s="305">
        <f t="shared" si="41"/>
        <v>137.39471940630619</v>
      </c>
    </row>
    <row r="81" spans="1:43">
      <c r="A81">
        <v>76</v>
      </c>
      <c r="B81" s="305"/>
      <c r="C81" s="305"/>
      <c r="D81" s="305"/>
      <c r="F81" s="516"/>
      <c r="G81" s="305"/>
      <c r="H81" s="305"/>
      <c r="I81" s="464"/>
      <c r="J81" s="305"/>
      <c r="K81" s="305"/>
      <c r="L81" s="305"/>
      <c r="N81" s="305">
        <f t="shared" si="33"/>
        <v>1.5196865237232851E-7</v>
      </c>
      <c r="O81" s="305">
        <f t="shared" si="34"/>
        <v>2.3031107898002921E-7</v>
      </c>
      <c r="P81" s="305">
        <f t="shared" si="35"/>
        <v>3.2188214157953651E-7</v>
      </c>
      <c r="R81" s="305">
        <f>'4.1 CBA (ed7)'!E$30</f>
        <v>267.4364023031103</v>
      </c>
      <c r="S81" s="305">
        <f>'4.1 CBA (ed7)'!F$30</f>
        <v>405.30441911177871</v>
      </c>
      <c r="T81" s="305">
        <f>'4.1 CBA (ed7)'!G$30</f>
        <v>566.45236083784698</v>
      </c>
      <c r="U81" s="305"/>
      <c r="X81">
        <v>76</v>
      </c>
      <c r="Y81" s="305"/>
      <c r="Z81" s="305"/>
      <c r="AA81" s="305"/>
      <c r="AC81" s="305"/>
      <c r="AD81" s="305"/>
      <c r="AE81" s="305"/>
      <c r="AG81" s="305"/>
      <c r="AH81" s="305"/>
      <c r="AI81" s="305"/>
      <c r="AK81" s="305">
        <f t="shared" si="36"/>
        <v>3.6860452528272836E-8</v>
      </c>
      <c r="AL81" s="305">
        <f t="shared" si="37"/>
        <v>5.586264314396404E-8</v>
      </c>
      <c r="AM81" s="305">
        <f t="shared" si="38"/>
        <v>7.8073479045630093E-8</v>
      </c>
      <c r="AO81" s="305">
        <f t="shared" si="39"/>
        <v>64.86750166918533</v>
      </c>
      <c r="AP81" s="305">
        <f t="shared" si="40"/>
        <v>98.307802776071426</v>
      </c>
      <c r="AQ81" s="305">
        <f t="shared" si="41"/>
        <v>137.39471940630619</v>
      </c>
    </row>
    <row r="82" spans="1:43">
      <c r="A82">
        <v>77</v>
      </c>
      <c r="B82" s="305"/>
      <c r="C82" s="305"/>
      <c r="D82" s="305"/>
      <c r="F82" s="516"/>
      <c r="G82" s="305"/>
      <c r="H82" s="305"/>
      <c r="I82" s="464"/>
      <c r="J82" s="305"/>
      <c r="K82" s="305"/>
      <c r="L82" s="305"/>
      <c r="N82" s="305">
        <f t="shared" si="33"/>
        <v>1.1397648927924638E-7</v>
      </c>
      <c r="O82" s="305">
        <f t="shared" si="34"/>
        <v>1.7273330923502192E-7</v>
      </c>
      <c r="P82" s="305">
        <f t="shared" si="35"/>
        <v>2.4141160618465238E-7</v>
      </c>
      <c r="R82" s="305">
        <f>'4.1 CBA (ed7)'!E$30</f>
        <v>267.4364023031103</v>
      </c>
      <c r="S82" s="305">
        <f>'4.1 CBA (ed7)'!F$30</f>
        <v>405.30441911177871</v>
      </c>
      <c r="T82" s="305">
        <f>'4.1 CBA (ed7)'!G$30</f>
        <v>566.45236083784698</v>
      </c>
      <c r="U82" s="305"/>
      <c r="X82">
        <v>77</v>
      </c>
      <c r="Y82" s="305"/>
      <c r="Z82" s="305"/>
      <c r="AA82" s="305"/>
      <c r="AC82" s="305"/>
      <c r="AD82" s="305"/>
      <c r="AE82" s="305"/>
      <c r="AG82" s="305"/>
      <c r="AH82" s="305"/>
      <c r="AI82" s="305"/>
      <c r="AK82" s="305">
        <f t="shared" si="36"/>
        <v>2.7645339396204627E-8</v>
      </c>
      <c r="AL82" s="305">
        <f t="shared" si="37"/>
        <v>4.1896982357973033E-8</v>
      </c>
      <c r="AM82" s="305">
        <f t="shared" si="38"/>
        <v>5.8555109284222569E-8</v>
      </c>
      <c r="AO82" s="305">
        <f t="shared" si="39"/>
        <v>64.86750166918533</v>
      </c>
      <c r="AP82" s="305">
        <f t="shared" si="40"/>
        <v>98.307802776071426</v>
      </c>
      <c r="AQ82" s="305">
        <f t="shared" si="41"/>
        <v>137.39471940630619</v>
      </c>
    </row>
    <row r="83" spans="1:43">
      <c r="A83">
        <v>78</v>
      </c>
      <c r="B83" s="305"/>
      <c r="C83" s="305"/>
      <c r="D83" s="305"/>
      <c r="F83" s="516"/>
      <c r="G83" s="305"/>
      <c r="H83" s="305"/>
      <c r="I83" s="464"/>
      <c r="J83" s="305"/>
      <c r="K83" s="305"/>
      <c r="L83" s="305"/>
      <c r="N83" s="305">
        <f t="shared" si="33"/>
        <v>8.548236695943479E-8</v>
      </c>
      <c r="O83" s="305">
        <f t="shared" si="34"/>
        <v>1.2954998192626645E-7</v>
      </c>
      <c r="P83" s="305">
        <f t="shared" si="35"/>
        <v>1.8105870463848927E-7</v>
      </c>
      <c r="R83" s="305">
        <f>'4.1 CBA (ed7)'!E$30</f>
        <v>267.4364023031103</v>
      </c>
      <c r="S83" s="305">
        <f>'4.1 CBA (ed7)'!F$30</f>
        <v>405.30441911177871</v>
      </c>
      <c r="T83" s="305">
        <f>'4.1 CBA (ed7)'!G$30</f>
        <v>566.45236083784698</v>
      </c>
      <c r="U83" s="305"/>
      <c r="X83">
        <v>78</v>
      </c>
      <c r="Y83" s="305"/>
      <c r="Z83" s="305"/>
      <c r="AA83" s="305"/>
      <c r="AC83" s="305"/>
      <c r="AD83" s="305"/>
      <c r="AE83" s="305"/>
      <c r="AG83" s="305"/>
      <c r="AH83" s="305"/>
      <c r="AI83" s="305"/>
      <c r="AK83" s="305">
        <f t="shared" si="36"/>
        <v>2.0734004547153469E-8</v>
      </c>
      <c r="AL83" s="305">
        <f t="shared" si="37"/>
        <v>3.1422736768479772E-8</v>
      </c>
      <c r="AM83" s="305">
        <f t="shared" si="38"/>
        <v>4.3916331963166925E-8</v>
      </c>
      <c r="AO83" s="305">
        <f t="shared" si="39"/>
        <v>64.86750166918533</v>
      </c>
      <c r="AP83" s="305">
        <f t="shared" si="40"/>
        <v>98.307802776071426</v>
      </c>
      <c r="AQ83" s="305">
        <f t="shared" si="41"/>
        <v>137.39471940630619</v>
      </c>
    </row>
    <row r="84" spans="1:43">
      <c r="A84">
        <v>79</v>
      </c>
      <c r="B84" s="305"/>
      <c r="C84" s="305"/>
      <c r="D84" s="305"/>
      <c r="F84" s="516"/>
      <c r="G84" s="305"/>
      <c r="H84" s="305"/>
      <c r="I84" s="464"/>
      <c r="J84" s="305"/>
      <c r="K84" s="305"/>
      <c r="L84" s="305"/>
      <c r="N84" s="305">
        <f t="shared" si="33"/>
        <v>6.4111775219576089E-8</v>
      </c>
      <c r="O84" s="305">
        <f t="shared" si="34"/>
        <v>9.7162486444699837E-8</v>
      </c>
      <c r="P84" s="305">
        <f t="shared" si="35"/>
        <v>1.3579402847886695E-7</v>
      </c>
      <c r="R84" s="305">
        <f>'4.1 CBA (ed7)'!E$30</f>
        <v>267.4364023031103</v>
      </c>
      <c r="S84" s="305">
        <f>'4.1 CBA (ed7)'!F$30</f>
        <v>405.30441911177871</v>
      </c>
      <c r="T84" s="305">
        <f>'4.1 CBA (ed7)'!G$30</f>
        <v>566.45236083784698</v>
      </c>
      <c r="U84" s="305"/>
      <c r="X84">
        <v>79</v>
      </c>
      <c r="Y84" s="305"/>
      <c r="Z84" s="305"/>
      <c r="AA84" s="305"/>
      <c r="AC84" s="305"/>
      <c r="AD84" s="305"/>
      <c r="AE84" s="305"/>
      <c r="AG84" s="305"/>
      <c r="AH84" s="305"/>
      <c r="AI84" s="305"/>
      <c r="AK84" s="305">
        <f t="shared" si="36"/>
        <v>1.5550503410365101E-8</v>
      </c>
      <c r="AL84" s="305">
        <f t="shared" si="37"/>
        <v>2.3567052576359829E-8</v>
      </c>
      <c r="AM84" s="305">
        <f t="shared" si="38"/>
        <v>3.2937248972375194E-8</v>
      </c>
      <c r="AO84" s="305">
        <f t="shared" si="39"/>
        <v>64.86750166918533</v>
      </c>
      <c r="AP84" s="305">
        <f t="shared" si="40"/>
        <v>98.307802776071426</v>
      </c>
      <c r="AQ84" s="305">
        <f t="shared" si="41"/>
        <v>137.39471940630619</v>
      </c>
    </row>
    <row r="85" spans="1:43">
      <c r="A85">
        <v>80</v>
      </c>
      <c r="B85" s="305"/>
      <c r="C85" s="305"/>
      <c r="D85" s="305"/>
      <c r="F85" s="516"/>
      <c r="G85" s="305"/>
      <c r="H85" s="305"/>
      <c r="I85" s="464"/>
      <c r="J85" s="305"/>
      <c r="K85" s="305"/>
      <c r="L85" s="305"/>
      <c r="N85" s="308"/>
      <c r="O85" s="308"/>
      <c r="P85" s="308"/>
      <c r="R85" s="305">
        <f>'4.1 CBA (ed7)'!E$30</f>
        <v>267.4364023031103</v>
      </c>
      <c r="S85" s="305">
        <f>'4.1 CBA (ed7)'!F$30</f>
        <v>405.30441911177871</v>
      </c>
      <c r="T85" s="305">
        <f>'4.1 CBA (ed7)'!G$30</f>
        <v>566.45236083784698</v>
      </c>
      <c r="U85" s="305"/>
      <c r="X85">
        <v>80</v>
      </c>
      <c r="Y85" s="305"/>
      <c r="Z85" s="305"/>
      <c r="AA85" s="305"/>
      <c r="AC85" s="305"/>
      <c r="AD85" s="305"/>
      <c r="AE85" s="305"/>
      <c r="AG85" s="305"/>
      <c r="AH85" s="305"/>
      <c r="AI85" s="305"/>
      <c r="AK85" s="308"/>
      <c r="AL85" s="308"/>
      <c r="AM85" s="308"/>
      <c r="AO85" s="305">
        <f t="shared" si="39"/>
        <v>64.86750166918533</v>
      </c>
      <c r="AP85" s="305">
        <f t="shared" si="40"/>
        <v>98.307802776071426</v>
      </c>
      <c r="AQ85" s="305">
        <f t="shared" si="41"/>
        <v>137.39471940630619</v>
      </c>
    </row>
    <row r="86" spans="1:43">
      <c r="A86">
        <v>81</v>
      </c>
      <c r="B86" s="305"/>
      <c r="C86" s="305"/>
      <c r="D86" s="305"/>
      <c r="F86" s="516"/>
      <c r="G86" s="305"/>
      <c r="H86" s="305"/>
      <c r="I86" s="464"/>
      <c r="J86" s="305"/>
      <c r="K86" s="305"/>
      <c r="L86" s="305"/>
      <c r="N86" s="305"/>
      <c r="O86" s="307"/>
      <c r="P86" s="305"/>
      <c r="R86" s="305">
        <f>'4.1 CBA (ed7)'!E$30</f>
        <v>267.4364023031103</v>
      </c>
      <c r="S86" s="305">
        <f>'4.1 CBA (ed7)'!F$30</f>
        <v>405.30441911177871</v>
      </c>
      <c r="T86" s="305">
        <f>'4.1 CBA (ed7)'!G$30</f>
        <v>566.45236083784698</v>
      </c>
      <c r="U86" s="305"/>
      <c r="X86">
        <v>81</v>
      </c>
      <c r="Y86" s="305"/>
      <c r="Z86" s="305"/>
      <c r="AA86" s="305"/>
      <c r="AC86" s="305"/>
      <c r="AD86" s="305"/>
      <c r="AE86" s="305"/>
      <c r="AG86" s="305"/>
      <c r="AH86" s="305"/>
      <c r="AI86" s="305"/>
      <c r="AK86" s="305"/>
      <c r="AL86" s="307"/>
      <c r="AM86" s="305"/>
      <c r="AO86" s="305">
        <f t="shared" si="39"/>
        <v>64.86750166918533</v>
      </c>
      <c r="AP86" s="305">
        <f t="shared" si="40"/>
        <v>98.307802776071426</v>
      </c>
      <c r="AQ86" s="305">
        <f t="shared" si="41"/>
        <v>137.39471940630619</v>
      </c>
    </row>
    <row r="87" spans="1:43">
      <c r="A87">
        <v>82</v>
      </c>
      <c r="B87" s="305"/>
      <c r="C87" s="305"/>
      <c r="D87" s="305"/>
      <c r="F87" s="516"/>
      <c r="G87" s="305"/>
      <c r="H87" s="305"/>
      <c r="I87" s="464"/>
      <c r="J87" s="305"/>
      <c r="K87" s="305"/>
      <c r="L87" s="305"/>
      <c r="N87" s="305"/>
      <c r="O87" s="305"/>
      <c r="P87" s="305"/>
      <c r="R87" s="305">
        <f>'4.1 CBA (ed7)'!E$30</f>
        <v>267.4364023031103</v>
      </c>
      <c r="S87" s="305">
        <f>'4.1 CBA (ed7)'!F$30</f>
        <v>405.30441911177871</v>
      </c>
      <c r="T87" s="305">
        <f>'4.1 CBA (ed7)'!G$30</f>
        <v>566.45236083784698</v>
      </c>
      <c r="U87" s="305"/>
      <c r="X87">
        <v>82</v>
      </c>
      <c r="Y87" s="305"/>
      <c r="Z87" s="305"/>
      <c r="AA87" s="305"/>
      <c r="AC87" s="305"/>
      <c r="AD87" s="305"/>
      <c r="AE87" s="305"/>
      <c r="AG87" s="305"/>
      <c r="AH87" s="305"/>
      <c r="AI87" s="305"/>
      <c r="AK87" s="305"/>
      <c r="AL87" s="305"/>
      <c r="AM87" s="305"/>
      <c r="AO87" s="305">
        <f t="shared" si="39"/>
        <v>64.86750166918533</v>
      </c>
      <c r="AP87" s="305">
        <f t="shared" si="40"/>
        <v>98.307802776071426</v>
      </c>
      <c r="AQ87" s="305">
        <f t="shared" si="41"/>
        <v>137.39471940630619</v>
      </c>
    </row>
    <row r="88" spans="1:43">
      <c r="A88">
        <v>83</v>
      </c>
      <c r="B88" s="305"/>
      <c r="C88" s="305"/>
      <c r="D88" s="305"/>
      <c r="F88" s="516"/>
      <c r="G88" s="305"/>
      <c r="H88" s="305"/>
      <c r="I88" s="464"/>
      <c r="J88" s="305"/>
      <c r="K88" s="305"/>
      <c r="L88" s="305"/>
      <c r="N88" s="305"/>
      <c r="O88" s="305"/>
      <c r="P88" s="305"/>
      <c r="R88" s="305">
        <f>'4.1 CBA (ed7)'!E$30</f>
        <v>267.4364023031103</v>
      </c>
      <c r="S88" s="305">
        <f>'4.1 CBA (ed7)'!F$30</f>
        <v>405.30441911177871</v>
      </c>
      <c r="T88" s="305">
        <f>'4.1 CBA (ed7)'!G$30</f>
        <v>566.45236083784698</v>
      </c>
      <c r="U88" s="305"/>
      <c r="X88">
        <v>83</v>
      </c>
      <c r="Y88" s="305"/>
      <c r="Z88" s="305"/>
      <c r="AA88" s="305"/>
      <c r="AC88" s="305"/>
      <c r="AD88" s="305"/>
      <c r="AE88" s="305"/>
      <c r="AG88" s="305"/>
      <c r="AH88" s="305"/>
      <c r="AI88" s="305"/>
      <c r="AK88" s="305"/>
      <c r="AL88" s="305"/>
      <c r="AM88" s="305"/>
      <c r="AO88" s="305">
        <f t="shared" si="39"/>
        <v>64.86750166918533</v>
      </c>
      <c r="AP88" s="305">
        <f t="shared" si="40"/>
        <v>98.307802776071426</v>
      </c>
      <c r="AQ88" s="305">
        <f t="shared" si="41"/>
        <v>137.39471940630619</v>
      </c>
    </row>
    <row r="89" spans="1:43">
      <c r="A89">
        <v>84</v>
      </c>
      <c r="B89" s="305"/>
      <c r="C89" s="305"/>
      <c r="D89" s="305"/>
      <c r="F89" s="516"/>
      <c r="G89" s="305"/>
      <c r="H89" s="305"/>
      <c r="I89" s="464"/>
      <c r="J89" s="305"/>
      <c r="K89" s="305"/>
      <c r="L89" s="305"/>
      <c r="N89" s="305"/>
      <c r="O89" s="305"/>
      <c r="P89" s="305"/>
      <c r="R89" s="305">
        <f>'4.1 CBA (ed7)'!E$30</f>
        <v>267.4364023031103</v>
      </c>
      <c r="S89" s="305">
        <f>'4.1 CBA (ed7)'!F$30</f>
        <v>405.30441911177871</v>
      </c>
      <c r="T89" s="305">
        <f>'4.1 CBA (ed7)'!G$30</f>
        <v>566.45236083784698</v>
      </c>
      <c r="U89" s="305"/>
      <c r="X89">
        <v>84</v>
      </c>
      <c r="Y89" s="305"/>
      <c r="Z89" s="305"/>
      <c r="AA89" s="305"/>
      <c r="AC89" s="305"/>
      <c r="AD89" s="305"/>
      <c r="AE89" s="305"/>
      <c r="AG89" s="305"/>
      <c r="AH89" s="305"/>
      <c r="AI89" s="305"/>
      <c r="AK89" s="305"/>
      <c r="AL89" s="305"/>
      <c r="AM89" s="305"/>
      <c r="AO89" s="305">
        <f t="shared" si="39"/>
        <v>64.86750166918533</v>
      </c>
      <c r="AP89" s="305">
        <f t="shared" si="40"/>
        <v>98.307802776071426</v>
      </c>
      <c r="AQ89" s="305">
        <f t="shared" si="41"/>
        <v>137.39471940630619</v>
      </c>
    </row>
    <row r="90" spans="1:43">
      <c r="A90">
        <v>85</v>
      </c>
      <c r="B90" s="305"/>
      <c r="C90" s="305"/>
      <c r="D90" s="305"/>
      <c r="F90" s="516"/>
      <c r="G90" s="305"/>
      <c r="H90" s="305"/>
      <c r="I90" s="464"/>
      <c r="J90" s="305"/>
      <c r="K90" s="305"/>
      <c r="L90" s="305"/>
      <c r="N90" s="305"/>
      <c r="O90" s="305"/>
      <c r="P90" s="305"/>
      <c r="R90" s="305">
        <f>'4.1 CBA (ed7)'!E$30</f>
        <v>267.4364023031103</v>
      </c>
      <c r="S90" s="305">
        <f>'4.1 CBA (ed7)'!F$30</f>
        <v>405.30441911177871</v>
      </c>
      <c r="T90" s="305">
        <f>'4.1 CBA (ed7)'!G$30</f>
        <v>566.45236083784698</v>
      </c>
      <c r="U90" s="305"/>
      <c r="X90">
        <v>85</v>
      </c>
      <c r="Y90" s="305"/>
      <c r="Z90" s="305"/>
      <c r="AA90" s="305"/>
      <c r="AC90" s="305"/>
      <c r="AD90" s="305"/>
      <c r="AE90" s="305"/>
      <c r="AG90" s="305"/>
      <c r="AH90" s="305"/>
      <c r="AI90" s="305"/>
      <c r="AK90" s="305"/>
      <c r="AL90" s="305"/>
      <c r="AM90" s="305"/>
      <c r="AO90" s="305">
        <f t="shared" si="39"/>
        <v>64.86750166918533</v>
      </c>
      <c r="AP90" s="305">
        <f t="shared" si="40"/>
        <v>98.307802776071426</v>
      </c>
      <c r="AQ90" s="305">
        <f t="shared" si="41"/>
        <v>137.39471940630619</v>
      </c>
    </row>
    <row r="91" spans="1:43">
      <c r="A91">
        <v>86</v>
      </c>
      <c r="B91" s="305"/>
      <c r="C91" s="305"/>
      <c r="D91" s="305"/>
      <c r="F91" s="516"/>
      <c r="G91" s="305"/>
      <c r="H91" s="305"/>
      <c r="I91" s="464"/>
      <c r="J91" s="305"/>
      <c r="K91" s="305"/>
      <c r="L91" s="305"/>
      <c r="N91" s="305"/>
      <c r="O91" s="305"/>
      <c r="P91" s="305"/>
      <c r="R91" s="305">
        <f>'4.1 CBA (ed7)'!E$30</f>
        <v>267.4364023031103</v>
      </c>
      <c r="S91" s="305">
        <f>'4.1 CBA (ed7)'!F$30</f>
        <v>405.30441911177871</v>
      </c>
      <c r="T91" s="305">
        <f>'4.1 CBA (ed7)'!G$30</f>
        <v>566.45236083784698</v>
      </c>
      <c r="U91" s="305"/>
      <c r="X91">
        <v>86</v>
      </c>
      <c r="Y91" s="305"/>
      <c r="Z91" s="305"/>
      <c r="AA91" s="305"/>
      <c r="AC91" s="305"/>
      <c r="AD91" s="305"/>
      <c r="AE91" s="305"/>
      <c r="AG91" s="305"/>
      <c r="AH91" s="305"/>
      <c r="AI91" s="305"/>
      <c r="AK91" s="305"/>
      <c r="AL91" s="305"/>
      <c r="AM91" s="305"/>
      <c r="AO91" s="305">
        <f t="shared" si="39"/>
        <v>64.86750166918533</v>
      </c>
      <c r="AP91" s="305">
        <f t="shared" si="40"/>
        <v>98.307802776071426</v>
      </c>
      <c r="AQ91" s="305">
        <f t="shared" si="41"/>
        <v>137.39471940630619</v>
      </c>
    </row>
    <row r="92" spans="1:43">
      <c r="A92">
        <v>87</v>
      </c>
      <c r="B92" s="305"/>
      <c r="C92" s="305"/>
      <c r="D92" s="305"/>
      <c r="F92" s="516"/>
      <c r="G92" s="305"/>
      <c r="H92" s="305"/>
      <c r="I92" s="464"/>
      <c r="J92" s="305"/>
      <c r="K92" s="305"/>
      <c r="L92" s="305"/>
      <c r="N92" s="305"/>
      <c r="O92" s="305"/>
      <c r="P92" s="305"/>
      <c r="R92" s="305">
        <f>'4.1 CBA (ed7)'!E$30</f>
        <v>267.4364023031103</v>
      </c>
      <c r="S92" s="305">
        <f>'4.1 CBA (ed7)'!F$30</f>
        <v>405.30441911177871</v>
      </c>
      <c r="T92" s="305">
        <f>'4.1 CBA (ed7)'!G$30</f>
        <v>566.45236083784698</v>
      </c>
      <c r="U92" s="305"/>
      <c r="X92">
        <v>87</v>
      </c>
      <c r="Y92" s="305"/>
      <c r="Z92" s="305"/>
      <c r="AA92" s="305"/>
      <c r="AC92" s="305"/>
      <c r="AD92" s="305"/>
      <c r="AE92" s="305"/>
      <c r="AG92" s="305"/>
      <c r="AH92" s="305"/>
      <c r="AI92" s="305"/>
      <c r="AK92" s="305"/>
      <c r="AL92" s="305"/>
      <c r="AM92" s="305"/>
      <c r="AO92" s="305">
        <f t="shared" si="39"/>
        <v>64.86750166918533</v>
      </c>
      <c r="AP92" s="305">
        <f t="shared" si="40"/>
        <v>98.307802776071426</v>
      </c>
      <c r="AQ92" s="305">
        <f t="shared" si="41"/>
        <v>137.39471940630619</v>
      </c>
    </row>
    <row r="93" spans="1:43">
      <c r="A93">
        <v>88</v>
      </c>
      <c r="B93" s="305"/>
      <c r="C93" s="305"/>
      <c r="D93" s="305"/>
      <c r="F93" s="516"/>
      <c r="G93" s="305"/>
      <c r="H93" s="305"/>
      <c r="I93" s="464"/>
      <c r="J93" s="305"/>
      <c r="K93" s="305"/>
      <c r="L93" s="305"/>
      <c r="N93" s="305"/>
      <c r="O93" s="305"/>
      <c r="P93" s="305"/>
      <c r="R93" s="305">
        <f>'4.1 CBA (ed7)'!E$30</f>
        <v>267.4364023031103</v>
      </c>
      <c r="S93" s="305">
        <f>'4.1 CBA (ed7)'!F$30</f>
        <v>405.30441911177871</v>
      </c>
      <c r="T93" s="305">
        <f>'4.1 CBA (ed7)'!G$30</f>
        <v>566.45236083784698</v>
      </c>
      <c r="U93" s="305"/>
      <c r="X93">
        <v>88</v>
      </c>
      <c r="Y93" s="305"/>
      <c r="Z93" s="305"/>
      <c r="AA93" s="305"/>
      <c r="AC93" s="305"/>
      <c r="AD93" s="305"/>
      <c r="AE93" s="305"/>
      <c r="AG93" s="305"/>
      <c r="AH93" s="305"/>
      <c r="AI93" s="305"/>
      <c r="AK93" s="305"/>
      <c r="AL93" s="305"/>
      <c r="AM93" s="305"/>
      <c r="AO93" s="305">
        <f t="shared" si="39"/>
        <v>64.86750166918533</v>
      </c>
      <c r="AP93" s="305">
        <f t="shared" si="40"/>
        <v>98.307802776071426</v>
      </c>
      <c r="AQ93" s="305">
        <f t="shared" si="41"/>
        <v>137.39471940630619</v>
      </c>
    </row>
    <row r="94" spans="1:43">
      <c r="A94">
        <v>89</v>
      </c>
      <c r="B94" s="305"/>
      <c r="C94" s="305"/>
      <c r="D94" s="305"/>
      <c r="F94" s="516"/>
      <c r="G94" s="305"/>
      <c r="H94" s="305"/>
      <c r="I94" s="464"/>
      <c r="J94" s="305"/>
      <c r="K94" s="305"/>
      <c r="L94" s="305"/>
      <c r="N94" s="305"/>
      <c r="O94" s="305"/>
      <c r="P94" s="305"/>
      <c r="R94" s="305">
        <f>'4.1 CBA (ed7)'!E$30</f>
        <v>267.4364023031103</v>
      </c>
      <c r="S94" s="305">
        <f>'4.1 CBA (ed7)'!F$30</f>
        <v>405.30441911177871</v>
      </c>
      <c r="T94" s="305">
        <f>'4.1 CBA (ed7)'!G$30</f>
        <v>566.45236083784698</v>
      </c>
      <c r="U94" s="305"/>
      <c r="X94">
        <v>89</v>
      </c>
      <c r="Y94" s="305"/>
      <c r="Z94" s="305"/>
      <c r="AA94" s="305"/>
      <c r="AC94" s="305"/>
      <c r="AD94" s="305"/>
      <c r="AE94" s="305"/>
      <c r="AG94" s="305"/>
      <c r="AH94" s="305"/>
      <c r="AI94" s="305"/>
      <c r="AK94" s="305"/>
      <c r="AL94" s="305"/>
      <c r="AM94" s="305"/>
      <c r="AO94" s="305">
        <f t="shared" si="39"/>
        <v>64.86750166918533</v>
      </c>
      <c r="AP94" s="305">
        <f t="shared" si="40"/>
        <v>98.307802776071426</v>
      </c>
      <c r="AQ94" s="305">
        <f t="shared" si="41"/>
        <v>137.39471940630619</v>
      </c>
    </row>
    <row r="95" spans="1:43">
      <c r="A95">
        <v>90</v>
      </c>
      <c r="B95" s="305"/>
      <c r="C95" s="305"/>
      <c r="D95" s="305"/>
      <c r="F95" s="516"/>
      <c r="G95" s="305"/>
      <c r="H95" s="305"/>
      <c r="I95" s="464"/>
      <c r="J95" s="305"/>
      <c r="K95" s="305"/>
      <c r="L95" s="305"/>
      <c r="N95" s="305"/>
      <c r="O95" s="305"/>
      <c r="P95" s="305"/>
      <c r="R95" s="305">
        <f>'4.1 CBA (ed7)'!E$30</f>
        <v>267.4364023031103</v>
      </c>
      <c r="S95" s="305">
        <f>'4.1 CBA (ed7)'!F$30</f>
        <v>405.30441911177871</v>
      </c>
      <c r="T95" s="305">
        <f>'4.1 CBA (ed7)'!G$30</f>
        <v>566.45236083784698</v>
      </c>
      <c r="U95" s="305"/>
      <c r="X95">
        <v>90</v>
      </c>
      <c r="Y95" s="305"/>
      <c r="Z95" s="305"/>
      <c r="AA95" s="305"/>
      <c r="AC95" s="305"/>
      <c r="AD95" s="305"/>
      <c r="AE95" s="305"/>
      <c r="AG95" s="305"/>
      <c r="AH95" s="305"/>
      <c r="AI95" s="305"/>
      <c r="AK95" s="305"/>
      <c r="AL95" s="305"/>
      <c r="AM95" s="305"/>
      <c r="AO95" s="305">
        <f t="shared" si="39"/>
        <v>64.86750166918533</v>
      </c>
      <c r="AP95" s="305">
        <f t="shared" si="40"/>
        <v>98.307802776071426</v>
      </c>
      <c r="AQ95" s="305">
        <f t="shared" si="41"/>
        <v>137.39471940630619</v>
      </c>
    </row>
    <row r="96" spans="1:43">
      <c r="A96">
        <v>91</v>
      </c>
      <c r="B96" s="305"/>
      <c r="C96" s="305"/>
      <c r="D96" s="305"/>
      <c r="F96" s="516"/>
      <c r="G96" s="305"/>
      <c r="H96" s="305"/>
      <c r="I96" s="464"/>
      <c r="J96" s="305"/>
      <c r="K96" s="305"/>
      <c r="L96" s="305"/>
      <c r="N96" s="305"/>
      <c r="O96" s="305"/>
      <c r="P96" s="305"/>
      <c r="R96" s="305">
        <f>'4.1 CBA (ed7)'!E$30</f>
        <v>267.4364023031103</v>
      </c>
      <c r="S96" s="305">
        <f>'4.1 CBA (ed7)'!F$30</f>
        <v>405.30441911177871</v>
      </c>
      <c r="T96" s="305">
        <f>'4.1 CBA (ed7)'!G$30</f>
        <v>566.45236083784698</v>
      </c>
      <c r="U96" s="305"/>
      <c r="X96">
        <v>91</v>
      </c>
      <c r="Y96" s="305"/>
      <c r="Z96" s="305"/>
      <c r="AA96" s="305"/>
      <c r="AC96" s="305"/>
      <c r="AD96" s="305"/>
      <c r="AE96" s="305"/>
      <c r="AG96" s="305"/>
      <c r="AH96" s="305"/>
      <c r="AI96" s="305"/>
      <c r="AK96" s="305"/>
      <c r="AL96" s="305"/>
      <c r="AM96" s="305"/>
      <c r="AO96" s="305">
        <f t="shared" si="39"/>
        <v>64.86750166918533</v>
      </c>
      <c r="AP96" s="305">
        <f t="shared" si="40"/>
        <v>98.307802776071426</v>
      </c>
      <c r="AQ96" s="305">
        <f t="shared" si="41"/>
        <v>137.39471940630619</v>
      </c>
    </row>
    <row r="97" spans="1:43">
      <c r="A97">
        <v>92</v>
      </c>
      <c r="B97" s="305"/>
      <c r="C97" s="305"/>
      <c r="D97" s="305"/>
      <c r="F97" s="516"/>
      <c r="G97" s="305"/>
      <c r="H97" s="305"/>
      <c r="I97" s="464"/>
      <c r="J97" s="305"/>
      <c r="K97" s="305"/>
      <c r="L97" s="305"/>
      <c r="N97" s="305"/>
      <c r="O97" s="305"/>
      <c r="P97" s="305"/>
      <c r="R97" s="305">
        <f>'4.1 CBA (ed7)'!E$30</f>
        <v>267.4364023031103</v>
      </c>
      <c r="S97" s="305">
        <f>'4.1 CBA (ed7)'!F$30</f>
        <v>405.30441911177871</v>
      </c>
      <c r="T97" s="305">
        <f>'4.1 CBA (ed7)'!G$30</f>
        <v>566.45236083784698</v>
      </c>
      <c r="U97" s="305"/>
      <c r="X97">
        <v>92</v>
      </c>
      <c r="Y97" s="305"/>
      <c r="Z97" s="305"/>
      <c r="AA97" s="305"/>
      <c r="AC97" s="305"/>
      <c r="AD97" s="305"/>
      <c r="AE97" s="305"/>
      <c r="AG97" s="305"/>
      <c r="AH97" s="305"/>
      <c r="AI97" s="305"/>
      <c r="AK97" s="305"/>
      <c r="AL97" s="305"/>
      <c r="AM97" s="305"/>
      <c r="AO97" s="305">
        <f t="shared" si="39"/>
        <v>64.86750166918533</v>
      </c>
      <c r="AP97" s="305">
        <f t="shared" si="40"/>
        <v>98.307802776071426</v>
      </c>
      <c r="AQ97" s="305">
        <f t="shared" si="41"/>
        <v>137.39471940630619</v>
      </c>
    </row>
    <row r="98" spans="1:43">
      <c r="A98">
        <v>93</v>
      </c>
      <c r="B98" s="305"/>
      <c r="C98" s="305"/>
      <c r="D98" s="305"/>
      <c r="F98" s="516"/>
      <c r="G98" s="305"/>
      <c r="H98" s="305"/>
      <c r="I98" s="464"/>
      <c r="J98" s="305"/>
      <c r="K98" s="305"/>
      <c r="L98" s="305"/>
      <c r="N98" s="305"/>
      <c r="O98" s="305"/>
      <c r="P98" s="305"/>
      <c r="R98" s="305">
        <f>'4.1 CBA (ed7)'!E$30</f>
        <v>267.4364023031103</v>
      </c>
      <c r="S98" s="305">
        <f>'4.1 CBA (ed7)'!F$30</f>
        <v>405.30441911177871</v>
      </c>
      <c r="T98" s="305">
        <f>'4.1 CBA (ed7)'!G$30</f>
        <v>566.45236083784698</v>
      </c>
      <c r="U98" s="305"/>
      <c r="X98">
        <v>93</v>
      </c>
      <c r="Y98" s="305"/>
      <c r="Z98" s="305"/>
      <c r="AA98" s="305"/>
      <c r="AC98" s="305"/>
      <c r="AD98" s="305"/>
      <c r="AE98" s="305"/>
      <c r="AG98" s="305"/>
      <c r="AH98" s="305"/>
      <c r="AI98" s="305"/>
      <c r="AK98" s="305"/>
      <c r="AL98" s="305"/>
      <c r="AM98" s="305"/>
      <c r="AO98" s="305">
        <f t="shared" si="39"/>
        <v>64.86750166918533</v>
      </c>
      <c r="AP98" s="305">
        <f t="shared" si="40"/>
        <v>98.307802776071426</v>
      </c>
      <c r="AQ98" s="305">
        <f t="shared" si="41"/>
        <v>137.39471940630619</v>
      </c>
    </row>
    <row r="99" spans="1:43">
      <c r="A99">
        <v>94</v>
      </c>
      <c r="B99" s="305"/>
      <c r="C99" s="305"/>
      <c r="D99" s="305"/>
      <c r="F99" s="516"/>
      <c r="G99" s="305"/>
      <c r="H99" s="305"/>
      <c r="I99" s="464"/>
      <c r="J99" s="305"/>
      <c r="K99" s="305"/>
      <c r="L99" s="305"/>
      <c r="N99" s="305"/>
      <c r="O99" s="305"/>
      <c r="P99" s="305"/>
      <c r="R99" s="305">
        <f>'4.1 CBA (ed7)'!E$30</f>
        <v>267.4364023031103</v>
      </c>
      <c r="S99" s="305">
        <f>'4.1 CBA (ed7)'!F$30</f>
        <v>405.30441911177871</v>
      </c>
      <c r="T99" s="305">
        <f>'4.1 CBA (ed7)'!G$30</f>
        <v>566.45236083784698</v>
      </c>
      <c r="U99" s="305"/>
      <c r="X99">
        <v>94</v>
      </c>
      <c r="Y99" s="305"/>
      <c r="Z99" s="305"/>
      <c r="AA99" s="305"/>
      <c r="AC99" s="305"/>
      <c r="AD99" s="305"/>
      <c r="AE99" s="305"/>
      <c r="AG99" s="305"/>
      <c r="AH99" s="305"/>
      <c r="AI99" s="305"/>
      <c r="AK99" s="305"/>
      <c r="AL99" s="305"/>
      <c r="AM99" s="305"/>
      <c r="AO99" s="305">
        <f t="shared" si="39"/>
        <v>64.86750166918533</v>
      </c>
      <c r="AP99" s="305">
        <f t="shared" si="40"/>
        <v>98.307802776071426</v>
      </c>
      <c r="AQ99" s="305">
        <f t="shared" si="41"/>
        <v>137.39471940630619</v>
      </c>
    </row>
    <row r="100" spans="1:43">
      <c r="A100">
        <v>95</v>
      </c>
      <c r="B100" s="305"/>
      <c r="C100" s="305"/>
      <c r="D100" s="305"/>
      <c r="F100" s="516"/>
      <c r="G100" s="305"/>
      <c r="H100" s="305"/>
      <c r="I100" s="464"/>
      <c r="J100" s="305"/>
      <c r="K100" s="305"/>
      <c r="L100" s="305"/>
      <c r="N100" s="305"/>
      <c r="O100" s="305"/>
      <c r="P100" s="305"/>
      <c r="R100" s="305">
        <f>'4.1 CBA (ed7)'!E$30</f>
        <v>267.4364023031103</v>
      </c>
      <c r="S100" s="305">
        <f>'4.1 CBA (ed7)'!F$30</f>
        <v>405.30441911177871</v>
      </c>
      <c r="T100" s="305">
        <f>'4.1 CBA (ed7)'!G$30</f>
        <v>566.45236083784698</v>
      </c>
      <c r="U100" s="305"/>
      <c r="X100">
        <v>95</v>
      </c>
      <c r="Y100" s="305"/>
      <c r="Z100" s="305"/>
      <c r="AA100" s="305"/>
      <c r="AC100" s="305"/>
      <c r="AD100" s="305"/>
      <c r="AE100" s="305"/>
      <c r="AG100" s="305"/>
      <c r="AH100" s="305"/>
      <c r="AI100" s="305"/>
      <c r="AK100" s="305"/>
      <c r="AL100" s="305"/>
      <c r="AM100" s="305"/>
      <c r="AO100" s="305">
        <f t="shared" si="39"/>
        <v>64.86750166918533</v>
      </c>
      <c r="AP100" s="305">
        <f t="shared" si="40"/>
        <v>98.307802776071426</v>
      </c>
      <c r="AQ100" s="305">
        <f t="shared" si="41"/>
        <v>137.39471940630619</v>
      </c>
    </row>
    <row r="101" spans="1:43">
      <c r="A101">
        <v>96</v>
      </c>
      <c r="B101" s="305"/>
      <c r="C101" s="305"/>
      <c r="D101" s="305"/>
      <c r="F101" s="516"/>
      <c r="G101" s="305"/>
      <c r="H101" s="305"/>
      <c r="I101" s="464"/>
      <c r="J101" s="305"/>
      <c r="K101" s="305"/>
      <c r="L101" s="305"/>
      <c r="N101" s="305"/>
      <c r="O101" s="305"/>
      <c r="P101" s="305"/>
      <c r="R101" s="305">
        <f>'4.1 CBA (ed7)'!E$30</f>
        <v>267.4364023031103</v>
      </c>
      <c r="S101" s="305">
        <f>'4.1 CBA (ed7)'!F$30</f>
        <v>405.30441911177871</v>
      </c>
      <c r="T101" s="305">
        <f>'4.1 CBA (ed7)'!G$30</f>
        <v>566.45236083784698</v>
      </c>
      <c r="U101" s="305"/>
      <c r="X101">
        <v>96</v>
      </c>
      <c r="Y101" s="305"/>
      <c r="Z101" s="305"/>
      <c r="AA101" s="305"/>
      <c r="AC101" s="305"/>
      <c r="AD101" s="305"/>
      <c r="AE101" s="305"/>
      <c r="AG101" s="305"/>
      <c r="AH101" s="305"/>
      <c r="AI101" s="305"/>
      <c r="AK101" s="305"/>
      <c r="AL101" s="305"/>
      <c r="AM101" s="305"/>
      <c r="AO101" s="305">
        <f t="shared" si="39"/>
        <v>64.86750166918533</v>
      </c>
      <c r="AP101" s="305">
        <f t="shared" si="40"/>
        <v>98.307802776071426</v>
      </c>
      <c r="AQ101" s="305">
        <f t="shared" si="41"/>
        <v>137.39471940630619</v>
      </c>
    </row>
    <row r="102" spans="1:43">
      <c r="A102">
        <v>97</v>
      </c>
      <c r="B102" s="305"/>
      <c r="C102" s="305"/>
      <c r="D102" s="305"/>
      <c r="F102" s="516"/>
      <c r="G102" s="305"/>
      <c r="H102" s="305"/>
      <c r="I102" s="464"/>
      <c r="J102" s="305"/>
      <c r="K102" s="305"/>
      <c r="L102" s="305"/>
      <c r="N102" s="305"/>
      <c r="O102" s="305"/>
      <c r="P102" s="305"/>
      <c r="R102" s="305">
        <f>'4.1 CBA (ed7)'!E$30</f>
        <v>267.4364023031103</v>
      </c>
      <c r="S102" s="305">
        <f>'4.1 CBA (ed7)'!F$30</f>
        <v>405.30441911177871</v>
      </c>
      <c r="T102" s="305">
        <f>'4.1 CBA (ed7)'!G$30</f>
        <v>566.45236083784698</v>
      </c>
      <c r="U102" s="305"/>
      <c r="X102">
        <v>97</v>
      </c>
      <c r="Y102" s="305"/>
      <c r="Z102" s="305"/>
      <c r="AA102" s="305"/>
      <c r="AC102" s="305"/>
      <c r="AD102" s="305"/>
      <c r="AE102" s="305"/>
      <c r="AG102" s="305"/>
      <c r="AH102" s="305"/>
      <c r="AI102" s="305"/>
      <c r="AK102" s="305"/>
      <c r="AL102" s="305"/>
      <c r="AM102" s="305"/>
      <c r="AO102" s="305">
        <f t="shared" si="39"/>
        <v>64.86750166918533</v>
      </c>
      <c r="AP102" s="305">
        <f t="shared" si="40"/>
        <v>98.307802776071426</v>
      </c>
      <c r="AQ102" s="305">
        <f t="shared" si="41"/>
        <v>137.39471940630619</v>
      </c>
    </row>
    <row r="103" spans="1:43">
      <c r="A103">
        <v>98</v>
      </c>
      <c r="B103" s="305"/>
      <c r="C103" s="305"/>
      <c r="D103" s="305"/>
      <c r="F103" s="516"/>
      <c r="G103" s="305"/>
      <c r="H103" s="305"/>
      <c r="I103" s="464"/>
      <c r="J103" s="305"/>
      <c r="K103" s="305"/>
      <c r="L103" s="305"/>
      <c r="N103" s="305"/>
      <c r="O103" s="305"/>
      <c r="P103" s="305"/>
      <c r="R103" s="305">
        <f>'4.1 CBA (ed7)'!E$30</f>
        <v>267.4364023031103</v>
      </c>
      <c r="S103" s="305">
        <f>'4.1 CBA (ed7)'!F$30</f>
        <v>405.30441911177871</v>
      </c>
      <c r="T103" s="305">
        <f>'4.1 CBA (ed7)'!G$30</f>
        <v>566.45236083784698</v>
      </c>
      <c r="U103" s="305"/>
      <c r="X103">
        <v>98</v>
      </c>
      <c r="Y103" s="305"/>
      <c r="Z103" s="305"/>
      <c r="AA103" s="305"/>
      <c r="AC103" s="305"/>
      <c r="AD103" s="305"/>
      <c r="AE103" s="305"/>
      <c r="AG103" s="305"/>
      <c r="AH103" s="305"/>
      <c r="AI103" s="305"/>
      <c r="AK103" s="305"/>
      <c r="AL103" s="305"/>
      <c r="AM103" s="305"/>
      <c r="AO103" s="305">
        <f t="shared" si="39"/>
        <v>64.86750166918533</v>
      </c>
      <c r="AP103" s="305">
        <f t="shared" si="40"/>
        <v>98.307802776071426</v>
      </c>
      <c r="AQ103" s="305">
        <f t="shared" si="41"/>
        <v>137.39471940630619</v>
      </c>
    </row>
    <row r="104" spans="1:43">
      <c r="A104">
        <v>99</v>
      </c>
      <c r="B104" s="305"/>
      <c r="C104" s="305"/>
      <c r="D104" s="305"/>
      <c r="F104" s="516"/>
      <c r="G104" s="305"/>
      <c r="H104" s="305"/>
      <c r="I104" s="464"/>
      <c r="J104" s="305"/>
      <c r="K104" s="305"/>
      <c r="L104" s="305"/>
      <c r="N104" s="305"/>
      <c r="O104" s="305"/>
      <c r="P104" s="305"/>
      <c r="R104" s="305">
        <f>'4.1 CBA (ed7)'!E$30</f>
        <v>267.4364023031103</v>
      </c>
      <c r="S104" s="305">
        <f>'4.1 CBA (ed7)'!F$30</f>
        <v>405.30441911177871</v>
      </c>
      <c r="T104" s="305">
        <f>'4.1 CBA (ed7)'!G$30</f>
        <v>566.45236083784698</v>
      </c>
      <c r="U104" s="305"/>
      <c r="X104">
        <v>99</v>
      </c>
      <c r="Y104" s="305"/>
      <c r="Z104" s="305"/>
      <c r="AA104" s="305"/>
      <c r="AC104" s="305"/>
      <c r="AD104" s="305"/>
      <c r="AE104" s="305"/>
      <c r="AG104" s="305"/>
      <c r="AH104" s="305"/>
      <c r="AI104" s="305"/>
      <c r="AK104" s="305"/>
      <c r="AL104" s="305"/>
      <c r="AM104" s="305"/>
      <c r="AO104" s="305">
        <f t="shared" si="39"/>
        <v>64.86750166918533</v>
      </c>
      <c r="AP104" s="305">
        <f t="shared" si="40"/>
        <v>98.307802776071426</v>
      </c>
      <c r="AQ104" s="305">
        <f t="shared" si="41"/>
        <v>137.39471940630619</v>
      </c>
    </row>
    <row r="105" spans="1:43">
      <c r="A105">
        <v>100</v>
      </c>
      <c r="B105" s="305"/>
      <c r="C105" s="305"/>
      <c r="D105" s="305"/>
      <c r="F105" s="516"/>
      <c r="G105" s="305"/>
      <c r="H105" s="305"/>
      <c r="I105" s="464"/>
      <c r="J105" s="305"/>
      <c r="K105" s="305"/>
      <c r="L105" s="305"/>
      <c r="N105" s="305"/>
      <c r="O105" s="305"/>
      <c r="P105" s="305"/>
      <c r="R105" s="305">
        <f>'4.1 CBA (ed7)'!E$30</f>
        <v>267.4364023031103</v>
      </c>
      <c r="S105" s="305">
        <f>'4.1 CBA (ed7)'!F$30</f>
        <v>405.30441911177871</v>
      </c>
      <c r="T105" s="305">
        <f>'4.1 CBA (ed7)'!G$30</f>
        <v>566.45236083784698</v>
      </c>
      <c r="U105" s="305"/>
      <c r="X105">
        <v>100</v>
      </c>
      <c r="Y105" s="305"/>
      <c r="Z105" s="305"/>
      <c r="AA105" s="305"/>
      <c r="AC105" s="305"/>
      <c r="AD105" s="305"/>
      <c r="AE105" s="305"/>
      <c r="AG105" s="305"/>
      <c r="AH105" s="305"/>
      <c r="AI105" s="305"/>
      <c r="AK105" s="305"/>
      <c r="AL105" s="305"/>
      <c r="AM105" s="305"/>
      <c r="AO105" s="305">
        <f t="shared" si="39"/>
        <v>64.86750166918533</v>
      </c>
      <c r="AP105" s="305">
        <f t="shared" si="40"/>
        <v>98.307802776071426</v>
      </c>
      <c r="AQ105" s="305">
        <f t="shared" si="41"/>
        <v>137.39471940630619</v>
      </c>
    </row>
    <row r="106" spans="1:43">
      <c r="A106">
        <v>101</v>
      </c>
      <c r="B106" s="305"/>
      <c r="C106" s="305"/>
      <c r="D106" s="305"/>
      <c r="F106" s="516"/>
      <c r="G106" s="305"/>
      <c r="H106" s="305"/>
      <c r="I106" s="464"/>
      <c r="J106" s="305"/>
      <c r="K106" s="305"/>
      <c r="L106" s="305"/>
      <c r="N106" s="305"/>
      <c r="O106" s="305"/>
      <c r="P106" s="305"/>
      <c r="R106" s="305">
        <f>'4.1 CBA (ed7)'!E$30</f>
        <v>267.4364023031103</v>
      </c>
      <c r="S106" s="305">
        <f>'4.1 CBA (ed7)'!F$30</f>
        <v>405.30441911177871</v>
      </c>
      <c r="T106" s="305">
        <f>'4.1 CBA (ed7)'!G$30</f>
        <v>566.45236083784698</v>
      </c>
      <c r="U106" s="305"/>
      <c r="X106">
        <v>101</v>
      </c>
      <c r="Y106" s="305"/>
      <c r="Z106" s="305"/>
      <c r="AA106" s="305"/>
      <c r="AC106" s="305"/>
      <c r="AD106" s="305"/>
      <c r="AE106" s="305"/>
      <c r="AG106" s="305"/>
      <c r="AH106" s="305"/>
      <c r="AI106" s="305"/>
      <c r="AK106" s="305"/>
      <c r="AL106" s="305"/>
      <c r="AM106" s="305"/>
      <c r="AO106" s="305">
        <f t="shared" si="39"/>
        <v>64.86750166918533</v>
      </c>
      <c r="AP106" s="305">
        <f t="shared" si="40"/>
        <v>98.307802776071426</v>
      </c>
      <c r="AQ106" s="305">
        <f t="shared" si="41"/>
        <v>137.39471940630619</v>
      </c>
    </row>
    <row r="107" spans="1:43">
      <c r="A107">
        <v>102</v>
      </c>
      <c r="B107" s="305"/>
      <c r="C107" s="305"/>
      <c r="D107" s="305"/>
      <c r="F107" s="516"/>
      <c r="G107" s="305"/>
      <c r="H107" s="305"/>
      <c r="I107" s="464"/>
      <c r="J107" s="305"/>
      <c r="K107" s="305"/>
      <c r="L107" s="305"/>
      <c r="N107" s="305"/>
      <c r="O107" s="305"/>
      <c r="P107" s="305"/>
      <c r="R107" s="305">
        <f>'4.1 CBA (ed7)'!E$30</f>
        <v>267.4364023031103</v>
      </c>
      <c r="S107" s="305">
        <f>'4.1 CBA (ed7)'!F$30</f>
        <v>405.30441911177871</v>
      </c>
      <c r="T107" s="305">
        <f>'4.1 CBA (ed7)'!G$30</f>
        <v>566.45236083784698</v>
      </c>
      <c r="U107" s="305"/>
      <c r="X107">
        <v>102</v>
      </c>
      <c r="Y107" s="305"/>
      <c r="Z107" s="305"/>
      <c r="AA107" s="305"/>
      <c r="AC107" s="305"/>
      <c r="AD107" s="305"/>
      <c r="AE107" s="305"/>
      <c r="AG107" s="305"/>
      <c r="AH107" s="305"/>
      <c r="AI107" s="305"/>
      <c r="AK107" s="305"/>
      <c r="AL107" s="305"/>
      <c r="AM107" s="305"/>
      <c r="AO107" s="305">
        <f t="shared" si="39"/>
        <v>64.86750166918533</v>
      </c>
      <c r="AP107" s="305">
        <f t="shared" si="40"/>
        <v>98.307802776071426</v>
      </c>
      <c r="AQ107" s="305">
        <f t="shared" si="41"/>
        <v>137.39471940630619</v>
      </c>
    </row>
    <row r="108" spans="1:43">
      <c r="A108">
        <v>103</v>
      </c>
      <c r="B108" s="305"/>
      <c r="C108" s="305"/>
      <c r="D108" s="305"/>
      <c r="F108" s="516"/>
      <c r="G108" s="305"/>
      <c r="H108" s="305"/>
      <c r="I108" s="464"/>
      <c r="J108" s="305"/>
      <c r="K108" s="305"/>
      <c r="L108" s="305"/>
      <c r="N108" s="305"/>
      <c r="O108" s="305"/>
      <c r="P108" s="305"/>
      <c r="R108" s="305">
        <f>'4.1 CBA (ed7)'!E$30</f>
        <v>267.4364023031103</v>
      </c>
      <c r="S108" s="305">
        <f>'4.1 CBA (ed7)'!F$30</f>
        <v>405.30441911177871</v>
      </c>
      <c r="T108" s="305">
        <f>'4.1 CBA (ed7)'!G$30</f>
        <v>566.45236083784698</v>
      </c>
      <c r="U108" s="305"/>
      <c r="X108">
        <v>103</v>
      </c>
      <c r="Y108" s="305"/>
      <c r="Z108" s="305"/>
      <c r="AA108" s="305"/>
      <c r="AC108" s="305"/>
      <c r="AD108" s="305"/>
      <c r="AE108" s="305"/>
      <c r="AG108" s="305"/>
      <c r="AH108" s="305"/>
      <c r="AI108" s="305"/>
      <c r="AK108" s="305"/>
      <c r="AL108" s="305"/>
      <c r="AM108" s="305"/>
      <c r="AO108" s="305">
        <f t="shared" si="39"/>
        <v>64.86750166918533</v>
      </c>
      <c r="AP108" s="305">
        <f t="shared" si="40"/>
        <v>98.307802776071426</v>
      </c>
      <c r="AQ108" s="305">
        <f t="shared" si="41"/>
        <v>137.39471940630619</v>
      </c>
    </row>
    <row r="109" spans="1:43">
      <c r="A109">
        <v>104</v>
      </c>
      <c r="B109" s="305"/>
      <c r="C109" s="305"/>
      <c r="D109" s="305"/>
      <c r="F109" s="516"/>
      <c r="G109" s="305"/>
      <c r="H109" s="305"/>
      <c r="I109" s="464"/>
      <c r="J109" s="305"/>
      <c r="K109" s="305"/>
      <c r="L109" s="305"/>
      <c r="N109" s="305"/>
      <c r="O109" s="305"/>
      <c r="P109" s="305"/>
      <c r="R109" s="305">
        <f>'4.1 CBA (ed7)'!E$30</f>
        <v>267.4364023031103</v>
      </c>
      <c r="S109" s="305">
        <f>'4.1 CBA (ed7)'!F$30</f>
        <v>405.30441911177871</v>
      </c>
      <c r="T109" s="305">
        <f>'4.1 CBA (ed7)'!G$30</f>
        <v>566.45236083784698</v>
      </c>
      <c r="U109" s="305"/>
      <c r="X109">
        <v>104</v>
      </c>
      <c r="Y109" s="305"/>
      <c r="Z109" s="305"/>
      <c r="AA109" s="305"/>
      <c r="AC109" s="305"/>
      <c r="AD109" s="305"/>
      <c r="AE109" s="305"/>
      <c r="AG109" s="305"/>
      <c r="AH109" s="305"/>
      <c r="AI109" s="305"/>
      <c r="AK109" s="305"/>
      <c r="AL109" s="305"/>
      <c r="AM109" s="305"/>
      <c r="AO109" s="305">
        <f t="shared" si="39"/>
        <v>64.86750166918533</v>
      </c>
      <c r="AP109" s="305">
        <f t="shared" si="40"/>
        <v>98.307802776071426</v>
      </c>
      <c r="AQ109" s="305">
        <f t="shared" si="41"/>
        <v>137.39471940630619</v>
      </c>
    </row>
    <row r="110" spans="1:43">
      <c r="A110">
        <v>105</v>
      </c>
      <c r="B110" s="305"/>
      <c r="C110" s="305"/>
      <c r="D110" s="305"/>
      <c r="F110" s="516"/>
      <c r="G110" s="305"/>
      <c r="H110" s="305"/>
      <c r="I110" s="464"/>
      <c r="J110" s="305"/>
      <c r="K110" s="305"/>
      <c r="L110" s="305"/>
      <c r="N110" s="305"/>
      <c r="O110" s="305"/>
      <c r="P110" s="305"/>
      <c r="R110" s="305">
        <f>'4.1 CBA (ed7)'!E$30</f>
        <v>267.4364023031103</v>
      </c>
      <c r="S110" s="305">
        <f>'4.1 CBA (ed7)'!F$30</f>
        <v>405.30441911177871</v>
      </c>
      <c r="T110" s="305">
        <f>'4.1 CBA (ed7)'!G$30</f>
        <v>566.45236083784698</v>
      </c>
      <c r="U110" s="305"/>
      <c r="X110">
        <v>105</v>
      </c>
      <c r="Y110" s="305"/>
      <c r="Z110" s="305"/>
      <c r="AA110" s="305"/>
      <c r="AC110" s="305"/>
      <c r="AD110" s="305"/>
      <c r="AE110" s="305"/>
      <c r="AG110" s="305"/>
      <c r="AH110" s="305"/>
      <c r="AI110" s="305"/>
      <c r="AK110" s="305"/>
      <c r="AL110" s="305"/>
      <c r="AM110" s="305"/>
      <c r="AO110" s="305">
        <f t="shared" si="39"/>
        <v>64.86750166918533</v>
      </c>
      <c r="AP110" s="305">
        <f t="shared" si="40"/>
        <v>98.307802776071426</v>
      </c>
      <c r="AQ110" s="305">
        <f t="shared" si="41"/>
        <v>137.39471940630619</v>
      </c>
    </row>
    <row r="111" spans="1:43">
      <c r="A111">
        <v>106</v>
      </c>
      <c r="B111" s="305"/>
      <c r="C111" s="305"/>
      <c r="D111" s="305"/>
      <c r="F111" s="516"/>
      <c r="G111" s="305"/>
      <c r="H111" s="305"/>
      <c r="I111" s="464"/>
      <c r="J111" s="305"/>
      <c r="K111" s="305"/>
      <c r="L111" s="305"/>
      <c r="N111" s="305"/>
      <c r="O111" s="305"/>
      <c r="P111" s="305"/>
      <c r="R111" s="305">
        <f>'4.1 CBA (ed7)'!E$30</f>
        <v>267.4364023031103</v>
      </c>
      <c r="S111" s="305">
        <f>'4.1 CBA (ed7)'!F$30</f>
        <v>405.30441911177871</v>
      </c>
      <c r="T111" s="305">
        <f>'4.1 CBA (ed7)'!G$30</f>
        <v>566.45236083784698</v>
      </c>
      <c r="U111" s="305"/>
      <c r="X111">
        <v>106</v>
      </c>
      <c r="Y111" s="305"/>
      <c r="Z111" s="305"/>
      <c r="AA111" s="305"/>
      <c r="AC111" s="305"/>
      <c r="AD111" s="305"/>
      <c r="AE111" s="305"/>
      <c r="AG111" s="305"/>
      <c r="AH111" s="305"/>
      <c r="AI111" s="305"/>
      <c r="AK111" s="305"/>
      <c r="AL111" s="305"/>
      <c r="AM111" s="305"/>
      <c r="AO111" s="305">
        <f t="shared" si="39"/>
        <v>64.86750166918533</v>
      </c>
      <c r="AP111" s="305">
        <f t="shared" si="40"/>
        <v>98.307802776071426</v>
      </c>
      <c r="AQ111" s="305">
        <f t="shared" si="41"/>
        <v>137.39471940630619</v>
      </c>
    </row>
    <row r="112" spans="1:43">
      <c r="A112">
        <v>107</v>
      </c>
      <c r="B112" s="305"/>
      <c r="C112" s="305"/>
      <c r="D112" s="305"/>
      <c r="F112" s="516"/>
      <c r="G112" s="305"/>
      <c r="H112" s="305"/>
      <c r="I112" s="464"/>
      <c r="J112" s="305"/>
      <c r="K112" s="305"/>
      <c r="L112" s="305"/>
      <c r="N112" s="305"/>
      <c r="O112" s="305"/>
      <c r="P112" s="305"/>
      <c r="R112" s="305">
        <f>'4.1 CBA (ed7)'!E$30</f>
        <v>267.4364023031103</v>
      </c>
      <c r="S112" s="305">
        <f>'4.1 CBA (ed7)'!F$30</f>
        <v>405.30441911177871</v>
      </c>
      <c r="T112" s="305">
        <f>'4.1 CBA (ed7)'!G$30</f>
        <v>566.45236083784698</v>
      </c>
      <c r="U112" s="305"/>
      <c r="X112">
        <v>107</v>
      </c>
      <c r="Y112" s="305"/>
      <c r="Z112" s="305"/>
      <c r="AA112" s="305"/>
      <c r="AC112" s="305"/>
      <c r="AD112" s="305"/>
      <c r="AE112" s="305"/>
      <c r="AG112" s="305"/>
      <c r="AH112" s="305"/>
      <c r="AI112" s="305"/>
      <c r="AK112" s="305"/>
      <c r="AL112" s="305"/>
      <c r="AM112" s="305"/>
      <c r="AO112" s="305">
        <f t="shared" si="39"/>
        <v>64.86750166918533</v>
      </c>
      <c r="AP112" s="305">
        <f t="shared" si="40"/>
        <v>98.307802776071426</v>
      </c>
      <c r="AQ112" s="305">
        <f t="shared" si="41"/>
        <v>137.39471940630619</v>
      </c>
    </row>
    <row r="113" spans="1:43">
      <c r="A113">
        <v>108</v>
      </c>
      <c r="B113" s="305"/>
      <c r="C113" s="305"/>
      <c r="D113" s="305"/>
      <c r="F113" s="516"/>
      <c r="G113" s="305"/>
      <c r="H113" s="305"/>
      <c r="I113" s="464"/>
      <c r="J113" s="305"/>
      <c r="K113" s="305"/>
      <c r="L113" s="305"/>
      <c r="N113" s="305"/>
      <c r="O113" s="305"/>
      <c r="P113" s="305"/>
      <c r="R113" s="305">
        <f>'4.1 CBA (ed7)'!E$30</f>
        <v>267.4364023031103</v>
      </c>
      <c r="S113" s="305">
        <f>'4.1 CBA (ed7)'!F$30</f>
        <v>405.30441911177871</v>
      </c>
      <c r="T113" s="305">
        <f>'4.1 CBA (ed7)'!G$30</f>
        <v>566.45236083784698</v>
      </c>
      <c r="U113" s="305"/>
      <c r="X113">
        <v>108</v>
      </c>
      <c r="Y113" s="305"/>
      <c r="Z113" s="305"/>
      <c r="AA113" s="305"/>
      <c r="AC113" s="305"/>
      <c r="AD113" s="305"/>
      <c r="AE113" s="305"/>
      <c r="AG113" s="305"/>
      <c r="AH113" s="305"/>
      <c r="AI113" s="305"/>
      <c r="AK113" s="305"/>
      <c r="AL113" s="305"/>
      <c r="AM113" s="305"/>
      <c r="AO113" s="305">
        <f t="shared" si="39"/>
        <v>64.86750166918533</v>
      </c>
      <c r="AP113" s="305">
        <f t="shared" si="40"/>
        <v>98.307802776071426</v>
      </c>
      <c r="AQ113" s="305">
        <f t="shared" si="41"/>
        <v>137.39471940630619</v>
      </c>
    </row>
    <row r="114" spans="1:43">
      <c r="A114">
        <v>109</v>
      </c>
      <c r="B114" s="305"/>
      <c r="C114" s="305"/>
      <c r="D114" s="305"/>
      <c r="F114" s="516"/>
      <c r="G114" s="305"/>
      <c r="H114" s="305"/>
      <c r="I114" s="464"/>
      <c r="J114" s="305"/>
      <c r="K114" s="305"/>
      <c r="L114" s="305"/>
      <c r="N114" s="305"/>
      <c r="O114" s="305"/>
      <c r="P114" s="305"/>
      <c r="R114" s="305">
        <f>'4.1 CBA (ed7)'!E$30</f>
        <v>267.4364023031103</v>
      </c>
      <c r="S114" s="305">
        <f>'4.1 CBA (ed7)'!F$30</f>
        <v>405.30441911177871</v>
      </c>
      <c r="T114" s="305">
        <f>'4.1 CBA (ed7)'!G$30</f>
        <v>566.45236083784698</v>
      </c>
      <c r="U114" s="305"/>
      <c r="X114">
        <v>109</v>
      </c>
      <c r="Y114" s="305"/>
      <c r="Z114" s="305"/>
      <c r="AA114" s="305"/>
      <c r="AC114" s="305"/>
      <c r="AD114" s="305"/>
      <c r="AE114" s="305"/>
      <c r="AG114" s="305"/>
      <c r="AH114" s="305"/>
      <c r="AI114" s="305"/>
      <c r="AK114" s="305"/>
      <c r="AL114" s="305"/>
      <c r="AM114" s="305"/>
      <c r="AO114" s="305">
        <f t="shared" si="39"/>
        <v>64.86750166918533</v>
      </c>
      <c r="AP114" s="305">
        <f t="shared" si="40"/>
        <v>98.307802776071426</v>
      </c>
      <c r="AQ114" s="305">
        <f t="shared" si="41"/>
        <v>137.39471940630619</v>
      </c>
    </row>
    <row r="115" spans="1:43">
      <c r="A115">
        <v>110</v>
      </c>
      <c r="B115" s="305"/>
      <c r="C115" s="305"/>
      <c r="D115" s="305"/>
      <c r="F115" s="516"/>
      <c r="G115" s="305"/>
      <c r="H115" s="305"/>
      <c r="I115" s="464"/>
      <c r="J115" s="305"/>
      <c r="K115" s="305"/>
      <c r="L115" s="305"/>
      <c r="N115" s="305"/>
      <c r="O115" s="305"/>
      <c r="P115" s="305"/>
      <c r="R115" s="305">
        <f>'4.1 CBA (ed7)'!E$30</f>
        <v>267.4364023031103</v>
      </c>
      <c r="S115" s="305">
        <f>'4.1 CBA (ed7)'!F$30</f>
        <v>405.30441911177871</v>
      </c>
      <c r="T115" s="305">
        <f>'4.1 CBA (ed7)'!G$30</f>
        <v>566.45236083784698</v>
      </c>
      <c r="U115" s="305"/>
      <c r="X115">
        <v>110</v>
      </c>
      <c r="Y115" s="305"/>
      <c r="Z115" s="305"/>
      <c r="AA115" s="305"/>
      <c r="AC115" s="305"/>
      <c r="AD115" s="305"/>
      <c r="AE115" s="305"/>
      <c r="AG115" s="305"/>
      <c r="AH115" s="305"/>
      <c r="AI115" s="305"/>
      <c r="AK115" s="305"/>
      <c r="AL115" s="305"/>
      <c r="AM115" s="305"/>
      <c r="AO115" s="305">
        <f t="shared" si="39"/>
        <v>64.86750166918533</v>
      </c>
      <c r="AP115" s="305">
        <f t="shared" si="40"/>
        <v>98.307802776071426</v>
      </c>
      <c r="AQ115" s="305">
        <f t="shared" si="41"/>
        <v>137.39471940630619</v>
      </c>
    </row>
    <row r="116" spans="1:43">
      <c r="A116">
        <v>111</v>
      </c>
      <c r="B116" s="305"/>
      <c r="C116" s="305"/>
      <c r="D116" s="305"/>
      <c r="F116" s="516"/>
      <c r="G116" s="305"/>
      <c r="H116" s="305"/>
      <c r="I116" s="464"/>
      <c r="J116" s="305"/>
      <c r="K116" s="305"/>
      <c r="L116" s="305"/>
      <c r="N116" s="305"/>
      <c r="O116" s="305"/>
      <c r="P116" s="305"/>
      <c r="R116" s="305">
        <f>'4.1 CBA (ed7)'!E$30</f>
        <v>267.4364023031103</v>
      </c>
      <c r="S116" s="305">
        <f>'4.1 CBA (ed7)'!F$30</f>
        <v>405.30441911177871</v>
      </c>
      <c r="T116" s="305">
        <f>'4.1 CBA (ed7)'!G$30</f>
        <v>566.45236083784698</v>
      </c>
      <c r="U116" s="305"/>
      <c r="X116">
        <v>111</v>
      </c>
      <c r="Y116" s="305"/>
      <c r="Z116" s="305"/>
      <c r="AA116" s="305"/>
      <c r="AC116" s="305"/>
      <c r="AD116" s="305"/>
      <c r="AE116" s="305"/>
      <c r="AG116" s="305"/>
      <c r="AH116" s="305"/>
      <c r="AI116" s="305"/>
      <c r="AK116" s="305"/>
      <c r="AL116" s="305"/>
      <c r="AM116" s="305"/>
      <c r="AO116" s="305">
        <f t="shared" si="39"/>
        <v>64.86750166918533</v>
      </c>
      <c r="AP116" s="305">
        <f t="shared" si="40"/>
        <v>98.307802776071426</v>
      </c>
      <c r="AQ116" s="305">
        <f t="shared" si="41"/>
        <v>137.39471940630619</v>
      </c>
    </row>
    <row r="117" spans="1:43">
      <c r="A117">
        <v>112</v>
      </c>
      <c r="B117" s="305"/>
      <c r="C117" s="305"/>
      <c r="D117" s="305"/>
      <c r="F117" s="516"/>
      <c r="G117" s="305"/>
      <c r="H117" s="305"/>
      <c r="I117" s="464"/>
      <c r="J117" s="305"/>
      <c r="K117" s="305"/>
      <c r="L117" s="305"/>
      <c r="N117" s="305"/>
      <c r="O117" s="305"/>
      <c r="P117" s="305"/>
      <c r="R117" s="305">
        <f>'4.1 CBA (ed7)'!E$30</f>
        <v>267.4364023031103</v>
      </c>
      <c r="S117" s="305">
        <f>'4.1 CBA (ed7)'!F$30</f>
        <v>405.30441911177871</v>
      </c>
      <c r="T117" s="305">
        <f>'4.1 CBA (ed7)'!G$30</f>
        <v>566.45236083784698</v>
      </c>
      <c r="U117" s="305"/>
      <c r="X117">
        <v>112</v>
      </c>
      <c r="Y117" s="305"/>
      <c r="Z117" s="305"/>
      <c r="AA117" s="305"/>
      <c r="AC117" s="305"/>
      <c r="AD117" s="305"/>
      <c r="AE117" s="305"/>
      <c r="AG117" s="305"/>
      <c r="AH117" s="305"/>
      <c r="AI117" s="305"/>
      <c r="AK117" s="305"/>
      <c r="AL117" s="305"/>
      <c r="AM117" s="305"/>
      <c r="AO117" s="305">
        <f t="shared" si="39"/>
        <v>64.86750166918533</v>
      </c>
      <c r="AP117" s="305">
        <f t="shared" si="40"/>
        <v>98.307802776071426</v>
      </c>
      <c r="AQ117" s="305">
        <f t="shared" si="41"/>
        <v>137.39471940630619</v>
      </c>
    </row>
    <row r="118" spans="1:43">
      <c r="A118">
        <v>113</v>
      </c>
      <c r="B118" s="305"/>
      <c r="C118" s="305"/>
      <c r="D118" s="305"/>
      <c r="F118" s="516"/>
      <c r="G118" s="305"/>
      <c r="H118" s="305"/>
      <c r="I118" s="464"/>
      <c r="J118" s="305"/>
      <c r="K118" s="305"/>
      <c r="L118" s="305"/>
      <c r="N118" s="305"/>
      <c r="O118" s="305"/>
      <c r="P118" s="305"/>
      <c r="R118" s="305">
        <f>'4.1 CBA (ed7)'!E$30</f>
        <v>267.4364023031103</v>
      </c>
      <c r="S118" s="305">
        <f>'4.1 CBA (ed7)'!F$30</f>
        <v>405.30441911177871</v>
      </c>
      <c r="T118" s="305">
        <f>'4.1 CBA (ed7)'!G$30</f>
        <v>566.45236083784698</v>
      </c>
      <c r="U118" s="305"/>
      <c r="X118">
        <v>113</v>
      </c>
      <c r="Y118" s="305"/>
      <c r="Z118" s="305"/>
      <c r="AA118" s="305"/>
      <c r="AC118" s="305"/>
      <c r="AD118" s="305"/>
      <c r="AE118" s="305"/>
      <c r="AG118" s="305"/>
      <c r="AH118" s="305"/>
      <c r="AI118" s="305"/>
      <c r="AK118" s="305"/>
      <c r="AL118" s="305"/>
      <c r="AM118" s="305"/>
      <c r="AO118" s="305">
        <f t="shared" si="39"/>
        <v>64.86750166918533</v>
      </c>
      <c r="AP118" s="305">
        <f t="shared" si="40"/>
        <v>98.307802776071426</v>
      </c>
      <c r="AQ118" s="305">
        <f t="shared" si="41"/>
        <v>137.39471940630619</v>
      </c>
    </row>
    <row r="119" spans="1:43">
      <c r="A119">
        <v>114</v>
      </c>
      <c r="B119" s="305"/>
      <c r="C119" s="305"/>
      <c r="D119" s="305"/>
      <c r="F119" s="516"/>
      <c r="G119" s="305"/>
      <c r="H119" s="305"/>
      <c r="I119" s="464"/>
      <c r="J119" s="305"/>
      <c r="K119" s="305"/>
      <c r="L119" s="305"/>
      <c r="N119" s="305"/>
      <c r="O119" s="305"/>
      <c r="P119" s="305"/>
      <c r="R119" s="305">
        <f>'4.1 CBA (ed7)'!E$30</f>
        <v>267.4364023031103</v>
      </c>
      <c r="S119" s="305">
        <f>'4.1 CBA (ed7)'!F$30</f>
        <v>405.30441911177871</v>
      </c>
      <c r="T119" s="305">
        <f>'4.1 CBA (ed7)'!G$30</f>
        <v>566.45236083784698</v>
      </c>
      <c r="U119" s="305"/>
      <c r="X119">
        <v>114</v>
      </c>
      <c r="Y119" s="305"/>
      <c r="Z119" s="305"/>
      <c r="AA119" s="305"/>
      <c r="AC119" s="305"/>
      <c r="AD119" s="305"/>
      <c r="AE119" s="305"/>
      <c r="AG119" s="305"/>
      <c r="AH119" s="305"/>
      <c r="AI119" s="305"/>
      <c r="AK119" s="305"/>
      <c r="AL119" s="305"/>
      <c r="AM119" s="305"/>
      <c r="AO119" s="305">
        <f t="shared" si="39"/>
        <v>64.86750166918533</v>
      </c>
      <c r="AP119" s="305">
        <f t="shared" si="40"/>
        <v>98.307802776071426</v>
      </c>
      <c r="AQ119" s="305">
        <f t="shared" si="41"/>
        <v>137.39471940630619</v>
      </c>
    </row>
    <row r="120" spans="1:43">
      <c r="A120">
        <v>115</v>
      </c>
      <c r="B120" s="305"/>
      <c r="C120" s="305"/>
      <c r="D120" s="305"/>
      <c r="F120" s="516"/>
      <c r="G120" s="305"/>
      <c r="H120" s="305"/>
      <c r="I120" s="464"/>
      <c r="J120" s="305"/>
      <c r="K120" s="305"/>
      <c r="L120" s="305"/>
      <c r="N120" s="305"/>
      <c r="O120" s="305"/>
      <c r="P120" s="305"/>
      <c r="R120" s="305">
        <f>'4.1 CBA (ed7)'!E$30</f>
        <v>267.4364023031103</v>
      </c>
      <c r="S120" s="305">
        <f>'4.1 CBA (ed7)'!F$30</f>
        <v>405.30441911177871</v>
      </c>
      <c r="T120" s="305">
        <f>'4.1 CBA (ed7)'!G$30</f>
        <v>566.45236083784698</v>
      </c>
      <c r="U120" s="305"/>
      <c r="X120">
        <v>115</v>
      </c>
      <c r="Y120" s="305"/>
      <c r="Z120" s="305"/>
      <c r="AA120" s="305"/>
      <c r="AC120" s="305"/>
      <c r="AD120" s="305"/>
      <c r="AE120" s="305"/>
      <c r="AG120" s="305"/>
      <c r="AH120" s="305"/>
      <c r="AI120" s="305"/>
      <c r="AK120" s="305"/>
      <c r="AL120" s="305"/>
      <c r="AM120" s="305"/>
      <c r="AO120" s="305">
        <f t="shared" si="39"/>
        <v>64.86750166918533</v>
      </c>
      <c r="AP120" s="305">
        <f t="shared" si="40"/>
        <v>98.307802776071426</v>
      </c>
      <c r="AQ120" s="305">
        <f t="shared" si="41"/>
        <v>137.39471940630619</v>
      </c>
    </row>
    <row r="121" spans="1:43">
      <c r="A121">
        <v>116</v>
      </c>
      <c r="B121" s="305"/>
      <c r="C121" s="305"/>
      <c r="D121" s="305"/>
      <c r="F121" s="516"/>
      <c r="G121" s="305"/>
      <c r="H121" s="305"/>
      <c r="I121" s="464"/>
      <c r="J121" s="305"/>
      <c r="K121" s="305"/>
      <c r="L121" s="305"/>
      <c r="N121" s="305"/>
      <c r="O121" s="305"/>
      <c r="P121" s="305"/>
      <c r="R121" s="305">
        <f>'4.1 CBA (ed7)'!E$30</f>
        <v>267.4364023031103</v>
      </c>
      <c r="S121" s="305">
        <f>'4.1 CBA (ed7)'!F$30</f>
        <v>405.30441911177871</v>
      </c>
      <c r="T121" s="305">
        <f>'4.1 CBA (ed7)'!G$30</f>
        <v>566.45236083784698</v>
      </c>
      <c r="U121" s="305"/>
      <c r="X121">
        <v>116</v>
      </c>
      <c r="Y121" s="305"/>
      <c r="Z121" s="305"/>
      <c r="AA121" s="305"/>
      <c r="AC121" s="305"/>
      <c r="AD121" s="305"/>
      <c r="AE121" s="305"/>
      <c r="AG121" s="305"/>
      <c r="AH121" s="305"/>
      <c r="AI121" s="305"/>
      <c r="AK121" s="305"/>
      <c r="AL121" s="305"/>
      <c r="AM121" s="305"/>
      <c r="AO121" s="305">
        <f t="shared" si="39"/>
        <v>64.86750166918533</v>
      </c>
      <c r="AP121" s="305">
        <f t="shared" si="40"/>
        <v>98.307802776071426</v>
      </c>
      <c r="AQ121" s="305">
        <f t="shared" si="41"/>
        <v>137.39471940630619</v>
      </c>
    </row>
    <row r="122" spans="1:43">
      <c r="A122">
        <v>117</v>
      </c>
      <c r="B122" s="305"/>
      <c r="C122" s="305"/>
      <c r="D122" s="305"/>
      <c r="F122" s="516"/>
      <c r="G122" s="305"/>
      <c r="H122" s="305"/>
      <c r="I122" s="464"/>
      <c r="J122" s="305"/>
      <c r="K122" s="305"/>
      <c r="L122" s="305"/>
      <c r="N122" s="305"/>
      <c r="O122" s="305"/>
      <c r="P122" s="305"/>
      <c r="R122" s="305">
        <f>'4.1 CBA (ed7)'!E$30</f>
        <v>267.4364023031103</v>
      </c>
      <c r="S122" s="305">
        <f>'4.1 CBA (ed7)'!F$30</f>
        <v>405.30441911177871</v>
      </c>
      <c r="T122" s="305">
        <f>'4.1 CBA (ed7)'!G$30</f>
        <v>566.45236083784698</v>
      </c>
      <c r="U122" s="305"/>
      <c r="X122">
        <v>117</v>
      </c>
      <c r="Y122" s="305"/>
      <c r="Z122" s="305"/>
      <c r="AA122" s="305"/>
      <c r="AC122" s="305"/>
      <c r="AD122" s="305"/>
      <c r="AE122" s="305"/>
      <c r="AG122" s="305"/>
      <c r="AH122" s="305"/>
      <c r="AI122" s="305"/>
      <c r="AK122" s="305"/>
      <c r="AL122" s="305"/>
      <c r="AM122" s="305"/>
      <c r="AO122" s="305">
        <f t="shared" si="39"/>
        <v>64.86750166918533</v>
      </c>
      <c r="AP122" s="305">
        <f t="shared" si="40"/>
        <v>98.307802776071426</v>
      </c>
      <c r="AQ122" s="305">
        <f t="shared" si="41"/>
        <v>137.39471940630619</v>
      </c>
    </row>
    <row r="123" spans="1:43">
      <c r="A123">
        <v>118</v>
      </c>
      <c r="B123" s="305"/>
      <c r="C123" s="305"/>
      <c r="D123" s="305"/>
      <c r="F123" s="516"/>
      <c r="G123" s="305"/>
      <c r="H123" s="305"/>
      <c r="I123" s="464"/>
      <c r="J123" s="305"/>
      <c r="K123" s="305"/>
      <c r="L123" s="305"/>
      <c r="N123" s="305"/>
      <c r="O123" s="305"/>
      <c r="P123" s="305"/>
      <c r="R123" s="305">
        <f>'4.1 CBA (ed7)'!E$30</f>
        <v>267.4364023031103</v>
      </c>
      <c r="S123" s="305">
        <f>'4.1 CBA (ed7)'!F$30</f>
        <v>405.30441911177871</v>
      </c>
      <c r="T123" s="305">
        <f>'4.1 CBA (ed7)'!G$30</f>
        <v>566.45236083784698</v>
      </c>
      <c r="U123" s="305"/>
      <c r="X123">
        <v>118</v>
      </c>
      <c r="Y123" s="305"/>
      <c r="Z123" s="305"/>
      <c r="AA123" s="305"/>
      <c r="AC123" s="305"/>
      <c r="AD123" s="305"/>
      <c r="AE123" s="305"/>
      <c r="AG123" s="305"/>
      <c r="AH123" s="305"/>
      <c r="AI123" s="305"/>
      <c r="AK123" s="305"/>
      <c r="AL123" s="305"/>
      <c r="AM123" s="305"/>
      <c r="AO123" s="305">
        <f t="shared" si="39"/>
        <v>64.86750166918533</v>
      </c>
      <c r="AP123" s="305">
        <f t="shared" si="40"/>
        <v>98.307802776071426</v>
      </c>
      <c r="AQ123" s="305">
        <f t="shared" si="41"/>
        <v>137.39471940630619</v>
      </c>
    </row>
    <row r="124" spans="1:43">
      <c r="A124">
        <v>119</v>
      </c>
      <c r="B124" s="305"/>
      <c r="C124" s="305"/>
      <c r="D124" s="305"/>
      <c r="F124" s="516"/>
      <c r="G124" s="305"/>
      <c r="H124" s="305"/>
      <c r="I124" s="464"/>
      <c r="J124" s="305"/>
      <c r="K124" s="305"/>
      <c r="L124" s="305"/>
      <c r="N124" s="305"/>
      <c r="O124" s="305"/>
      <c r="P124" s="305"/>
      <c r="R124" s="305">
        <f>'4.1 CBA (ed7)'!E$30</f>
        <v>267.4364023031103</v>
      </c>
      <c r="S124" s="305">
        <f>'4.1 CBA (ed7)'!F$30</f>
        <v>405.30441911177871</v>
      </c>
      <c r="T124" s="305">
        <f>'4.1 CBA (ed7)'!G$30</f>
        <v>566.45236083784698</v>
      </c>
      <c r="U124" s="305"/>
      <c r="X124">
        <v>119</v>
      </c>
      <c r="Y124" s="305"/>
      <c r="Z124" s="305"/>
      <c r="AA124" s="305"/>
      <c r="AC124" s="305"/>
      <c r="AD124" s="305"/>
      <c r="AE124" s="305"/>
      <c r="AG124" s="305"/>
      <c r="AH124" s="305"/>
      <c r="AI124" s="305"/>
      <c r="AK124" s="305"/>
      <c r="AL124" s="305"/>
      <c r="AM124" s="305"/>
      <c r="AO124" s="305">
        <f t="shared" si="39"/>
        <v>64.86750166918533</v>
      </c>
      <c r="AP124" s="305">
        <f t="shared" si="40"/>
        <v>98.307802776071426</v>
      </c>
      <c r="AQ124" s="305">
        <f t="shared" si="41"/>
        <v>137.39471940630619</v>
      </c>
    </row>
    <row r="125" spans="1:43">
      <c r="A125">
        <v>120</v>
      </c>
      <c r="B125" s="305"/>
      <c r="C125" s="305"/>
      <c r="D125" s="305"/>
      <c r="F125" s="516"/>
      <c r="G125" s="305"/>
      <c r="H125" s="305"/>
      <c r="I125" s="464"/>
      <c r="J125" s="305"/>
      <c r="K125" s="305"/>
      <c r="L125" s="305"/>
      <c r="N125" s="305"/>
      <c r="O125" s="305"/>
      <c r="P125" s="305"/>
      <c r="R125" s="305">
        <f>'4.1 CBA (ed7)'!E$30</f>
        <v>267.4364023031103</v>
      </c>
      <c r="S125" s="305">
        <f>'4.1 CBA (ed7)'!F$30</f>
        <v>405.30441911177871</v>
      </c>
      <c r="T125" s="305">
        <f>'4.1 CBA (ed7)'!G$30</f>
        <v>566.45236083784698</v>
      </c>
      <c r="U125" s="305"/>
      <c r="X125">
        <v>120</v>
      </c>
      <c r="Y125" s="305"/>
      <c r="Z125" s="305"/>
      <c r="AA125" s="305"/>
      <c r="AC125" s="305"/>
      <c r="AD125" s="305"/>
      <c r="AE125" s="305"/>
      <c r="AG125" s="305"/>
      <c r="AH125" s="305"/>
      <c r="AI125" s="305"/>
      <c r="AK125" s="305"/>
      <c r="AL125" s="305"/>
      <c r="AM125" s="305"/>
      <c r="AO125" s="305">
        <f t="shared" si="39"/>
        <v>64.86750166918533</v>
      </c>
      <c r="AP125" s="305">
        <f t="shared" si="40"/>
        <v>98.307802776071426</v>
      </c>
      <c r="AQ125" s="305">
        <f t="shared" si="41"/>
        <v>137.39471940630619</v>
      </c>
    </row>
    <row r="126" spans="1:43">
      <c r="A126">
        <v>121</v>
      </c>
      <c r="B126" s="305"/>
      <c r="C126" s="305"/>
      <c r="D126" s="305"/>
      <c r="F126" s="516"/>
      <c r="G126" s="305"/>
      <c r="H126" s="305"/>
      <c r="I126" s="464"/>
      <c r="J126" s="305"/>
      <c r="K126" s="305"/>
      <c r="L126" s="305"/>
      <c r="N126" s="305"/>
      <c r="O126" s="305"/>
      <c r="P126" s="305"/>
      <c r="R126" s="305">
        <f>'4.1 CBA (ed7)'!E$30</f>
        <v>267.4364023031103</v>
      </c>
      <c r="S126" s="305">
        <f>'4.1 CBA (ed7)'!F$30</f>
        <v>405.30441911177871</v>
      </c>
      <c r="T126" s="305">
        <f>'4.1 CBA (ed7)'!G$30</f>
        <v>566.45236083784698</v>
      </c>
      <c r="U126" s="305"/>
      <c r="X126">
        <v>121</v>
      </c>
      <c r="Y126" s="305"/>
      <c r="Z126" s="305"/>
      <c r="AA126" s="305"/>
      <c r="AC126" s="305"/>
      <c r="AD126" s="305"/>
      <c r="AE126" s="305"/>
      <c r="AG126" s="305"/>
      <c r="AH126" s="305"/>
      <c r="AI126" s="305"/>
      <c r="AK126" s="305"/>
      <c r="AL126" s="305"/>
      <c r="AM126" s="305"/>
      <c r="AO126" s="305">
        <f t="shared" si="39"/>
        <v>64.86750166918533</v>
      </c>
      <c r="AP126" s="305">
        <f t="shared" si="40"/>
        <v>98.307802776071426</v>
      </c>
      <c r="AQ126" s="305">
        <f t="shared" si="41"/>
        <v>137.39471940630619</v>
      </c>
    </row>
    <row r="127" spans="1:43">
      <c r="A127">
        <v>122</v>
      </c>
      <c r="B127" s="305"/>
      <c r="C127" s="305"/>
      <c r="D127" s="305"/>
      <c r="F127" s="516"/>
      <c r="G127" s="305"/>
      <c r="H127" s="305"/>
      <c r="I127" s="464"/>
      <c r="J127" s="305"/>
      <c r="K127" s="305"/>
      <c r="L127" s="305"/>
      <c r="N127" s="305"/>
      <c r="O127" s="305"/>
      <c r="P127" s="305"/>
      <c r="R127" s="305">
        <f>'4.1 CBA (ed7)'!E$30</f>
        <v>267.4364023031103</v>
      </c>
      <c r="S127" s="305">
        <f>'4.1 CBA (ed7)'!F$30</f>
        <v>405.30441911177871</v>
      </c>
      <c r="T127" s="305">
        <f>'4.1 CBA (ed7)'!G$30</f>
        <v>566.45236083784698</v>
      </c>
      <c r="U127" s="305"/>
      <c r="X127">
        <v>122</v>
      </c>
      <c r="Y127" s="305"/>
      <c r="Z127" s="305"/>
      <c r="AA127" s="305"/>
      <c r="AC127" s="305"/>
      <c r="AD127" s="305"/>
      <c r="AE127" s="305"/>
      <c r="AG127" s="305"/>
      <c r="AH127" s="305"/>
      <c r="AI127" s="305"/>
      <c r="AK127" s="305"/>
      <c r="AL127" s="305"/>
      <c r="AM127" s="305"/>
      <c r="AO127" s="305">
        <f t="shared" si="39"/>
        <v>64.86750166918533</v>
      </c>
      <c r="AP127" s="305">
        <f t="shared" si="40"/>
        <v>98.307802776071426</v>
      </c>
      <c r="AQ127" s="305">
        <f t="shared" si="41"/>
        <v>137.39471940630619</v>
      </c>
    </row>
    <row r="128" spans="1:43">
      <c r="A128">
        <v>123</v>
      </c>
      <c r="B128" s="305"/>
      <c r="C128" s="305"/>
      <c r="D128" s="305"/>
      <c r="F128" s="516"/>
      <c r="G128" s="305"/>
      <c r="H128" s="305"/>
      <c r="I128" s="464"/>
      <c r="J128" s="305"/>
      <c r="K128" s="305"/>
      <c r="L128" s="305"/>
      <c r="N128" s="305"/>
      <c r="O128" s="305"/>
      <c r="P128" s="305"/>
      <c r="R128" s="305">
        <f>'4.1 CBA (ed7)'!E$30</f>
        <v>267.4364023031103</v>
      </c>
      <c r="S128" s="305">
        <f>'4.1 CBA (ed7)'!F$30</f>
        <v>405.30441911177871</v>
      </c>
      <c r="T128" s="305">
        <f>'4.1 CBA (ed7)'!G$30</f>
        <v>566.45236083784698</v>
      </c>
      <c r="U128" s="305"/>
      <c r="X128">
        <v>123</v>
      </c>
      <c r="Y128" s="305"/>
      <c r="Z128" s="305"/>
      <c r="AA128" s="305"/>
      <c r="AC128" s="305"/>
      <c r="AD128" s="305"/>
      <c r="AE128" s="305"/>
      <c r="AG128" s="305"/>
      <c r="AH128" s="305"/>
      <c r="AI128" s="305"/>
      <c r="AK128" s="305"/>
      <c r="AL128" s="305"/>
      <c r="AM128" s="305"/>
      <c r="AO128" s="305">
        <f t="shared" si="39"/>
        <v>64.86750166918533</v>
      </c>
      <c r="AP128" s="305">
        <f t="shared" si="40"/>
        <v>98.307802776071426</v>
      </c>
      <c r="AQ128" s="305">
        <f t="shared" si="41"/>
        <v>137.39471940630619</v>
      </c>
    </row>
    <row r="129" spans="1:43">
      <c r="A129">
        <v>124</v>
      </c>
      <c r="B129" s="305"/>
      <c r="C129" s="305"/>
      <c r="D129" s="305"/>
      <c r="F129" s="516"/>
      <c r="G129" s="305"/>
      <c r="H129" s="305"/>
      <c r="I129" s="464"/>
      <c r="J129" s="305"/>
      <c r="K129" s="305"/>
      <c r="L129" s="305"/>
      <c r="N129" s="305"/>
      <c r="O129" s="305"/>
      <c r="P129" s="305"/>
      <c r="R129" s="305">
        <f>'4.1 CBA (ed7)'!E$30</f>
        <v>267.4364023031103</v>
      </c>
      <c r="S129" s="305">
        <f>'4.1 CBA (ed7)'!F$30</f>
        <v>405.30441911177871</v>
      </c>
      <c r="T129" s="305">
        <f>'4.1 CBA (ed7)'!G$30</f>
        <v>566.45236083784698</v>
      </c>
      <c r="U129" s="305"/>
      <c r="X129">
        <v>124</v>
      </c>
      <c r="Y129" s="305"/>
      <c r="Z129" s="305"/>
      <c r="AA129" s="305"/>
      <c r="AC129" s="305"/>
      <c r="AD129" s="305"/>
      <c r="AE129" s="305"/>
      <c r="AG129" s="305"/>
      <c r="AH129" s="305"/>
      <c r="AI129" s="305"/>
      <c r="AK129" s="305"/>
      <c r="AL129" s="305"/>
      <c r="AM129" s="305"/>
      <c r="AO129" s="305">
        <f t="shared" si="39"/>
        <v>64.86750166918533</v>
      </c>
      <c r="AP129" s="305">
        <f t="shared" si="40"/>
        <v>98.307802776071426</v>
      </c>
      <c r="AQ129" s="305">
        <f t="shared" si="41"/>
        <v>137.39471940630619</v>
      </c>
    </row>
    <row r="130" spans="1:43">
      <c r="A130">
        <v>125</v>
      </c>
      <c r="B130" s="305"/>
      <c r="C130" s="305"/>
      <c r="D130" s="305"/>
      <c r="F130" s="516"/>
      <c r="G130" s="305"/>
      <c r="H130" s="305"/>
      <c r="I130" s="464"/>
      <c r="J130" s="305"/>
      <c r="K130" s="305"/>
      <c r="L130" s="305"/>
      <c r="N130" s="305"/>
      <c r="O130" s="305"/>
      <c r="P130" s="305"/>
      <c r="R130" s="305">
        <f>'4.1 CBA (ed7)'!E$30</f>
        <v>267.4364023031103</v>
      </c>
      <c r="S130" s="305">
        <f>'4.1 CBA (ed7)'!F$30</f>
        <v>405.30441911177871</v>
      </c>
      <c r="T130" s="305">
        <f>'4.1 CBA (ed7)'!G$30</f>
        <v>566.45236083784698</v>
      </c>
      <c r="U130" s="305"/>
      <c r="X130">
        <v>125</v>
      </c>
      <c r="Y130" s="305"/>
      <c r="Z130" s="305"/>
      <c r="AA130" s="305"/>
      <c r="AC130" s="305"/>
      <c r="AD130" s="305"/>
      <c r="AE130" s="305"/>
      <c r="AG130" s="305"/>
      <c r="AH130" s="305"/>
      <c r="AI130" s="305"/>
      <c r="AK130" s="305"/>
      <c r="AL130" s="305"/>
      <c r="AM130" s="305"/>
      <c r="AO130" s="305">
        <f t="shared" si="39"/>
        <v>64.86750166918533</v>
      </c>
      <c r="AP130" s="305">
        <f t="shared" si="40"/>
        <v>98.307802776071426</v>
      </c>
      <c r="AQ130" s="305">
        <f t="shared" si="41"/>
        <v>137.39471940630619</v>
      </c>
    </row>
    <row r="131" spans="1:43">
      <c r="A131">
        <v>126</v>
      </c>
      <c r="B131" s="305"/>
      <c r="C131" s="305"/>
      <c r="D131" s="305"/>
      <c r="F131" s="516"/>
      <c r="G131" s="305"/>
      <c r="H131" s="305"/>
      <c r="I131" s="464"/>
      <c r="J131" s="305"/>
      <c r="K131" s="305"/>
      <c r="L131" s="305"/>
      <c r="N131" s="305"/>
      <c r="O131" s="305"/>
      <c r="P131" s="305"/>
      <c r="R131" s="305">
        <f>'4.1 CBA (ed7)'!E$30</f>
        <v>267.4364023031103</v>
      </c>
      <c r="S131" s="305">
        <f>'4.1 CBA (ed7)'!F$30</f>
        <v>405.30441911177871</v>
      </c>
      <c r="T131" s="305">
        <f>'4.1 CBA (ed7)'!G$30</f>
        <v>566.45236083784698</v>
      </c>
      <c r="U131" s="305"/>
      <c r="X131">
        <v>126</v>
      </c>
      <c r="Y131" s="305"/>
      <c r="Z131" s="305"/>
      <c r="AA131" s="305"/>
      <c r="AC131" s="305"/>
      <c r="AD131" s="305"/>
      <c r="AE131" s="305"/>
      <c r="AG131" s="305"/>
      <c r="AH131" s="305"/>
      <c r="AI131" s="305"/>
      <c r="AK131" s="305"/>
      <c r="AL131" s="305"/>
      <c r="AM131" s="305"/>
      <c r="AO131" s="305">
        <f t="shared" si="39"/>
        <v>64.86750166918533</v>
      </c>
      <c r="AP131" s="305">
        <f t="shared" si="40"/>
        <v>98.307802776071426</v>
      </c>
      <c r="AQ131" s="305">
        <f t="shared" si="41"/>
        <v>137.39471940630619</v>
      </c>
    </row>
    <row r="132" spans="1:43">
      <c r="A132">
        <v>127</v>
      </c>
      <c r="B132" s="305"/>
      <c r="C132" s="305"/>
      <c r="D132" s="305"/>
      <c r="F132" s="516"/>
      <c r="G132" s="305"/>
      <c r="H132" s="305"/>
      <c r="I132" s="464"/>
      <c r="J132" s="305"/>
      <c r="K132" s="305"/>
      <c r="L132" s="305"/>
      <c r="N132" s="305"/>
      <c r="O132" s="305"/>
      <c r="P132" s="305"/>
      <c r="R132" s="305">
        <f>'4.1 CBA (ed7)'!E$30</f>
        <v>267.4364023031103</v>
      </c>
      <c r="S132" s="305">
        <f>'4.1 CBA (ed7)'!F$30</f>
        <v>405.30441911177871</v>
      </c>
      <c r="T132" s="305">
        <f>'4.1 CBA (ed7)'!G$30</f>
        <v>566.45236083784698</v>
      </c>
      <c r="U132" s="305"/>
      <c r="X132">
        <v>127</v>
      </c>
      <c r="Y132" s="305"/>
      <c r="Z132" s="305"/>
      <c r="AA132" s="305"/>
      <c r="AC132" s="305"/>
      <c r="AD132" s="305"/>
      <c r="AE132" s="305"/>
      <c r="AG132" s="305"/>
      <c r="AH132" s="305"/>
      <c r="AI132" s="305"/>
      <c r="AK132" s="305"/>
      <c r="AL132" s="305"/>
      <c r="AM132" s="305"/>
      <c r="AO132" s="305">
        <f t="shared" si="39"/>
        <v>64.86750166918533</v>
      </c>
      <c r="AP132" s="305">
        <f t="shared" si="40"/>
        <v>98.307802776071426</v>
      </c>
      <c r="AQ132" s="305">
        <f t="shared" si="41"/>
        <v>137.39471940630619</v>
      </c>
    </row>
    <row r="133" spans="1:43">
      <c r="A133">
        <v>128</v>
      </c>
      <c r="B133" s="305"/>
      <c r="C133" s="305"/>
      <c r="D133" s="305"/>
      <c r="F133" s="516"/>
      <c r="G133" s="305"/>
      <c r="H133" s="305"/>
      <c r="I133" s="464"/>
      <c r="J133" s="305"/>
      <c r="K133" s="305"/>
      <c r="L133" s="305"/>
      <c r="N133" s="305"/>
      <c r="O133" s="305"/>
      <c r="P133" s="305"/>
      <c r="R133" s="305">
        <f>'4.1 CBA (ed7)'!E$30</f>
        <v>267.4364023031103</v>
      </c>
      <c r="S133" s="305">
        <f>'4.1 CBA (ed7)'!F$30</f>
        <v>405.30441911177871</v>
      </c>
      <c r="T133" s="305">
        <f>'4.1 CBA (ed7)'!G$30</f>
        <v>566.45236083784698</v>
      </c>
      <c r="U133" s="305"/>
      <c r="X133">
        <v>128</v>
      </c>
      <c r="Y133" s="305"/>
      <c r="Z133" s="305"/>
      <c r="AA133" s="305"/>
      <c r="AC133" s="305"/>
      <c r="AD133" s="305"/>
      <c r="AE133" s="305"/>
      <c r="AG133" s="305"/>
      <c r="AH133" s="305"/>
      <c r="AI133" s="305"/>
      <c r="AK133" s="305"/>
      <c r="AL133" s="305"/>
      <c r="AM133" s="305"/>
      <c r="AO133" s="305">
        <f t="shared" si="39"/>
        <v>64.86750166918533</v>
      </c>
      <c r="AP133" s="305">
        <f t="shared" si="40"/>
        <v>98.307802776071426</v>
      </c>
      <c r="AQ133" s="305">
        <f t="shared" si="41"/>
        <v>137.39471940630619</v>
      </c>
    </row>
    <row r="134" spans="1:43">
      <c r="A134">
        <v>129</v>
      </c>
      <c r="B134" s="305"/>
      <c r="C134" s="305"/>
      <c r="D134" s="305"/>
      <c r="F134" s="516"/>
      <c r="G134" s="305"/>
      <c r="H134" s="305"/>
      <c r="I134" s="464"/>
      <c r="J134" s="305"/>
      <c r="K134" s="305"/>
      <c r="L134" s="305"/>
      <c r="N134" s="305"/>
      <c r="O134" s="305"/>
      <c r="P134" s="305"/>
      <c r="R134" s="305">
        <f>'4.1 CBA (ed7)'!E$30</f>
        <v>267.4364023031103</v>
      </c>
      <c r="S134" s="305">
        <f>'4.1 CBA (ed7)'!F$30</f>
        <v>405.30441911177871</v>
      </c>
      <c r="T134" s="305">
        <f>'4.1 CBA (ed7)'!G$30</f>
        <v>566.45236083784698</v>
      </c>
      <c r="U134" s="305"/>
      <c r="X134">
        <v>129</v>
      </c>
      <c r="Y134" s="305"/>
      <c r="Z134" s="305"/>
      <c r="AA134" s="305"/>
      <c r="AC134" s="305"/>
      <c r="AD134" s="305"/>
      <c r="AE134" s="305"/>
      <c r="AG134" s="305"/>
      <c r="AH134" s="305"/>
      <c r="AI134" s="305"/>
      <c r="AK134" s="305"/>
      <c r="AL134" s="305"/>
      <c r="AM134" s="305"/>
      <c r="AO134" s="305">
        <f t="shared" si="39"/>
        <v>64.86750166918533</v>
      </c>
      <c r="AP134" s="305">
        <f t="shared" si="40"/>
        <v>98.307802776071426</v>
      </c>
      <c r="AQ134" s="305">
        <f t="shared" si="41"/>
        <v>137.39471940630619</v>
      </c>
    </row>
    <row r="135" spans="1:43">
      <c r="A135">
        <v>130</v>
      </c>
      <c r="B135" s="305"/>
      <c r="C135" s="305"/>
      <c r="D135" s="305"/>
      <c r="F135" s="516"/>
      <c r="G135" s="305"/>
      <c r="H135" s="305"/>
      <c r="I135" s="464"/>
      <c r="J135" s="305"/>
      <c r="K135" s="305"/>
      <c r="L135" s="305"/>
      <c r="N135" s="305"/>
      <c r="O135" s="305"/>
      <c r="P135" s="305"/>
      <c r="R135" s="305">
        <f>'4.1 CBA (ed7)'!E$30</f>
        <v>267.4364023031103</v>
      </c>
      <c r="S135" s="305">
        <f>'4.1 CBA (ed7)'!F$30</f>
        <v>405.30441911177871</v>
      </c>
      <c r="T135" s="305">
        <f>'4.1 CBA (ed7)'!G$30</f>
        <v>566.45236083784698</v>
      </c>
      <c r="U135" s="305"/>
      <c r="X135">
        <v>130</v>
      </c>
      <c r="Y135" s="305"/>
      <c r="Z135" s="305"/>
      <c r="AA135" s="305"/>
      <c r="AC135" s="305"/>
      <c r="AD135" s="305"/>
      <c r="AE135" s="305"/>
      <c r="AG135" s="305"/>
      <c r="AH135" s="305"/>
      <c r="AI135" s="305"/>
      <c r="AK135" s="305"/>
      <c r="AL135" s="305"/>
      <c r="AM135" s="305"/>
      <c r="AO135" s="305">
        <f t="shared" si="39"/>
        <v>64.86750166918533</v>
      </c>
      <c r="AP135" s="305">
        <f t="shared" si="40"/>
        <v>98.307802776071426</v>
      </c>
      <c r="AQ135" s="305">
        <f t="shared" si="41"/>
        <v>137.39471940630619</v>
      </c>
    </row>
    <row r="136" spans="1:43">
      <c r="A136">
        <v>131</v>
      </c>
      <c r="B136" s="305"/>
      <c r="C136" s="305"/>
      <c r="D136" s="305"/>
      <c r="F136" s="516"/>
      <c r="G136" s="305"/>
      <c r="H136" s="305"/>
      <c r="I136" s="464"/>
      <c r="J136" s="305"/>
      <c r="K136" s="305"/>
      <c r="L136" s="305"/>
      <c r="N136" s="305"/>
      <c r="O136" s="305"/>
      <c r="P136" s="305"/>
      <c r="R136" s="305">
        <f>'4.1 CBA (ed7)'!E$30</f>
        <v>267.4364023031103</v>
      </c>
      <c r="S136" s="305">
        <f>'4.1 CBA (ed7)'!F$30</f>
        <v>405.30441911177871</v>
      </c>
      <c r="T136" s="305">
        <f>'4.1 CBA (ed7)'!G$30</f>
        <v>566.45236083784698</v>
      </c>
      <c r="U136" s="305"/>
      <c r="X136">
        <v>131</v>
      </c>
      <c r="Y136" s="305"/>
      <c r="Z136" s="305"/>
      <c r="AA136" s="305"/>
      <c r="AC136" s="305"/>
      <c r="AD136" s="305"/>
      <c r="AE136" s="305"/>
      <c r="AG136" s="305"/>
      <c r="AH136" s="305"/>
      <c r="AI136" s="305"/>
      <c r="AK136" s="305"/>
      <c r="AL136" s="305"/>
      <c r="AM136" s="305"/>
      <c r="AO136" s="305">
        <f t="shared" si="39"/>
        <v>64.86750166918533</v>
      </c>
      <c r="AP136" s="305">
        <f t="shared" si="40"/>
        <v>98.307802776071426</v>
      </c>
      <c r="AQ136" s="305">
        <f t="shared" si="41"/>
        <v>137.39471940630619</v>
      </c>
    </row>
    <row r="137" spans="1:43">
      <c r="A137">
        <v>132</v>
      </c>
      <c r="B137" s="305"/>
      <c r="C137" s="305"/>
      <c r="D137" s="305"/>
      <c r="F137" s="516"/>
      <c r="G137" s="305"/>
      <c r="H137" s="305"/>
      <c r="I137" s="464"/>
      <c r="J137" s="305"/>
      <c r="K137" s="305"/>
      <c r="L137" s="305"/>
      <c r="N137" s="305"/>
      <c r="O137" s="305"/>
      <c r="P137" s="305"/>
      <c r="R137" s="305">
        <f>'4.1 CBA (ed7)'!E$30</f>
        <v>267.4364023031103</v>
      </c>
      <c r="S137" s="305">
        <f>'4.1 CBA (ed7)'!F$30</f>
        <v>405.30441911177871</v>
      </c>
      <c r="T137" s="305">
        <f>'4.1 CBA (ed7)'!G$30</f>
        <v>566.45236083784698</v>
      </c>
      <c r="U137" s="305"/>
      <c r="X137">
        <v>132</v>
      </c>
      <c r="Y137" s="305"/>
      <c r="Z137" s="305"/>
      <c r="AA137" s="305"/>
      <c r="AC137" s="305"/>
      <c r="AD137" s="305"/>
      <c r="AE137" s="305"/>
      <c r="AG137" s="305"/>
      <c r="AH137" s="305"/>
      <c r="AI137" s="305"/>
      <c r="AK137" s="305"/>
      <c r="AL137" s="305"/>
      <c r="AM137" s="305"/>
      <c r="AO137" s="305">
        <f t="shared" ref="AO137:AO165" si="42">AO136</f>
        <v>64.86750166918533</v>
      </c>
      <c r="AP137" s="305">
        <f t="shared" ref="AP137:AP165" si="43">AP136</f>
        <v>98.307802776071426</v>
      </c>
      <c r="AQ137" s="305">
        <f t="shared" ref="AQ137:AQ165" si="44">AQ136</f>
        <v>137.39471940630619</v>
      </c>
    </row>
    <row r="138" spans="1:43">
      <c r="A138">
        <v>133</v>
      </c>
      <c r="B138" s="305"/>
      <c r="C138" s="305"/>
      <c r="D138" s="305"/>
      <c r="F138" s="516"/>
      <c r="G138" s="305"/>
      <c r="H138" s="305"/>
      <c r="I138" s="464"/>
      <c r="J138" s="305"/>
      <c r="K138" s="305"/>
      <c r="L138" s="305"/>
      <c r="N138" s="305"/>
      <c r="O138" s="305"/>
      <c r="P138" s="305"/>
      <c r="R138" s="305">
        <f>'4.1 CBA (ed7)'!E$30</f>
        <v>267.4364023031103</v>
      </c>
      <c r="S138" s="305">
        <f>'4.1 CBA (ed7)'!F$30</f>
        <v>405.30441911177871</v>
      </c>
      <c r="T138" s="305">
        <f>'4.1 CBA (ed7)'!G$30</f>
        <v>566.45236083784698</v>
      </c>
      <c r="U138" s="305"/>
      <c r="X138">
        <v>133</v>
      </c>
      <c r="Y138" s="305"/>
      <c r="Z138" s="305"/>
      <c r="AA138" s="305"/>
      <c r="AC138" s="305"/>
      <c r="AD138" s="305"/>
      <c r="AE138" s="305"/>
      <c r="AG138" s="305"/>
      <c r="AH138" s="305"/>
      <c r="AI138" s="305"/>
      <c r="AK138" s="305"/>
      <c r="AL138" s="305"/>
      <c r="AM138" s="305"/>
      <c r="AO138" s="305">
        <f t="shared" si="42"/>
        <v>64.86750166918533</v>
      </c>
      <c r="AP138" s="305">
        <f t="shared" si="43"/>
        <v>98.307802776071426</v>
      </c>
      <c r="AQ138" s="305">
        <f t="shared" si="44"/>
        <v>137.39471940630619</v>
      </c>
    </row>
    <row r="139" spans="1:43">
      <c r="A139">
        <v>134</v>
      </c>
      <c r="B139" s="305"/>
      <c r="C139" s="305"/>
      <c r="D139" s="305"/>
      <c r="F139" s="516"/>
      <c r="G139" s="305"/>
      <c r="H139" s="305"/>
      <c r="I139" s="464"/>
      <c r="J139" s="305"/>
      <c r="K139" s="305"/>
      <c r="L139" s="305"/>
      <c r="N139" s="305"/>
      <c r="O139" s="305"/>
      <c r="P139" s="305"/>
      <c r="R139" s="305">
        <f>'4.1 CBA (ed7)'!E$30</f>
        <v>267.4364023031103</v>
      </c>
      <c r="S139" s="305">
        <f>'4.1 CBA (ed7)'!F$30</f>
        <v>405.30441911177871</v>
      </c>
      <c r="T139" s="305">
        <f>'4.1 CBA (ed7)'!G$30</f>
        <v>566.45236083784698</v>
      </c>
      <c r="U139" s="305"/>
      <c r="X139">
        <v>134</v>
      </c>
      <c r="Y139" s="305"/>
      <c r="Z139" s="305"/>
      <c r="AA139" s="305"/>
      <c r="AC139" s="305"/>
      <c r="AD139" s="305"/>
      <c r="AE139" s="305"/>
      <c r="AG139" s="305"/>
      <c r="AH139" s="305"/>
      <c r="AI139" s="305"/>
      <c r="AK139" s="305"/>
      <c r="AL139" s="305"/>
      <c r="AM139" s="305"/>
      <c r="AO139" s="305">
        <f t="shared" si="42"/>
        <v>64.86750166918533</v>
      </c>
      <c r="AP139" s="305">
        <f t="shared" si="43"/>
        <v>98.307802776071426</v>
      </c>
      <c r="AQ139" s="305">
        <f t="shared" si="44"/>
        <v>137.39471940630619</v>
      </c>
    </row>
    <row r="140" spans="1:43">
      <c r="A140">
        <v>135</v>
      </c>
      <c r="B140" s="305"/>
      <c r="C140" s="305"/>
      <c r="D140" s="305"/>
      <c r="F140" s="516"/>
      <c r="G140" s="305"/>
      <c r="H140" s="305"/>
      <c r="I140" s="464"/>
      <c r="J140" s="305"/>
      <c r="K140" s="305"/>
      <c r="L140" s="305"/>
      <c r="N140" s="305"/>
      <c r="O140" s="305"/>
      <c r="P140" s="305"/>
      <c r="R140" s="305">
        <f>'4.1 CBA (ed7)'!E$30</f>
        <v>267.4364023031103</v>
      </c>
      <c r="S140" s="305">
        <f>'4.1 CBA (ed7)'!F$30</f>
        <v>405.30441911177871</v>
      </c>
      <c r="T140" s="305">
        <f>'4.1 CBA (ed7)'!G$30</f>
        <v>566.45236083784698</v>
      </c>
      <c r="U140" s="305"/>
      <c r="X140">
        <v>135</v>
      </c>
      <c r="Y140" s="305"/>
      <c r="Z140" s="305"/>
      <c r="AA140" s="305"/>
      <c r="AC140" s="305"/>
      <c r="AD140" s="305"/>
      <c r="AE140" s="305"/>
      <c r="AG140" s="305"/>
      <c r="AH140" s="305"/>
      <c r="AI140" s="305"/>
      <c r="AK140" s="305"/>
      <c r="AL140" s="305"/>
      <c r="AM140" s="305"/>
      <c r="AO140" s="305">
        <f t="shared" si="42"/>
        <v>64.86750166918533</v>
      </c>
      <c r="AP140" s="305">
        <f t="shared" si="43"/>
        <v>98.307802776071426</v>
      </c>
      <c r="AQ140" s="305">
        <f t="shared" si="44"/>
        <v>137.39471940630619</v>
      </c>
    </row>
    <row r="141" spans="1:43">
      <c r="A141">
        <v>136</v>
      </c>
      <c r="B141" s="305"/>
      <c r="C141" s="305"/>
      <c r="D141" s="305"/>
      <c r="F141" s="516"/>
      <c r="G141" s="305"/>
      <c r="H141" s="305"/>
      <c r="I141" s="464"/>
      <c r="J141" s="305"/>
      <c r="K141" s="305"/>
      <c r="L141" s="305"/>
      <c r="N141" s="305"/>
      <c r="O141" s="305"/>
      <c r="P141" s="305"/>
      <c r="R141" s="305">
        <f>'4.1 CBA (ed7)'!E$30</f>
        <v>267.4364023031103</v>
      </c>
      <c r="S141" s="305">
        <f>'4.1 CBA (ed7)'!F$30</f>
        <v>405.30441911177871</v>
      </c>
      <c r="T141" s="305">
        <f>'4.1 CBA (ed7)'!G$30</f>
        <v>566.45236083784698</v>
      </c>
      <c r="U141" s="305"/>
      <c r="X141">
        <v>136</v>
      </c>
      <c r="Y141" s="305"/>
      <c r="Z141" s="305"/>
      <c r="AA141" s="305"/>
      <c r="AC141" s="305"/>
      <c r="AD141" s="305"/>
      <c r="AE141" s="305"/>
      <c r="AG141" s="305"/>
      <c r="AH141" s="305"/>
      <c r="AI141" s="305"/>
      <c r="AK141" s="305"/>
      <c r="AL141" s="305"/>
      <c r="AM141" s="305"/>
      <c r="AO141" s="305">
        <f t="shared" si="42"/>
        <v>64.86750166918533</v>
      </c>
      <c r="AP141" s="305">
        <f t="shared" si="43"/>
        <v>98.307802776071426</v>
      </c>
      <c r="AQ141" s="305">
        <f t="shared" si="44"/>
        <v>137.39471940630619</v>
      </c>
    </row>
    <row r="142" spans="1:43">
      <c r="A142">
        <v>137</v>
      </c>
      <c r="B142" s="305"/>
      <c r="C142" s="305"/>
      <c r="D142" s="305"/>
      <c r="F142" s="516"/>
      <c r="G142" s="305"/>
      <c r="H142" s="305"/>
      <c r="I142" s="464"/>
      <c r="J142" s="305"/>
      <c r="K142" s="305"/>
      <c r="L142" s="305"/>
      <c r="N142" s="305"/>
      <c r="O142" s="305"/>
      <c r="P142" s="305"/>
      <c r="R142" s="305">
        <f>'4.1 CBA (ed7)'!E$30</f>
        <v>267.4364023031103</v>
      </c>
      <c r="S142" s="305">
        <f>'4.1 CBA (ed7)'!F$30</f>
        <v>405.30441911177871</v>
      </c>
      <c r="T142" s="305">
        <f>'4.1 CBA (ed7)'!G$30</f>
        <v>566.45236083784698</v>
      </c>
      <c r="U142" s="305"/>
      <c r="X142">
        <v>137</v>
      </c>
      <c r="Y142" s="305"/>
      <c r="Z142" s="305"/>
      <c r="AA142" s="305"/>
      <c r="AC142" s="305"/>
      <c r="AD142" s="305"/>
      <c r="AE142" s="305"/>
      <c r="AG142" s="305"/>
      <c r="AH142" s="305"/>
      <c r="AI142" s="305"/>
      <c r="AK142" s="305"/>
      <c r="AL142" s="305"/>
      <c r="AM142" s="305"/>
      <c r="AO142" s="305">
        <f t="shared" si="42"/>
        <v>64.86750166918533</v>
      </c>
      <c r="AP142" s="305">
        <f t="shared" si="43"/>
        <v>98.307802776071426</v>
      </c>
      <c r="AQ142" s="305">
        <f t="shared" si="44"/>
        <v>137.39471940630619</v>
      </c>
    </row>
    <row r="143" spans="1:43">
      <c r="A143">
        <v>138</v>
      </c>
      <c r="B143" s="305"/>
      <c r="C143" s="305"/>
      <c r="D143" s="305"/>
      <c r="F143" s="516"/>
      <c r="G143" s="305"/>
      <c r="H143" s="305"/>
      <c r="I143" s="464"/>
      <c r="J143" s="305"/>
      <c r="K143" s="305"/>
      <c r="L143" s="305"/>
      <c r="N143" s="305"/>
      <c r="O143" s="305"/>
      <c r="P143" s="305"/>
      <c r="R143" s="305">
        <f>'4.1 CBA (ed7)'!E$30</f>
        <v>267.4364023031103</v>
      </c>
      <c r="S143" s="305">
        <f>'4.1 CBA (ed7)'!F$30</f>
        <v>405.30441911177871</v>
      </c>
      <c r="T143" s="305">
        <f>'4.1 CBA (ed7)'!G$30</f>
        <v>566.45236083784698</v>
      </c>
      <c r="U143" s="305"/>
      <c r="X143">
        <v>138</v>
      </c>
      <c r="Y143" s="305"/>
      <c r="Z143" s="305"/>
      <c r="AA143" s="305"/>
      <c r="AC143" s="305"/>
      <c r="AD143" s="305"/>
      <c r="AE143" s="305"/>
      <c r="AG143" s="305"/>
      <c r="AH143" s="305"/>
      <c r="AI143" s="305"/>
      <c r="AK143" s="305"/>
      <c r="AL143" s="305"/>
      <c r="AM143" s="305"/>
      <c r="AO143" s="305">
        <f t="shared" si="42"/>
        <v>64.86750166918533</v>
      </c>
      <c r="AP143" s="305">
        <f t="shared" si="43"/>
        <v>98.307802776071426</v>
      </c>
      <c r="AQ143" s="305">
        <f t="shared" si="44"/>
        <v>137.39471940630619</v>
      </c>
    </row>
    <row r="144" spans="1:43">
      <c r="A144">
        <v>139</v>
      </c>
      <c r="B144" s="305"/>
      <c r="C144" s="305"/>
      <c r="D144" s="305"/>
      <c r="F144" s="516"/>
      <c r="G144" s="305"/>
      <c r="H144" s="305"/>
      <c r="I144" s="464"/>
      <c r="J144" s="305"/>
      <c r="K144" s="305"/>
      <c r="L144" s="305"/>
      <c r="N144" s="305"/>
      <c r="O144" s="305"/>
      <c r="P144" s="305"/>
      <c r="R144" s="305">
        <f>'4.1 CBA (ed7)'!E$30</f>
        <v>267.4364023031103</v>
      </c>
      <c r="S144" s="305">
        <f>'4.1 CBA (ed7)'!F$30</f>
        <v>405.30441911177871</v>
      </c>
      <c r="T144" s="305">
        <f>'4.1 CBA (ed7)'!G$30</f>
        <v>566.45236083784698</v>
      </c>
      <c r="U144" s="305"/>
      <c r="X144">
        <v>139</v>
      </c>
      <c r="Y144" s="305"/>
      <c r="Z144" s="305"/>
      <c r="AA144" s="305"/>
      <c r="AC144" s="305"/>
      <c r="AD144" s="305"/>
      <c r="AE144" s="305"/>
      <c r="AG144" s="305"/>
      <c r="AH144" s="305"/>
      <c r="AI144" s="305"/>
      <c r="AK144" s="305"/>
      <c r="AL144" s="305"/>
      <c r="AM144" s="305"/>
      <c r="AO144" s="305">
        <f t="shared" si="42"/>
        <v>64.86750166918533</v>
      </c>
      <c r="AP144" s="305">
        <f t="shared" si="43"/>
        <v>98.307802776071426</v>
      </c>
      <c r="AQ144" s="305">
        <f t="shared" si="44"/>
        <v>137.39471940630619</v>
      </c>
    </row>
    <row r="145" spans="1:43">
      <c r="A145">
        <v>140</v>
      </c>
      <c r="B145" s="305"/>
      <c r="C145" s="305"/>
      <c r="D145" s="305"/>
      <c r="F145" s="516"/>
      <c r="G145" s="305"/>
      <c r="H145" s="305"/>
      <c r="I145" s="464"/>
      <c r="J145" s="305"/>
      <c r="K145" s="305"/>
      <c r="L145" s="305"/>
      <c r="N145" s="305"/>
      <c r="O145" s="305"/>
      <c r="P145" s="305"/>
      <c r="R145" s="305">
        <f>'4.1 CBA (ed7)'!E$30</f>
        <v>267.4364023031103</v>
      </c>
      <c r="S145" s="305">
        <f>'4.1 CBA (ed7)'!F$30</f>
        <v>405.30441911177871</v>
      </c>
      <c r="T145" s="305">
        <f>'4.1 CBA (ed7)'!G$30</f>
        <v>566.45236083784698</v>
      </c>
      <c r="U145" s="305"/>
      <c r="X145">
        <v>140</v>
      </c>
      <c r="Y145" s="305"/>
      <c r="Z145" s="305"/>
      <c r="AA145" s="305"/>
      <c r="AC145" s="305"/>
      <c r="AD145" s="305"/>
      <c r="AE145" s="305"/>
      <c r="AG145" s="305"/>
      <c r="AH145" s="305"/>
      <c r="AI145" s="305"/>
      <c r="AK145" s="305"/>
      <c r="AL145" s="305"/>
      <c r="AM145" s="305"/>
      <c r="AO145" s="305">
        <f t="shared" si="42"/>
        <v>64.86750166918533</v>
      </c>
      <c r="AP145" s="305">
        <f t="shared" si="43"/>
        <v>98.307802776071426</v>
      </c>
      <c r="AQ145" s="305">
        <f t="shared" si="44"/>
        <v>137.39471940630619</v>
      </c>
    </row>
    <row r="146" spans="1:43">
      <c r="A146">
        <v>141</v>
      </c>
      <c r="B146" s="305"/>
      <c r="C146" s="305"/>
      <c r="D146" s="305"/>
      <c r="F146" s="516"/>
      <c r="G146" s="305"/>
      <c r="H146" s="305"/>
      <c r="I146" s="464"/>
      <c r="J146" s="305"/>
      <c r="K146" s="305"/>
      <c r="L146" s="305"/>
      <c r="N146" s="305"/>
      <c r="O146" s="305"/>
      <c r="P146" s="305"/>
      <c r="R146" s="305">
        <f>'4.1 CBA (ed7)'!E$30</f>
        <v>267.4364023031103</v>
      </c>
      <c r="S146" s="305">
        <f>'4.1 CBA (ed7)'!F$30</f>
        <v>405.30441911177871</v>
      </c>
      <c r="T146" s="305">
        <f>'4.1 CBA (ed7)'!G$30</f>
        <v>566.45236083784698</v>
      </c>
      <c r="U146" s="305"/>
      <c r="X146">
        <v>141</v>
      </c>
      <c r="Y146" s="305"/>
      <c r="Z146" s="305"/>
      <c r="AA146" s="305"/>
      <c r="AC146" s="305"/>
      <c r="AD146" s="305"/>
      <c r="AE146" s="305"/>
      <c r="AG146" s="305"/>
      <c r="AH146" s="305"/>
      <c r="AI146" s="305"/>
      <c r="AK146" s="305"/>
      <c r="AL146" s="305"/>
      <c r="AM146" s="305"/>
      <c r="AO146" s="305">
        <f t="shared" si="42"/>
        <v>64.86750166918533</v>
      </c>
      <c r="AP146" s="305">
        <f t="shared" si="43"/>
        <v>98.307802776071426</v>
      </c>
      <c r="AQ146" s="305">
        <f t="shared" si="44"/>
        <v>137.39471940630619</v>
      </c>
    </row>
    <row r="147" spans="1:43">
      <c r="A147">
        <v>142</v>
      </c>
      <c r="B147" s="305"/>
      <c r="C147" s="305"/>
      <c r="D147" s="305"/>
      <c r="F147" s="516"/>
      <c r="G147" s="305"/>
      <c r="H147" s="305"/>
      <c r="I147" s="464"/>
      <c r="J147" s="305"/>
      <c r="K147" s="305"/>
      <c r="L147" s="305"/>
      <c r="N147" s="305"/>
      <c r="O147" s="305"/>
      <c r="P147" s="305"/>
      <c r="R147" s="305">
        <f>'4.1 CBA (ed7)'!E$30</f>
        <v>267.4364023031103</v>
      </c>
      <c r="S147" s="305">
        <f>'4.1 CBA (ed7)'!F$30</f>
        <v>405.30441911177871</v>
      </c>
      <c r="T147" s="305">
        <f>'4.1 CBA (ed7)'!G$30</f>
        <v>566.45236083784698</v>
      </c>
      <c r="U147" s="305"/>
      <c r="X147">
        <v>142</v>
      </c>
      <c r="Y147" s="305"/>
      <c r="Z147" s="305"/>
      <c r="AA147" s="305"/>
      <c r="AC147" s="305"/>
      <c r="AD147" s="305"/>
      <c r="AE147" s="305"/>
      <c r="AG147" s="305"/>
      <c r="AH147" s="305"/>
      <c r="AI147" s="305"/>
      <c r="AK147" s="305"/>
      <c r="AL147" s="305"/>
      <c r="AM147" s="305"/>
      <c r="AO147" s="305">
        <f t="shared" si="42"/>
        <v>64.86750166918533</v>
      </c>
      <c r="AP147" s="305">
        <f t="shared" si="43"/>
        <v>98.307802776071426</v>
      </c>
      <c r="AQ147" s="305">
        <f t="shared" si="44"/>
        <v>137.39471940630619</v>
      </c>
    </row>
    <row r="148" spans="1:43">
      <c r="A148">
        <v>143</v>
      </c>
      <c r="B148" s="305"/>
      <c r="C148" s="305"/>
      <c r="D148" s="305"/>
      <c r="F148" s="516"/>
      <c r="G148" s="305"/>
      <c r="H148" s="305"/>
      <c r="I148" s="464"/>
      <c r="J148" s="305"/>
      <c r="K148" s="305"/>
      <c r="L148" s="305"/>
      <c r="N148" s="305"/>
      <c r="O148" s="305"/>
      <c r="P148" s="305"/>
      <c r="R148" s="305">
        <f>'4.1 CBA (ed7)'!E$30</f>
        <v>267.4364023031103</v>
      </c>
      <c r="S148" s="305">
        <f>'4.1 CBA (ed7)'!F$30</f>
        <v>405.30441911177871</v>
      </c>
      <c r="T148" s="305">
        <f>'4.1 CBA (ed7)'!G$30</f>
        <v>566.45236083784698</v>
      </c>
      <c r="U148" s="305"/>
      <c r="X148">
        <v>143</v>
      </c>
      <c r="Y148" s="305"/>
      <c r="Z148" s="305"/>
      <c r="AA148" s="305"/>
      <c r="AC148" s="305"/>
      <c r="AD148" s="305"/>
      <c r="AE148" s="305"/>
      <c r="AG148" s="305"/>
      <c r="AH148" s="305"/>
      <c r="AI148" s="305"/>
      <c r="AK148" s="305"/>
      <c r="AL148" s="305"/>
      <c r="AM148" s="305"/>
      <c r="AO148" s="305">
        <f t="shared" si="42"/>
        <v>64.86750166918533</v>
      </c>
      <c r="AP148" s="305">
        <f t="shared" si="43"/>
        <v>98.307802776071426</v>
      </c>
      <c r="AQ148" s="305">
        <f t="shared" si="44"/>
        <v>137.39471940630619</v>
      </c>
    </row>
    <row r="149" spans="1:43">
      <c r="A149">
        <v>144</v>
      </c>
      <c r="B149" s="305"/>
      <c r="C149" s="305"/>
      <c r="D149" s="305"/>
      <c r="F149" s="516"/>
      <c r="G149" s="305"/>
      <c r="H149" s="305"/>
      <c r="I149" s="464"/>
      <c r="J149" s="305"/>
      <c r="K149" s="305"/>
      <c r="L149" s="305"/>
      <c r="N149" s="305"/>
      <c r="O149" s="305"/>
      <c r="P149" s="305"/>
      <c r="R149" s="305">
        <f>'4.1 CBA (ed7)'!E$30</f>
        <v>267.4364023031103</v>
      </c>
      <c r="S149" s="305">
        <f>'4.1 CBA (ed7)'!F$30</f>
        <v>405.30441911177871</v>
      </c>
      <c r="T149" s="305">
        <f>'4.1 CBA (ed7)'!G$30</f>
        <v>566.45236083784698</v>
      </c>
      <c r="U149" s="305"/>
      <c r="X149">
        <v>144</v>
      </c>
      <c r="Y149" s="305"/>
      <c r="Z149" s="305"/>
      <c r="AA149" s="305"/>
      <c r="AC149" s="305"/>
      <c r="AD149" s="305"/>
      <c r="AE149" s="305"/>
      <c r="AG149" s="305"/>
      <c r="AH149" s="305"/>
      <c r="AI149" s="305"/>
      <c r="AK149" s="305"/>
      <c r="AL149" s="305"/>
      <c r="AM149" s="305"/>
      <c r="AO149" s="305">
        <f t="shared" si="42"/>
        <v>64.86750166918533</v>
      </c>
      <c r="AP149" s="305">
        <f t="shared" si="43"/>
        <v>98.307802776071426</v>
      </c>
      <c r="AQ149" s="305">
        <f t="shared" si="44"/>
        <v>137.39471940630619</v>
      </c>
    </row>
    <row r="150" spans="1:43">
      <c r="A150">
        <v>145</v>
      </c>
      <c r="B150" s="305"/>
      <c r="C150" s="305"/>
      <c r="D150" s="305"/>
      <c r="F150" s="516"/>
      <c r="G150" s="305"/>
      <c r="H150" s="305"/>
      <c r="I150" s="464"/>
      <c r="J150" s="305"/>
      <c r="K150" s="305"/>
      <c r="L150" s="305"/>
      <c r="N150" s="305"/>
      <c r="O150" s="305"/>
      <c r="P150" s="305"/>
      <c r="R150" s="305">
        <f>'4.1 CBA (ed7)'!E$30</f>
        <v>267.4364023031103</v>
      </c>
      <c r="S150" s="305">
        <f>'4.1 CBA (ed7)'!F$30</f>
        <v>405.30441911177871</v>
      </c>
      <c r="T150" s="305">
        <f>'4.1 CBA (ed7)'!G$30</f>
        <v>566.45236083784698</v>
      </c>
      <c r="U150" s="305"/>
      <c r="X150">
        <v>145</v>
      </c>
      <c r="Y150" s="305"/>
      <c r="Z150" s="305"/>
      <c r="AA150" s="305"/>
      <c r="AC150" s="305"/>
      <c r="AD150" s="305"/>
      <c r="AE150" s="305"/>
      <c r="AG150" s="305"/>
      <c r="AH150" s="305"/>
      <c r="AI150" s="305"/>
      <c r="AK150" s="305"/>
      <c r="AL150" s="305"/>
      <c r="AM150" s="305"/>
      <c r="AO150" s="305">
        <f t="shared" si="42"/>
        <v>64.86750166918533</v>
      </c>
      <c r="AP150" s="305">
        <f t="shared" si="43"/>
        <v>98.307802776071426</v>
      </c>
      <c r="AQ150" s="305">
        <f t="shared" si="44"/>
        <v>137.39471940630619</v>
      </c>
    </row>
    <row r="151" spans="1:43">
      <c r="A151">
        <v>146</v>
      </c>
      <c r="B151" s="305"/>
      <c r="C151" s="305"/>
      <c r="D151" s="305"/>
      <c r="F151" s="516"/>
      <c r="G151" s="305"/>
      <c r="H151" s="305"/>
      <c r="I151" s="464"/>
      <c r="J151" s="305"/>
      <c r="K151" s="305"/>
      <c r="L151" s="305"/>
      <c r="N151" s="305"/>
      <c r="O151" s="305"/>
      <c r="P151" s="305"/>
      <c r="R151" s="305">
        <f>'4.1 CBA (ed7)'!E$30</f>
        <v>267.4364023031103</v>
      </c>
      <c r="S151" s="305">
        <f>'4.1 CBA (ed7)'!F$30</f>
        <v>405.30441911177871</v>
      </c>
      <c r="T151" s="305">
        <f>'4.1 CBA (ed7)'!G$30</f>
        <v>566.45236083784698</v>
      </c>
      <c r="U151" s="305"/>
      <c r="X151">
        <v>146</v>
      </c>
      <c r="Y151" s="305"/>
      <c r="Z151" s="305"/>
      <c r="AA151" s="305"/>
      <c r="AC151" s="305"/>
      <c r="AD151" s="305"/>
      <c r="AE151" s="305"/>
      <c r="AG151" s="305"/>
      <c r="AH151" s="305"/>
      <c r="AI151" s="305"/>
      <c r="AK151" s="305"/>
      <c r="AL151" s="305"/>
      <c r="AM151" s="305"/>
      <c r="AO151" s="305">
        <f t="shared" si="42"/>
        <v>64.86750166918533</v>
      </c>
      <c r="AP151" s="305">
        <f t="shared" si="43"/>
        <v>98.307802776071426</v>
      </c>
      <c r="AQ151" s="305">
        <f t="shared" si="44"/>
        <v>137.39471940630619</v>
      </c>
    </row>
    <row r="152" spans="1:43">
      <c r="A152">
        <v>147</v>
      </c>
      <c r="B152" s="305"/>
      <c r="C152" s="305"/>
      <c r="D152" s="305"/>
      <c r="F152" s="516"/>
      <c r="G152" s="305"/>
      <c r="H152" s="305"/>
      <c r="I152" s="464"/>
      <c r="J152" s="305"/>
      <c r="K152" s="305"/>
      <c r="L152" s="305"/>
      <c r="N152" s="305"/>
      <c r="O152" s="305"/>
      <c r="P152" s="305"/>
      <c r="R152" s="305">
        <f>'4.1 CBA (ed7)'!E$30</f>
        <v>267.4364023031103</v>
      </c>
      <c r="S152" s="305">
        <f>'4.1 CBA (ed7)'!F$30</f>
        <v>405.30441911177871</v>
      </c>
      <c r="T152" s="305">
        <f>'4.1 CBA (ed7)'!G$30</f>
        <v>566.45236083784698</v>
      </c>
      <c r="U152" s="305"/>
      <c r="X152">
        <v>147</v>
      </c>
      <c r="Y152" s="305"/>
      <c r="Z152" s="305"/>
      <c r="AA152" s="305"/>
      <c r="AC152" s="305"/>
      <c r="AD152" s="305"/>
      <c r="AE152" s="305"/>
      <c r="AG152" s="305"/>
      <c r="AH152" s="305"/>
      <c r="AI152" s="305"/>
      <c r="AK152" s="305"/>
      <c r="AL152" s="305"/>
      <c r="AM152" s="305"/>
      <c r="AO152" s="305">
        <f t="shared" si="42"/>
        <v>64.86750166918533</v>
      </c>
      <c r="AP152" s="305">
        <f t="shared" si="43"/>
        <v>98.307802776071426</v>
      </c>
      <c r="AQ152" s="305">
        <f t="shared" si="44"/>
        <v>137.39471940630619</v>
      </c>
    </row>
    <row r="153" spans="1:43">
      <c r="A153">
        <v>148</v>
      </c>
      <c r="B153" s="305"/>
      <c r="C153" s="305"/>
      <c r="D153" s="305"/>
      <c r="F153" s="516"/>
      <c r="G153" s="305"/>
      <c r="H153" s="305"/>
      <c r="I153" s="464"/>
      <c r="J153" s="305"/>
      <c r="K153" s="305"/>
      <c r="L153" s="305"/>
      <c r="N153" s="305"/>
      <c r="O153" s="305"/>
      <c r="P153" s="305"/>
      <c r="R153" s="305">
        <f>'4.1 CBA (ed7)'!E$30</f>
        <v>267.4364023031103</v>
      </c>
      <c r="S153" s="305">
        <f>'4.1 CBA (ed7)'!F$30</f>
        <v>405.30441911177871</v>
      </c>
      <c r="T153" s="305">
        <f>'4.1 CBA (ed7)'!G$30</f>
        <v>566.45236083784698</v>
      </c>
      <c r="U153" s="305"/>
      <c r="X153">
        <v>148</v>
      </c>
      <c r="Y153" s="305"/>
      <c r="Z153" s="305"/>
      <c r="AA153" s="305"/>
      <c r="AC153" s="305"/>
      <c r="AD153" s="305"/>
      <c r="AE153" s="305"/>
      <c r="AG153" s="305"/>
      <c r="AH153" s="305"/>
      <c r="AI153" s="305"/>
      <c r="AK153" s="305"/>
      <c r="AL153" s="305"/>
      <c r="AM153" s="305"/>
      <c r="AO153" s="305">
        <f t="shared" si="42"/>
        <v>64.86750166918533</v>
      </c>
      <c r="AP153" s="305">
        <f t="shared" si="43"/>
        <v>98.307802776071426</v>
      </c>
      <c r="AQ153" s="305">
        <f t="shared" si="44"/>
        <v>137.39471940630619</v>
      </c>
    </row>
    <row r="154" spans="1:43">
      <c r="A154">
        <v>149</v>
      </c>
      <c r="B154" s="305"/>
      <c r="C154" s="305"/>
      <c r="D154" s="305"/>
      <c r="F154" s="516"/>
      <c r="G154" s="305"/>
      <c r="H154" s="305"/>
      <c r="I154" s="464"/>
      <c r="J154" s="305"/>
      <c r="K154" s="305"/>
      <c r="L154" s="305"/>
      <c r="N154" s="305"/>
      <c r="O154" s="305"/>
      <c r="P154" s="305"/>
      <c r="R154" s="305">
        <f>'4.1 CBA (ed7)'!E$30</f>
        <v>267.4364023031103</v>
      </c>
      <c r="S154" s="305">
        <f>'4.1 CBA (ed7)'!F$30</f>
        <v>405.30441911177871</v>
      </c>
      <c r="T154" s="305">
        <f>'4.1 CBA (ed7)'!G$30</f>
        <v>566.45236083784698</v>
      </c>
      <c r="U154" s="305"/>
      <c r="X154">
        <v>149</v>
      </c>
      <c r="Y154" s="305"/>
      <c r="Z154" s="305"/>
      <c r="AA154" s="305"/>
      <c r="AC154" s="305"/>
      <c r="AD154" s="305"/>
      <c r="AE154" s="305"/>
      <c r="AG154" s="305"/>
      <c r="AH154" s="305"/>
      <c r="AI154" s="305"/>
      <c r="AK154" s="305"/>
      <c r="AL154" s="305"/>
      <c r="AM154" s="305"/>
      <c r="AO154" s="305">
        <f t="shared" si="42"/>
        <v>64.86750166918533</v>
      </c>
      <c r="AP154" s="305">
        <f t="shared" si="43"/>
        <v>98.307802776071426</v>
      </c>
      <c r="AQ154" s="305">
        <f t="shared" si="44"/>
        <v>137.39471940630619</v>
      </c>
    </row>
    <row r="155" spans="1:43">
      <c r="A155">
        <v>150</v>
      </c>
      <c r="B155" s="305"/>
      <c r="C155" s="305"/>
      <c r="D155" s="305"/>
      <c r="F155" s="516"/>
      <c r="G155" s="305"/>
      <c r="H155" s="305"/>
      <c r="I155" s="464"/>
      <c r="J155" s="305"/>
      <c r="K155" s="305"/>
      <c r="L155" s="305"/>
      <c r="N155" s="305"/>
      <c r="O155" s="305"/>
      <c r="P155" s="305"/>
      <c r="R155" s="305">
        <f>'4.1 CBA (ed7)'!E$30</f>
        <v>267.4364023031103</v>
      </c>
      <c r="S155" s="305">
        <f>'4.1 CBA (ed7)'!F$30</f>
        <v>405.30441911177871</v>
      </c>
      <c r="T155" s="305">
        <f>'4.1 CBA (ed7)'!G$30</f>
        <v>566.45236083784698</v>
      </c>
      <c r="U155" s="305"/>
      <c r="X155">
        <v>150</v>
      </c>
      <c r="Y155" s="305"/>
      <c r="Z155" s="305"/>
      <c r="AA155" s="305"/>
      <c r="AC155" s="305"/>
      <c r="AD155" s="305"/>
      <c r="AE155" s="305"/>
      <c r="AG155" s="305"/>
      <c r="AH155" s="305"/>
      <c r="AI155" s="305"/>
      <c r="AK155" s="305"/>
      <c r="AL155" s="305"/>
      <c r="AM155" s="305"/>
      <c r="AO155" s="305">
        <f t="shared" si="42"/>
        <v>64.86750166918533</v>
      </c>
      <c r="AP155" s="305">
        <f t="shared" si="43"/>
        <v>98.307802776071426</v>
      </c>
      <c r="AQ155" s="305">
        <f t="shared" si="44"/>
        <v>137.39471940630619</v>
      </c>
    </row>
    <row r="156" spans="1:43">
      <c r="A156">
        <v>151</v>
      </c>
      <c r="B156" s="305"/>
      <c r="C156" s="305"/>
      <c r="D156" s="305"/>
      <c r="F156" s="516"/>
      <c r="G156" s="305"/>
      <c r="H156" s="305"/>
      <c r="I156" s="464"/>
      <c r="J156" s="305"/>
      <c r="K156" s="305"/>
      <c r="L156" s="305"/>
      <c r="N156" s="305"/>
      <c r="O156" s="305"/>
      <c r="P156" s="305"/>
      <c r="R156" s="305">
        <f>'4.1 CBA (ed7)'!E$30</f>
        <v>267.4364023031103</v>
      </c>
      <c r="S156" s="305">
        <f>'4.1 CBA (ed7)'!F$30</f>
        <v>405.30441911177871</v>
      </c>
      <c r="T156" s="305">
        <f>'4.1 CBA (ed7)'!G$30</f>
        <v>566.45236083784698</v>
      </c>
      <c r="U156" s="305"/>
      <c r="X156">
        <v>151</v>
      </c>
      <c r="Y156" s="305"/>
      <c r="Z156" s="305"/>
      <c r="AA156" s="305"/>
      <c r="AC156" s="305"/>
      <c r="AD156" s="305"/>
      <c r="AE156" s="305"/>
      <c r="AG156" s="305"/>
      <c r="AH156" s="305"/>
      <c r="AI156" s="305"/>
      <c r="AK156" s="305"/>
      <c r="AL156" s="305"/>
      <c r="AM156" s="305"/>
      <c r="AO156" s="305">
        <f t="shared" si="42"/>
        <v>64.86750166918533</v>
      </c>
      <c r="AP156" s="305">
        <f t="shared" si="43"/>
        <v>98.307802776071426</v>
      </c>
      <c r="AQ156" s="305">
        <f t="shared" si="44"/>
        <v>137.39471940630619</v>
      </c>
    </row>
    <row r="157" spans="1:43">
      <c r="A157">
        <v>152</v>
      </c>
      <c r="B157" s="305"/>
      <c r="C157" s="305"/>
      <c r="D157" s="305"/>
      <c r="F157" s="516"/>
      <c r="G157" s="305"/>
      <c r="H157" s="305"/>
      <c r="I157" s="464"/>
      <c r="J157" s="305"/>
      <c r="K157" s="305"/>
      <c r="L157" s="305"/>
      <c r="N157" s="305"/>
      <c r="O157" s="305"/>
      <c r="P157" s="305"/>
      <c r="R157" s="305">
        <f>'4.1 CBA (ed7)'!E$30</f>
        <v>267.4364023031103</v>
      </c>
      <c r="S157" s="305">
        <f>'4.1 CBA (ed7)'!F$30</f>
        <v>405.30441911177871</v>
      </c>
      <c r="T157" s="305">
        <f>'4.1 CBA (ed7)'!G$30</f>
        <v>566.45236083784698</v>
      </c>
      <c r="U157" s="305"/>
      <c r="X157">
        <v>152</v>
      </c>
      <c r="Y157" s="305"/>
      <c r="Z157" s="305"/>
      <c r="AA157" s="305"/>
      <c r="AC157" s="305"/>
      <c r="AD157" s="305"/>
      <c r="AE157" s="305"/>
      <c r="AG157" s="305"/>
      <c r="AH157" s="305"/>
      <c r="AI157" s="305"/>
      <c r="AK157" s="305"/>
      <c r="AL157" s="305"/>
      <c r="AM157" s="305"/>
      <c r="AO157" s="305">
        <f t="shared" si="42"/>
        <v>64.86750166918533</v>
      </c>
      <c r="AP157" s="305">
        <f t="shared" si="43"/>
        <v>98.307802776071426</v>
      </c>
      <c r="AQ157" s="305">
        <f t="shared" si="44"/>
        <v>137.39471940630619</v>
      </c>
    </row>
    <row r="158" spans="1:43">
      <c r="A158">
        <v>153</v>
      </c>
      <c r="B158" s="305"/>
      <c r="C158" s="305"/>
      <c r="D158" s="305"/>
      <c r="F158" s="516"/>
      <c r="G158" s="305"/>
      <c r="H158" s="305"/>
      <c r="I158" s="464"/>
      <c r="J158" s="305"/>
      <c r="K158" s="305"/>
      <c r="L158" s="305"/>
      <c r="N158" s="305"/>
      <c r="O158" s="305"/>
      <c r="P158" s="305"/>
      <c r="R158" s="305">
        <f>'4.1 CBA (ed7)'!E$30</f>
        <v>267.4364023031103</v>
      </c>
      <c r="S158" s="305">
        <f>'4.1 CBA (ed7)'!F$30</f>
        <v>405.30441911177871</v>
      </c>
      <c r="T158" s="305">
        <f>'4.1 CBA (ed7)'!G$30</f>
        <v>566.45236083784698</v>
      </c>
      <c r="U158" s="305"/>
      <c r="X158">
        <v>153</v>
      </c>
      <c r="Y158" s="305"/>
      <c r="Z158" s="305"/>
      <c r="AA158" s="305"/>
      <c r="AC158" s="305"/>
      <c r="AD158" s="305"/>
      <c r="AE158" s="305"/>
      <c r="AG158" s="305"/>
      <c r="AH158" s="305"/>
      <c r="AI158" s="305"/>
      <c r="AK158" s="305"/>
      <c r="AL158" s="305"/>
      <c r="AM158" s="305"/>
      <c r="AO158" s="305">
        <f t="shared" si="42"/>
        <v>64.86750166918533</v>
      </c>
      <c r="AP158" s="305">
        <f t="shared" si="43"/>
        <v>98.307802776071426</v>
      </c>
      <c r="AQ158" s="305">
        <f t="shared" si="44"/>
        <v>137.39471940630619</v>
      </c>
    </row>
    <row r="159" spans="1:43">
      <c r="A159">
        <v>154</v>
      </c>
      <c r="B159" s="305"/>
      <c r="C159" s="305"/>
      <c r="D159" s="305"/>
      <c r="F159" s="516"/>
      <c r="G159" s="305"/>
      <c r="H159" s="305"/>
      <c r="I159" s="464"/>
      <c r="J159" s="305"/>
      <c r="K159" s="305"/>
      <c r="L159" s="305"/>
      <c r="N159" s="305"/>
      <c r="O159" s="305"/>
      <c r="P159" s="305"/>
      <c r="R159" s="305">
        <f>'4.1 CBA (ed7)'!E$30</f>
        <v>267.4364023031103</v>
      </c>
      <c r="S159" s="305">
        <f>'4.1 CBA (ed7)'!F$30</f>
        <v>405.30441911177871</v>
      </c>
      <c r="T159" s="305">
        <f>'4.1 CBA (ed7)'!G$30</f>
        <v>566.45236083784698</v>
      </c>
      <c r="U159" s="305"/>
      <c r="X159">
        <v>154</v>
      </c>
      <c r="Y159" s="305"/>
      <c r="Z159" s="305"/>
      <c r="AA159" s="305"/>
      <c r="AC159" s="305"/>
      <c r="AD159" s="305"/>
      <c r="AE159" s="305"/>
      <c r="AG159" s="305"/>
      <c r="AH159" s="305"/>
      <c r="AI159" s="305"/>
      <c r="AK159" s="305"/>
      <c r="AL159" s="305"/>
      <c r="AM159" s="305"/>
      <c r="AO159" s="305">
        <f t="shared" si="42"/>
        <v>64.86750166918533</v>
      </c>
      <c r="AP159" s="305">
        <f t="shared" si="43"/>
        <v>98.307802776071426</v>
      </c>
      <c r="AQ159" s="305">
        <f t="shared" si="44"/>
        <v>137.39471940630619</v>
      </c>
    </row>
    <row r="160" spans="1:43">
      <c r="A160">
        <v>155</v>
      </c>
      <c r="B160" s="305"/>
      <c r="C160" s="305"/>
      <c r="D160" s="305"/>
      <c r="F160" s="516"/>
      <c r="G160" s="305"/>
      <c r="H160" s="305"/>
      <c r="I160" s="464"/>
      <c r="J160" s="305"/>
      <c r="K160" s="305"/>
      <c r="L160" s="305"/>
      <c r="N160" s="305"/>
      <c r="O160" s="305"/>
      <c r="P160" s="305"/>
      <c r="R160" s="305">
        <f>'4.1 CBA (ed7)'!E$30</f>
        <v>267.4364023031103</v>
      </c>
      <c r="S160" s="305">
        <f>'4.1 CBA (ed7)'!F$30</f>
        <v>405.30441911177871</v>
      </c>
      <c r="T160" s="305">
        <f>'4.1 CBA (ed7)'!G$30</f>
        <v>566.45236083784698</v>
      </c>
      <c r="U160" s="305"/>
      <c r="X160">
        <v>155</v>
      </c>
      <c r="Y160" s="305"/>
      <c r="Z160" s="305"/>
      <c r="AA160" s="305"/>
      <c r="AC160" s="305"/>
      <c r="AD160" s="305"/>
      <c r="AE160" s="305"/>
      <c r="AG160" s="305"/>
      <c r="AH160" s="305"/>
      <c r="AI160" s="305"/>
      <c r="AK160" s="305"/>
      <c r="AL160" s="305"/>
      <c r="AM160" s="305"/>
      <c r="AO160" s="305">
        <f t="shared" si="42"/>
        <v>64.86750166918533</v>
      </c>
      <c r="AP160" s="305">
        <f t="shared" si="43"/>
        <v>98.307802776071426</v>
      </c>
      <c r="AQ160" s="305">
        <f t="shared" si="44"/>
        <v>137.39471940630619</v>
      </c>
    </row>
    <row r="161" spans="1:43">
      <c r="A161">
        <v>156</v>
      </c>
      <c r="B161" s="305"/>
      <c r="C161" s="305"/>
      <c r="D161" s="305"/>
      <c r="F161" s="516"/>
      <c r="G161" s="305"/>
      <c r="H161" s="305"/>
      <c r="I161" s="464"/>
      <c r="J161" s="305"/>
      <c r="K161" s="305"/>
      <c r="L161" s="305"/>
      <c r="N161" s="305"/>
      <c r="O161" s="305"/>
      <c r="P161" s="305"/>
      <c r="R161" s="305">
        <f>'4.1 CBA (ed7)'!E$30</f>
        <v>267.4364023031103</v>
      </c>
      <c r="S161" s="305">
        <f>'4.1 CBA (ed7)'!F$30</f>
        <v>405.30441911177871</v>
      </c>
      <c r="T161" s="305">
        <f>'4.1 CBA (ed7)'!G$30</f>
        <v>566.45236083784698</v>
      </c>
      <c r="U161" s="305"/>
      <c r="X161">
        <v>156</v>
      </c>
      <c r="Y161" s="305"/>
      <c r="Z161" s="305"/>
      <c r="AA161" s="305"/>
      <c r="AC161" s="305"/>
      <c r="AD161" s="305"/>
      <c r="AE161" s="305"/>
      <c r="AG161" s="305"/>
      <c r="AH161" s="305"/>
      <c r="AI161" s="305"/>
      <c r="AK161" s="305"/>
      <c r="AL161" s="305"/>
      <c r="AM161" s="305"/>
      <c r="AO161" s="305">
        <f t="shared" si="42"/>
        <v>64.86750166918533</v>
      </c>
      <c r="AP161" s="305">
        <f t="shared" si="43"/>
        <v>98.307802776071426</v>
      </c>
      <c r="AQ161" s="305">
        <f t="shared" si="44"/>
        <v>137.39471940630619</v>
      </c>
    </row>
    <row r="162" spans="1:43">
      <c r="A162">
        <v>157</v>
      </c>
      <c r="B162" s="305"/>
      <c r="C162" s="305"/>
      <c r="D162" s="305"/>
      <c r="F162" s="516"/>
      <c r="G162" s="305"/>
      <c r="H162" s="305"/>
      <c r="I162" s="464"/>
      <c r="J162" s="305"/>
      <c r="K162" s="305"/>
      <c r="L162" s="305"/>
      <c r="N162" s="305"/>
      <c r="O162" s="305"/>
      <c r="P162" s="305"/>
      <c r="R162" s="305">
        <f>'4.1 CBA (ed7)'!E$30</f>
        <v>267.4364023031103</v>
      </c>
      <c r="S162" s="305">
        <f>'4.1 CBA (ed7)'!F$30</f>
        <v>405.30441911177871</v>
      </c>
      <c r="T162" s="305">
        <f>'4.1 CBA (ed7)'!G$30</f>
        <v>566.45236083784698</v>
      </c>
      <c r="U162" s="305"/>
      <c r="X162">
        <v>157</v>
      </c>
      <c r="Y162" s="305"/>
      <c r="Z162" s="305"/>
      <c r="AA162" s="305"/>
      <c r="AC162" s="305"/>
      <c r="AD162" s="305"/>
      <c r="AE162" s="305"/>
      <c r="AG162" s="305"/>
      <c r="AH162" s="305"/>
      <c r="AI162" s="305"/>
      <c r="AK162" s="305"/>
      <c r="AL162" s="305"/>
      <c r="AM162" s="305"/>
      <c r="AO162" s="305">
        <f t="shared" si="42"/>
        <v>64.86750166918533</v>
      </c>
      <c r="AP162" s="305">
        <f t="shared" si="43"/>
        <v>98.307802776071426</v>
      </c>
      <c r="AQ162" s="305">
        <f t="shared" si="44"/>
        <v>137.39471940630619</v>
      </c>
    </row>
    <row r="163" spans="1:43">
      <c r="A163">
        <v>158</v>
      </c>
      <c r="B163" s="305"/>
      <c r="C163" s="305"/>
      <c r="D163" s="305"/>
      <c r="F163" s="516"/>
      <c r="G163" s="305"/>
      <c r="H163" s="305"/>
      <c r="I163" s="464"/>
      <c r="J163" s="305"/>
      <c r="K163" s="305"/>
      <c r="L163" s="305"/>
      <c r="N163" s="305"/>
      <c r="O163" s="305"/>
      <c r="P163" s="305"/>
      <c r="R163" s="305">
        <f>'4.1 CBA (ed7)'!E$30</f>
        <v>267.4364023031103</v>
      </c>
      <c r="S163" s="305">
        <f>'4.1 CBA (ed7)'!F$30</f>
        <v>405.30441911177871</v>
      </c>
      <c r="T163" s="305">
        <f>'4.1 CBA (ed7)'!G$30</f>
        <v>566.45236083784698</v>
      </c>
      <c r="U163" s="305"/>
      <c r="X163">
        <v>158</v>
      </c>
      <c r="Y163" s="305"/>
      <c r="Z163" s="305"/>
      <c r="AA163" s="305"/>
      <c r="AC163" s="305"/>
      <c r="AD163" s="305"/>
      <c r="AE163" s="305"/>
      <c r="AG163" s="305"/>
      <c r="AH163" s="305"/>
      <c r="AI163" s="305"/>
      <c r="AK163" s="305"/>
      <c r="AL163" s="305"/>
      <c r="AM163" s="305"/>
      <c r="AO163" s="305">
        <f t="shared" si="42"/>
        <v>64.86750166918533</v>
      </c>
      <c r="AP163" s="305">
        <f t="shared" si="43"/>
        <v>98.307802776071426</v>
      </c>
      <c r="AQ163" s="305">
        <f t="shared" si="44"/>
        <v>137.39471940630619</v>
      </c>
    </row>
    <row r="164" spans="1:43">
      <c r="A164">
        <v>159</v>
      </c>
      <c r="B164" s="305"/>
      <c r="C164" s="305"/>
      <c r="D164" s="305"/>
      <c r="F164" s="516"/>
      <c r="G164" s="305"/>
      <c r="H164" s="305"/>
      <c r="I164" s="464"/>
      <c r="J164" s="305"/>
      <c r="K164" s="305"/>
      <c r="L164" s="305"/>
      <c r="N164" s="305"/>
      <c r="O164" s="305"/>
      <c r="P164" s="305"/>
      <c r="R164" s="305">
        <f>'4.1 CBA (ed7)'!E$30</f>
        <v>267.4364023031103</v>
      </c>
      <c r="S164" s="305">
        <f>'4.1 CBA (ed7)'!F$30</f>
        <v>405.30441911177871</v>
      </c>
      <c r="T164" s="305">
        <f>'4.1 CBA (ed7)'!G$30</f>
        <v>566.45236083784698</v>
      </c>
      <c r="U164" s="305"/>
      <c r="X164">
        <v>159</v>
      </c>
      <c r="Y164" s="305"/>
      <c r="Z164" s="305"/>
      <c r="AA164" s="305"/>
      <c r="AC164" s="305"/>
      <c r="AD164" s="305"/>
      <c r="AE164" s="305"/>
      <c r="AG164" s="305"/>
      <c r="AH164" s="305"/>
      <c r="AI164" s="305"/>
      <c r="AK164" s="305"/>
      <c r="AL164" s="305"/>
      <c r="AM164" s="305"/>
      <c r="AO164" s="305">
        <f t="shared" si="42"/>
        <v>64.86750166918533</v>
      </c>
      <c r="AP164" s="305">
        <f t="shared" si="43"/>
        <v>98.307802776071426</v>
      </c>
      <c r="AQ164" s="305">
        <f t="shared" si="44"/>
        <v>137.39471940630619</v>
      </c>
    </row>
    <row r="165" spans="1:43">
      <c r="A165">
        <v>160</v>
      </c>
      <c r="B165" s="305"/>
      <c r="C165" s="305"/>
      <c r="D165" s="305"/>
      <c r="F165" s="516"/>
      <c r="G165" s="305"/>
      <c r="H165" s="305"/>
      <c r="I165" s="464"/>
      <c r="J165" s="305"/>
      <c r="K165" s="305"/>
      <c r="L165" s="305"/>
      <c r="N165" s="305"/>
      <c r="O165" s="305"/>
      <c r="P165" s="305"/>
      <c r="R165" s="305">
        <f>'4.1 CBA (ed7)'!E$30</f>
        <v>267.4364023031103</v>
      </c>
      <c r="S165" s="305">
        <f>'4.1 CBA (ed7)'!F$30</f>
        <v>405.30441911177871</v>
      </c>
      <c r="T165" s="305">
        <f>'4.1 CBA (ed7)'!G$30</f>
        <v>566.45236083784698</v>
      </c>
      <c r="U165" s="305"/>
      <c r="X165">
        <v>160</v>
      </c>
      <c r="Y165" s="305"/>
      <c r="Z165" s="305"/>
      <c r="AA165" s="305"/>
      <c r="AC165" s="305"/>
      <c r="AD165" s="305"/>
      <c r="AE165" s="305"/>
      <c r="AG165" s="305"/>
      <c r="AH165" s="305"/>
      <c r="AI165" s="305"/>
      <c r="AK165" s="305"/>
      <c r="AL165" s="305"/>
      <c r="AM165" s="305"/>
      <c r="AO165" s="305">
        <f t="shared" si="42"/>
        <v>64.86750166918533</v>
      </c>
      <c r="AP165" s="305">
        <f t="shared" si="43"/>
        <v>98.307802776071426</v>
      </c>
      <c r="AQ165" s="305">
        <f t="shared" si="44"/>
        <v>137.39471940630619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58F7-3D33-4D96-A82F-A252CBC76F00}">
  <dimension ref="A2:R92"/>
  <sheetViews>
    <sheetView workbookViewId="0"/>
  </sheetViews>
  <sheetFormatPr defaultRowHeight="14.4"/>
  <cols>
    <col min="8" max="8" width="9.109375" customWidth="1"/>
    <col min="9" max="10" width="9" customWidth="1"/>
    <col min="11" max="11" width="23.5546875" bestFit="1" customWidth="1"/>
  </cols>
  <sheetData>
    <row r="2" spans="1:18">
      <c r="B2" t="s">
        <v>319</v>
      </c>
      <c r="D2" t="s">
        <v>316</v>
      </c>
      <c r="F2" t="s">
        <v>320</v>
      </c>
      <c r="K2" t="s">
        <v>274</v>
      </c>
      <c r="L2" s="511">
        <v>0.45</v>
      </c>
      <c r="M2" t="s">
        <v>317</v>
      </c>
      <c r="N2" s="511">
        <v>0.95</v>
      </c>
      <c r="P2" s="511">
        <v>0.45</v>
      </c>
      <c r="Q2" s="511">
        <v>0.9</v>
      </c>
      <c r="R2" s="511">
        <v>0.78</v>
      </c>
    </row>
    <row r="3" spans="1:18">
      <c r="A3" s="301"/>
      <c r="B3" s="300" t="s">
        <v>165</v>
      </c>
      <c r="C3" s="329"/>
      <c r="D3" s="536">
        <v>0.44</v>
      </c>
    </row>
    <row r="4" spans="1:18">
      <c r="A4" s="302" t="s">
        <v>153</v>
      </c>
      <c r="B4" s="469" t="s">
        <v>141</v>
      </c>
      <c r="C4" s="469" t="s">
        <v>140</v>
      </c>
      <c r="D4" s="469" t="s">
        <v>201</v>
      </c>
      <c r="F4" s="469" t="s">
        <v>141</v>
      </c>
      <c r="G4" s="469" t="s">
        <v>140</v>
      </c>
      <c r="H4" s="469" t="s">
        <v>201</v>
      </c>
      <c r="K4" t="s">
        <v>318</v>
      </c>
      <c r="L4" s="469" t="s">
        <v>141</v>
      </c>
      <c r="M4" s="469" t="s">
        <v>140</v>
      </c>
      <c r="N4" s="469" t="s">
        <v>201</v>
      </c>
      <c r="P4" s="469" t="s">
        <v>141</v>
      </c>
      <c r="Q4" s="469" t="s">
        <v>140</v>
      </c>
      <c r="R4" s="469" t="s">
        <v>201</v>
      </c>
    </row>
    <row r="5" spans="1:18">
      <c r="A5" s="327">
        <v>0</v>
      </c>
      <c r="B5" s="328">
        <f>-'4.1 CBA (ed7)'!E15</f>
        <v>-482.03920055126093</v>
      </c>
      <c r="C5" s="328">
        <f>-'4.1 CBA (ed7)'!F15</f>
        <v>-262.67805675123049</v>
      </c>
      <c r="D5" s="328">
        <f>-'4.1 CBA (ed7)'!G15</f>
        <v>-583.75034321187411</v>
      </c>
      <c r="F5" s="305">
        <f>'4.2 IRR_Calc_smooth (2)'!B6</f>
        <v>-482.03920055126093</v>
      </c>
      <c r="G5" s="305">
        <f>'4.2 IRR_Calc_smooth (2)'!C6</f>
        <v>-262.67805675123049</v>
      </c>
      <c r="H5" s="305">
        <f>'4.2 IRR_Calc_smooth (2)'!D6</f>
        <v>-583.75034321187411</v>
      </c>
      <c r="K5" t="s">
        <v>271</v>
      </c>
      <c r="L5" s="305">
        <f>-B5*1.05^2</f>
        <v>531.44821860776517</v>
      </c>
      <c r="M5" s="305">
        <f>-C5*1.05^2</f>
        <v>289.60255756823165</v>
      </c>
      <c r="N5" s="305">
        <f>-D5*1.05^2</f>
        <v>643.58475339109123</v>
      </c>
      <c r="P5" s="305">
        <f>-F5*1.05^2</f>
        <v>531.44821860776517</v>
      </c>
      <c r="Q5" s="305">
        <f t="shared" ref="Q5:R5" si="0">-G5*1.05^2</f>
        <v>289.60255756823165</v>
      </c>
      <c r="R5" s="305">
        <f t="shared" si="0"/>
        <v>643.58475339109123</v>
      </c>
    </row>
    <row r="6" spans="1:18">
      <c r="A6" s="327">
        <v>1</v>
      </c>
      <c r="B6" s="328">
        <f>'4.1 CBA (ed7)'!E25*0.5</f>
        <v>147.98688889037919</v>
      </c>
      <c r="C6" s="328">
        <f>'4.1 CBA (ed7)'!F25*0.5</f>
        <v>85.357151688613484</v>
      </c>
      <c r="D6" s="328">
        <f>'4.1 CBA (ed7)'!G25*0.5</f>
        <v>241.94091343532028</v>
      </c>
      <c r="F6" s="305">
        <f>'4.2 IRR_Calc_smooth (2)'!B7</f>
        <v>89.025213707695414</v>
      </c>
      <c r="G6" s="305">
        <f>'4.2 IRR_Calc_smooth (2)'!C7</f>
        <v>51.348729117400929</v>
      </c>
      <c r="H6" s="305">
        <f>'4.2 IRR_Calc_smooth (2)'!D7</f>
        <v>145.5456066730969</v>
      </c>
      <c r="K6" t="s">
        <v>268</v>
      </c>
      <c r="L6" s="305">
        <f>B6*1.05</f>
        <v>155.38623333489815</v>
      </c>
      <c r="M6" s="305">
        <f>C6*1.05</f>
        <v>89.625009273044157</v>
      </c>
      <c r="N6" s="305">
        <f>D6*1.05</f>
        <v>254.03795910708629</v>
      </c>
      <c r="P6" s="305">
        <f>F6*1.05</f>
        <v>93.476474393080196</v>
      </c>
      <c r="Q6" s="305">
        <f t="shared" ref="Q6:R6" si="1">G6*1.05</f>
        <v>53.91616557327098</v>
      </c>
      <c r="R6" s="305">
        <f t="shared" si="1"/>
        <v>152.82288700675176</v>
      </c>
    </row>
    <row r="7" spans="1:18">
      <c r="A7" s="327">
        <v>2</v>
      </c>
      <c r="B7" s="328">
        <f>'4.1 CBA (ed7)'!E30</f>
        <v>267.4364023031103</v>
      </c>
      <c r="C7" s="328">
        <f>'4.1 CBA (ed7)'!F30</f>
        <v>405.30441911177871</v>
      </c>
      <c r="D7" s="328">
        <f>'4.1 CBA (ed7)'!G30</f>
        <v>566.45236083784698</v>
      </c>
      <c r="F7" s="305">
        <f>'4.2 IRR_Calc_smooth (2)'!B8</f>
        <v>293.75913074703311</v>
      </c>
      <c r="G7" s="305">
        <f>'4.2 IRR_Calc_smooth (2)'!C8</f>
        <v>310.69741265103079</v>
      </c>
      <c r="H7" s="305">
        <f>'4.2 IRR_Calc_smooth (2)'!D8</f>
        <v>552.97367348609589</v>
      </c>
      <c r="K7" t="s">
        <v>269</v>
      </c>
      <c r="L7" s="305">
        <f>B7</f>
        <v>267.4364023031103</v>
      </c>
      <c r="M7" s="305">
        <f>C7</f>
        <v>405.30441911177871</v>
      </c>
      <c r="N7" s="305">
        <f>D7</f>
        <v>566.45236083784698</v>
      </c>
      <c r="P7" s="305">
        <f>F7</f>
        <v>293.75913074703311</v>
      </c>
      <c r="Q7" s="305">
        <f t="shared" ref="Q7:R7" si="2">G7</f>
        <v>310.69741265103079</v>
      </c>
      <c r="R7" s="305">
        <f t="shared" si="2"/>
        <v>552.97367348609589</v>
      </c>
    </row>
    <row r="8" spans="1:18">
      <c r="A8">
        <v>3</v>
      </c>
      <c r="B8" s="305">
        <f>B7*(1-$D$3)</f>
        <v>149.7643852897418</v>
      </c>
      <c r="C8" s="305">
        <f>C7*(1-$D$3)</f>
        <v>226.97047470259611</v>
      </c>
      <c r="D8" s="305">
        <f>D7*(1-$D$3)</f>
        <v>317.21332206919436</v>
      </c>
      <c r="F8" s="305">
        <f>F7*(1-$D$3)</f>
        <v>164.50511321833855</v>
      </c>
      <c r="G8" s="305">
        <f t="shared" ref="G8:H8" si="3">G7*(1-$D$3)</f>
        <v>173.99055108457725</v>
      </c>
      <c r="H8" s="305">
        <f t="shared" si="3"/>
        <v>309.66525715221371</v>
      </c>
      <c r="K8" t="s">
        <v>270</v>
      </c>
      <c r="L8" s="509">
        <f>NPV(disc5, B8:B92)</f>
        <v>305.64160263212602</v>
      </c>
      <c r="M8" s="509">
        <f>NPV(disc5, C8:C92)</f>
        <v>463.20505041346144</v>
      </c>
      <c r="N8" s="509">
        <f>NPV(disc5, D8:D92)</f>
        <v>647.37412667182525</v>
      </c>
      <c r="P8" s="509">
        <f>NPV(disc5, F8:F92)</f>
        <v>335.72472085375199</v>
      </c>
      <c r="Q8" s="509">
        <f>NPV(disc5, G8:G92)</f>
        <v>355.08275731546371</v>
      </c>
      <c r="R8" s="509">
        <f>NPV(disc5, H8:H92)</f>
        <v>631.96991255553814</v>
      </c>
    </row>
    <row r="9" spans="1:18">
      <c r="A9">
        <v>4</v>
      </c>
      <c r="B9" s="305">
        <f t="shared" ref="B9:B72" si="4">B8*(1-$D$3)</f>
        <v>83.868055762255409</v>
      </c>
      <c r="C9" s="305">
        <f t="shared" ref="C9:C72" si="5">C8*(1-$D$3)</f>
        <v>127.10346583345382</v>
      </c>
      <c r="D9" s="305">
        <f t="shared" ref="D9:D72" si="6">D8*(1-$D$3)</f>
        <v>177.63946035874886</v>
      </c>
      <c r="F9" s="305">
        <f t="shared" ref="F9:F72" si="7">F8*(1-$D$3)</f>
        <v>92.122863402269601</v>
      </c>
      <c r="G9" s="305">
        <f t="shared" ref="G9:G72" si="8">G8*(1-$D$3)</f>
        <v>97.434708607363262</v>
      </c>
      <c r="H9" s="305">
        <f t="shared" ref="H9:H72" si="9">H8*(1-$D$3)</f>
        <v>173.41254400523971</v>
      </c>
    </row>
    <row r="10" spans="1:18">
      <c r="A10">
        <v>5</v>
      </c>
      <c r="B10" s="305">
        <f t="shared" si="4"/>
        <v>46.966111226863035</v>
      </c>
      <c r="C10" s="305">
        <f t="shared" si="5"/>
        <v>71.177940866734147</v>
      </c>
      <c r="D10" s="305">
        <f t="shared" si="6"/>
        <v>99.478097800899377</v>
      </c>
      <c r="F10" s="305">
        <f t="shared" si="7"/>
        <v>51.588803505270981</v>
      </c>
      <c r="G10" s="305">
        <f t="shared" si="8"/>
        <v>54.563436820123435</v>
      </c>
      <c r="H10" s="305">
        <f t="shared" si="9"/>
        <v>97.11102464293424</v>
      </c>
      <c r="K10" t="s">
        <v>272</v>
      </c>
      <c r="L10" s="305">
        <f>SUM(L6:L8)</f>
        <v>728.4642382701345</v>
      </c>
      <c r="M10" s="305">
        <f t="shared" ref="M10:N10" si="10">SUM(M6:M8)</f>
        <v>958.13447879828436</v>
      </c>
      <c r="N10" s="305">
        <f t="shared" si="10"/>
        <v>1467.8644466167584</v>
      </c>
      <c r="P10" s="305">
        <f>SUM(P6:P8)</f>
        <v>722.96032599386535</v>
      </c>
      <c r="Q10" s="305">
        <f t="shared" ref="Q10:R10" si="11">SUM(Q6:Q8)</f>
        <v>719.69633553976541</v>
      </c>
      <c r="R10" s="305">
        <f t="shared" si="11"/>
        <v>1337.7664730483857</v>
      </c>
    </row>
    <row r="11" spans="1:18">
      <c r="A11">
        <v>6</v>
      </c>
      <c r="B11" s="305">
        <f t="shared" si="4"/>
        <v>26.301022287043303</v>
      </c>
      <c r="C11" s="305">
        <f t="shared" si="5"/>
        <v>39.859646885371127</v>
      </c>
      <c r="D11" s="305">
        <f t="shared" si="6"/>
        <v>55.707734768503656</v>
      </c>
      <c r="F11" s="305">
        <f t="shared" si="7"/>
        <v>28.889729962951751</v>
      </c>
      <c r="G11" s="305">
        <f t="shared" si="8"/>
        <v>30.555524619269125</v>
      </c>
      <c r="H11" s="305">
        <f t="shared" si="9"/>
        <v>54.382173800043176</v>
      </c>
    </row>
    <row r="12" spans="1:18">
      <c r="A12">
        <v>7</v>
      </c>
      <c r="B12" s="305">
        <f t="shared" si="4"/>
        <v>14.728572480744251</v>
      </c>
      <c r="C12" s="305">
        <f t="shared" si="5"/>
        <v>22.321402255807833</v>
      </c>
      <c r="D12" s="305">
        <f t="shared" si="6"/>
        <v>31.19633147036205</v>
      </c>
      <c r="F12" s="305">
        <f t="shared" si="7"/>
        <v>16.178248779252982</v>
      </c>
      <c r="G12" s="305">
        <f t="shared" si="8"/>
        <v>17.111093786790711</v>
      </c>
      <c r="H12" s="305">
        <f t="shared" si="9"/>
        <v>30.454017328024182</v>
      </c>
      <c r="K12" t="s">
        <v>273</v>
      </c>
      <c r="L12" s="477">
        <f>L10/L5</f>
        <v>1.3707153637253544</v>
      </c>
      <c r="M12" s="477">
        <f t="shared" ref="M12:N12" si="12">M10/M5</f>
        <v>3.3084461920628709</v>
      </c>
      <c r="N12" s="477">
        <f t="shared" si="12"/>
        <v>2.280763238846915</v>
      </c>
      <c r="P12" s="477">
        <f>P10/P5</f>
        <v>1.3603589224323762</v>
      </c>
      <c r="Q12" s="477">
        <f t="shared" ref="Q12:R12" si="13">Q10/Q5</f>
        <v>2.4851173331582257</v>
      </c>
      <c r="R12" s="477">
        <f t="shared" si="13"/>
        <v>2.078617409750005</v>
      </c>
    </row>
    <row r="13" spans="1:18">
      <c r="A13">
        <v>8</v>
      </c>
      <c r="B13" s="305">
        <f t="shared" si="4"/>
        <v>8.2480005892167814</v>
      </c>
      <c r="C13" s="305">
        <f t="shared" si="5"/>
        <v>12.499985263252388</v>
      </c>
      <c r="D13" s="305">
        <f t="shared" si="6"/>
        <v>17.469945623402751</v>
      </c>
      <c r="F13" s="305">
        <f t="shared" si="7"/>
        <v>9.0598193163816703</v>
      </c>
      <c r="G13" s="305">
        <f t="shared" si="8"/>
        <v>9.5822125206027984</v>
      </c>
      <c r="H13" s="305">
        <f t="shared" si="9"/>
        <v>17.054249703693543</v>
      </c>
    </row>
    <row r="14" spans="1:18">
      <c r="A14">
        <v>9</v>
      </c>
      <c r="B14" s="305">
        <f t="shared" si="4"/>
        <v>4.6188803299613976</v>
      </c>
      <c r="C14" s="305">
        <f t="shared" si="5"/>
        <v>6.9999917474213378</v>
      </c>
      <c r="D14" s="305">
        <f t="shared" si="6"/>
        <v>9.7831695491055406</v>
      </c>
      <c r="F14" s="305">
        <f t="shared" si="7"/>
        <v>5.0734988171737356</v>
      </c>
      <c r="G14" s="305">
        <f t="shared" si="8"/>
        <v>5.366039011537568</v>
      </c>
      <c r="H14" s="305">
        <f t="shared" si="9"/>
        <v>9.5503798340683854</v>
      </c>
    </row>
    <row r="15" spans="1:18">
      <c r="A15">
        <v>10</v>
      </c>
      <c r="B15" s="305">
        <f t="shared" si="4"/>
        <v>2.5865729847783827</v>
      </c>
      <c r="C15" s="305">
        <f t="shared" si="5"/>
        <v>3.9199953785559494</v>
      </c>
      <c r="D15" s="305">
        <f t="shared" si="6"/>
        <v>5.4785749474991032</v>
      </c>
      <c r="F15" s="305">
        <f t="shared" si="7"/>
        <v>2.8411593376172921</v>
      </c>
      <c r="G15" s="305">
        <f t="shared" si="8"/>
        <v>3.0049818464610385</v>
      </c>
      <c r="H15" s="305">
        <f t="shared" si="9"/>
        <v>5.3482127070782965</v>
      </c>
    </row>
    <row r="16" spans="1:18">
      <c r="A16">
        <v>11</v>
      </c>
      <c r="B16" s="305">
        <f t="shared" si="4"/>
        <v>1.4484808714758945</v>
      </c>
      <c r="C16" s="305">
        <f t="shared" si="5"/>
        <v>2.195197411991332</v>
      </c>
      <c r="D16" s="305">
        <f t="shared" si="6"/>
        <v>3.0680019705994983</v>
      </c>
      <c r="F16" s="305">
        <f t="shared" si="7"/>
        <v>1.5910492290656837</v>
      </c>
      <c r="G16" s="305">
        <f t="shared" si="8"/>
        <v>1.6827898340181817</v>
      </c>
      <c r="H16" s="305">
        <f t="shared" si="9"/>
        <v>2.9949991159638465</v>
      </c>
    </row>
    <row r="17" spans="1:8">
      <c r="A17">
        <v>12</v>
      </c>
      <c r="B17" s="305">
        <f t="shared" si="4"/>
        <v>0.81114928802650099</v>
      </c>
      <c r="C17" s="305">
        <f t="shared" si="5"/>
        <v>1.2293105507151461</v>
      </c>
      <c r="D17" s="305">
        <f t="shared" si="6"/>
        <v>1.7180811035357193</v>
      </c>
      <c r="F17" s="305">
        <f t="shared" si="7"/>
        <v>0.89098756827678294</v>
      </c>
      <c r="G17" s="305">
        <f t="shared" si="8"/>
        <v>0.94236230705018187</v>
      </c>
      <c r="H17" s="305">
        <f t="shared" si="9"/>
        <v>1.6771995049397541</v>
      </c>
    </row>
    <row r="18" spans="1:8">
      <c r="A18">
        <v>13</v>
      </c>
      <c r="B18" s="305">
        <f t="shared" si="4"/>
        <v>0.45424360129484059</v>
      </c>
      <c r="C18" s="305">
        <f t="shared" si="5"/>
        <v>0.68841390840048189</v>
      </c>
      <c r="D18" s="305">
        <f t="shared" si="6"/>
        <v>0.96212541798000295</v>
      </c>
      <c r="F18" s="305">
        <f t="shared" si="7"/>
        <v>0.49895303823499848</v>
      </c>
      <c r="G18" s="305">
        <f t="shared" si="8"/>
        <v>0.52772289194810185</v>
      </c>
      <c r="H18" s="305">
        <f t="shared" si="9"/>
        <v>0.93923172276626243</v>
      </c>
    </row>
    <row r="19" spans="1:8">
      <c r="A19">
        <v>14</v>
      </c>
      <c r="B19" s="305">
        <f t="shared" si="4"/>
        <v>0.25437641672511074</v>
      </c>
      <c r="C19" s="305">
        <f t="shared" si="5"/>
        <v>0.38551178870426989</v>
      </c>
      <c r="D19" s="305">
        <f t="shared" si="6"/>
        <v>0.53879023406880167</v>
      </c>
      <c r="F19" s="305">
        <f t="shared" si="7"/>
        <v>0.27941370141159916</v>
      </c>
      <c r="G19" s="305">
        <f t="shared" si="8"/>
        <v>0.29552481949093706</v>
      </c>
      <c r="H19" s="305">
        <f t="shared" si="9"/>
        <v>0.52596976474910706</v>
      </c>
    </row>
    <row r="20" spans="1:8">
      <c r="A20">
        <v>15</v>
      </c>
      <c r="B20" s="305">
        <f t="shared" si="4"/>
        <v>0.14245079336606203</v>
      </c>
      <c r="C20" s="305">
        <f t="shared" si="5"/>
        <v>0.21588660167439117</v>
      </c>
      <c r="D20" s="305">
        <f t="shared" si="6"/>
        <v>0.30172253107852898</v>
      </c>
      <c r="F20" s="305">
        <f t="shared" si="7"/>
        <v>0.15647167279049554</v>
      </c>
      <c r="G20" s="305">
        <f t="shared" si="8"/>
        <v>0.16549389891492478</v>
      </c>
      <c r="H20" s="305">
        <f t="shared" si="9"/>
        <v>0.2945430682595</v>
      </c>
    </row>
    <row r="21" spans="1:8">
      <c r="A21">
        <v>16</v>
      </c>
      <c r="B21" s="305">
        <f t="shared" si="4"/>
        <v>7.9772444284994748E-2</v>
      </c>
      <c r="C21" s="305">
        <f t="shared" si="5"/>
        <v>0.12089649693765907</v>
      </c>
      <c r="D21" s="305">
        <f t="shared" si="6"/>
        <v>0.16896461740397625</v>
      </c>
      <c r="F21" s="305">
        <f t="shared" si="7"/>
        <v>8.762413676267751E-2</v>
      </c>
      <c r="G21" s="305">
        <f t="shared" si="8"/>
        <v>9.2676583392357889E-2</v>
      </c>
      <c r="H21" s="305">
        <f t="shared" si="9"/>
        <v>0.16494411822532001</v>
      </c>
    </row>
    <row r="22" spans="1:8">
      <c r="A22">
        <v>17</v>
      </c>
      <c r="B22" s="305">
        <f t="shared" si="4"/>
        <v>4.4672568799597065E-2</v>
      </c>
      <c r="C22" s="305">
        <f t="shared" si="5"/>
        <v>6.7702038285089083E-2</v>
      </c>
      <c r="D22" s="305">
        <f t="shared" si="6"/>
        <v>9.4620185746226715E-2</v>
      </c>
      <c r="F22" s="305">
        <f t="shared" si="7"/>
        <v>4.9069516587099411E-2</v>
      </c>
      <c r="G22" s="305">
        <f t="shared" si="8"/>
        <v>5.1898886699720426E-2</v>
      </c>
      <c r="H22" s="305">
        <f t="shared" si="9"/>
        <v>9.2368706206179221E-2</v>
      </c>
    </row>
    <row r="23" spans="1:8">
      <c r="A23">
        <v>18</v>
      </c>
      <c r="B23" s="305">
        <f t="shared" si="4"/>
        <v>2.501663852777436E-2</v>
      </c>
      <c r="C23" s="305">
        <f t="shared" si="5"/>
        <v>3.791314143964989E-2</v>
      </c>
      <c r="D23" s="305">
        <f t="shared" si="6"/>
        <v>5.2987304017886969E-2</v>
      </c>
      <c r="F23" s="305">
        <f t="shared" si="7"/>
        <v>2.7478929288775673E-2</v>
      </c>
      <c r="G23" s="305">
        <f t="shared" si="8"/>
        <v>2.9063376551843441E-2</v>
      </c>
      <c r="H23" s="305">
        <f t="shared" si="9"/>
        <v>5.1726475475460366E-2</v>
      </c>
    </row>
    <row r="24" spans="1:8">
      <c r="A24">
        <v>19</v>
      </c>
      <c r="B24" s="305">
        <f t="shared" si="4"/>
        <v>1.4009317575553643E-2</v>
      </c>
      <c r="C24" s="305">
        <f t="shared" si="5"/>
        <v>2.1231359206203941E-2</v>
      </c>
      <c r="D24" s="305">
        <f t="shared" si="6"/>
        <v>2.9672890250016706E-2</v>
      </c>
      <c r="F24" s="305">
        <f t="shared" si="7"/>
        <v>1.5388200401714378E-2</v>
      </c>
      <c r="G24" s="305">
        <f t="shared" si="8"/>
        <v>1.6275490869032329E-2</v>
      </c>
      <c r="H24" s="305">
        <f t="shared" si="9"/>
        <v>2.8966826266257809E-2</v>
      </c>
    </row>
    <row r="25" spans="1:8">
      <c r="A25">
        <v>20</v>
      </c>
      <c r="B25" s="305">
        <f t="shared" si="4"/>
        <v>7.845217842310041E-3</v>
      </c>
      <c r="C25" s="305">
        <f t="shared" si="5"/>
        <v>1.1889561155474208E-2</v>
      </c>
      <c r="D25" s="305">
        <f t="shared" si="6"/>
        <v>1.6616818540009355E-2</v>
      </c>
      <c r="F25" s="305">
        <f t="shared" si="7"/>
        <v>8.6173922249600521E-3</v>
      </c>
      <c r="G25" s="305">
        <f t="shared" si="8"/>
        <v>9.1142748866581049E-3</v>
      </c>
      <c r="H25" s="305">
        <f t="shared" si="9"/>
        <v>1.6221422709104375E-2</v>
      </c>
    </row>
    <row r="26" spans="1:8">
      <c r="A26">
        <v>21</v>
      </c>
      <c r="B26" s="305">
        <f t="shared" si="4"/>
        <v>4.3933219916936234E-3</v>
      </c>
      <c r="C26" s="305">
        <f t="shared" si="5"/>
        <v>6.6581542470655567E-3</v>
      </c>
      <c r="D26" s="305">
        <f t="shared" si="6"/>
        <v>9.3054183824052405E-3</v>
      </c>
      <c r="F26" s="305">
        <f t="shared" si="7"/>
        <v>4.8257396459776298E-3</v>
      </c>
      <c r="G26" s="305">
        <f t="shared" si="8"/>
        <v>5.103993936528539E-3</v>
      </c>
      <c r="H26" s="305">
        <f t="shared" si="9"/>
        <v>9.0839967170984505E-3</v>
      </c>
    </row>
    <row r="27" spans="1:8">
      <c r="A27">
        <v>22</v>
      </c>
      <c r="B27" s="305">
        <f t="shared" si="4"/>
        <v>2.4602603153484294E-3</v>
      </c>
      <c r="C27" s="305">
        <f t="shared" si="5"/>
        <v>3.7285663783567123E-3</v>
      </c>
      <c r="D27" s="305">
        <f t="shared" si="6"/>
        <v>5.2110342941469349E-3</v>
      </c>
      <c r="F27" s="305">
        <f t="shared" si="7"/>
        <v>2.7024142017474731E-3</v>
      </c>
      <c r="G27" s="305">
        <f t="shared" si="8"/>
        <v>2.8582366044559819E-3</v>
      </c>
      <c r="H27" s="305">
        <f t="shared" si="9"/>
        <v>5.0870381615751329E-3</v>
      </c>
    </row>
    <row r="28" spans="1:8">
      <c r="A28">
        <v>23</v>
      </c>
      <c r="B28" s="305">
        <f t="shared" si="4"/>
        <v>1.3777457765951206E-3</v>
      </c>
      <c r="C28" s="305">
        <f t="shared" si="5"/>
        <v>2.087997171879759E-3</v>
      </c>
      <c r="D28" s="305">
        <f t="shared" si="6"/>
        <v>2.9181792047222837E-3</v>
      </c>
      <c r="F28" s="305">
        <f t="shared" si="7"/>
        <v>1.5133519529785852E-3</v>
      </c>
      <c r="G28" s="305">
        <f t="shared" si="8"/>
        <v>1.60061249849535E-3</v>
      </c>
      <c r="H28" s="305">
        <f t="shared" si="9"/>
        <v>2.8487413704820748E-3</v>
      </c>
    </row>
    <row r="29" spans="1:8">
      <c r="A29">
        <v>24</v>
      </c>
      <c r="B29" s="305">
        <f t="shared" si="4"/>
        <v>7.7153763489326761E-4</v>
      </c>
      <c r="C29" s="305">
        <f t="shared" si="5"/>
        <v>1.1692784162526651E-3</v>
      </c>
      <c r="D29" s="305">
        <f t="shared" si="6"/>
        <v>1.634180354644479E-3</v>
      </c>
      <c r="F29" s="305">
        <f t="shared" si="7"/>
        <v>8.4747709366800783E-4</v>
      </c>
      <c r="G29" s="305">
        <f t="shared" si="8"/>
        <v>8.9634299915739609E-4</v>
      </c>
      <c r="H29" s="305">
        <f t="shared" si="9"/>
        <v>1.595295167469962E-3</v>
      </c>
    </row>
    <row r="30" spans="1:8">
      <c r="A30">
        <v>25</v>
      </c>
      <c r="B30" s="305">
        <f t="shared" si="4"/>
        <v>4.3206107554022991E-4</v>
      </c>
      <c r="C30" s="305">
        <f t="shared" si="5"/>
        <v>6.5479591310149254E-4</v>
      </c>
      <c r="D30" s="305">
        <f t="shared" si="6"/>
        <v>9.1514099860090829E-4</v>
      </c>
      <c r="F30" s="305">
        <f t="shared" si="7"/>
        <v>4.7458717245408443E-4</v>
      </c>
      <c r="G30" s="305">
        <f t="shared" si="8"/>
        <v>5.0195207952814184E-4</v>
      </c>
      <c r="H30" s="305">
        <f t="shared" si="9"/>
        <v>8.933652937831788E-4</v>
      </c>
    </row>
    <row r="31" spans="1:8">
      <c r="A31">
        <v>26</v>
      </c>
      <c r="B31" s="305">
        <f t="shared" si="4"/>
        <v>2.4195420230252877E-4</v>
      </c>
      <c r="C31" s="305">
        <f t="shared" si="5"/>
        <v>3.6668571133683585E-4</v>
      </c>
      <c r="D31" s="305">
        <f t="shared" si="6"/>
        <v>5.1247895921650865E-4</v>
      </c>
      <c r="F31" s="305">
        <f t="shared" si="7"/>
        <v>2.6576881657428729E-4</v>
      </c>
      <c r="G31" s="305">
        <f t="shared" si="8"/>
        <v>2.8109316453575947E-4</v>
      </c>
      <c r="H31" s="305">
        <f t="shared" si="9"/>
        <v>5.0028456451858014E-4</v>
      </c>
    </row>
    <row r="32" spans="1:8">
      <c r="A32">
        <v>27</v>
      </c>
      <c r="B32" s="305">
        <f t="shared" si="4"/>
        <v>1.3549435328941611E-4</v>
      </c>
      <c r="C32" s="305">
        <f t="shared" si="5"/>
        <v>2.0534399834862808E-4</v>
      </c>
      <c r="D32" s="305">
        <f t="shared" si="6"/>
        <v>2.8698821716124489E-4</v>
      </c>
      <c r="F32" s="305">
        <f t="shared" si="7"/>
        <v>1.4883053728160091E-4</v>
      </c>
      <c r="G32" s="305">
        <f t="shared" si="8"/>
        <v>1.5741217214002533E-4</v>
      </c>
      <c r="H32" s="305">
        <f t="shared" si="9"/>
        <v>2.8015935613040488E-4</v>
      </c>
    </row>
    <row r="33" spans="1:8">
      <c r="A33">
        <v>28</v>
      </c>
      <c r="B33" s="305">
        <f t="shared" si="4"/>
        <v>7.5876837842073027E-5</v>
      </c>
      <c r="C33" s="305">
        <f t="shared" si="5"/>
        <v>1.1499263907523174E-4</v>
      </c>
      <c r="D33" s="305">
        <f t="shared" si="6"/>
        <v>1.6071340161029715E-4</v>
      </c>
      <c r="F33" s="305">
        <f t="shared" si="7"/>
        <v>8.3345100877696518E-5</v>
      </c>
      <c r="G33" s="305">
        <f t="shared" si="8"/>
        <v>8.8150816398414192E-5</v>
      </c>
      <c r="H33" s="305">
        <f t="shared" si="9"/>
        <v>1.5688923943302674E-4</v>
      </c>
    </row>
    <row r="34" spans="1:8">
      <c r="A34">
        <v>29</v>
      </c>
      <c r="B34" s="305">
        <f t="shared" si="4"/>
        <v>4.2491029191560902E-5</v>
      </c>
      <c r="C34" s="305">
        <f t="shared" si="5"/>
        <v>6.4395877882129779E-5</v>
      </c>
      <c r="D34" s="305">
        <f t="shared" si="6"/>
        <v>8.9999504901766409E-5</v>
      </c>
      <c r="F34" s="305">
        <f t="shared" si="7"/>
        <v>4.6673256491510057E-5</v>
      </c>
      <c r="G34" s="305">
        <f t="shared" si="8"/>
        <v>4.9364457183111949E-5</v>
      </c>
      <c r="H34" s="305">
        <f t="shared" si="9"/>
        <v>8.7857974082494985E-5</v>
      </c>
    </row>
    <row r="35" spans="1:8">
      <c r="A35">
        <v>30</v>
      </c>
      <c r="B35" s="305">
        <f t="shared" si="4"/>
        <v>2.3794976347274106E-5</v>
      </c>
      <c r="C35" s="305">
        <f t="shared" si="5"/>
        <v>3.6061691613992678E-5</v>
      </c>
      <c r="D35" s="305">
        <f t="shared" si="6"/>
        <v>5.0399722744989192E-5</v>
      </c>
      <c r="F35" s="305">
        <f t="shared" si="7"/>
        <v>2.6137023635245634E-5</v>
      </c>
      <c r="G35" s="305">
        <f t="shared" si="8"/>
        <v>2.7644096022542695E-5</v>
      </c>
      <c r="H35" s="305">
        <f t="shared" si="9"/>
        <v>4.9200465486197198E-5</v>
      </c>
    </row>
    <row r="36" spans="1:8">
      <c r="A36">
        <v>31</v>
      </c>
      <c r="B36" s="305">
        <f t="shared" si="4"/>
        <v>1.3325186754473501E-5</v>
      </c>
      <c r="C36" s="305">
        <f t="shared" si="5"/>
        <v>2.0194547303835902E-5</v>
      </c>
      <c r="D36" s="305">
        <f t="shared" si="6"/>
        <v>2.8223844737193949E-5</v>
      </c>
      <c r="F36" s="305">
        <f t="shared" si="7"/>
        <v>1.4636733235737557E-5</v>
      </c>
      <c r="G36" s="305">
        <f t="shared" si="8"/>
        <v>1.5480693772623911E-5</v>
      </c>
      <c r="H36" s="305">
        <f t="shared" si="9"/>
        <v>2.7552260672270434E-5</v>
      </c>
    </row>
    <row r="37" spans="1:8">
      <c r="A37">
        <v>32</v>
      </c>
      <c r="B37" s="305">
        <f t="shared" si="4"/>
        <v>7.4621045825051611E-6</v>
      </c>
      <c r="C37" s="305">
        <f t="shared" si="5"/>
        <v>1.1308946490148106E-5</v>
      </c>
      <c r="D37" s="305">
        <f t="shared" si="6"/>
        <v>1.5805353052828612E-5</v>
      </c>
      <c r="F37" s="305">
        <f t="shared" si="7"/>
        <v>8.1965706120130326E-6</v>
      </c>
      <c r="G37" s="305">
        <f t="shared" si="8"/>
        <v>8.6691885126693904E-6</v>
      </c>
      <c r="H37" s="305">
        <f t="shared" si="9"/>
        <v>1.5429265976471446E-5</v>
      </c>
    </row>
    <row r="38" spans="1:8">
      <c r="A38">
        <v>33</v>
      </c>
      <c r="B38" s="305">
        <f t="shared" si="4"/>
        <v>4.1787785662028907E-6</v>
      </c>
      <c r="C38" s="305">
        <f t="shared" si="5"/>
        <v>6.33301003448294E-6</v>
      </c>
      <c r="D38" s="305">
        <f t="shared" si="6"/>
        <v>8.8509977095840238E-6</v>
      </c>
      <c r="F38" s="305">
        <f t="shared" si="7"/>
        <v>4.5900795427272989E-6</v>
      </c>
      <c r="G38" s="305">
        <f t="shared" si="8"/>
        <v>4.8547455670948593E-6</v>
      </c>
      <c r="H38" s="305">
        <f t="shared" si="9"/>
        <v>8.6403889468240113E-6</v>
      </c>
    </row>
    <row r="39" spans="1:8">
      <c r="A39">
        <v>34</v>
      </c>
      <c r="B39" s="305">
        <f t="shared" si="4"/>
        <v>2.3401159970736192E-6</v>
      </c>
      <c r="C39" s="305">
        <f t="shared" si="5"/>
        <v>3.5464856193104468E-6</v>
      </c>
      <c r="D39" s="305">
        <f t="shared" si="6"/>
        <v>4.9565587173670534E-6</v>
      </c>
      <c r="F39" s="305">
        <f t="shared" si="7"/>
        <v>2.5704445439272875E-6</v>
      </c>
      <c r="G39" s="305">
        <f t="shared" si="8"/>
        <v>2.7186575175731214E-6</v>
      </c>
      <c r="H39" s="305">
        <f t="shared" si="9"/>
        <v>4.8386178102214472E-6</v>
      </c>
    </row>
    <row r="40" spans="1:8">
      <c r="A40">
        <v>35</v>
      </c>
      <c r="B40" s="305">
        <f t="shared" si="4"/>
        <v>1.3104649583612269E-6</v>
      </c>
      <c r="C40" s="305">
        <f t="shared" si="5"/>
        <v>1.9860319468138502E-6</v>
      </c>
      <c r="D40" s="305">
        <f t="shared" si="6"/>
        <v>2.7756728817255504E-6</v>
      </c>
      <c r="F40" s="305">
        <f t="shared" si="7"/>
        <v>1.4394489445992811E-6</v>
      </c>
      <c r="G40" s="305">
        <f t="shared" si="8"/>
        <v>1.5224482098409482E-6</v>
      </c>
      <c r="H40" s="305">
        <f t="shared" si="9"/>
        <v>2.7096259737240107E-6</v>
      </c>
    </row>
    <row r="41" spans="1:8">
      <c r="A41">
        <v>36</v>
      </c>
      <c r="B41" s="305">
        <f t="shared" si="4"/>
        <v>7.3386037668228707E-7</v>
      </c>
      <c r="C41" s="305">
        <f t="shared" si="5"/>
        <v>1.1121778902157562E-6</v>
      </c>
      <c r="D41" s="305">
        <f t="shared" si="6"/>
        <v>1.5543768137663083E-6</v>
      </c>
      <c r="F41" s="305">
        <f t="shared" si="7"/>
        <v>8.0609140897559747E-7</v>
      </c>
      <c r="G41" s="305">
        <f t="shared" si="8"/>
        <v>8.5257099751093105E-7</v>
      </c>
      <c r="H41" s="305">
        <f t="shared" si="9"/>
        <v>1.5173905452854461E-6</v>
      </c>
    </row>
    <row r="42" spans="1:8">
      <c r="A42">
        <v>37</v>
      </c>
      <c r="B42" s="305">
        <f t="shared" si="4"/>
        <v>4.1096181094208081E-7</v>
      </c>
      <c r="C42" s="305">
        <f t="shared" si="5"/>
        <v>6.2281961852082352E-7</v>
      </c>
      <c r="D42" s="305">
        <f t="shared" si="6"/>
        <v>8.7045101570913275E-7</v>
      </c>
      <c r="F42" s="305">
        <f t="shared" si="7"/>
        <v>4.5141118902633464E-7</v>
      </c>
      <c r="G42" s="305">
        <f t="shared" si="8"/>
        <v>4.7743975860612141E-7</v>
      </c>
      <c r="H42" s="305">
        <f t="shared" si="9"/>
        <v>8.4973870535984988E-7</v>
      </c>
    </row>
    <row r="43" spans="1:8">
      <c r="A43">
        <v>38</v>
      </c>
      <c r="B43" s="305">
        <f t="shared" si="4"/>
        <v>2.3013861412756528E-7</v>
      </c>
      <c r="C43" s="305">
        <f t="shared" si="5"/>
        <v>3.4877898637166123E-7</v>
      </c>
      <c r="D43" s="305">
        <f t="shared" si="6"/>
        <v>4.8745256879711442E-7</v>
      </c>
      <c r="F43" s="305">
        <f t="shared" si="7"/>
        <v>2.5279026585474744E-7</v>
      </c>
      <c r="G43" s="305">
        <f t="shared" si="8"/>
        <v>2.6736626481942803E-7</v>
      </c>
      <c r="H43" s="305">
        <f t="shared" si="9"/>
        <v>4.7585367500151598E-7</v>
      </c>
    </row>
    <row r="44" spans="1:8">
      <c r="A44">
        <v>39</v>
      </c>
      <c r="B44" s="305">
        <f t="shared" si="4"/>
        <v>1.2887762391143657E-7</v>
      </c>
      <c r="C44" s="305">
        <f t="shared" si="5"/>
        <v>1.9531623236813031E-7</v>
      </c>
      <c r="D44" s="305">
        <f t="shared" si="6"/>
        <v>2.7297343852638409E-7</v>
      </c>
      <c r="F44" s="305">
        <f t="shared" si="7"/>
        <v>1.4156254887865857E-7</v>
      </c>
      <c r="G44" s="305">
        <f t="shared" si="8"/>
        <v>1.497251082988797E-7</v>
      </c>
      <c r="H44" s="305">
        <f t="shared" si="9"/>
        <v>2.6647805800084898E-7</v>
      </c>
    </row>
    <row r="45" spans="1:8">
      <c r="A45">
        <v>40</v>
      </c>
      <c r="B45" s="305">
        <f t="shared" si="4"/>
        <v>7.2171469390404485E-8</v>
      </c>
      <c r="C45" s="305">
        <f t="shared" si="5"/>
        <v>1.0937709012615298E-7</v>
      </c>
      <c r="D45" s="305">
        <f t="shared" si="6"/>
        <v>1.5286512557477511E-7</v>
      </c>
      <c r="F45" s="305">
        <f t="shared" si="7"/>
        <v>7.9275027372048812E-8</v>
      </c>
      <c r="G45" s="305">
        <f t="shared" si="8"/>
        <v>8.3846060647372645E-8</v>
      </c>
      <c r="H45" s="305">
        <f t="shared" si="9"/>
        <v>1.4922771248047545E-7</v>
      </c>
    </row>
    <row r="46" spans="1:8">
      <c r="A46">
        <v>41</v>
      </c>
      <c r="B46" s="305">
        <f t="shared" si="4"/>
        <v>4.0416022858626515E-8</v>
      </c>
      <c r="C46" s="305">
        <f t="shared" si="5"/>
        <v>6.125117047064567E-8</v>
      </c>
      <c r="D46" s="305">
        <f t="shared" si="6"/>
        <v>8.5604470321874069E-8</v>
      </c>
      <c r="F46" s="305">
        <f t="shared" si="7"/>
        <v>4.4394015328347341E-8</v>
      </c>
      <c r="G46" s="305">
        <f t="shared" si="8"/>
        <v>4.6953793962528684E-8</v>
      </c>
      <c r="H46" s="305">
        <f t="shared" si="9"/>
        <v>8.356751898906626E-8</v>
      </c>
    </row>
    <row r="47" spans="1:8">
      <c r="A47">
        <v>42</v>
      </c>
      <c r="B47" s="305">
        <f t="shared" si="4"/>
        <v>2.2632972800830849E-8</v>
      </c>
      <c r="C47" s="305">
        <f t="shared" si="5"/>
        <v>3.4300655463561581E-8</v>
      </c>
      <c r="D47" s="305">
        <f t="shared" si="6"/>
        <v>4.7938503380249482E-8</v>
      </c>
      <c r="F47" s="305">
        <f t="shared" si="7"/>
        <v>2.4860648583874515E-8</v>
      </c>
      <c r="G47" s="305">
        <f t="shared" si="8"/>
        <v>2.6294124619016065E-8</v>
      </c>
      <c r="H47" s="305">
        <f t="shared" si="9"/>
        <v>4.6797810633877112E-8</v>
      </c>
    </row>
    <row r="48" spans="1:8">
      <c r="A48">
        <v>43</v>
      </c>
      <c r="B48" s="305">
        <f t="shared" si="4"/>
        <v>1.2674464768465277E-8</v>
      </c>
      <c r="C48" s="305">
        <f t="shared" si="5"/>
        <v>1.9208367059594486E-8</v>
      </c>
      <c r="D48" s="305">
        <f t="shared" si="6"/>
        <v>2.6845561892939711E-8</v>
      </c>
      <c r="F48" s="305">
        <f t="shared" si="7"/>
        <v>1.392196320696973E-8</v>
      </c>
      <c r="G48" s="305">
        <f t="shared" si="8"/>
        <v>1.4724709786648998E-8</v>
      </c>
      <c r="H48" s="305">
        <f t="shared" si="9"/>
        <v>2.6206773954971184E-8</v>
      </c>
    </row>
    <row r="49" spans="1:8">
      <c r="A49">
        <v>44</v>
      </c>
      <c r="B49" s="305">
        <f t="shared" si="4"/>
        <v>7.0977002703405554E-9</v>
      </c>
      <c r="C49" s="305">
        <f t="shared" si="5"/>
        <v>1.0756685553372913E-8</v>
      </c>
      <c r="D49" s="305">
        <f t="shared" si="6"/>
        <v>1.503351466004624E-8</v>
      </c>
      <c r="F49" s="305">
        <f t="shared" si="7"/>
        <v>7.7962993959030491E-9</v>
      </c>
      <c r="G49" s="305">
        <f t="shared" si="8"/>
        <v>8.2458374805234396E-9</v>
      </c>
      <c r="H49" s="305">
        <f t="shared" si="9"/>
        <v>1.4675793414783865E-8</v>
      </c>
    </row>
    <row r="50" spans="1:8">
      <c r="A50">
        <v>45</v>
      </c>
      <c r="B50" s="305">
        <f t="shared" si="4"/>
        <v>3.9747121513907116E-9</v>
      </c>
      <c r="C50" s="305">
        <f t="shared" si="5"/>
        <v>6.0237439098888319E-9</v>
      </c>
      <c r="D50" s="305">
        <f t="shared" si="6"/>
        <v>8.4187682096258955E-9</v>
      </c>
      <c r="F50" s="305">
        <f t="shared" si="7"/>
        <v>4.3659276617057076E-9</v>
      </c>
      <c r="G50" s="305">
        <f t="shared" si="8"/>
        <v>4.6176689890931264E-9</v>
      </c>
      <c r="H50" s="305">
        <f t="shared" si="9"/>
        <v>8.2184443122789657E-9</v>
      </c>
    </row>
    <row r="51" spans="1:8">
      <c r="A51">
        <v>46</v>
      </c>
      <c r="B51" s="305">
        <f t="shared" si="4"/>
        <v>2.2258388047787989E-9</v>
      </c>
      <c r="C51" s="305">
        <f t="shared" si="5"/>
        <v>3.3732965895377461E-9</v>
      </c>
      <c r="D51" s="305">
        <f t="shared" si="6"/>
        <v>4.7145101973905022E-9</v>
      </c>
      <c r="F51" s="305">
        <f t="shared" si="7"/>
        <v>2.4449194905551965E-9</v>
      </c>
      <c r="G51" s="305">
        <f t="shared" si="8"/>
        <v>2.5858946338921509E-9</v>
      </c>
      <c r="H51" s="305">
        <f t="shared" si="9"/>
        <v>4.6023288148762215E-9</v>
      </c>
    </row>
    <row r="52" spans="1:8">
      <c r="A52">
        <v>47</v>
      </c>
      <c r="B52" s="305">
        <f t="shared" si="4"/>
        <v>1.2464697306761275E-9</v>
      </c>
      <c r="C52" s="305">
        <f t="shared" si="5"/>
        <v>1.8890460901411381E-9</v>
      </c>
      <c r="D52" s="305">
        <f t="shared" si="6"/>
        <v>2.6401257105386813E-9</v>
      </c>
      <c r="F52" s="305">
        <f t="shared" si="7"/>
        <v>1.3691549147109101E-9</v>
      </c>
      <c r="G52" s="305">
        <f t="shared" si="8"/>
        <v>1.4481009949796046E-9</v>
      </c>
      <c r="H52" s="305">
        <f t="shared" si="9"/>
        <v>2.5773041363306843E-9</v>
      </c>
    </row>
    <row r="53" spans="1:8">
      <c r="A53">
        <v>48</v>
      </c>
      <c r="B53" s="305">
        <f t="shared" si="4"/>
        <v>6.9802304917863144E-10</v>
      </c>
      <c r="C53" s="305">
        <f t="shared" si="5"/>
        <v>1.0578658104790374E-9</v>
      </c>
      <c r="D53" s="305">
        <f t="shared" si="6"/>
        <v>1.4784703979016617E-9</v>
      </c>
      <c r="F53" s="305">
        <f t="shared" si="7"/>
        <v>7.6672675223810971E-10</v>
      </c>
      <c r="G53" s="305">
        <f t="shared" si="8"/>
        <v>8.1093655718857861E-10</v>
      </c>
      <c r="H53" s="305">
        <f t="shared" si="9"/>
        <v>1.4432903163451834E-9</v>
      </c>
    </row>
    <row r="54" spans="1:8">
      <c r="A54">
        <v>49</v>
      </c>
      <c r="B54" s="305">
        <f t="shared" si="4"/>
        <v>3.9089290754003364E-10</v>
      </c>
      <c r="C54" s="305">
        <f t="shared" si="5"/>
        <v>5.9240485386826096E-10</v>
      </c>
      <c r="D54" s="305">
        <f t="shared" si="6"/>
        <v>8.2794342282493064E-10</v>
      </c>
      <c r="F54" s="305">
        <f t="shared" si="7"/>
        <v>4.2936698125334151E-10</v>
      </c>
      <c r="G54" s="305">
        <f t="shared" si="8"/>
        <v>4.5412447202560406E-10</v>
      </c>
      <c r="H54" s="305">
        <f t="shared" si="9"/>
        <v>8.082425771533028E-10</v>
      </c>
    </row>
    <row r="55" spans="1:8">
      <c r="A55">
        <v>50</v>
      </c>
      <c r="B55" s="305">
        <f t="shared" si="4"/>
        <v>2.1890002822241887E-10</v>
      </c>
      <c r="C55" s="305">
        <f t="shared" si="5"/>
        <v>3.3174671816622618E-10</v>
      </c>
      <c r="D55" s="305">
        <f t="shared" si="6"/>
        <v>4.6364831678196121E-10</v>
      </c>
      <c r="F55" s="305">
        <f t="shared" si="7"/>
        <v>2.4044550950187125E-10</v>
      </c>
      <c r="G55" s="305">
        <f t="shared" si="8"/>
        <v>2.543097043343383E-10</v>
      </c>
      <c r="H55" s="305">
        <f t="shared" si="9"/>
        <v>4.5261584320584963E-10</v>
      </c>
    </row>
    <row r="56" spans="1:8">
      <c r="A56">
        <v>51</v>
      </c>
      <c r="B56" s="305">
        <f t="shared" si="4"/>
        <v>1.2258401580455459E-10</v>
      </c>
      <c r="C56" s="305">
        <f t="shared" si="5"/>
        <v>1.8577816217308668E-10</v>
      </c>
      <c r="D56" s="305">
        <f t="shared" si="6"/>
        <v>2.5964305739789832E-10</v>
      </c>
      <c r="F56" s="305">
        <f t="shared" si="7"/>
        <v>1.3464948532104793E-10</v>
      </c>
      <c r="G56" s="305">
        <f t="shared" si="8"/>
        <v>1.4241343442722946E-10</v>
      </c>
      <c r="H56" s="305">
        <f t="shared" si="9"/>
        <v>2.5346487219527583E-10</v>
      </c>
    </row>
    <row r="57" spans="1:8">
      <c r="A57">
        <v>52</v>
      </c>
      <c r="B57" s="305">
        <f t="shared" si="4"/>
        <v>6.8647048850550577E-11</v>
      </c>
      <c r="C57" s="305">
        <f t="shared" si="5"/>
        <v>1.0403577081692855E-10</v>
      </c>
      <c r="D57" s="305">
        <f t="shared" si="6"/>
        <v>1.4540011214282307E-10</v>
      </c>
      <c r="F57" s="305">
        <f t="shared" si="7"/>
        <v>7.5403711779786843E-11</v>
      </c>
      <c r="G57" s="305">
        <f t="shared" si="8"/>
        <v>7.97515232792485E-11</v>
      </c>
      <c r="H57" s="305">
        <f t="shared" si="9"/>
        <v>1.4194032842935447E-10</v>
      </c>
    </row>
    <row r="58" spans="1:8">
      <c r="A58">
        <v>53</v>
      </c>
      <c r="B58" s="305">
        <f t="shared" si="4"/>
        <v>3.844234735630833E-11</v>
      </c>
      <c r="C58" s="305">
        <f t="shared" si="5"/>
        <v>5.8260031657479986E-11</v>
      </c>
      <c r="D58" s="305">
        <f t="shared" si="6"/>
        <v>8.1424062799980931E-11</v>
      </c>
      <c r="F58" s="305">
        <f t="shared" si="7"/>
        <v>4.2226078596680638E-11</v>
      </c>
      <c r="G58" s="305">
        <f t="shared" si="8"/>
        <v>4.4660853036379163E-11</v>
      </c>
      <c r="H58" s="305">
        <f t="shared" si="9"/>
        <v>7.9486583920438506E-11</v>
      </c>
    </row>
    <row r="59" spans="1:8">
      <c r="A59">
        <v>54</v>
      </c>
      <c r="B59" s="305">
        <f t="shared" si="4"/>
        <v>2.1527714519532666E-11</v>
      </c>
      <c r="C59" s="305">
        <f t="shared" si="5"/>
        <v>3.2625617728188798E-11</v>
      </c>
      <c r="D59" s="305">
        <f t="shared" si="6"/>
        <v>4.5597475167989325E-11</v>
      </c>
      <c r="F59" s="305">
        <f t="shared" si="7"/>
        <v>2.3646604014141158E-11</v>
      </c>
      <c r="G59" s="305">
        <f t="shared" si="8"/>
        <v>2.5010077700372334E-11</v>
      </c>
      <c r="H59" s="305">
        <f t="shared" si="9"/>
        <v>4.4512486995445567E-11</v>
      </c>
    </row>
    <row r="60" spans="1:8">
      <c r="A60">
        <v>55</v>
      </c>
      <c r="B60" s="305">
        <f t="shared" si="4"/>
        <v>1.2055520130938294E-11</v>
      </c>
      <c r="C60" s="305">
        <f t="shared" si="5"/>
        <v>1.8270345927785728E-11</v>
      </c>
      <c r="D60" s="305">
        <f t="shared" si="6"/>
        <v>2.5534586094074026E-11</v>
      </c>
      <c r="F60" s="305">
        <f t="shared" si="7"/>
        <v>1.324209824791905E-11</v>
      </c>
      <c r="G60" s="305">
        <f t="shared" si="8"/>
        <v>1.4005643512208508E-11</v>
      </c>
      <c r="H60" s="305">
        <f t="shared" si="9"/>
        <v>2.4926992717449521E-11</v>
      </c>
    </row>
    <row r="61" spans="1:8">
      <c r="A61">
        <v>56</v>
      </c>
      <c r="B61" s="305">
        <f t="shared" si="4"/>
        <v>6.7510912733254447E-12</v>
      </c>
      <c r="C61" s="305">
        <f t="shared" si="5"/>
        <v>1.0231393719560009E-11</v>
      </c>
      <c r="D61" s="305">
        <f t="shared" si="6"/>
        <v>1.4299368212681456E-11</v>
      </c>
      <c r="F61" s="305">
        <f t="shared" si="7"/>
        <v>7.4155750188346684E-12</v>
      </c>
      <c r="G61" s="305">
        <f t="shared" si="8"/>
        <v>7.8431603668367647E-12</v>
      </c>
      <c r="H61" s="305">
        <f t="shared" si="9"/>
        <v>1.3959115921771733E-11</v>
      </c>
    </row>
    <row r="62" spans="1:8">
      <c r="A62">
        <v>57</v>
      </c>
      <c r="B62" s="305">
        <f t="shared" si="4"/>
        <v>3.7806111130622492E-12</v>
      </c>
      <c r="C62" s="305">
        <f t="shared" si="5"/>
        <v>5.7295804829536051E-12</v>
      </c>
      <c r="D62" s="305">
        <f t="shared" si="6"/>
        <v>8.0076461991016156E-12</v>
      </c>
      <c r="F62" s="305">
        <f t="shared" si="7"/>
        <v>4.1527220105474148E-12</v>
      </c>
      <c r="G62" s="305">
        <f t="shared" si="8"/>
        <v>4.3921698054285886E-12</v>
      </c>
      <c r="H62" s="305">
        <f t="shared" si="9"/>
        <v>7.8171049161921714E-12</v>
      </c>
    </row>
    <row r="63" spans="1:8">
      <c r="A63">
        <v>58</v>
      </c>
      <c r="B63" s="305">
        <f t="shared" si="4"/>
        <v>2.1171422233148599E-12</v>
      </c>
      <c r="C63" s="305">
        <f t="shared" si="5"/>
        <v>3.2085650704540192E-12</v>
      </c>
      <c r="D63" s="305">
        <f t="shared" si="6"/>
        <v>4.4842818714969049E-12</v>
      </c>
      <c r="F63" s="305">
        <f t="shared" si="7"/>
        <v>2.3255243259065524E-12</v>
      </c>
      <c r="G63" s="305">
        <f t="shared" si="8"/>
        <v>2.4596150910400099E-12</v>
      </c>
      <c r="H63" s="305">
        <f t="shared" si="9"/>
        <v>4.3775787530676164E-12</v>
      </c>
    </row>
    <row r="64" spans="1:8">
      <c r="A64">
        <v>59</v>
      </c>
      <c r="B64" s="305">
        <f t="shared" si="4"/>
        <v>1.1855996450563217E-12</v>
      </c>
      <c r="C64" s="305">
        <f t="shared" si="5"/>
        <v>1.7967964394542509E-12</v>
      </c>
      <c r="D64" s="305">
        <f t="shared" si="6"/>
        <v>2.5111978480382669E-12</v>
      </c>
      <c r="F64" s="305">
        <f t="shared" si="7"/>
        <v>1.3022936225076694E-12</v>
      </c>
      <c r="G64" s="305">
        <f t="shared" si="8"/>
        <v>1.3773844509824057E-12</v>
      </c>
      <c r="H64" s="305">
        <f t="shared" si="9"/>
        <v>2.4514441017178654E-12</v>
      </c>
    </row>
    <row r="65" spans="1:8">
      <c r="A65">
        <v>60</v>
      </c>
      <c r="B65" s="305">
        <f t="shared" si="4"/>
        <v>6.6393580123154016E-13</v>
      </c>
      <c r="C65" s="305">
        <f t="shared" si="5"/>
        <v>1.0062060060943805E-12</v>
      </c>
      <c r="D65" s="305">
        <f t="shared" si="6"/>
        <v>1.4062707949014296E-12</v>
      </c>
      <c r="F65" s="305">
        <f t="shared" si="7"/>
        <v>7.2928442860429495E-13</v>
      </c>
      <c r="G65" s="305">
        <f t="shared" si="8"/>
        <v>7.7133529255014729E-13</v>
      </c>
      <c r="H65" s="305">
        <f t="shared" si="9"/>
        <v>1.3728086969620047E-12</v>
      </c>
    </row>
    <row r="66" spans="1:8">
      <c r="A66">
        <v>61</v>
      </c>
      <c r="B66" s="305">
        <f t="shared" si="4"/>
        <v>3.7180404868966251E-13</v>
      </c>
      <c r="C66" s="305">
        <f t="shared" si="5"/>
        <v>5.6347536341285317E-13</v>
      </c>
      <c r="D66" s="305">
        <f t="shared" si="6"/>
        <v>7.8751164514480068E-13</v>
      </c>
      <c r="F66" s="305">
        <f t="shared" si="7"/>
        <v>4.0839928001840521E-13</v>
      </c>
      <c r="G66" s="305">
        <f t="shared" si="8"/>
        <v>4.3194776382808251E-13</v>
      </c>
      <c r="H66" s="305">
        <f t="shared" si="9"/>
        <v>7.6877287029872263E-13</v>
      </c>
    </row>
    <row r="67" spans="1:8">
      <c r="A67">
        <v>62</v>
      </c>
      <c r="B67" s="305">
        <f t="shared" si="4"/>
        <v>2.0821026726621103E-13</v>
      </c>
      <c r="C67" s="305">
        <f t="shared" si="5"/>
        <v>3.1554620351119781E-13</v>
      </c>
      <c r="D67" s="305">
        <f t="shared" si="6"/>
        <v>4.4100652128108843E-13</v>
      </c>
      <c r="F67" s="305">
        <f t="shared" si="7"/>
        <v>2.2870359681030692E-13</v>
      </c>
      <c r="G67" s="305">
        <f t="shared" si="8"/>
        <v>2.4189074774372621E-13</v>
      </c>
      <c r="H67" s="305">
        <f t="shared" si="9"/>
        <v>4.3051280736728473E-13</v>
      </c>
    </row>
    <row r="68" spans="1:8">
      <c r="A68">
        <v>63</v>
      </c>
      <c r="B68" s="305">
        <f t="shared" si="4"/>
        <v>1.1659774966907819E-13</v>
      </c>
      <c r="C68" s="305">
        <f t="shared" si="5"/>
        <v>1.7670587396627079E-13</v>
      </c>
      <c r="D68" s="305">
        <f t="shared" si="6"/>
        <v>2.4696365191740953E-13</v>
      </c>
      <c r="F68" s="305">
        <f t="shared" si="7"/>
        <v>1.2807401421377189E-13</v>
      </c>
      <c r="G68" s="305">
        <f t="shared" si="8"/>
        <v>1.3545881873648668E-13</v>
      </c>
      <c r="H68" s="305">
        <f t="shared" si="9"/>
        <v>2.4108717212567947E-13</v>
      </c>
    </row>
    <row r="69" spans="1:8">
      <c r="A69">
        <v>64</v>
      </c>
      <c r="B69" s="305">
        <f t="shared" si="4"/>
        <v>6.5294739814683797E-14</v>
      </c>
      <c r="C69" s="305">
        <f t="shared" si="5"/>
        <v>9.8955289421111658E-14</v>
      </c>
      <c r="D69" s="305">
        <f t="shared" si="6"/>
        <v>1.3829964507374934E-13</v>
      </c>
      <c r="F69" s="305">
        <f t="shared" si="7"/>
        <v>7.1721447959712268E-14</v>
      </c>
      <c r="G69" s="305">
        <f t="shared" si="8"/>
        <v>7.5856938492432549E-14</v>
      </c>
      <c r="H69" s="305">
        <f t="shared" si="9"/>
        <v>1.3500881639038051E-13</v>
      </c>
    </row>
    <row r="70" spans="1:8">
      <c r="A70">
        <v>65</v>
      </c>
      <c r="B70" s="305">
        <f t="shared" si="4"/>
        <v>3.6565054296222927E-14</v>
      </c>
      <c r="C70" s="305">
        <f t="shared" si="5"/>
        <v>5.5414962075822531E-14</v>
      </c>
      <c r="D70" s="305">
        <f t="shared" si="6"/>
        <v>7.7447801241299638E-14</v>
      </c>
      <c r="F70" s="305">
        <f t="shared" si="7"/>
        <v>4.0164010857438875E-14</v>
      </c>
      <c r="G70" s="305">
        <f t="shared" si="8"/>
        <v>4.2479885555762234E-14</v>
      </c>
      <c r="H70" s="305">
        <f t="shared" si="9"/>
        <v>7.5604937178613093E-14</v>
      </c>
    </row>
    <row r="71" spans="1:8">
      <c r="A71">
        <v>66</v>
      </c>
      <c r="B71" s="305">
        <f t="shared" si="4"/>
        <v>2.047643040588484E-14</v>
      </c>
      <c r="C71" s="305">
        <f t="shared" si="5"/>
        <v>3.1032378762460617E-14</v>
      </c>
      <c r="D71" s="305">
        <f t="shared" si="6"/>
        <v>4.3370768695127799E-14</v>
      </c>
      <c r="F71" s="305">
        <f t="shared" si="7"/>
        <v>2.2491846080165771E-14</v>
      </c>
      <c r="G71" s="305">
        <f t="shared" si="8"/>
        <v>2.3788735911226853E-14</v>
      </c>
      <c r="H71" s="305">
        <f t="shared" si="9"/>
        <v>4.2338764820023335E-14</v>
      </c>
    </row>
    <row r="72" spans="1:8">
      <c r="A72">
        <v>67</v>
      </c>
      <c r="B72" s="305">
        <f t="shared" si="4"/>
        <v>1.1466801027295511E-14</v>
      </c>
      <c r="C72" s="305">
        <f t="shared" si="5"/>
        <v>1.7378132106977947E-14</v>
      </c>
      <c r="D72" s="305">
        <f t="shared" si="6"/>
        <v>2.4287630469271571E-14</v>
      </c>
      <c r="F72" s="305">
        <f t="shared" si="7"/>
        <v>1.2595433804892832E-14</v>
      </c>
      <c r="G72" s="305">
        <f t="shared" si="8"/>
        <v>1.3321692110287038E-14</v>
      </c>
      <c r="H72" s="305">
        <f t="shared" si="9"/>
        <v>2.370970829921307E-14</v>
      </c>
    </row>
    <row r="73" spans="1:8">
      <c r="A73">
        <v>68</v>
      </c>
      <c r="B73" s="305">
        <f t="shared" ref="B73:B92" si="14">B72*(1-$D$3)</f>
        <v>6.421408575285487E-15</v>
      </c>
      <c r="C73" s="305">
        <f t="shared" ref="C73:C92" si="15">C72*(1-$D$3)</f>
        <v>9.7317539799076509E-15</v>
      </c>
      <c r="D73" s="305">
        <f t="shared" ref="D73:D92" si="16">D72*(1-$D$3)</f>
        <v>1.3601073062792081E-14</v>
      </c>
      <c r="F73" s="305">
        <f t="shared" ref="F73:F92" si="17">F72*(1-$D$3)</f>
        <v>7.053442930739987E-15</v>
      </c>
      <c r="G73" s="305">
        <f t="shared" ref="G73:G92" si="18">G72*(1-$D$3)</f>
        <v>7.4601475817607415E-15</v>
      </c>
      <c r="H73" s="305">
        <f t="shared" ref="H73:H92" si="19">H72*(1-$D$3)</f>
        <v>1.327743664755932E-14</v>
      </c>
    </row>
    <row r="74" spans="1:8">
      <c r="A74">
        <v>69</v>
      </c>
      <c r="B74" s="305">
        <f t="shared" si="14"/>
        <v>3.5959888021598733E-15</v>
      </c>
      <c r="C74" s="305">
        <f t="shared" si="15"/>
        <v>5.4497822287482848E-15</v>
      </c>
      <c r="D74" s="305">
        <f t="shared" si="16"/>
        <v>7.6166009151635662E-15</v>
      </c>
      <c r="F74" s="305">
        <f t="shared" si="17"/>
        <v>3.9499280412143932E-15</v>
      </c>
      <c r="G74" s="305">
        <f t="shared" si="18"/>
        <v>4.1776826457860155E-15</v>
      </c>
      <c r="H74" s="305">
        <f t="shared" si="19"/>
        <v>7.4353645226332202E-15</v>
      </c>
    </row>
    <row r="75" spans="1:8">
      <c r="A75">
        <v>70</v>
      </c>
      <c r="B75" s="305">
        <f t="shared" si="14"/>
        <v>2.0137537292095292E-15</v>
      </c>
      <c r="C75" s="305">
        <f t="shared" si="15"/>
        <v>3.0518780480990398E-15</v>
      </c>
      <c r="D75" s="305">
        <f t="shared" si="16"/>
        <v>4.2652965124915974E-15</v>
      </c>
      <c r="F75" s="305">
        <f t="shared" si="17"/>
        <v>2.2119597030800603E-15</v>
      </c>
      <c r="G75" s="305">
        <f t="shared" si="18"/>
        <v>2.3395022816401691E-15</v>
      </c>
      <c r="H75" s="305">
        <f t="shared" si="19"/>
        <v>4.1638041326746041E-15</v>
      </c>
    </row>
    <row r="76" spans="1:8">
      <c r="A76">
        <v>71</v>
      </c>
      <c r="B76" s="305">
        <f t="shared" si="14"/>
        <v>1.1277020883573364E-15</v>
      </c>
      <c r="C76" s="305">
        <f t="shared" si="15"/>
        <v>1.7090517069354625E-15</v>
      </c>
      <c r="D76" s="305">
        <f t="shared" si="16"/>
        <v>2.3885660469952947E-15</v>
      </c>
      <c r="F76" s="305">
        <f t="shared" si="17"/>
        <v>1.2386974337248338E-15</v>
      </c>
      <c r="G76" s="305">
        <f t="shared" si="18"/>
        <v>1.3101212777184948E-15</v>
      </c>
      <c r="H76" s="305">
        <f t="shared" si="19"/>
        <v>2.3317303142977786E-15</v>
      </c>
    </row>
    <row r="77" spans="1:8">
      <c r="A77">
        <v>72</v>
      </c>
      <c r="B77" s="305">
        <f t="shared" si="14"/>
        <v>6.3151316948010842E-16</v>
      </c>
      <c r="C77" s="305">
        <f t="shared" si="15"/>
        <v>9.5706895588385907E-16</v>
      </c>
      <c r="D77" s="305">
        <f t="shared" si="16"/>
        <v>1.3375969863173652E-15</v>
      </c>
      <c r="F77" s="305">
        <f t="shared" si="17"/>
        <v>6.9367056288590699E-16</v>
      </c>
      <c r="G77" s="305">
        <f t="shared" si="18"/>
        <v>7.3366791552235719E-16</v>
      </c>
      <c r="H77" s="305">
        <f t="shared" si="19"/>
        <v>1.3057689760067562E-15</v>
      </c>
    </row>
    <row r="78" spans="1:8">
      <c r="A78">
        <v>73</v>
      </c>
      <c r="B78" s="305">
        <f t="shared" si="14"/>
        <v>3.5364737490886075E-16</v>
      </c>
      <c r="C78" s="305">
        <f t="shared" si="15"/>
        <v>5.359586152949611E-16</v>
      </c>
      <c r="D78" s="305">
        <f t="shared" si="16"/>
        <v>7.4905431233772463E-16</v>
      </c>
      <c r="F78" s="305">
        <f t="shared" si="17"/>
        <v>3.8845551521610798E-16</v>
      </c>
      <c r="G78" s="305">
        <f t="shared" si="18"/>
        <v>4.1085403269252005E-16</v>
      </c>
      <c r="H78" s="305">
        <f t="shared" si="19"/>
        <v>7.3123062656378356E-16</v>
      </c>
    </row>
    <row r="79" spans="1:8">
      <c r="A79">
        <v>74</v>
      </c>
      <c r="B79" s="305">
        <f t="shared" si="14"/>
        <v>1.9804252994896203E-16</v>
      </c>
      <c r="C79" s="305">
        <f t="shared" si="15"/>
        <v>3.0013682456517825E-16</v>
      </c>
      <c r="D79" s="305">
        <f t="shared" si="16"/>
        <v>4.1947041490912585E-16</v>
      </c>
      <c r="F79" s="305">
        <f t="shared" si="17"/>
        <v>2.1753508852102048E-16</v>
      </c>
      <c r="G79" s="305">
        <f t="shared" si="18"/>
        <v>2.3007825830781127E-16</v>
      </c>
      <c r="H79" s="305">
        <f t="shared" si="19"/>
        <v>4.0948915087571886E-16</v>
      </c>
    </row>
    <row r="80" spans="1:8">
      <c r="A80">
        <v>75</v>
      </c>
      <c r="B80" s="305">
        <f t="shared" si="14"/>
        <v>1.1090381677141875E-16</v>
      </c>
      <c r="C80" s="305">
        <f t="shared" si="15"/>
        <v>1.6807662175649983E-16</v>
      </c>
      <c r="D80" s="305">
        <f t="shared" si="16"/>
        <v>2.3490343234911049E-16</v>
      </c>
      <c r="F80" s="305">
        <f t="shared" si="17"/>
        <v>1.2181964957177148E-16</v>
      </c>
      <c r="G80" s="305">
        <f t="shared" si="18"/>
        <v>1.2884382465237433E-16</v>
      </c>
      <c r="H80" s="305">
        <f t="shared" si="19"/>
        <v>2.2931392449040257E-16</v>
      </c>
    </row>
    <row r="81" spans="1:8">
      <c r="A81">
        <v>76</v>
      </c>
      <c r="B81" s="305">
        <f t="shared" si="14"/>
        <v>6.2106137391994507E-17</v>
      </c>
      <c r="C81" s="305">
        <f t="shared" si="15"/>
        <v>9.4122908183639909E-17</v>
      </c>
      <c r="D81" s="305">
        <f t="shared" si="16"/>
        <v>1.3154592211550188E-16</v>
      </c>
      <c r="F81" s="305">
        <f t="shared" si="17"/>
        <v>6.821900376019203E-17</v>
      </c>
      <c r="G81" s="305">
        <f t="shared" si="18"/>
        <v>7.2152541805329639E-17</v>
      </c>
      <c r="H81" s="305">
        <f t="shared" si="19"/>
        <v>1.2841579771462545E-16</v>
      </c>
    </row>
    <row r="82" spans="1:8">
      <c r="A82">
        <v>77</v>
      </c>
      <c r="B82" s="305">
        <f t="shared" si="14"/>
        <v>3.4779436939516925E-17</v>
      </c>
      <c r="C82" s="305">
        <f t="shared" si="15"/>
        <v>5.2708828582838352E-17</v>
      </c>
      <c r="D82" s="305">
        <f t="shared" si="16"/>
        <v>7.3665716384681055E-17</v>
      </c>
      <c r="F82" s="305">
        <f t="shared" si="17"/>
        <v>3.8202642105707538E-17</v>
      </c>
      <c r="G82" s="305">
        <f t="shared" si="18"/>
        <v>4.0405423410984602E-17</v>
      </c>
      <c r="H82" s="305">
        <f t="shared" si="19"/>
        <v>7.1912846720190262E-17</v>
      </c>
    </row>
    <row r="83" spans="1:8">
      <c r="A83">
        <v>78</v>
      </c>
      <c r="B83" s="305">
        <f t="shared" si="14"/>
        <v>1.947648468612948E-17</v>
      </c>
      <c r="C83" s="305">
        <f t="shared" si="15"/>
        <v>2.9516944006389481E-17</v>
      </c>
      <c r="D83" s="305">
        <f t="shared" si="16"/>
        <v>4.1252801175421398E-17</v>
      </c>
      <c r="F83" s="305">
        <f t="shared" si="17"/>
        <v>2.1393479579196223E-17</v>
      </c>
      <c r="G83" s="305">
        <f t="shared" si="18"/>
        <v>2.2627037110151379E-17</v>
      </c>
      <c r="H83" s="305">
        <f t="shared" si="19"/>
        <v>4.027119416330655E-17</v>
      </c>
    </row>
    <row r="84" spans="1:8">
      <c r="A84">
        <v>79</v>
      </c>
      <c r="B84" s="305">
        <f t="shared" si="14"/>
        <v>1.090683142423251E-17</v>
      </c>
      <c r="C84" s="305">
        <f t="shared" si="15"/>
        <v>1.652948864357811E-17</v>
      </c>
      <c r="D84" s="305">
        <f t="shared" si="16"/>
        <v>2.3101568658235986E-17</v>
      </c>
      <c r="F84" s="305">
        <f t="shared" si="17"/>
        <v>1.1980348564349886E-17</v>
      </c>
      <c r="G84" s="305">
        <f t="shared" si="18"/>
        <v>1.2671140781684774E-17</v>
      </c>
      <c r="H84" s="305">
        <f t="shared" si="19"/>
        <v>2.2551868731451671E-17</v>
      </c>
    </row>
    <row r="85" spans="1:8">
      <c r="A85">
        <v>80</v>
      </c>
      <c r="B85" s="305">
        <f t="shared" si="14"/>
        <v>6.1078255975702062E-18</v>
      </c>
      <c r="C85" s="305">
        <f t="shared" si="15"/>
        <v>9.256513640403743E-18</v>
      </c>
      <c r="D85" s="305">
        <f t="shared" si="16"/>
        <v>1.2936878448612154E-17</v>
      </c>
      <c r="F85" s="305">
        <f t="shared" si="17"/>
        <v>6.7089951960359367E-18</v>
      </c>
      <c r="G85" s="305">
        <f t="shared" si="18"/>
        <v>7.0958388377434743E-18</v>
      </c>
      <c r="H85" s="305">
        <f t="shared" si="19"/>
        <v>1.2629046489612937E-17</v>
      </c>
    </row>
    <row r="86" spans="1:8">
      <c r="A86">
        <v>81</v>
      </c>
      <c r="B86" s="305">
        <f t="shared" si="14"/>
        <v>3.4203823346393156E-18</v>
      </c>
      <c r="C86" s="305">
        <f t="shared" si="15"/>
        <v>5.1836476386260968E-18</v>
      </c>
      <c r="D86" s="305">
        <f t="shared" si="16"/>
        <v>7.2446519312228061E-18</v>
      </c>
      <c r="F86" s="305">
        <f t="shared" si="17"/>
        <v>3.7570373097801252E-18</v>
      </c>
      <c r="G86" s="305">
        <f t="shared" si="18"/>
        <v>3.9736697491363456E-18</v>
      </c>
      <c r="H86" s="305">
        <f t="shared" si="19"/>
        <v>7.072266034183246E-18</v>
      </c>
    </row>
    <row r="87" spans="1:8">
      <c r="A87">
        <v>82</v>
      </c>
      <c r="B87" s="305">
        <f t="shared" si="14"/>
        <v>1.9154141073980169E-18</v>
      </c>
      <c r="C87" s="305">
        <f t="shared" si="15"/>
        <v>2.9028426776306147E-18</v>
      </c>
      <c r="D87" s="305">
        <f t="shared" si="16"/>
        <v>4.0570050814847716E-18</v>
      </c>
      <c r="F87" s="305">
        <f t="shared" si="17"/>
        <v>2.1039408934768703E-18</v>
      </c>
      <c r="G87" s="305">
        <f t="shared" si="18"/>
        <v>2.2252550595163537E-18</v>
      </c>
      <c r="H87" s="305">
        <f t="shared" si="19"/>
        <v>3.9604689791426182E-18</v>
      </c>
    </row>
    <row r="88" spans="1:8">
      <c r="A88">
        <v>83</v>
      </c>
      <c r="B88" s="305">
        <f t="shared" si="14"/>
        <v>1.0726319001428895E-18</v>
      </c>
      <c r="C88" s="305">
        <f t="shared" si="15"/>
        <v>1.6255918994731444E-18</v>
      </c>
      <c r="D88" s="305">
        <f t="shared" si="16"/>
        <v>2.2719228456314723E-18</v>
      </c>
      <c r="F88" s="305">
        <f t="shared" si="17"/>
        <v>1.1782069003470474E-18</v>
      </c>
      <c r="G88" s="305">
        <f t="shared" si="18"/>
        <v>1.2461428333291581E-18</v>
      </c>
      <c r="H88" s="305">
        <f t="shared" si="19"/>
        <v>2.2178626283198663E-18</v>
      </c>
    </row>
    <row r="89" spans="1:8">
      <c r="A89">
        <v>84</v>
      </c>
      <c r="B89" s="305">
        <f t="shared" si="14"/>
        <v>6.0067386408001819E-19</v>
      </c>
      <c r="C89" s="305">
        <f t="shared" si="15"/>
        <v>9.1033146370496091E-19</v>
      </c>
      <c r="D89" s="305">
        <f t="shared" si="16"/>
        <v>1.2722767935536247E-18</v>
      </c>
      <c r="F89" s="305">
        <f t="shared" si="17"/>
        <v>6.5979586419434658E-19</v>
      </c>
      <c r="G89" s="305">
        <f t="shared" si="18"/>
        <v>6.9783998666432862E-19</v>
      </c>
      <c r="H89" s="305">
        <f t="shared" si="19"/>
        <v>1.2420030718591253E-18</v>
      </c>
    </row>
    <row r="90" spans="1:8">
      <c r="A90">
        <v>85</v>
      </c>
      <c r="B90" s="305">
        <f t="shared" si="14"/>
        <v>3.3637736388481023E-19</v>
      </c>
      <c r="C90" s="305">
        <f t="shared" si="15"/>
        <v>5.0978561967477815E-19</v>
      </c>
      <c r="D90" s="305">
        <f t="shared" si="16"/>
        <v>7.1247500439002994E-19</v>
      </c>
      <c r="F90" s="305">
        <f t="shared" si="17"/>
        <v>3.694856839488341E-19</v>
      </c>
      <c r="G90" s="305">
        <f t="shared" si="18"/>
        <v>3.9079039253202407E-19</v>
      </c>
      <c r="H90" s="305">
        <f t="shared" si="19"/>
        <v>6.9552172024111025E-19</v>
      </c>
    </row>
    <row r="91" spans="1:8">
      <c r="A91">
        <v>86</v>
      </c>
      <c r="B91" s="305">
        <f t="shared" si="14"/>
        <v>1.8837132377549376E-19</v>
      </c>
      <c r="C91" s="305">
        <f t="shared" si="15"/>
        <v>2.8547994701787579E-19</v>
      </c>
      <c r="D91" s="305">
        <f t="shared" si="16"/>
        <v>3.9898600245841679E-19</v>
      </c>
      <c r="F91" s="305">
        <f t="shared" si="17"/>
        <v>2.0691198301134712E-19</v>
      </c>
      <c r="G91" s="305">
        <f t="shared" si="18"/>
        <v>2.1884261981793351E-19</v>
      </c>
      <c r="H91" s="305">
        <f t="shared" si="19"/>
        <v>3.8949216333502177E-19</v>
      </c>
    </row>
    <row r="92" spans="1:8">
      <c r="A92">
        <v>87</v>
      </c>
      <c r="B92" s="305">
        <f t="shared" si="14"/>
        <v>1.0548794131427651E-19</v>
      </c>
      <c r="C92" s="305">
        <f t="shared" si="15"/>
        <v>1.5986877033001045E-19</v>
      </c>
      <c r="D92" s="305">
        <f t="shared" si="16"/>
        <v>2.2343216137671342E-19</v>
      </c>
      <c r="F92" s="305">
        <f t="shared" si="17"/>
        <v>1.1587071048635438E-19</v>
      </c>
      <c r="G92" s="305">
        <f t="shared" si="18"/>
        <v>1.2255186709804278E-19</v>
      </c>
      <c r="H92" s="305">
        <f t="shared" si="19"/>
        <v>2.1811561146761223E-19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9C66D-6C82-4F93-A58B-B66C6B28CFE9}">
  <dimension ref="A1:U166"/>
  <sheetViews>
    <sheetView workbookViewId="0"/>
  </sheetViews>
  <sheetFormatPr defaultColWidth="8.77734375" defaultRowHeight="14.4"/>
  <sheetData>
    <row r="1" spans="1:21">
      <c r="A1" t="s">
        <v>266</v>
      </c>
      <c r="B1" s="335"/>
      <c r="C1" s="335"/>
      <c r="D1" s="335"/>
    </row>
    <row r="2" spans="1:21">
      <c r="B2" s="335"/>
      <c r="C2" s="335"/>
      <c r="D2" s="335"/>
      <c r="F2" s="335"/>
      <c r="G2" s="335"/>
      <c r="H2" s="335"/>
      <c r="J2" s="335"/>
      <c r="K2" s="335"/>
      <c r="L2" s="335"/>
    </row>
    <row r="3" spans="1:21">
      <c r="B3" s="506"/>
      <c r="C3" s="506" t="s">
        <v>166</v>
      </c>
      <c r="D3" s="506"/>
      <c r="E3" s="505"/>
      <c r="F3" s="506"/>
      <c r="G3" s="506" t="s">
        <v>167</v>
      </c>
      <c r="H3" s="506"/>
      <c r="J3" s="506"/>
      <c r="K3" s="506" t="s">
        <v>168</v>
      </c>
      <c r="L3" s="506"/>
      <c r="M3" s="505"/>
      <c r="N3" s="506"/>
      <c r="O3" s="506" t="s">
        <v>169</v>
      </c>
      <c r="P3" s="506"/>
      <c r="R3" s="506"/>
      <c r="S3" s="506" t="s">
        <v>170</v>
      </c>
      <c r="T3" s="506"/>
    </row>
    <row r="4" spans="1:21">
      <c r="A4" s="301"/>
      <c r="B4" s="300" t="s">
        <v>165</v>
      </c>
      <c r="D4" s="326">
        <v>1</v>
      </c>
      <c r="F4" s="300" t="s">
        <v>165</v>
      </c>
      <c r="H4" s="326">
        <v>0.75</v>
      </c>
      <c r="J4" s="300" t="s">
        <v>165</v>
      </c>
      <c r="L4" s="326">
        <v>0.5</v>
      </c>
      <c r="N4" s="300" t="s">
        <v>165</v>
      </c>
      <c r="P4" s="326">
        <v>0.25</v>
      </c>
      <c r="R4" s="300" t="s">
        <v>158</v>
      </c>
      <c r="T4" s="300"/>
    </row>
    <row r="5" spans="1:21">
      <c r="A5" s="302" t="s">
        <v>153</v>
      </c>
      <c r="B5" s="467" t="s">
        <v>141</v>
      </c>
      <c r="C5" s="467" t="s">
        <v>140</v>
      </c>
      <c r="D5" s="467" t="s">
        <v>201</v>
      </c>
      <c r="F5" s="467" t="s">
        <v>141</v>
      </c>
      <c r="G5" s="467" t="s">
        <v>140</v>
      </c>
      <c r="H5" s="467" t="s">
        <v>201</v>
      </c>
      <c r="J5" s="467" t="s">
        <v>141</v>
      </c>
      <c r="K5" s="467" t="s">
        <v>140</v>
      </c>
      <c r="L5" s="467" t="s">
        <v>201</v>
      </c>
      <c r="N5" s="467" t="s">
        <v>141</v>
      </c>
      <c r="O5" s="467" t="s">
        <v>140</v>
      </c>
      <c r="P5" s="467" t="s">
        <v>201</v>
      </c>
      <c r="R5" s="467" t="s">
        <v>141</v>
      </c>
      <c r="S5" s="467" t="s">
        <v>140</v>
      </c>
      <c r="T5" s="467" t="s">
        <v>201</v>
      </c>
    </row>
    <row r="6" spans="1:21">
      <c r="A6" s="493">
        <v>0</v>
      </c>
      <c r="B6" s="471">
        <f>-'4.1 CBA_smooth'!D15</f>
        <v>-482.03920055126093</v>
      </c>
      <c r="C6" s="471">
        <f>-'4.1 CBA_smooth'!E16</f>
        <v>-289.60255756823165</v>
      </c>
      <c r="D6" s="471">
        <f>-'4.1 CBA_smooth'!F16</f>
        <v>-643.58475339109123</v>
      </c>
      <c r="E6" s="305"/>
      <c r="F6" s="471">
        <f>-'4.1 CBA_smooth'!D16</f>
        <v>-531.44821860776517</v>
      </c>
      <c r="G6" s="471">
        <f>-'4.1 CBA_smooth'!E16</f>
        <v>-289.60255756823165</v>
      </c>
      <c r="H6" s="471">
        <f>-'4.1 CBA_smooth'!F16</f>
        <v>-643.58475339109123</v>
      </c>
      <c r="I6" s="305"/>
      <c r="J6" s="471">
        <f>-'4.1 CBA_smooth'!D16</f>
        <v>-531.44821860776517</v>
      </c>
      <c r="K6" s="471">
        <f>-'4.1 CBA_smooth'!E16</f>
        <v>-289.60255756823165</v>
      </c>
      <c r="L6" s="471">
        <f>-'4.1 CBA_smooth'!F16</f>
        <v>-643.58475339109123</v>
      </c>
      <c r="M6" s="305"/>
      <c r="N6" s="471">
        <f>-'4.1 CBA_smooth'!D16</f>
        <v>-531.44821860776517</v>
      </c>
      <c r="O6" s="471">
        <f>-'4.1 CBA_smooth'!E16</f>
        <v>-289.60255756823165</v>
      </c>
      <c r="P6" s="471">
        <f>-'4.1 CBA_smooth'!F16</f>
        <v>-643.58475339109123</v>
      </c>
      <c r="Q6" s="305"/>
      <c r="R6" s="471">
        <f>-'4.1 CBA_smooth'!D16</f>
        <v>-531.44821860776517</v>
      </c>
      <c r="S6" s="471">
        <f>-'4.1 CBA_smooth'!E16</f>
        <v>-289.60255756823165</v>
      </c>
      <c r="T6" s="471">
        <f>-'4.1 CBA_smooth'!F16</f>
        <v>-643.58475339109123</v>
      </c>
    </row>
    <row r="7" spans="1:21">
      <c r="A7" s="493">
        <v>1</v>
      </c>
      <c r="B7" s="470">
        <f>'4.1 CBA_smooth'!D28</f>
        <v>160.80256096719091</v>
      </c>
      <c r="C7" s="470">
        <f>'4.1 CBA_smooth'!E28</f>
        <v>92.749085350130315</v>
      </c>
      <c r="D7" s="470">
        <f>'4.1 CBA_smooth'!F28</f>
        <v>262.89300879863407</v>
      </c>
      <c r="E7" s="305"/>
      <c r="F7" s="470">
        <f>'4.1 CBA_smooth'!D28</f>
        <v>160.80256096719091</v>
      </c>
      <c r="G7" s="470">
        <f>'4.1 CBA_smooth'!E28</f>
        <v>92.749085350130315</v>
      </c>
      <c r="H7" s="470">
        <f>'4.1 CBA_smooth'!F28</f>
        <v>262.89300879863407</v>
      </c>
      <c r="I7" s="305"/>
      <c r="J7" s="470">
        <f>'4.1 CBA_smooth'!D28</f>
        <v>160.80256096719091</v>
      </c>
      <c r="K7" s="470">
        <f>'4.1 CBA_smooth'!E28</f>
        <v>92.749085350130315</v>
      </c>
      <c r="L7" s="470">
        <f>'4.1 CBA_smooth'!F28</f>
        <v>262.89300879863407</v>
      </c>
      <c r="M7" s="305"/>
      <c r="N7" s="470">
        <f>'4.1 CBA_smooth'!D28</f>
        <v>160.80256096719091</v>
      </c>
      <c r="O7" s="470">
        <f>'4.1 CBA_smooth'!E28</f>
        <v>92.749085350130315</v>
      </c>
      <c r="P7" s="470">
        <f>'4.1 CBA_smooth'!F28</f>
        <v>262.89300879863407</v>
      </c>
      <c r="Q7" s="305"/>
      <c r="R7" s="470">
        <f>'4.1 CBA_smooth'!D28</f>
        <v>160.80256096719091</v>
      </c>
      <c r="S7" s="470">
        <f>'4.1 CBA_smooth'!E28</f>
        <v>92.749085350130315</v>
      </c>
      <c r="T7" s="470">
        <f>'4.1 CBA_smooth'!F28</f>
        <v>262.89300879863407</v>
      </c>
    </row>
    <row r="8" spans="1:21">
      <c r="A8" s="493">
        <v>2</v>
      </c>
      <c r="B8" s="470">
        <f>'4.1 CBA_smooth'!D32</f>
        <v>293.75913074703311</v>
      </c>
      <c r="C8" s="470">
        <f>'4.1 CBA_smooth'!E32</f>
        <v>310.69741265103079</v>
      </c>
      <c r="D8" s="470">
        <f>'4.1 CBA_smooth'!F32</f>
        <v>552.97367348609589</v>
      </c>
      <c r="E8" s="305"/>
      <c r="F8" s="470">
        <f>'4.1 CBA_smooth'!D32</f>
        <v>293.75913074703311</v>
      </c>
      <c r="G8" s="470">
        <f>'4.1 CBA_smooth'!E32</f>
        <v>310.69741265103079</v>
      </c>
      <c r="H8" s="470">
        <f>'4.1 CBA_smooth'!F32</f>
        <v>552.97367348609589</v>
      </c>
      <c r="I8" s="305"/>
      <c r="J8" s="470">
        <f>'4.1 CBA_smooth'!D32</f>
        <v>293.75913074703311</v>
      </c>
      <c r="K8" s="470">
        <f>'4.1 CBA_smooth'!E32</f>
        <v>310.69741265103079</v>
      </c>
      <c r="L8" s="470">
        <f>'4.1 CBA_smooth'!F32</f>
        <v>552.97367348609589</v>
      </c>
      <c r="M8" s="305"/>
      <c r="N8" s="470">
        <f>'4.1 CBA_smooth'!D32</f>
        <v>293.75913074703311</v>
      </c>
      <c r="O8" s="470">
        <f>'4.1 CBA_smooth'!E32</f>
        <v>310.69741265103079</v>
      </c>
      <c r="P8" s="470">
        <f>'4.1 CBA_smooth'!F32</f>
        <v>552.97367348609589</v>
      </c>
      <c r="Q8" s="305"/>
      <c r="R8" s="470">
        <f>'4.1 CBA_smooth'!D32</f>
        <v>293.75913074703311</v>
      </c>
      <c r="S8" s="470">
        <f>'4.1 CBA_smooth'!E32</f>
        <v>310.69741265103079</v>
      </c>
      <c r="T8" s="470">
        <f>'4.1 CBA_smooth'!F32</f>
        <v>552.97367348609589</v>
      </c>
    </row>
    <row r="9" spans="1:21">
      <c r="A9" s="493">
        <v>3</v>
      </c>
      <c r="B9" s="464"/>
      <c r="C9" s="464"/>
      <c r="D9" s="464"/>
      <c r="E9" s="305"/>
      <c r="F9" s="494">
        <f t="shared" ref="F9:F33" si="0">F8*(1-$H$4)</f>
        <v>73.439782686758278</v>
      </c>
      <c r="G9" s="494">
        <f t="shared" ref="G9:G33" si="1">G8*(1-$H$4)</f>
        <v>77.674353162757697</v>
      </c>
      <c r="H9" s="494">
        <f t="shared" ref="H9" si="2">H8*(1-$H$4)</f>
        <v>138.24341837152397</v>
      </c>
      <c r="I9" s="305"/>
      <c r="J9" s="494">
        <f t="shared" ref="J9:J40" si="3">J8*(1-$L$4)</f>
        <v>146.87956537351656</v>
      </c>
      <c r="K9" s="494">
        <f t="shared" ref="K9:K40" si="4">K8*(1-$L$4)</f>
        <v>155.34870632551539</v>
      </c>
      <c r="L9" s="494">
        <f t="shared" ref="L9" si="5">L8*(1-$L$4)</f>
        <v>276.48683674304795</v>
      </c>
      <c r="M9" s="305"/>
      <c r="N9" s="494">
        <f t="shared" ref="N9:N40" si="6">N8*(1-$P$4)</f>
        <v>220.31934806027482</v>
      </c>
      <c r="O9" s="494">
        <f t="shared" ref="O9:O40" si="7">O8*(1-$P$4)</f>
        <v>233.02305948827308</v>
      </c>
      <c r="P9" s="494">
        <f t="shared" ref="P9" si="8">P8*(1-$P$4)</f>
        <v>414.73025511457195</v>
      </c>
      <c r="Q9" s="305"/>
      <c r="R9" s="494">
        <f>R8</f>
        <v>293.75913074703311</v>
      </c>
      <c r="S9" s="494">
        <f>S8</f>
        <v>310.69741265103079</v>
      </c>
      <c r="T9" s="494">
        <f t="shared" ref="T9" si="9">T8</f>
        <v>552.97367348609589</v>
      </c>
      <c r="U9" s="305"/>
    </row>
    <row r="10" spans="1:21">
      <c r="A10" s="493">
        <v>4</v>
      </c>
      <c r="B10" s="305"/>
      <c r="C10" s="305"/>
      <c r="D10" s="305"/>
      <c r="E10" s="305"/>
      <c r="F10" s="494">
        <f t="shared" si="0"/>
        <v>18.359945671689569</v>
      </c>
      <c r="G10" s="494">
        <f t="shared" si="1"/>
        <v>19.418588290689424</v>
      </c>
      <c r="H10" s="494">
        <f t="shared" ref="H10:H33" si="10">H9*(1-$H$4)</f>
        <v>34.560854592880993</v>
      </c>
      <c r="I10" s="305"/>
      <c r="J10" s="494">
        <f t="shared" si="3"/>
        <v>73.439782686758278</v>
      </c>
      <c r="K10" s="494">
        <f t="shared" si="4"/>
        <v>77.674353162757697</v>
      </c>
      <c r="L10" s="494">
        <f t="shared" ref="L10:L57" si="11">L9*(1-$L$4)</f>
        <v>138.24341837152397</v>
      </c>
      <c r="M10" s="305"/>
      <c r="N10" s="494">
        <f t="shared" si="6"/>
        <v>165.23951104520611</v>
      </c>
      <c r="O10" s="494">
        <f t="shared" si="7"/>
        <v>174.76729461620482</v>
      </c>
      <c r="P10" s="494">
        <f t="shared" ref="P10:P73" si="12">P9*(1-$P$4)</f>
        <v>311.04769133592896</v>
      </c>
      <c r="Q10" s="305"/>
      <c r="R10" s="494">
        <f t="shared" ref="R10:R73" si="13">R9</f>
        <v>293.75913074703311</v>
      </c>
      <c r="S10" s="494">
        <f t="shared" ref="S10:S73" si="14">S9</f>
        <v>310.69741265103079</v>
      </c>
      <c r="T10" s="494">
        <f t="shared" ref="T10:T73" si="15">T9</f>
        <v>552.97367348609589</v>
      </c>
      <c r="U10" s="305"/>
    </row>
    <row r="11" spans="1:21">
      <c r="A11">
        <v>5</v>
      </c>
      <c r="C11" s="305"/>
      <c r="D11" s="305"/>
      <c r="E11" s="305"/>
      <c r="F11" s="494">
        <f t="shared" si="0"/>
        <v>4.5899864179223924</v>
      </c>
      <c r="G11" s="494">
        <f t="shared" si="1"/>
        <v>4.8546470726723561</v>
      </c>
      <c r="H11" s="494">
        <f t="shared" si="10"/>
        <v>8.6402136482202483</v>
      </c>
      <c r="I11" s="305"/>
      <c r="J11" s="494">
        <f t="shared" si="3"/>
        <v>36.719891343379139</v>
      </c>
      <c r="K11" s="494">
        <f t="shared" si="4"/>
        <v>38.837176581378849</v>
      </c>
      <c r="L11" s="494">
        <f t="shared" si="11"/>
        <v>69.121709185761986</v>
      </c>
      <c r="M11" s="305"/>
      <c r="N11" s="494">
        <f t="shared" si="6"/>
        <v>123.92963328390459</v>
      </c>
      <c r="O11" s="494">
        <f t="shared" si="7"/>
        <v>131.07547096215362</v>
      </c>
      <c r="P11" s="494">
        <f t="shared" si="12"/>
        <v>233.28576850194673</v>
      </c>
      <c r="Q11" s="305"/>
      <c r="R11" s="494">
        <f t="shared" si="13"/>
        <v>293.75913074703311</v>
      </c>
      <c r="S11" s="494">
        <f t="shared" si="14"/>
        <v>310.69741265103079</v>
      </c>
      <c r="T11" s="494">
        <f t="shared" si="15"/>
        <v>552.97367348609589</v>
      </c>
      <c r="U11" s="305"/>
    </row>
    <row r="12" spans="1:21">
      <c r="A12">
        <v>6</v>
      </c>
      <c r="B12" s="464"/>
      <c r="C12" s="464"/>
      <c r="D12" s="464"/>
      <c r="E12" s="305"/>
      <c r="F12" s="494">
        <f t="shared" si="0"/>
        <v>1.1474966044805981</v>
      </c>
      <c r="G12" s="494">
        <f t="shared" si="1"/>
        <v>1.213661768168089</v>
      </c>
      <c r="H12" s="494">
        <f t="shared" si="10"/>
        <v>2.1600534120550621</v>
      </c>
      <c r="I12" s="305"/>
      <c r="J12" s="494">
        <f t="shared" si="3"/>
        <v>18.359945671689569</v>
      </c>
      <c r="K12" s="494">
        <f t="shared" si="4"/>
        <v>19.418588290689424</v>
      </c>
      <c r="L12" s="494">
        <f t="shared" si="11"/>
        <v>34.560854592880993</v>
      </c>
      <c r="M12" s="305"/>
      <c r="N12" s="494">
        <f t="shared" si="6"/>
        <v>92.947224962928445</v>
      </c>
      <c r="O12" s="494">
        <f t="shared" si="7"/>
        <v>98.306603221615205</v>
      </c>
      <c r="P12" s="494">
        <f t="shared" si="12"/>
        <v>174.96432637646006</v>
      </c>
      <c r="Q12" s="305"/>
      <c r="R12" s="494">
        <f t="shared" si="13"/>
        <v>293.75913074703311</v>
      </c>
      <c r="S12" s="494">
        <f t="shared" si="14"/>
        <v>310.69741265103079</v>
      </c>
      <c r="T12" s="494">
        <f t="shared" si="15"/>
        <v>552.97367348609589</v>
      </c>
      <c r="U12" s="305"/>
    </row>
    <row r="13" spans="1:21">
      <c r="A13">
        <v>7</v>
      </c>
      <c r="B13" s="305"/>
      <c r="C13" s="305"/>
      <c r="D13" s="305"/>
      <c r="E13" s="305"/>
      <c r="F13" s="494">
        <f t="shared" si="0"/>
        <v>0.28687415112014952</v>
      </c>
      <c r="G13" s="494">
        <f t="shared" si="1"/>
        <v>0.30341544204202225</v>
      </c>
      <c r="H13" s="494">
        <f t="shared" si="10"/>
        <v>0.54001335301376552</v>
      </c>
      <c r="I13" s="305"/>
      <c r="J13" s="494">
        <f t="shared" si="3"/>
        <v>9.1799728358447847</v>
      </c>
      <c r="K13" s="494">
        <f t="shared" si="4"/>
        <v>9.7092941453447121</v>
      </c>
      <c r="L13" s="494">
        <f t="shared" si="11"/>
        <v>17.280427296440497</v>
      </c>
      <c r="M13" s="305"/>
      <c r="N13" s="494">
        <f t="shared" si="6"/>
        <v>69.710418722196337</v>
      </c>
      <c r="O13" s="494">
        <f t="shared" si="7"/>
        <v>73.729952416211404</v>
      </c>
      <c r="P13" s="494">
        <f t="shared" si="12"/>
        <v>131.22324478234503</v>
      </c>
      <c r="Q13" s="305"/>
      <c r="R13" s="494">
        <f t="shared" si="13"/>
        <v>293.75913074703311</v>
      </c>
      <c r="S13" s="494">
        <f t="shared" si="14"/>
        <v>310.69741265103079</v>
      </c>
      <c r="T13" s="494">
        <f t="shared" si="15"/>
        <v>552.97367348609589</v>
      </c>
      <c r="U13" s="305"/>
    </row>
    <row r="14" spans="1:21">
      <c r="A14">
        <v>8</v>
      </c>
      <c r="C14" s="305"/>
      <c r="D14" s="305"/>
      <c r="E14" s="305"/>
      <c r="F14" s="494">
        <f t="shared" si="0"/>
        <v>7.1718537780037381E-2</v>
      </c>
      <c r="G14" s="494">
        <f t="shared" si="1"/>
        <v>7.5853860510505564E-2</v>
      </c>
      <c r="H14" s="494">
        <f t="shared" si="10"/>
        <v>0.13500333825344138</v>
      </c>
      <c r="I14" s="305"/>
      <c r="J14" s="494">
        <f t="shared" si="3"/>
        <v>4.5899864179223924</v>
      </c>
      <c r="K14" s="494">
        <f t="shared" si="4"/>
        <v>4.8546470726723561</v>
      </c>
      <c r="L14" s="494">
        <f t="shared" si="11"/>
        <v>8.6402136482202483</v>
      </c>
      <c r="M14" s="305"/>
      <c r="N14" s="494">
        <f t="shared" si="6"/>
        <v>52.282814041647256</v>
      </c>
      <c r="O14" s="494">
        <f t="shared" si="7"/>
        <v>55.297464312158553</v>
      </c>
      <c r="P14" s="494">
        <f t="shared" si="12"/>
        <v>98.417433586758776</v>
      </c>
      <c r="Q14" s="305"/>
      <c r="R14" s="494">
        <f t="shared" si="13"/>
        <v>293.75913074703311</v>
      </c>
      <c r="S14" s="494">
        <f t="shared" si="14"/>
        <v>310.69741265103079</v>
      </c>
      <c r="T14" s="494">
        <f t="shared" si="15"/>
        <v>552.97367348609589</v>
      </c>
      <c r="U14" s="305"/>
    </row>
    <row r="15" spans="1:21">
      <c r="A15">
        <v>9</v>
      </c>
      <c r="B15" s="464"/>
      <c r="C15" s="464"/>
      <c r="D15" s="464"/>
      <c r="E15" s="305"/>
      <c r="F15" s="494">
        <f t="shared" si="0"/>
        <v>1.7929634445009345E-2</v>
      </c>
      <c r="G15" s="494">
        <f t="shared" si="1"/>
        <v>1.8963465127626391E-2</v>
      </c>
      <c r="H15" s="494">
        <f t="shared" si="10"/>
        <v>3.3750834563360345E-2</v>
      </c>
      <c r="I15" s="305"/>
      <c r="J15" s="494">
        <f t="shared" si="3"/>
        <v>2.2949932089611962</v>
      </c>
      <c r="K15" s="494">
        <f t="shared" si="4"/>
        <v>2.427323536336178</v>
      </c>
      <c r="L15" s="494">
        <f t="shared" si="11"/>
        <v>4.3201068241101241</v>
      </c>
      <c r="M15" s="305"/>
      <c r="N15" s="494">
        <f t="shared" si="6"/>
        <v>39.212110531235439</v>
      </c>
      <c r="O15" s="494">
        <f t="shared" si="7"/>
        <v>41.473098234118915</v>
      </c>
      <c r="P15" s="494">
        <f t="shared" si="12"/>
        <v>73.813075190069085</v>
      </c>
      <c r="Q15" s="305"/>
      <c r="R15" s="494">
        <f t="shared" si="13"/>
        <v>293.75913074703311</v>
      </c>
      <c r="S15" s="494">
        <f t="shared" si="14"/>
        <v>310.69741265103079</v>
      </c>
      <c r="T15" s="494">
        <f t="shared" si="15"/>
        <v>552.97367348609589</v>
      </c>
      <c r="U15" s="305"/>
    </row>
    <row r="16" spans="1:21">
      <c r="A16">
        <v>10</v>
      </c>
      <c r="B16" s="305"/>
      <c r="C16" s="305"/>
      <c r="D16" s="305"/>
      <c r="E16" s="305"/>
      <c r="F16" s="494">
        <f t="shared" si="0"/>
        <v>4.4824086112523363E-3</v>
      </c>
      <c r="G16" s="494">
        <f t="shared" si="1"/>
        <v>4.7408662819065977E-3</v>
      </c>
      <c r="H16" s="494">
        <f t="shared" si="10"/>
        <v>8.4377086408400862E-3</v>
      </c>
      <c r="I16" s="305"/>
      <c r="J16" s="494">
        <f t="shared" si="3"/>
        <v>1.1474966044805981</v>
      </c>
      <c r="K16" s="494">
        <f t="shared" si="4"/>
        <v>1.213661768168089</v>
      </c>
      <c r="L16" s="494">
        <f t="shared" si="11"/>
        <v>2.1600534120550621</v>
      </c>
      <c r="M16" s="305"/>
      <c r="N16" s="494">
        <f t="shared" si="6"/>
        <v>29.409082898426579</v>
      </c>
      <c r="O16" s="494">
        <f t="shared" si="7"/>
        <v>31.104823675589188</v>
      </c>
      <c r="P16" s="494">
        <f t="shared" si="12"/>
        <v>55.359806392551818</v>
      </c>
      <c r="Q16" s="305"/>
      <c r="R16" s="494">
        <f t="shared" si="13"/>
        <v>293.75913074703311</v>
      </c>
      <c r="S16" s="494">
        <f t="shared" si="14"/>
        <v>310.69741265103079</v>
      </c>
      <c r="T16" s="494">
        <f t="shared" si="15"/>
        <v>552.97367348609589</v>
      </c>
      <c r="U16" s="305"/>
    </row>
    <row r="17" spans="1:21">
      <c r="A17">
        <v>11</v>
      </c>
      <c r="C17" s="305"/>
      <c r="D17" s="305"/>
      <c r="E17" s="305"/>
      <c r="F17" s="494">
        <f t="shared" si="0"/>
        <v>1.1206021528130841E-3</v>
      </c>
      <c r="G17" s="494">
        <f t="shared" si="1"/>
        <v>1.1852165704766494E-3</v>
      </c>
      <c r="H17" s="494">
        <f t="shared" si="10"/>
        <v>2.1094271602100216E-3</v>
      </c>
      <c r="I17" s="305"/>
      <c r="J17" s="494">
        <f t="shared" si="3"/>
        <v>0.57374830224029905</v>
      </c>
      <c r="K17" s="494">
        <f t="shared" si="4"/>
        <v>0.60683088408404451</v>
      </c>
      <c r="L17" s="494">
        <f t="shared" si="11"/>
        <v>1.080026706027531</v>
      </c>
      <c r="M17" s="305"/>
      <c r="N17" s="494">
        <f t="shared" si="6"/>
        <v>22.056812173819935</v>
      </c>
      <c r="O17" s="494">
        <f t="shared" si="7"/>
        <v>23.328617756691891</v>
      </c>
      <c r="P17" s="494">
        <f t="shared" si="12"/>
        <v>41.51985479441386</v>
      </c>
      <c r="Q17" s="305"/>
      <c r="R17" s="494">
        <f t="shared" si="13"/>
        <v>293.75913074703311</v>
      </c>
      <c r="S17" s="494">
        <f t="shared" si="14"/>
        <v>310.69741265103079</v>
      </c>
      <c r="T17" s="494">
        <f t="shared" si="15"/>
        <v>552.97367348609589</v>
      </c>
      <c r="U17" s="305"/>
    </row>
    <row r="18" spans="1:21">
      <c r="A18">
        <v>12</v>
      </c>
      <c r="B18" s="464"/>
      <c r="C18" s="464"/>
      <c r="D18" s="464"/>
      <c r="E18" s="305"/>
      <c r="F18" s="494">
        <f t="shared" si="0"/>
        <v>2.8015053820327102E-4</v>
      </c>
      <c r="G18" s="494">
        <f t="shared" si="1"/>
        <v>2.9630414261916236E-4</v>
      </c>
      <c r="H18" s="494">
        <f t="shared" si="10"/>
        <v>5.2735679005250539E-4</v>
      </c>
      <c r="I18" s="305"/>
      <c r="J18" s="494">
        <f t="shared" si="3"/>
        <v>0.28687415112014952</v>
      </c>
      <c r="K18" s="494">
        <f t="shared" si="4"/>
        <v>0.30341544204202225</v>
      </c>
      <c r="L18" s="494">
        <f t="shared" si="11"/>
        <v>0.54001335301376552</v>
      </c>
      <c r="M18" s="305"/>
      <c r="N18" s="494">
        <f t="shared" si="6"/>
        <v>16.542609130364951</v>
      </c>
      <c r="O18" s="494">
        <f t="shared" si="7"/>
        <v>17.496463317518916</v>
      </c>
      <c r="P18" s="494">
        <f t="shared" si="12"/>
        <v>31.139891095810395</v>
      </c>
      <c r="Q18" s="305"/>
      <c r="R18" s="494">
        <f t="shared" si="13"/>
        <v>293.75913074703311</v>
      </c>
      <c r="S18" s="494">
        <f t="shared" si="14"/>
        <v>310.69741265103079</v>
      </c>
      <c r="T18" s="494">
        <f t="shared" si="15"/>
        <v>552.97367348609589</v>
      </c>
      <c r="U18" s="305"/>
    </row>
    <row r="19" spans="1:21">
      <c r="A19">
        <v>13</v>
      </c>
      <c r="B19" s="305"/>
      <c r="C19" s="305"/>
      <c r="D19" s="305"/>
      <c r="E19" s="305"/>
      <c r="F19" s="494">
        <f t="shared" si="0"/>
        <v>7.0037634550817755E-5</v>
      </c>
      <c r="G19" s="494">
        <f t="shared" si="1"/>
        <v>7.4076035654790589E-5</v>
      </c>
      <c r="H19" s="494">
        <f t="shared" si="10"/>
        <v>1.3183919751312635E-4</v>
      </c>
      <c r="I19" s="305"/>
      <c r="J19" s="494">
        <f t="shared" si="3"/>
        <v>0.14343707556007476</v>
      </c>
      <c r="K19" s="494">
        <f t="shared" si="4"/>
        <v>0.15170772102101113</v>
      </c>
      <c r="L19" s="494">
        <f t="shared" si="11"/>
        <v>0.27000667650688276</v>
      </c>
      <c r="M19" s="305"/>
      <c r="N19" s="494">
        <f t="shared" si="6"/>
        <v>12.406956847773714</v>
      </c>
      <c r="O19" s="494">
        <f t="shared" si="7"/>
        <v>13.122347488139187</v>
      </c>
      <c r="P19" s="494">
        <f t="shared" si="12"/>
        <v>23.354918321857795</v>
      </c>
      <c r="Q19" s="305"/>
      <c r="R19" s="494">
        <f t="shared" si="13"/>
        <v>293.75913074703311</v>
      </c>
      <c r="S19" s="494">
        <f t="shared" si="14"/>
        <v>310.69741265103079</v>
      </c>
      <c r="T19" s="494">
        <f t="shared" si="15"/>
        <v>552.97367348609589</v>
      </c>
      <c r="U19" s="305"/>
    </row>
    <row r="20" spans="1:21">
      <c r="A20">
        <v>14</v>
      </c>
      <c r="C20" s="305"/>
      <c r="D20" s="305"/>
      <c r="E20" s="305"/>
      <c r="F20" s="494">
        <f t="shared" si="0"/>
        <v>1.7509408637704439E-5</v>
      </c>
      <c r="G20" s="494">
        <f t="shared" si="1"/>
        <v>1.8519008913697647E-5</v>
      </c>
      <c r="H20" s="494">
        <f t="shared" si="10"/>
        <v>3.2959799378281587E-5</v>
      </c>
      <c r="I20" s="305"/>
      <c r="J20" s="494">
        <f t="shared" si="3"/>
        <v>7.1718537780037381E-2</v>
      </c>
      <c r="K20" s="494">
        <f t="shared" si="4"/>
        <v>7.5853860510505564E-2</v>
      </c>
      <c r="L20" s="494">
        <f t="shared" si="11"/>
        <v>0.13500333825344138</v>
      </c>
      <c r="M20" s="305"/>
      <c r="N20" s="494">
        <f t="shared" si="6"/>
        <v>9.3052176358302852</v>
      </c>
      <c r="O20" s="494">
        <f t="shared" si="7"/>
        <v>9.8417606161043913</v>
      </c>
      <c r="P20" s="494">
        <f t="shared" si="12"/>
        <v>17.516188741393346</v>
      </c>
      <c r="Q20" s="305"/>
      <c r="R20" s="494">
        <f t="shared" si="13"/>
        <v>293.75913074703311</v>
      </c>
      <c r="S20" s="494">
        <f t="shared" si="14"/>
        <v>310.69741265103079</v>
      </c>
      <c r="T20" s="494">
        <f t="shared" si="15"/>
        <v>552.97367348609589</v>
      </c>
      <c r="U20" s="305"/>
    </row>
    <row r="21" spans="1:21">
      <c r="A21">
        <v>15</v>
      </c>
      <c r="B21" s="464"/>
      <c r="C21" s="464"/>
      <c r="D21" s="464"/>
      <c r="E21" s="305"/>
      <c r="F21" s="494">
        <f t="shared" si="0"/>
        <v>4.3773521594261097E-6</v>
      </c>
      <c r="G21" s="494">
        <f t="shared" si="1"/>
        <v>4.6297522284244118E-6</v>
      </c>
      <c r="H21" s="494">
        <f t="shared" si="10"/>
        <v>8.2399498445703967E-6</v>
      </c>
      <c r="I21" s="305"/>
      <c r="J21" s="494">
        <f t="shared" si="3"/>
        <v>3.585926889001869E-2</v>
      </c>
      <c r="K21" s="494">
        <f t="shared" si="4"/>
        <v>3.7926930255252782E-2</v>
      </c>
      <c r="L21" s="494">
        <f t="shared" si="11"/>
        <v>6.750166912672069E-2</v>
      </c>
      <c r="M21" s="305"/>
      <c r="N21" s="494">
        <f t="shared" si="6"/>
        <v>6.9789132268727139</v>
      </c>
      <c r="O21" s="494">
        <f t="shared" si="7"/>
        <v>7.3813204620782935</v>
      </c>
      <c r="P21" s="494">
        <f t="shared" si="12"/>
        <v>13.137141556045009</v>
      </c>
      <c r="Q21" s="305"/>
      <c r="R21" s="494">
        <f t="shared" si="13"/>
        <v>293.75913074703311</v>
      </c>
      <c r="S21" s="494">
        <f t="shared" si="14"/>
        <v>310.69741265103079</v>
      </c>
      <c r="T21" s="494">
        <f t="shared" si="15"/>
        <v>552.97367348609589</v>
      </c>
      <c r="U21" s="305"/>
    </row>
    <row r="22" spans="1:21">
      <c r="A22">
        <v>16</v>
      </c>
      <c r="B22" s="305"/>
      <c r="C22" s="305"/>
      <c r="D22" s="305"/>
      <c r="E22" s="305"/>
      <c r="F22" s="494">
        <f t="shared" si="0"/>
        <v>1.0943380398565274E-6</v>
      </c>
      <c r="G22" s="494">
        <f t="shared" si="1"/>
        <v>1.157438057106103E-6</v>
      </c>
      <c r="H22" s="494">
        <f t="shared" si="10"/>
        <v>2.0599874611425992E-6</v>
      </c>
      <c r="I22" s="305"/>
      <c r="J22" s="494">
        <f t="shared" si="3"/>
        <v>1.7929634445009345E-2</v>
      </c>
      <c r="K22" s="494">
        <f t="shared" si="4"/>
        <v>1.8963465127626391E-2</v>
      </c>
      <c r="L22" s="494">
        <f t="shared" si="11"/>
        <v>3.3750834563360345E-2</v>
      </c>
      <c r="M22" s="305"/>
      <c r="N22" s="494">
        <f t="shared" si="6"/>
        <v>5.2341849201545356</v>
      </c>
      <c r="O22" s="494">
        <f t="shared" si="7"/>
        <v>5.5359903465587204</v>
      </c>
      <c r="P22" s="494">
        <f t="shared" si="12"/>
        <v>9.8528561670337567</v>
      </c>
      <c r="Q22" s="305"/>
      <c r="R22" s="494">
        <f t="shared" si="13"/>
        <v>293.75913074703311</v>
      </c>
      <c r="S22" s="494">
        <f t="shared" si="14"/>
        <v>310.69741265103079</v>
      </c>
      <c r="T22" s="494">
        <f t="shared" si="15"/>
        <v>552.97367348609589</v>
      </c>
      <c r="U22" s="305"/>
    </row>
    <row r="23" spans="1:21">
      <c r="A23">
        <v>17</v>
      </c>
      <c r="C23" s="305"/>
      <c r="D23" s="305"/>
      <c r="E23" s="305"/>
      <c r="F23" s="494">
        <f t="shared" si="0"/>
        <v>2.7358450996413185E-7</v>
      </c>
      <c r="G23" s="494">
        <f t="shared" si="1"/>
        <v>2.8935951427652574E-7</v>
      </c>
      <c r="H23" s="494">
        <f t="shared" si="10"/>
        <v>5.1499686528564979E-7</v>
      </c>
      <c r="I23" s="305"/>
      <c r="J23" s="494">
        <f t="shared" si="3"/>
        <v>8.9648172225046726E-3</v>
      </c>
      <c r="K23" s="494">
        <f t="shared" si="4"/>
        <v>9.4817325638131954E-3</v>
      </c>
      <c r="L23" s="494">
        <f t="shared" si="11"/>
        <v>1.6875417281680172E-2</v>
      </c>
      <c r="M23" s="305"/>
      <c r="N23" s="494">
        <f t="shared" si="6"/>
        <v>3.9256386901159015</v>
      </c>
      <c r="O23" s="494">
        <f t="shared" si="7"/>
        <v>4.1519927599190405</v>
      </c>
      <c r="P23" s="494">
        <f t="shared" si="12"/>
        <v>7.3896421252753175</v>
      </c>
      <c r="Q23" s="305"/>
      <c r="R23" s="494">
        <f t="shared" si="13"/>
        <v>293.75913074703311</v>
      </c>
      <c r="S23" s="494">
        <f t="shared" si="14"/>
        <v>310.69741265103079</v>
      </c>
      <c r="T23" s="494">
        <f t="shared" si="15"/>
        <v>552.97367348609589</v>
      </c>
      <c r="U23" s="305"/>
    </row>
    <row r="24" spans="1:21">
      <c r="A24">
        <v>18</v>
      </c>
      <c r="B24" s="464"/>
      <c r="C24" s="464"/>
      <c r="D24" s="464"/>
      <c r="E24" s="305"/>
      <c r="F24" s="494">
        <f t="shared" si="0"/>
        <v>6.8396127491032964E-8</v>
      </c>
      <c r="G24" s="494">
        <f t="shared" si="1"/>
        <v>7.2339878569131435E-8</v>
      </c>
      <c r="H24" s="494">
        <f t="shared" si="10"/>
        <v>1.2874921632141245E-7</v>
      </c>
      <c r="I24" s="305"/>
      <c r="J24" s="494">
        <f t="shared" si="3"/>
        <v>4.4824086112523363E-3</v>
      </c>
      <c r="K24" s="494">
        <f t="shared" si="4"/>
        <v>4.7408662819065977E-3</v>
      </c>
      <c r="L24" s="494">
        <f t="shared" si="11"/>
        <v>8.4377086408400862E-3</v>
      </c>
      <c r="M24" s="305"/>
      <c r="N24" s="494">
        <f t="shared" si="6"/>
        <v>2.9442290175869261</v>
      </c>
      <c r="O24" s="494">
        <f t="shared" si="7"/>
        <v>3.1139945699392806</v>
      </c>
      <c r="P24" s="494">
        <f t="shared" si="12"/>
        <v>5.5422315939564886</v>
      </c>
      <c r="Q24" s="305"/>
      <c r="R24" s="494">
        <f t="shared" si="13"/>
        <v>293.75913074703311</v>
      </c>
      <c r="S24" s="494">
        <f t="shared" si="14"/>
        <v>310.69741265103079</v>
      </c>
      <c r="T24" s="494">
        <f t="shared" si="15"/>
        <v>552.97367348609589</v>
      </c>
      <c r="U24" s="305"/>
    </row>
    <row r="25" spans="1:21">
      <c r="A25">
        <v>19</v>
      </c>
      <c r="B25" s="305"/>
      <c r="C25" s="305"/>
      <c r="D25" s="305"/>
      <c r="E25" s="305"/>
      <c r="F25" s="494">
        <f t="shared" si="0"/>
        <v>1.7099031872758241E-8</v>
      </c>
      <c r="G25" s="494">
        <f t="shared" si="1"/>
        <v>1.8084969642282859E-8</v>
      </c>
      <c r="H25" s="494">
        <f t="shared" si="10"/>
        <v>3.2187304080353112E-8</v>
      </c>
      <c r="I25" s="305"/>
      <c r="J25" s="494">
        <f t="shared" si="3"/>
        <v>2.2412043056261681E-3</v>
      </c>
      <c r="K25" s="494">
        <f t="shared" si="4"/>
        <v>2.3704331409532989E-3</v>
      </c>
      <c r="L25" s="494">
        <f t="shared" si="11"/>
        <v>4.2188543204200431E-3</v>
      </c>
      <c r="M25" s="305"/>
      <c r="N25" s="494">
        <f t="shared" si="6"/>
        <v>2.2081717631901947</v>
      </c>
      <c r="O25" s="494">
        <f t="shared" si="7"/>
        <v>2.3354959274544607</v>
      </c>
      <c r="P25" s="494">
        <f t="shared" si="12"/>
        <v>4.1566736954673669</v>
      </c>
      <c r="Q25" s="305"/>
      <c r="R25" s="494">
        <f t="shared" si="13"/>
        <v>293.75913074703311</v>
      </c>
      <c r="S25" s="494">
        <f t="shared" si="14"/>
        <v>310.69741265103079</v>
      </c>
      <c r="T25" s="494">
        <f t="shared" si="15"/>
        <v>552.97367348609589</v>
      </c>
      <c r="U25" s="305"/>
    </row>
    <row r="26" spans="1:21">
      <c r="A26">
        <v>20</v>
      </c>
      <c r="C26" s="305"/>
      <c r="D26" s="305"/>
      <c r="E26" s="305"/>
      <c r="F26" s="494">
        <f t="shared" si="0"/>
        <v>4.2747579681895602E-9</v>
      </c>
      <c r="G26" s="494">
        <f t="shared" si="1"/>
        <v>4.5212424105707147E-9</v>
      </c>
      <c r="H26" s="494">
        <f t="shared" si="10"/>
        <v>8.046826020088278E-9</v>
      </c>
      <c r="I26" s="305"/>
      <c r="J26" s="494">
        <f t="shared" si="3"/>
        <v>1.1206021528130841E-3</v>
      </c>
      <c r="K26" s="494">
        <f t="shared" si="4"/>
        <v>1.1852165704766494E-3</v>
      </c>
      <c r="L26" s="494">
        <f t="shared" si="11"/>
        <v>2.1094271602100216E-3</v>
      </c>
      <c r="M26" s="305"/>
      <c r="N26" s="494">
        <f t="shared" si="6"/>
        <v>1.656128822392646</v>
      </c>
      <c r="O26" s="494">
        <f t="shared" si="7"/>
        <v>1.7516219455908455</v>
      </c>
      <c r="P26" s="494">
        <f t="shared" si="12"/>
        <v>3.1175052716005252</v>
      </c>
      <c r="Q26" s="305"/>
      <c r="R26" s="494">
        <f t="shared" si="13"/>
        <v>293.75913074703311</v>
      </c>
      <c r="S26" s="494">
        <f t="shared" si="14"/>
        <v>310.69741265103079</v>
      </c>
      <c r="T26" s="494">
        <f t="shared" si="15"/>
        <v>552.97367348609589</v>
      </c>
      <c r="U26" s="305"/>
    </row>
    <row r="27" spans="1:21">
      <c r="A27">
        <v>21</v>
      </c>
      <c r="B27" s="464"/>
      <c r="C27" s="464"/>
      <c r="D27" s="464"/>
      <c r="E27" s="305"/>
      <c r="F27" s="494">
        <f t="shared" si="0"/>
        <v>1.0686894920473901E-9</v>
      </c>
      <c r="G27" s="494">
        <f t="shared" si="1"/>
        <v>1.1303106026426787E-9</v>
      </c>
      <c r="H27" s="494">
        <f t="shared" si="10"/>
        <v>2.0117065050220695E-9</v>
      </c>
      <c r="I27" s="305"/>
      <c r="J27" s="494">
        <f t="shared" si="3"/>
        <v>5.6030107640654204E-4</v>
      </c>
      <c r="K27" s="494">
        <f t="shared" si="4"/>
        <v>5.9260828523832472E-4</v>
      </c>
      <c r="L27" s="494">
        <f t="shared" si="11"/>
        <v>1.0547135801050108E-3</v>
      </c>
      <c r="M27" s="305"/>
      <c r="N27" s="494">
        <f t="shared" si="6"/>
        <v>1.2420966167944845</v>
      </c>
      <c r="O27" s="494">
        <f t="shared" si="7"/>
        <v>1.3137164591931341</v>
      </c>
      <c r="P27" s="494">
        <f t="shared" si="12"/>
        <v>2.338128953700394</v>
      </c>
      <c r="Q27" s="305"/>
      <c r="R27" s="494">
        <f t="shared" si="13"/>
        <v>293.75913074703311</v>
      </c>
      <c r="S27" s="494">
        <f t="shared" si="14"/>
        <v>310.69741265103079</v>
      </c>
      <c r="T27" s="494">
        <f t="shared" si="15"/>
        <v>552.97367348609589</v>
      </c>
      <c r="U27" s="305"/>
    </row>
    <row r="28" spans="1:21">
      <c r="A28">
        <v>22</v>
      </c>
      <c r="B28" s="305"/>
      <c r="C28" s="305"/>
      <c r="D28" s="305"/>
      <c r="E28" s="305"/>
      <c r="F28" s="494">
        <f t="shared" si="0"/>
        <v>2.6717237301184751E-10</v>
      </c>
      <c r="G28" s="494">
        <f t="shared" si="1"/>
        <v>2.8257765066066967E-10</v>
      </c>
      <c r="H28" s="494">
        <f t="shared" si="10"/>
        <v>5.0292662625551738E-10</v>
      </c>
      <c r="I28" s="305"/>
      <c r="J28" s="494">
        <f t="shared" si="3"/>
        <v>2.8015053820327102E-4</v>
      </c>
      <c r="K28" s="494">
        <f t="shared" si="4"/>
        <v>2.9630414261916236E-4</v>
      </c>
      <c r="L28" s="494">
        <f t="shared" si="11"/>
        <v>5.2735679005250539E-4</v>
      </c>
      <c r="M28" s="305"/>
      <c r="N28" s="494">
        <f t="shared" si="6"/>
        <v>0.93157246259586335</v>
      </c>
      <c r="O28" s="494">
        <f t="shared" si="7"/>
        <v>0.98528734439485055</v>
      </c>
      <c r="P28" s="494">
        <f t="shared" si="12"/>
        <v>1.7535967152752954</v>
      </c>
      <c r="Q28" s="305"/>
      <c r="R28" s="494">
        <f t="shared" si="13"/>
        <v>293.75913074703311</v>
      </c>
      <c r="S28" s="494">
        <f t="shared" si="14"/>
        <v>310.69741265103079</v>
      </c>
      <c r="T28" s="494">
        <f t="shared" si="15"/>
        <v>552.97367348609589</v>
      </c>
      <c r="U28" s="305"/>
    </row>
    <row r="29" spans="1:21">
      <c r="A29">
        <v>23</v>
      </c>
      <c r="B29" s="305"/>
      <c r="C29" s="305"/>
      <c r="D29" s="305"/>
      <c r="E29" s="305"/>
      <c r="F29" s="494">
        <f t="shared" si="0"/>
        <v>6.6793093252961878E-11</v>
      </c>
      <c r="G29" s="494">
        <f t="shared" si="1"/>
        <v>7.0644412665167417E-11</v>
      </c>
      <c r="H29" s="494">
        <f t="shared" si="10"/>
        <v>1.2573165656387934E-10</v>
      </c>
      <c r="I29" s="305"/>
      <c r="J29" s="494">
        <f t="shared" si="3"/>
        <v>1.4007526910163551E-4</v>
      </c>
      <c r="K29" s="494">
        <f t="shared" si="4"/>
        <v>1.4815207130958118E-4</v>
      </c>
      <c r="L29" s="494">
        <f t="shared" si="11"/>
        <v>2.6367839502625269E-4</v>
      </c>
      <c r="M29" s="305"/>
      <c r="N29" s="494">
        <f t="shared" si="6"/>
        <v>0.69867934694689748</v>
      </c>
      <c r="O29" s="494">
        <f t="shared" si="7"/>
        <v>0.73896550829613794</v>
      </c>
      <c r="P29" s="494">
        <f t="shared" si="12"/>
        <v>1.3151975364564716</v>
      </c>
      <c r="Q29" s="305"/>
      <c r="R29" s="494">
        <f t="shared" si="13"/>
        <v>293.75913074703311</v>
      </c>
      <c r="S29" s="494">
        <f t="shared" si="14"/>
        <v>310.69741265103079</v>
      </c>
      <c r="T29" s="494">
        <f t="shared" si="15"/>
        <v>552.97367348609589</v>
      </c>
      <c r="U29" s="305"/>
    </row>
    <row r="30" spans="1:21">
      <c r="A30">
        <v>24</v>
      </c>
      <c r="B30" s="305"/>
      <c r="C30" s="305"/>
      <c r="D30" s="305"/>
      <c r="E30" s="305"/>
      <c r="F30" s="494">
        <f t="shared" si="0"/>
        <v>1.669827331324047E-11</v>
      </c>
      <c r="G30" s="494">
        <f t="shared" si="1"/>
        <v>1.7661103166291854E-11</v>
      </c>
      <c r="H30" s="494">
        <f t="shared" si="10"/>
        <v>3.1432914140969836E-11</v>
      </c>
      <c r="I30" s="305"/>
      <c r="J30" s="494">
        <f t="shared" si="3"/>
        <v>7.0037634550817755E-5</v>
      </c>
      <c r="K30" s="494">
        <f t="shared" si="4"/>
        <v>7.4076035654790589E-5</v>
      </c>
      <c r="L30" s="494">
        <f t="shared" si="11"/>
        <v>1.3183919751312635E-4</v>
      </c>
      <c r="M30" s="305"/>
      <c r="N30" s="494">
        <f t="shared" si="6"/>
        <v>0.52400951021017317</v>
      </c>
      <c r="O30" s="494">
        <f t="shared" si="7"/>
        <v>0.55422413122210346</v>
      </c>
      <c r="P30" s="494">
        <f t="shared" si="12"/>
        <v>0.98639815234235373</v>
      </c>
      <c r="Q30" s="305"/>
      <c r="R30" s="494">
        <f t="shared" si="13"/>
        <v>293.75913074703311</v>
      </c>
      <c r="S30" s="494">
        <f t="shared" si="14"/>
        <v>310.69741265103079</v>
      </c>
      <c r="T30" s="494">
        <f t="shared" si="15"/>
        <v>552.97367348609589</v>
      </c>
      <c r="U30" s="305"/>
    </row>
    <row r="31" spans="1:21">
      <c r="A31">
        <v>25</v>
      </c>
      <c r="B31" s="305"/>
      <c r="C31" s="305"/>
      <c r="D31" s="305"/>
      <c r="E31" s="305"/>
      <c r="F31" s="494">
        <f t="shared" si="0"/>
        <v>4.1745683283101174E-12</v>
      </c>
      <c r="G31" s="494">
        <f t="shared" si="1"/>
        <v>4.4152757915729636E-12</v>
      </c>
      <c r="H31" s="494">
        <f t="shared" si="10"/>
        <v>7.858228535242459E-12</v>
      </c>
      <c r="I31" s="305"/>
      <c r="J31" s="494">
        <f t="shared" si="3"/>
        <v>3.5018817275408877E-5</v>
      </c>
      <c r="K31" s="494">
        <f t="shared" si="4"/>
        <v>3.7038017827395295E-5</v>
      </c>
      <c r="L31" s="494">
        <f t="shared" si="11"/>
        <v>6.5919598756563174E-5</v>
      </c>
      <c r="M31" s="305"/>
      <c r="N31" s="494">
        <f t="shared" si="6"/>
        <v>0.39300713265762988</v>
      </c>
      <c r="O31" s="494">
        <f t="shared" si="7"/>
        <v>0.41566809841657759</v>
      </c>
      <c r="P31" s="494">
        <f t="shared" si="12"/>
        <v>0.7397986142567653</v>
      </c>
      <c r="Q31" s="305"/>
      <c r="R31" s="494">
        <f t="shared" si="13"/>
        <v>293.75913074703311</v>
      </c>
      <c r="S31" s="494">
        <f t="shared" si="14"/>
        <v>310.69741265103079</v>
      </c>
      <c r="T31" s="494">
        <f t="shared" si="15"/>
        <v>552.97367348609589</v>
      </c>
      <c r="U31" s="305"/>
    </row>
    <row r="32" spans="1:21">
      <c r="A32">
        <v>26</v>
      </c>
      <c r="B32" s="305"/>
      <c r="C32" s="305"/>
      <c r="D32" s="305"/>
      <c r="E32" s="305"/>
      <c r="F32" s="494">
        <f t="shared" si="0"/>
        <v>1.0436420820775294E-12</v>
      </c>
      <c r="G32" s="494">
        <f t="shared" si="1"/>
        <v>1.1038189478932409E-12</v>
      </c>
      <c r="H32" s="494">
        <f t="shared" si="10"/>
        <v>1.9645571338106148E-12</v>
      </c>
      <c r="I32" s="305"/>
      <c r="J32" s="494">
        <f t="shared" si="3"/>
        <v>1.7509408637704439E-5</v>
      </c>
      <c r="K32" s="494">
        <f t="shared" si="4"/>
        <v>1.8519008913697647E-5</v>
      </c>
      <c r="L32" s="494">
        <f t="shared" si="11"/>
        <v>3.2959799378281587E-5</v>
      </c>
      <c r="M32" s="305"/>
      <c r="N32" s="494">
        <f t="shared" si="6"/>
        <v>0.29475534949322241</v>
      </c>
      <c r="O32" s="494">
        <f t="shared" si="7"/>
        <v>0.31175107381243317</v>
      </c>
      <c r="P32" s="494">
        <f t="shared" si="12"/>
        <v>0.55484896069257394</v>
      </c>
      <c r="Q32" s="305"/>
      <c r="R32" s="494">
        <f t="shared" si="13"/>
        <v>293.75913074703311</v>
      </c>
      <c r="S32" s="494">
        <f t="shared" si="14"/>
        <v>310.69741265103079</v>
      </c>
      <c r="T32" s="494">
        <f t="shared" si="15"/>
        <v>552.97367348609589</v>
      </c>
      <c r="U32" s="305"/>
    </row>
    <row r="33" spans="1:21">
      <c r="A33">
        <v>27</v>
      </c>
      <c r="B33" s="305"/>
      <c r="C33" s="305"/>
      <c r="D33" s="305"/>
      <c r="E33" s="305"/>
      <c r="F33" s="494">
        <f t="shared" si="0"/>
        <v>2.6091052051938234E-13</v>
      </c>
      <c r="G33" s="494">
        <f t="shared" si="1"/>
        <v>2.7595473697331022E-13</v>
      </c>
      <c r="H33" s="494">
        <f t="shared" si="10"/>
        <v>4.9113928345265369E-13</v>
      </c>
      <c r="I33" s="305"/>
      <c r="J33" s="494">
        <f t="shared" si="3"/>
        <v>8.7547043188522193E-6</v>
      </c>
      <c r="K33" s="494">
        <f t="shared" si="4"/>
        <v>9.2595044568488237E-6</v>
      </c>
      <c r="L33" s="494">
        <f t="shared" si="11"/>
        <v>1.6479899689140793E-5</v>
      </c>
      <c r="M33" s="305"/>
      <c r="N33" s="494">
        <f t="shared" si="6"/>
        <v>0.22106651211991679</v>
      </c>
      <c r="O33" s="494">
        <f t="shared" si="7"/>
        <v>0.23381330535932487</v>
      </c>
      <c r="P33" s="494">
        <f t="shared" si="12"/>
        <v>0.41613672051943046</v>
      </c>
      <c r="Q33" s="305"/>
      <c r="R33" s="494">
        <f t="shared" si="13"/>
        <v>293.75913074703311</v>
      </c>
      <c r="S33" s="494">
        <f t="shared" si="14"/>
        <v>310.69741265103079</v>
      </c>
      <c r="T33" s="494">
        <f t="shared" si="15"/>
        <v>552.97367348609589</v>
      </c>
      <c r="U33" s="305"/>
    </row>
    <row r="34" spans="1:21">
      <c r="A34">
        <v>28</v>
      </c>
      <c r="B34" s="305"/>
      <c r="C34" s="305"/>
      <c r="D34" s="305"/>
      <c r="E34" s="305"/>
      <c r="F34" s="494"/>
      <c r="G34" s="494"/>
      <c r="H34" s="494"/>
      <c r="I34" s="305"/>
      <c r="J34" s="494">
        <f t="shared" si="3"/>
        <v>4.3773521594261097E-6</v>
      </c>
      <c r="K34" s="494">
        <f t="shared" si="4"/>
        <v>4.6297522284244118E-6</v>
      </c>
      <c r="L34" s="494">
        <f t="shared" si="11"/>
        <v>8.2399498445703967E-6</v>
      </c>
      <c r="M34" s="305"/>
      <c r="N34" s="494">
        <f t="shared" si="6"/>
        <v>0.16579988408993759</v>
      </c>
      <c r="O34" s="494">
        <f t="shared" si="7"/>
        <v>0.17535997901949366</v>
      </c>
      <c r="P34" s="494">
        <f t="shared" si="12"/>
        <v>0.31210254038957286</v>
      </c>
      <c r="Q34" s="305"/>
      <c r="R34" s="494">
        <f t="shared" si="13"/>
        <v>293.75913074703311</v>
      </c>
      <c r="S34" s="494">
        <f t="shared" si="14"/>
        <v>310.69741265103079</v>
      </c>
      <c r="T34" s="494">
        <f t="shared" si="15"/>
        <v>552.97367348609589</v>
      </c>
      <c r="U34" s="305"/>
    </row>
    <row r="35" spans="1:21">
      <c r="A35">
        <v>29</v>
      </c>
      <c r="B35" s="305"/>
      <c r="C35" s="305"/>
      <c r="D35" s="305"/>
      <c r="E35" s="305"/>
      <c r="F35" s="494"/>
      <c r="G35" s="494"/>
      <c r="H35" s="494"/>
      <c r="I35" s="305"/>
      <c r="J35" s="494">
        <f t="shared" si="3"/>
        <v>2.1886760797130548E-6</v>
      </c>
      <c r="K35" s="494">
        <f t="shared" si="4"/>
        <v>2.3148761142122059E-6</v>
      </c>
      <c r="L35" s="494">
        <f t="shared" si="11"/>
        <v>4.1199749222851983E-6</v>
      </c>
      <c r="M35" s="305"/>
      <c r="N35" s="494">
        <f t="shared" si="6"/>
        <v>0.12434991306745319</v>
      </c>
      <c r="O35" s="494">
        <f t="shared" si="7"/>
        <v>0.13151998426462025</v>
      </c>
      <c r="P35" s="494">
        <f t="shared" si="12"/>
        <v>0.23407690529217964</v>
      </c>
      <c r="Q35" s="305"/>
      <c r="R35" s="494">
        <f t="shared" si="13"/>
        <v>293.75913074703311</v>
      </c>
      <c r="S35" s="494">
        <f t="shared" si="14"/>
        <v>310.69741265103079</v>
      </c>
      <c r="T35" s="494">
        <f t="shared" si="15"/>
        <v>552.97367348609589</v>
      </c>
      <c r="U35" s="305"/>
    </row>
    <row r="36" spans="1:21">
      <c r="A36">
        <v>30</v>
      </c>
      <c r="B36" s="305"/>
      <c r="C36" s="305"/>
      <c r="D36" s="305"/>
      <c r="E36" s="305"/>
      <c r="F36" s="494"/>
      <c r="G36" s="494"/>
      <c r="H36" s="494"/>
      <c r="I36" s="305"/>
      <c r="J36" s="494">
        <f t="shared" si="3"/>
        <v>1.0943380398565274E-6</v>
      </c>
      <c r="K36" s="494">
        <f t="shared" si="4"/>
        <v>1.157438057106103E-6</v>
      </c>
      <c r="L36" s="494">
        <f t="shared" si="11"/>
        <v>2.0599874611425992E-6</v>
      </c>
      <c r="M36" s="305"/>
      <c r="N36" s="494">
        <f t="shared" si="6"/>
        <v>9.3262434800589891E-2</v>
      </c>
      <c r="O36" s="494">
        <f t="shared" si="7"/>
        <v>9.8639988198465187E-2</v>
      </c>
      <c r="P36" s="494">
        <f t="shared" si="12"/>
        <v>0.17555767896913474</v>
      </c>
      <c r="Q36" s="305"/>
      <c r="R36" s="494">
        <f t="shared" si="13"/>
        <v>293.75913074703311</v>
      </c>
      <c r="S36" s="494">
        <f t="shared" si="14"/>
        <v>310.69741265103079</v>
      </c>
      <c r="T36" s="494">
        <f t="shared" si="15"/>
        <v>552.97367348609589</v>
      </c>
      <c r="U36" s="305"/>
    </row>
    <row r="37" spans="1:21">
      <c r="A37">
        <v>31</v>
      </c>
      <c r="B37" s="305"/>
      <c r="C37" s="305"/>
      <c r="D37" s="305"/>
      <c r="E37" s="305"/>
      <c r="F37" s="305"/>
      <c r="G37" s="305"/>
      <c r="H37" s="305"/>
      <c r="I37" s="305"/>
      <c r="J37" s="494">
        <f t="shared" si="3"/>
        <v>5.4716901992826371E-7</v>
      </c>
      <c r="K37" s="494">
        <f t="shared" si="4"/>
        <v>5.7871902855305148E-7</v>
      </c>
      <c r="L37" s="494">
        <f t="shared" si="11"/>
        <v>1.0299937305712996E-6</v>
      </c>
      <c r="M37" s="305"/>
      <c r="N37" s="494">
        <f t="shared" si="6"/>
        <v>6.9946826100442422E-2</v>
      </c>
      <c r="O37" s="494">
        <f t="shared" si="7"/>
        <v>7.3979991148848886E-2</v>
      </c>
      <c r="P37" s="494">
        <f t="shared" si="12"/>
        <v>0.13166825922685105</v>
      </c>
      <c r="Q37" s="305"/>
      <c r="R37" s="494">
        <f t="shared" si="13"/>
        <v>293.75913074703311</v>
      </c>
      <c r="S37" s="494">
        <f t="shared" si="14"/>
        <v>310.69741265103079</v>
      </c>
      <c r="T37" s="494">
        <f t="shared" si="15"/>
        <v>552.97367348609589</v>
      </c>
      <c r="U37" s="305"/>
    </row>
    <row r="38" spans="1:21">
      <c r="A38">
        <v>32</v>
      </c>
      <c r="B38" s="305"/>
      <c r="C38" s="305"/>
      <c r="D38" s="305"/>
      <c r="E38" s="305"/>
      <c r="F38" s="305"/>
      <c r="G38" s="305"/>
      <c r="H38" s="305"/>
      <c r="I38" s="305"/>
      <c r="J38" s="494">
        <f t="shared" si="3"/>
        <v>2.7358450996413185E-7</v>
      </c>
      <c r="K38" s="494">
        <f t="shared" si="4"/>
        <v>2.8935951427652574E-7</v>
      </c>
      <c r="L38" s="494">
        <f t="shared" si="11"/>
        <v>5.1499686528564979E-7</v>
      </c>
      <c r="M38" s="305"/>
      <c r="N38" s="494">
        <f t="shared" si="6"/>
        <v>5.2460119575331816E-2</v>
      </c>
      <c r="O38" s="494">
        <f t="shared" si="7"/>
        <v>5.5484993361636661E-2</v>
      </c>
      <c r="P38" s="494">
        <f t="shared" si="12"/>
        <v>9.8751194420138286E-2</v>
      </c>
      <c r="Q38" s="305"/>
      <c r="R38" s="494">
        <f t="shared" si="13"/>
        <v>293.75913074703311</v>
      </c>
      <c r="S38" s="494">
        <f t="shared" si="14"/>
        <v>310.69741265103079</v>
      </c>
      <c r="T38" s="494">
        <f t="shared" si="15"/>
        <v>552.97367348609589</v>
      </c>
      <c r="U38" s="305"/>
    </row>
    <row r="39" spans="1:21">
      <c r="A39">
        <v>33</v>
      </c>
      <c r="B39" s="305"/>
      <c r="C39" s="305"/>
      <c r="D39" s="305"/>
      <c r="E39" s="305"/>
      <c r="F39" s="305"/>
      <c r="G39" s="305"/>
      <c r="H39" s="305"/>
      <c r="I39" s="305"/>
      <c r="J39" s="494">
        <f t="shared" si="3"/>
        <v>1.3679225498206593E-7</v>
      </c>
      <c r="K39" s="494">
        <f t="shared" si="4"/>
        <v>1.4467975713826287E-7</v>
      </c>
      <c r="L39" s="494">
        <f t="shared" si="11"/>
        <v>2.574984326428249E-7</v>
      </c>
      <c r="M39" s="305"/>
      <c r="N39" s="494">
        <f t="shared" si="6"/>
        <v>3.9345089681498864E-2</v>
      </c>
      <c r="O39" s="494">
        <f t="shared" si="7"/>
        <v>4.16137450212275E-2</v>
      </c>
      <c r="P39" s="494">
        <f t="shared" si="12"/>
        <v>7.4063395815103711E-2</v>
      </c>
      <c r="Q39" s="305"/>
      <c r="R39" s="494">
        <f t="shared" si="13"/>
        <v>293.75913074703311</v>
      </c>
      <c r="S39" s="494">
        <f t="shared" si="14"/>
        <v>310.69741265103079</v>
      </c>
      <c r="T39" s="494">
        <f t="shared" si="15"/>
        <v>552.97367348609589</v>
      </c>
      <c r="U39" s="305"/>
    </row>
    <row r="40" spans="1:21">
      <c r="A40">
        <v>34</v>
      </c>
      <c r="B40" s="305"/>
      <c r="C40" s="305"/>
      <c r="D40" s="305"/>
      <c r="E40" s="305"/>
      <c r="F40" s="305"/>
      <c r="G40" s="305"/>
      <c r="H40" s="305"/>
      <c r="I40" s="305"/>
      <c r="J40" s="494">
        <f t="shared" si="3"/>
        <v>6.8396127491032964E-8</v>
      </c>
      <c r="K40" s="494">
        <f t="shared" si="4"/>
        <v>7.2339878569131435E-8</v>
      </c>
      <c r="L40" s="494">
        <f t="shared" si="11"/>
        <v>1.2874921632141245E-7</v>
      </c>
      <c r="M40" s="305"/>
      <c r="N40" s="494">
        <f t="shared" si="6"/>
        <v>2.950881726112415E-2</v>
      </c>
      <c r="O40" s="494">
        <f t="shared" si="7"/>
        <v>3.1210308765920625E-2</v>
      </c>
      <c r="P40" s="494">
        <f t="shared" si="12"/>
        <v>5.5547546861327783E-2</v>
      </c>
      <c r="Q40" s="305"/>
      <c r="R40" s="494">
        <f t="shared" si="13"/>
        <v>293.75913074703311</v>
      </c>
      <c r="S40" s="494">
        <f t="shared" si="14"/>
        <v>310.69741265103079</v>
      </c>
      <c r="T40" s="494">
        <f t="shared" si="15"/>
        <v>552.97367348609589</v>
      </c>
      <c r="U40" s="305"/>
    </row>
    <row r="41" spans="1:21">
      <c r="A41">
        <v>35</v>
      </c>
      <c r="B41" s="305"/>
      <c r="C41" s="305"/>
      <c r="D41" s="305"/>
      <c r="E41" s="305"/>
      <c r="F41" s="305"/>
      <c r="G41" s="305"/>
      <c r="H41" s="305"/>
      <c r="I41" s="305"/>
      <c r="J41" s="494">
        <f t="shared" ref="J41:J57" si="16">J40*(1-$L$4)</f>
        <v>3.4198063745516482E-8</v>
      </c>
      <c r="K41" s="494">
        <f t="shared" ref="K41:K57" si="17">K40*(1-$L$4)</f>
        <v>3.6169939284565717E-8</v>
      </c>
      <c r="L41" s="494">
        <f t="shared" si="11"/>
        <v>6.4374608160706224E-8</v>
      </c>
      <c r="M41" s="305"/>
      <c r="N41" s="494">
        <f t="shared" ref="N41:N72" si="18">N40*(1-$P$4)</f>
        <v>2.2131612945843114E-2</v>
      </c>
      <c r="O41" s="494">
        <f t="shared" ref="O41:O72" si="19">O40*(1-$P$4)</f>
        <v>2.3407731574440468E-2</v>
      </c>
      <c r="P41" s="494">
        <f t="shared" si="12"/>
        <v>4.1660660145995836E-2</v>
      </c>
      <c r="Q41" s="305"/>
      <c r="R41" s="494">
        <f t="shared" si="13"/>
        <v>293.75913074703311</v>
      </c>
      <c r="S41" s="494">
        <f t="shared" si="14"/>
        <v>310.69741265103079</v>
      </c>
      <c r="T41" s="494">
        <f t="shared" si="15"/>
        <v>552.97367348609589</v>
      </c>
      <c r="U41" s="305"/>
    </row>
    <row r="42" spans="1:21">
      <c r="A42">
        <v>36</v>
      </c>
      <c r="B42" s="305"/>
      <c r="C42" s="305"/>
      <c r="D42" s="305"/>
      <c r="E42" s="305"/>
      <c r="F42" s="305"/>
      <c r="G42" s="305"/>
      <c r="H42" s="305"/>
      <c r="I42" s="305"/>
      <c r="J42" s="494">
        <f t="shared" si="16"/>
        <v>1.7099031872758241E-8</v>
      </c>
      <c r="K42" s="494">
        <f t="shared" si="17"/>
        <v>1.8084969642282859E-8</v>
      </c>
      <c r="L42" s="494">
        <f t="shared" si="11"/>
        <v>3.2187304080353112E-8</v>
      </c>
      <c r="M42" s="305"/>
      <c r="N42" s="494">
        <f t="shared" si="18"/>
        <v>1.6598709709382334E-2</v>
      </c>
      <c r="O42" s="494">
        <f t="shared" si="19"/>
        <v>1.7555798680830351E-2</v>
      </c>
      <c r="P42" s="494">
        <f t="shared" si="12"/>
        <v>3.1245495109496875E-2</v>
      </c>
      <c r="Q42" s="305"/>
      <c r="R42" s="494">
        <f t="shared" si="13"/>
        <v>293.75913074703311</v>
      </c>
      <c r="S42" s="494">
        <f t="shared" si="14"/>
        <v>310.69741265103079</v>
      </c>
      <c r="T42" s="494">
        <f t="shared" si="15"/>
        <v>552.97367348609589</v>
      </c>
      <c r="U42" s="305"/>
    </row>
    <row r="43" spans="1:21">
      <c r="A43">
        <v>37</v>
      </c>
      <c r="B43" s="305"/>
      <c r="C43" s="305"/>
      <c r="D43" s="305"/>
      <c r="E43" s="305"/>
      <c r="F43" s="305"/>
      <c r="G43" s="305"/>
      <c r="H43" s="305"/>
      <c r="I43" s="305"/>
      <c r="J43" s="494">
        <f t="shared" si="16"/>
        <v>8.5495159363791204E-9</v>
      </c>
      <c r="K43" s="494">
        <f t="shared" si="17"/>
        <v>9.0424848211414294E-9</v>
      </c>
      <c r="L43" s="494">
        <f t="shared" si="11"/>
        <v>1.6093652040176556E-8</v>
      </c>
      <c r="M43" s="305"/>
      <c r="N43" s="494">
        <f t="shared" si="18"/>
        <v>1.244903228203675E-2</v>
      </c>
      <c r="O43" s="494">
        <f t="shared" si="19"/>
        <v>1.3166849010622764E-2</v>
      </c>
      <c r="P43" s="494">
        <f t="shared" si="12"/>
        <v>2.3434121332122658E-2</v>
      </c>
      <c r="Q43" s="305"/>
      <c r="R43" s="494">
        <f t="shared" si="13"/>
        <v>293.75913074703311</v>
      </c>
      <c r="S43" s="494">
        <f t="shared" si="14"/>
        <v>310.69741265103079</v>
      </c>
      <c r="T43" s="494">
        <f t="shared" si="15"/>
        <v>552.97367348609589</v>
      </c>
      <c r="U43" s="305"/>
    </row>
    <row r="44" spans="1:21">
      <c r="A44">
        <v>38</v>
      </c>
      <c r="B44" s="305"/>
      <c r="C44" s="305"/>
      <c r="D44" s="305"/>
      <c r="E44" s="305"/>
      <c r="F44" s="305"/>
      <c r="G44" s="305"/>
      <c r="H44" s="305"/>
      <c r="I44" s="305"/>
      <c r="J44" s="494">
        <f t="shared" si="16"/>
        <v>4.2747579681895602E-9</v>
      </c>
      <c r="K44" s="494">
        <f t="shared" si="17"/>
        <v>4.5212424105707147E-9</v>
      </c>
      <c r="L44" s="494">
        <f t="shared" si="11"/>
        <v>8.046826020088278E-9</v>
      </c>
      <c r="M44" s="305"/>
      <c r="N44" s="494">
        <f t="shared" si="18"/>
        <v>9.3367742115275619E-3</v>
      </c>
      <c r="O44" s="494">
        <f t="shared" si="19"/>
        <v>9.8751367579670742E-3</v>
      </c>
      <c r="P44" s="494">
        <f t="shared" si="12"/>
        <v>1.7575590999091992E-2</v>
      </c>
      <c r="Q44" s="305"/>
      <c r="R44" s="494">
        <f t="shared" si="13"/>
        <v>293.75913074703311</v>
      </c>
      <c r="S44" s="494">
        <f t="shared" si="14"/>
        <v>310.69741265103079</v>
      </c>
      <c r="T44" s="494">
        <f t="shared" si="15"/>
        <v>552.97367348609589</v>
      </c>
      <c r="U44" s="305"/>
    </row>
    <row r="45" spans="1:21">
      <c r="A45">
        <v>39</v>
      </c>
      <c r="B45" s="305"/>
      <c r="C45" s="305"/>
      <c r="D45" s="305"/>
      <c r="E45" s="305"/>
      <c r="F45" s="305"/>
      <c r="G45" s="305"/>
      <c r="H45" s="305"/>
      <c r="I45" s="305"/>
      <c r="J45" s="494">
        <f t="shared" si="16"/>
        <v>2.1373789840947801E-9</v>
      </c>
      <c r="K45" s="494">
        <f t="shared" si="17"/>
        <v>2.2606212052853573E-9</v>
      </c>
      <c r="L45" s="494">
        <f t="shared" si="11"/>
        <v>4.023413010044139E-9</v>
      </c>
      <c r="M45" s="305"/>
      <c r="N45" s="494">
        <f t="shared" si="18"/>
        <v>7.0025806586456714E-3</v>
      </c>
      <c r="O45" s="494">
        <f t="shared" si="19"/>
        <v>7.4063525684753056E-3</v>
      </c>
      <c r="P45" s="494">
        <f t="shared" si="12"/>
        <v>1.3181693249318994E-2</v>
      </c>
      <c r="Q45" s="305"/>
      <c r="R45" s="494">
        <f t="shared" si="13"/>
        <v>293.75913074703311</v>
      </c>
      <c r="S45" s="494">
        <f t="shared" si="14"/>
        <v>310.69741265103079</v>
      </c>
      <c r="T45" s="494">
        <f t="shared" si="15"/>
        <v>552.97367348609589</v>
      </c>
      <c r="U45" s="305"/>
    </row>
    <row r="46" spans="1:21">
      <c r="A46">
        <v>40</v>
      </c>
      <c r="B46" s="305"/>
      <c r="C46" s="305"/>
      <c r="D46" s="305"/>
      <c r="E46" s="305"/>
      <c r="F46" s="305"/>
      <c r="G46" s="305"/>
      <c r="H46" s="305"/>
      <c r="I46" s="305"/>
      <c r="J46" s="494">
        <f t="shared" si="16"/>
        <v>1.0686894920473901E-9</v>
      </c>
      <c r="K46" s="494">
        <f t="shared" si="17"/>
        <v>1.1303106026426787E-9</v>
      </c>
      <c r="L46" s="494">
        <f t="shared" si="11"/>
        <v>2.0117065050220695E-9</v>
      </c>
      <c r="M46" s="305"/>
      <c r="N46" s="494">
        <f t="shared" si="18"/>
        <v>5.2519354939842538E-3</v>
      </c>
      <c r="O46" s="494">
        <f t="shared" si="19"/>
        <v>5.554764426356479E-3</v>
      </c>
      <c r="P46" s="494">
        <f t="shared" si="12"/>
        <v>9.8862699369892462E-3</v>
      </c>
      <c r="Q46" s="305"/>
      <c r="R46" s="494">
        <f t="shared" si="13"/>
        <v>293.75913074703311</v>
      </c>
      <c r="S46" s="494">
        <f t="shared" si="14"/>
        <v>310.69741265103079</v>
      </c>
      <c r="T46" s="494">
        <f t="shared" si="15"/>
        <v>552.97367348609589</v>
      </c>
      <c r="U46" s="305"/>
    </row>
    <row r="47" spans="1:21">
      <c r="A47">
        <v>41</v>
      </c>
      <c r="B47" s="305"/>
      <c r="C47" s="305"/>
      <c r="D47" s="305"/>
      <c r="E47" s="305"/>
      <c r="F47" s="305"/>
      <c r="G47" s="305"/>
      <c r="H47" s="305"/>
      <c r="I47" s="305"/>
      <c r="J47" s="494">
        <f t="shared" si="16"/>
        <v>5.3434474602369503E-10</v>
      </c>
      <c r="K47" s="494">
        <f t="shared" si="17"/>
        <v>5.6515530132133934E-10</v>
      </c>
      <c r="L47" s="494">
        <f t="shared" si="11"/>
        <v>1.0058532525110348E-9</v>
      </c>
      <c r="M47" s="305"/>
      <c r="N47" s="494">
        <f t="shared" si="18"/>
        <v>3.9389516204881899E-3</v>
      </c>
      <c r="O47" s="494">
        <f t="shared" si="19"/>
        <v>4.1660733197673595E-3</v>
      </c>
      <c r="P47" s="494">
        <f t="shared" si="12"/>
        <v>7.4147024527419347E-3</v>
      </c>
      <c r="Q47" s="305"/>
      <c r="R47" s="494">
        <f t="shared" si="13"/>
        <v>293.75913074703311</v>
      </c>
      <c r="S47" s="494">
        <f t="shared" si="14"/>
        <v>310.69741265103079</v>
      </c>
      <c r="T47" s="494">
        <f t="shared" si="15"/>
        <v>552.97367348609589</v>
      </c>
      <c r="U47" s="305"/>
    </row>
    <row r="48" spans="1:21">
      <c r="A48">
        <v>42</v>
      </c>
      <c r="B48" s="305"/>
      <c r="C48" s="305"/>
      <c r="D48" s="305"/>
      <c r="E48" s="305"/>
      <c r="F48" s="305"/>
      <c r="G48" s="305"/>
      <c r="H48" s="305"/>
      <c r="I48" s="305"/>
      <c r="J48" s="494">
        <f t="shared" si="16"/>
        <v>2.6717237301184751E-10</v>
      </c>
      <c r="K48" s="494">
        <f t="shared" si="17"/>
        <v>2.8257765066066967E-10</v>
      </c>
      <c r="L48" s="494">
        <f t="shared" si="11"/>
        <v>5.0292662625551738E-10</v>
      </c>
      <c r="M48" s="305"/>
      <c r="N48" s="494">
        <f t="shared" si="18"/>
        <v>2.9542137153661424E-3</v>
      </c>
      <c r="O48" s="494">
        <f t="shared" si="19"/>
        <v>3.1245549898255196E-3</v>
      </c>
      <c r="P48" s="494">
        <f t="shared" si="12"/>
        <v>5.5610268395564506E-3</v>
      </c>
      <c r="Q48" s="305"/>
      <c r="R48" s="494">
        <f t="shared" si="13"/>
        <v>293.75913074703311</v>
      </c>
      <c r="S48" s="494">
        <f t="shared" si="14"/>
        <v>310.69741265103079</v>
      </c>
      <c r="T48" s="494">
        <f t="shared" si="15"/>
        <v>552.97367348609589</v>
      </c>
      <c r="U48" s="305"/>
    </row>
    <row r="49" spans="1:21">
      <c r="A49">
        <v>43</v>
      </c>
      <c r="B49" s="305"/>
      <c r="C49" s="305"/>
      <c r="D49" s="305"/>
      <c r="E49" s="305"/>
      <c r="F49" s="305"/>
      <c r="G49" s="305"/>
      <c r="H49" s="305"/>
      <c r="I49" s="305"/>
      <c r="J49" s="494">
        <f t="shared" si="16"/>
        <v>1.3358618650592376E-10</v>
      </c>
      <c r="K49" s="494">
        <f t="shared" si="17"/>
        <v>1.4128882533033483E-10</v>
      </c>
      <c r="L49" s="494">
        <f t="shared" si="11"/>
        <v>2.5146331312775869E-10</v>
      </c>
      <c r="M49" s="305"/>
      <c r="N49" s="494">
        <f t="shared" si="18"/>
        <v>2.2156602865246069E-3</v>
      </c>
      <c r="O49" s="494">
        <f t="shared" si="19"/>
        <v>2.3434162423691396E-3</v>
      </c>
      <c r="P49" s="494">
        <f t="shared" si="12"/>
        <v>4.1707701296673384E-3</v>
      </c>
      <c r="Q49" s="305"/>
      <c r="R49" s="494">
        <f t="shared" si="13"/>
        <v>293.75913074703311</v>
      </c>
      <c r="S49" s="494">
        <f t="shared" si="14"/>
        <v>310.69741265103079</v>
      </c>
      <c r="T49" s="494">
        <f t="shared" si="15"/>
        <v>552.97367348609589</v>
      </c>
      <c r="U49" s="305"/>
    </row>
    <row r="50" spans="1:21">
      <c r="A50">
        <v>44</v>
      </c>
      <c r="B50" s="305"/>
      <c r="C50" s="305"/>
      <c r="D50" s="305"/>
      <c r="E50" s="305"/>
      <c r="F50" s="305"/>
      <c r="G50" s="305"/>
      <c r="H50" s="305"/>
      <c r="I50" s="305"/>
      <c r="J50" s="494">
        <f t="shared" si="16"/>
        <v>6.6793093252961878E-11</v>
      </c>
      <c r="K50" s="494">
        <f t="shared" si="17"/>
        <v>7.0644412665167417E-11</v>
      </c>
      <c r="L50" s="494">
        <f t="shared" si="11"/>
        <v>1.2573165656387934E-10</v>
      </c>
      <c r="M50" s="305"/>
      <c r="N50" s="494">
        <f t="shared" si="18"/>
        <v>1.6617452148934551E-3</v>
      </c>
      <c r="O50" s="494">
        <f t="shared" si="19"/>
        <v>1.7575621817768547E-3</v>
      </c>
      <c r="P50" s="494">
        <f t="shared" si="12"/>
        <v>3.1280775972505038E-3</v>
      </c>
      <c r="Q50" s="305"/>
      <c r="R50" s="494">
        <f t="shared" si="13"/>
        <v>293.75913074703311</v>
      </c>
      <c r="S50" s="494">
        <f t="shared" si="14"/>
        <v>310.69741265103079</v>
      </c>
      <c r="T50" s="494">
        <f t="shared" si="15"/>
        <v>552.97367348609589</v>
      </c>
      <c r="U50" s="305"/>
    </row>
    <row r="51" spans="1:21">
      <c r="A51">
        <v>45</v>
      </c>
      <c r="B51" s="305"/>
      <c r="C51" s="305"/>
      <c r="D51" s="305"/>
      <c r="E51" s="305"/>
      <c r="F51" s="305"/>
      <c r="G51" s="305"/>
      <c r="H51" s="305"/>
      <c r="I51" s="305"/>
      <c r="J51" s="494">
        <f t="shared" si="16"/>
        <v>3.3396546626480939E-11</v>
      </c>
      <c r="K51" s="494">
        <f t="shared" si="17"/>
        <v>3.5322206332583708E-11</v>
      </c>
      <c r="L51" s="494">
        <f t="shared" si="11"/>
        <v>6.2865828281939672E-11</v>
      </c>
      <c r="M51" s="305"/>
      <c r="N51" s="494">
        <f t="shared" si="18"/>
        <v>1.2463089111700914E-3</v>
      </c>
      <c r="O51" s="494">
        <f t="shared" si="19"/>
        <v>1.318171636332641E-3</v>
      </c>
      <c r="P51" s="494">
        <f t="shared" si="12"/>
        <v>2.3460581979378777E-3</v>
      </c>
      <c r="Q51" s="305"/>
      <c r="R51" s="494">
        <f t="shared" si="13"/>
        <v>293.75913074703311</v>
      </c>
      <c r="S51" s="494">
        <f t="shared" si="14"/>
        <v>310.69741265103079</v>
      </c>
      <c r="T51" s="494">
        <f t="shared" si="15"/>
        <v>552.97367348609589</v>
      </c>
      <c r="U51" s="305"/>
    </row>
    <row r="52" spans="1:21">
      <c r="A52">
        <v>46</v>
      </c>
      <c r="B52" s="305"/>
      <c r="C52" s="305"/>
      <c r="D52" s="305"/>
      <c r="E52" s="305"/>
      <c r="F52" s="305"/>
      <c r="G52" s="305"/>
      <c r="H52" s="305"/>
      <c r="I52" s="305"/>
      <c r="J52" s="494">
        <f t="shared" si="16"/>
        <v>1.669827331324047E-11</v>
      </c>
      <c r="K52" s="494">
        <f t="shared" si="17"/>
        <v>1.7661103166291854E-11</v>
      </c>
      <c r="L52" s="494">
        <f t="shared" si="11"/>
        <v>3.1432914140969836E-11</v>
      </c>
      <c r="M52" s="305"/>
      <c r="N52" s="494">
        <f t="shared" si="18"/>
        <v>9.3473168337756857E-4</v>
      </c>
      <c r="O52" s="494">
        <f t="shared" si="19"/>
        <v>9.8862872724948076E-4</v>
      </c>
      <c r="P52" s="494">
        <f t="shared" si="12"/>
        <v>1.7595436484534083E-3</v>
      </c>
      <c r="Q52" s="305"/>
      <c r="R52" s="494">
        <f t="shared" si="13"/>
        <v>293.75913074703311</v>
      </c>
      <c r="S52" s="494">
        <f t="shared" si="14"/>
        <v>310.69741265103079</v>
      </c>
      <c r="T52" s="494">
        <f t="shared" si="15"/>
        <v>552.97367348609589</v>
      </c>
      <c r="U52" s="305"/>
    </row>
    <row r="53" spans="1:21">
      <c r="A53">
        <v>47</v>
      </c>
      <c r="B53" s="305"/>
      <c r="C53" s="305"/>
      <c r="D53" s="305"/>
      <c r="E53" s="305"/>
      <c r="F53" s="305"/>
      <c r="G53" s="305"/>
      <c r="H53" s="305"/>
      <c r="I53" s="305"/>
      <c r="J53" s="494">
        <f t="shared" si="16"/>
        <v>8.3491366566202348E-12</v>
      </c>
      <c r="K53" s="494">
        <f t="shared" si="17"/>
        <v>8.8305515831459271E-12</v>
      </c>
      <c r="L53" s="494">
        <f t="shared" si="11"/>
        <v>1.5716457070484918E-11</v>
      </c>
      <c r="M53" s="305"/>
      <c r="N53" s="494">
        <f t="shared" si="18"/>
        <v>7.0104876253317648E-4</v>
      </c>
      <c r="O53" s="494">
        <f t="shared" si="19"/>
        <v>7.4147154543711057E-4</v>
      </c>
      <c r="P53" s="494">
        <f t="shared" si="12"/>
        <v>1.3196577363400563E-3</v>
      </c>
      <c r="Q53" s="305"/>
      <c r="R53" s="494">
        <f t="shared" si="13"/>
        <v>293.75913074703311</v>
      </c>
      <c r="S53" s="494">
        <f t="shared" si="14"/>
        <v>310.69741265103079</v>
      </c>
      <c r="T53" s="494">
        <f t="shared" si="15"/>
        <v>552.97367348609589</v>
      </c>
      <c r="U53" s="305"/>
    </row>
    <row r="54" spans="1:21">
      <c r="A54">
        <v>48</v>
      </c>
      <c r="B54" s="305"/>
      <c r="C54" s="305"/>
      <c r="D54" s="305"/>
      <c r="E54" s="305"/>
      <c r="F54" s="305"/>
      <c r="G54" s="305"/>
      <c r="H54" s="305"/>
      <c r="I54" s="305"/>
      <c r="J54" s="494">
        <f t="shared" si="16"/>
        <v>4.1745683283101174E-12</v>
      </c>
      <c r="K54" s="494">
        <f t="shared" si="17"/>
        <v>4.4152757915729636E-12</v>
      </c>
      <c r="L54" s="494">
        <f t="shared" si="11"/>
        <v>7.858228535242459E-12</v>
      </c>
      <c r="M54" s="305"/>
      <c r="N54" s="494">
        <f t="shared" si="18"/>
        <v>5.2578657189988236E-4</v>
      </c>
      <c r="O54" s="494">
        <f t="shared" si="19"/>
        <v>5.5610365907783296E-4</v>
      </c>
      <c r="P54" s="494">
        <f t="shared" si="12"/>
        <v>9.8974330225504214E-4</v>
      </c>
      <c r="Q54" s="305"/>
      <c r="R54" s="494">
        <f t="shared" si="13"/>
        <v>293.75913074703311</v>
      </c>
      <c r="S54" s="494">
        <f t="shared" si="14"/>
        <v>310.69741265103079</v>
      </c>
      <c r="T54" s="494">
        <f t="shared" si="15"/>
        <v>552.97367348609589</v>
      </c>
      <c r="U54" s="305"/>
    </row>
    <row r="55" spans="1:21">
      <c r="A55">
        <v>49</v>
      </c>
      <c r="B55" s="305"/>
      <c r="C55" s="305"/>
      <c r="D55" s="305"/>
      <c r="E55" s="305"/>
      <c r="F55" s="305"/>
      <c r="G55" s="305"/>
      <c r="H55" s="305"/>
      <c r="I55" s="305"/>
      <c r="J55" s="494">
        <f t="shared" si="16"/>
        <v>2.0872841641550587E-12</v>
      </c>
      <c r="K55" s="494">
        <f t="shared" si="17"/>
        <v>2.2076378957864818E-12</v>
      </c>
      <c r="L55" s="494">
        <f t="shared" si="11"/>
        <v>3.9291142676212295E-12</v>
      </c>
      <c r="M55" s="305"/>
      <c r="N55" s="494">
        <f t="shared" si="18"/>
        <v>3.9433992892491177E-4</v>
      </c>
      <c r="O55" s="494">
        <f t="shared" si="19"/>
        <v>4.1707774430837472E-4</v>
      </c>
      <c r="P55" s="494">
        <f t="shared" si="12"/>
        <v>7.423074766912816E-4</v>
      </c>
      <c r="Q55" s="305"/>
      <c r="R55" s="494">
        <f t="shared" si="13"/>
        <v>293.75913074703311</v>
      </c>
      <c r="S55" s="494">
        <f t="shared" si="14"/>
        <v>310.69741265103079</v>
      </c>
      <c r="T55" s="494">
        <f t="shared" si="15"/>
        <v>552.97367348609589</v>
      </c>
      <c r="U55" s="305"/>
    </row>
    <row r="56" spans="1:21">
      <c r="A56">
        <v>50</v>
      </c>
      <c r="B56" s="305"/>
      <c r="C56" s="305"/>
      <c r="D56" s="305"/>
      <c r="E56" s="305"/>
      <c r="F56" s="305"/>
      <c r="G56" s="305"/>
      <c r="H56" s="305"/>
      <c r="I56" s="305"/>
      <c r="J56" s="494">
        <f t="shared" si="16"/>
        <v>1.0436420820775294E-12</v>
      </c>
      <c r="K56" s="494">
        <f t="shared" si="17"/>
        <v>1.1038189478932409E-12</v>
      </c>
      <c r="L56" s="494">
        <f t="shared" si="11"/>
        <v>1.9645571338106148E-12</v>
      </c>
      <c r="M56" s="305"/>
      <c r="N56" s="494">
        <f t="shared" si="18"/>
        <v>2.957549466936838E-4</v>
      </c>
      <c r="O56" s="494">
        <f t="shared" si="19"/>
        <v>3.1280830823128102E-4</v>
      </c>
      <c r="P56" s="494">
        <f t="shared" si="12"/>
        <v>5.5673060751846117E-4</v>
      </c>
      <c r="Q56" s="305"/>
      <c r="R56" s="494">
        <f t="shared" si="13"/>
        <v>293.75913074703311</v>
      </c>
      <c r="S56" s="494">
        <f t="shared" si="14"/>
        <v>310.69741265103079</v>
      </c>
      <c r="T56" s="494">
        <f t="shared" si="15"/>
        <v>552.97367348609589</v>
      </c>
      <c r="U56" s="305"/>
    </row>
    <row r="57" spans="1:21">
      <c r="A57">
        <v>51</v>
      </c>
      <c r="B57" s="305"/>
      <c r="C57" s="305"/>
      <c r="D57" s="305"/>
      <c r="E57" s="305"/>
      <c r="F57" s="305"/>
      <c r="G57" s="305"/>
      <c r="H57" s="305"/>
      <c r="I57" s="305"/>
      <c r="J57" s="494">
        <f t="shared" si="16"/>
        <v>5.2182104103876468E-13</v>
      </c>
      <c r="K57" s="494">
        <f t="shared" si="17"/>
        <v>5.5190947394662045E-13</v>
      </c>
      <c r="L57" s="494">
        <f t="shared" si="11"/>
        <v>9.8227856690530738E-13</v>
      </c>
      <c r="M57" s="305"/>
      <c r="N57" s="494">
        <f t="shared" si="18"/>
        <v>2.2181621002026285E-4</v>
      </c>
      <c r="O57" s="494">
        <f t="shared" si="19"/>
        <v>2.3460623117346077E-4</v>
      </c>
      <c r="P57" s="494">
        <f t="shared" si="12"/>
        <v>4.1754795563884588E-4</v>
      </c>
      <c r="Q57" s="305"/>
      <c r="R57" s="494">
        <f t="shared" si="13"/>
        <v>293.75913074703311</v>
      </c>
      <c r="S57" s="494">
        <f t="shared" si="14"/>
        <v>310.69741265103079</v>
      </c>
      <c r="T57" s="494">
        <f t="shared" si="15"/>
        <v>552.97367348609589</v>
      </c>
      <c r="U57" s="305"/>
    </row>
    <row r="58" spans="1:21">
      <c r="A58">
        <v>52</v>
      </c>
      <c r="B58" s="305"/>
      <c r="C58" s="305"/>
      <c r="D58" s="305"/>
      <c r="E58" s="305"/>
      <c r="F58" s="305"/>
      <c r="G58" s="305"/>
      <c r="H58" s="305"/>
      <c r="I58" s="305"/>
      <c r="J58" s="305"/>
      <c r="K58" s="305"/>
      <c r="L58" s="305"/>
      <c r="M58" s="305"/>
      <c r="N58" s="494">
        <f t="shared" si="18"/>
        <v>1.6636215751519715E-4</v>
      </c>
      <c r="O58" s="494">
        <f t="shared" si="19"/>
        <v>1.7595467338009558E-4</v>
      </c>
      <c r="P58" s="494">
        <f t="shared" si="12"/>
        <v>3.131609667291344E-4</v>
      </c>
      <c r="Q58" s="305"/>
      <c r="R58" s="494">
        <f t="shared" si="13"/>
        <v>293.75913074703311</v>
      </c>
      <c r="S58" s="494">
        <f t="shared" si="14"/>
        <v>310.69741265103079</v>
      </c>
      <c r="T58" s="494">
        <f t="shared" si="15"/>
        <v>552.97367348609589</v>
      </c>
      <c r="U58" s="305"/>
    </row>
    <row r="59" spans="1:21">
      <c r="A59">
        <v>53</v>
      </c>
      <c r="B59" s="305"/>
      <c r="C59" s="305"/>
      <c r="D59" s="305"/>
      <c r="E59" s="305"/>
      <c r="F59" s="305"/>
      <c r="G59" s="305"/>
      <c r="H59" s="305"/>
      <c r="I59" s="305"/>
      <c r="J59" s="305"/>
      <c r="K59" s="305"/>
      <c r="L59" s="305"/>
      <c r="M59" s="305"/>
      <c r="N59" s="494">
        <f t="shared" si="18"/>
        <v>1.2477161813639786E-4</v>
      </c>
      <c r="O59" s="494">
        <f t="shared" si="19"/>
        <v>1.3196600503507169E-4</v>
      </c>
      <c r="P59" s="494">
        <f t="shared" si="12"/>
        <v>2.348707250468508E-4</v>
      </c>
      <c r="Q59" s="305"/>
      <c r="R59" s="494">
        <f t="shared" si="13"/>
        <v>293.75913074703311</v>
      </c>
      <c r="S59" s="494">
        <f t="shared" si="14"/>
        <v>310.69741265103079</v>
      </c>
      <c r="T59" s="494">
        <f t="shared" si="15"/>
        <v>552.97367348609589</v>
      </c>
      <c r="U59" s="305"/>
    </row>
    <row r="60" spans="1:21">
      <c r="A60">
        <v>54</v>
      </c>
      <c r="B60" s="305"/>
      <c r="C60" s="305"/>
      <c r="D60" s="305"/>
      <c r="E60" s="305"/>
      <c r="F60" s="305"/>
      <c r="G60" s="305"/>
      <c r="H60" s="305"/>
      <c r="I60" s="305"/>
      <c r="J60" s="305"/>
      <c r="K60" s="305"/>
      <c r="L60" s="305"/>
      <c r="M60" s="305"/>
      <c r="N60" s="494">
        <f t="shared" si="18"/>
        <v>9.3578713602298405E-5</v>
      </c>
      <c r="O60" s="494">
        <f t="shared" si="19"/>
        <v>9.8974503776303759E-5</v>
      </c>
      <c r="P60" s="494">
        <f t="shared" si="12"/>
        <v>1.761530437851381E-4</v>
      </c>
      <c r="Q60" s="305"/>
      <c r="R60" s="494">
        <f t="shared" si="13"/>
        <v>293.75913074703311</v>
      </c>
      <c r="S60" s="494">
        <f t="shared" si="14"/>
        <v>310.69741265103079</v>
      </c>
      <c r="T60" s="494">
        <f t="shared" si="15"/>
        <v>552.97367348609589</v>
      </c>
      <c r="U60" s="305"/>
    </row>
    <row r="61" spans="1:21">
      <c r="A61">
        <v>55</v>
      </c>
      <c r="B61" s="305"/>
      <c r="C61" s="305"/>
      <c r="D61" s="305"/>
      <c r="E61" s="305"/>
      <c r="F61" s="305"/>
      <c r="G61" s="305"/>
      <c r="H61" s="305"/>
      <c r="I61" s="305"/>
      <c r="J61" s="305"/>
      <c r="K61" s="305"/>
      <c r="L61" s="305"/>
      <c r="M61" s="305"/>
      <c r="N61" s="494">
        <f t="shared" si="18"/>
        <v>7.0184035201723797E-5</v>
      </c>
      <c r="O61" s="494">
        <f t="shared" si="19"/>
        <v>7.4230877832227819E-5</v>
      </c>
      <c r="P61" s="494">
        <f t="shared" si="12"/>
        <v>1.3211478283885357E-4</v>
      </c>
      <c r="Q61" s="305"/>
      <c r="R61" s="494">
        <f t="shared" si="13"/>
        <v>293.75913074703311</v>
      </c>
      <c r="S61" s="494">
        <f t="shared" si="14"/>
        <v>310.69741265103079</v>
      </c>
      <c r="T61" s="494">
        <f t="shared" si="15"/>
        <v>552.97367348609589</v>
      </c>
      <c r="U61" s="305"/>
    </row>
    <row r="62" spans="1:21">
      <c r="A62">
        <v>56</v>
      </c>
      <c r="B62" s="305"/>
      <c r="C62" s="305"/>
      <c r="D62" s="305"/>
      <c r="E62" s="305"/>
      <c r="F62" s="305"/>
      <c r="G62" s="305"/>
      <c r="H62" s="305"/>
      <c r="I62" s="305"/>
      <c r="J62" s="305"/>
      <c r="K62" s="305"/>
      <c r="L62" s="305"/>
      <c r="M62" s="305"/>
      <c r="N62" s="494">
        <f t="shared" si="18"/>
        <v>5.2638026401292847E-5</v>
      </c>
      <c r="O62" s="494">
        <f t="shared" si="19"/>
        <v>5.5673158374170868E-5</v>
      </c>
      <c r="P62" s="494">
        <f t="shared" si="12"/>
        <v>9.9086087129140186E-5</v>
      </c>
      <c r="Q62" s="305"/>
      <c r="R62" s="494">
        <f t="shared" si="13"/>
        <v>293.75913074703311</v>
      </c>
      <c r="S62" s="494">
        <f t="shared" si="14"/>
        <v>310.69741265103079</v>
      </c>
      <c r="T62" s="494">
        <f t="shared" si="15"/>
        <v>552.97367348609589</v>
      </c>
      <c r="U62" s="305"/>
    </row>
    <row r="63" spans="1:21">
      <c r="A63">
        <v>57</v>
      </c>
      <c r="B63" s="305"/>
      <c r="C63" s="305"/>
      <c r="D63" s="305"/>
      <c r="E63" s="305"/>
      <c r="F63" s="305"/>
      <c r="G63" s="305"/>
      <c r="H63" s="305"/>
      <c r="I63" s="305"/>
      <c r="J63" s="305"/>
      <c r="K63" s="305"/>
      <c r="L63" s="305"/>
      <c r="M63" s="305"/>
      <c r="N63" s="494">
        <f t="shared" si="18"/>
        <v>3.9478519800969632E-5</v>
      </c>
      <c r="O63" s="494">
        <f t="shared" si="19"/>
        <v>4.1754868780628147E-5</v>
      </c>
      <c r="P63" s="494">
        <f t="shared" si="12"/>
        <v>7.4314565346855139E-5</v>
      </c>
      <c r="Q63" s="305"/>
      <c r="R63" s="494">
        <f t="shared" si="13"/>
        <v>293.75913074703311</v>
      </c>
      <c r="S63" s="494">
        <f t="shared" si="14"/>
        <v>310.69741265103079</v>
      </c>
      <c r="T63" s="494">
        <f t="shared" si="15"/>
        <v>552.97367348609589</v>
      </c>
      <c r="U63" s="305"/>
    </row>
    <row r="64" spans="1:21">
      <c r="A64">
        <v>58</v>
      </c>
      <c r="B64" s="305"/>
      <c r="C64" s="305"/>
      <c r="D64" s="305"/>
      <c r="E64" s="305"/>
      <c r="F64" s="305"/>
      <c r="G64" s="305"/>
      <c r="H64" s="305"/>
      <c r="I64" s="305"/>
      <c r="J64" s="305"/>
      <c r="K64" s="305"/>
      <c r="L64" s="305"/>
      <c r="M64" s="305"/>
      <c r="N64" s="494">
        <f t="shared" si="18"/>
        <v>2.9608889850727224E-5</v>
      </c>
      <c r="O64" s="494">
        <f t="shared" si="19"/>
        <v>3.1316151585471114E-5</v>
      </c>
      <c r="P64" s="494">
        <f t="shared" si="12"/>
        <v>5.5735924010141358E-5</v>
      </c>
      <c r="Q64" s="305"/>
      <c r="R64" s="494">
        <f t="shared" si="13"/>
        <v>293.75913074703311</v>
      </c>
      <c r="S64" s="494">
        <f t="shared" si="14"/>
        <v>310.69741265103079</v>
      </c>
      <c r="T64" s="494">
        <f t="shared" si="15"/>
        <v>552.97367348609589</v>
      </c>
      <c r="U64" s="305"/>
    </row>
    <row r="65" spans="1:21">
      <c r="A65">
        <v>59</v>
      </c>
      <c r="B65" s="305"/>
      <c r="C65" s="305"/>
      <c r="D65" s="305"/>
      <c r="E65" s="305"/>
      <c r="F65" s="305"/>
      <c r="G65" s="305"/>
      <c r="H65" s="305"/>
      <c r="I65" s="305"/>
      <c r="J65" s="305"/>
      <c r="K65" s="305"/>
      <c r="L65" s="305"/>
      <c r="M65" s="305"/>
      <c r="N65" s="494">
        <f t="shared" si="18"/>
        <v>2.2206667388045419E-5</v>
      </c>
      <c r="O65" s="494">
        <f t="shared" si="19"/>
        <v>2.3487113689103335E-5</v>
      </c>
      <c r="P65" s="494">
        <f t="shared" si="12"/>
        <v>4.1801943007606018E-5</v>
      </c>
      <c r="Q65" s="305"/>
      <c r="R65" s="494">
        <f t="shared" si="13"/>
        <v>293.75913074703311</v>
      </c>
      <c r="S65" s="494">
        <f t="shared" si="14"/>
        <v>310.69741265103079</v>
      </c>
      <c r="T65" s="494">
        <f t="shared" si="15"/>
        <v>552.97367348609589</v>
      </c>
      <c r="U65" s="305"/>
    </row>
    <row r="66" spans="1:21">
      <c r="A66">
        <v>60</v>
      </c>
      <c r="B66" s="305"/>
      <c r="C66" s="305"/>
      <c r="D66" s="305"/>
      <c r="E66" s="305"/>
      <c r="F66" s="305"/>
      <c r="G66" s="305"/>
      <c r="H66" s="305"/>
      <c r="I66" s="305"/>
      <c r="J66" s="305"/>
      <c r="K66" s="305"/>
      <c r="L66" s="305"/>
      <c r="M66" s="305"/>
      <c r="N66" s="494">
        <f t="shared" si="18"/>
        <v>1.6655000541034064E-5</v>
      </c>
      <c r="O66" s="494">
        <f t="shared" si="19"/>
        <v>1.7615335266827501E-5</v>
      </c>
      <c r="P66" s="494">
        <f t="shared" si="12"/>
        <v>3.135145725570451E-5</v>
      </c>
      <c r="Q66" s="305"/>
      <c r="R66" s="494">
        <f t="shared" si="13"/>
        <v>293.75913074703311</v>
      </c>
      <c r="S66" s="494">
        <f t="shared" si="14"/>
        <v>310.69741265103079</v>
      </c>
      <c r="T66" s="494">
        <f t="shared" si="15"/>
        <v>552.97367348609589</v>
      </c>
      <c r="U66" s="305"/>
    </row>
    <row r="67" spans="1:21">
      <c r="A67">
        <v>61</v>
      </c>
      <c r="B67" s="305"/>
      <c r="C67" s="305"/>
      <c r="D67" s="305"/>
      <c r="E67" s="305"/>
      <c r="F67" s="305"/>
      <c r="G67" s="305"/>
      <c r="H67" s="305"/>
      <c r="I67" s="305"/>
      <c r="J67" s="305"/>
      <c r="K67" s="305"/>
      <c r="L67" s="305"/>
      <c r="M67" s="305"/>
      <c r="N67" s="494">
        <f t="shared" si="18"/>
        <v>1.2491250405775548E-5</v>
      </c>
      <c r="O67" s="494">
        <f t="shared" si="19"/>
        <v>1.3211501450120626E-5</v>
      </c>
      <c r="P67" s="494">
        <f t="shared" si="12"/>
        <v>2.3513592941778383E-5</v>
      </c>
      <c r="Q67" s="305"/>
      <c r="R67" s="494">
        <f t="shared" si="13"/>
        <v>293.75913074703311</v>
      </c>
      <c r="S67" s="494">
        <f t="shared" si="14"/>
        <v>310.69741265103079</v>
      </c>
      <c r="T67" s="494">
        <f t="shared" si="15"/>
        <v>552.97367348609589</v>
      </c>
      <c r="U67" s="305"/>
    </row>
    <row r="68" spans="1:21">
      <c r="A68">
        <v>62</v>
      </c>
      <c r="B68" s="305"/>
      <c r="C68" s="305"/>
      <c r="D68" s="305"/>
      <c r="E68" s="305"/>
      <c r="F68" s="305"/>
      <c r="G68" s="305"/>
      <c r="H68" s="305"/>
      <c r="I68" s="305"/>
      <c r="J68" s="305"/>
      <c r="K68" s="305"/>
      <c r="L68" s="305"/>
      <c r="M68" s="305"/>
      <c r="N68" s="494">
        <f t="shared" si="18"/>
        <v>9.3684378043316611E-6</v>
      </c>
      <c r="O68" s="494">
        <f t="shared" si="19"/>
        <v>9.9086260875904707E-6</v>
      </c>
      <c r="P68" s="494">
        <f t="shared" si="12"/>
        <v>1.7635194706333789E-5</v>
      </c>
      <c r="Q68" s="305"/>
      <c r="R68" s="494">
        <f t="shared" si="13"/>
        <v>293.75913074703311</v>
      </c>
      <c r="S68" s="494">
        <f t="shared" si="14"/>
        <v>310.69741265103079</v>
      </c>
      <c r="T68" s="494">
        <f t="shared" si="15"/>
        <v>552.97367348609589</v>
      </c>
      <c r="U68" s="305"/>
    </row>
    <row r="69" spans="1:21">
      <c r="A69">
        <v>63</v>
      </c>
      <c r="B69" s="305"/>
      <c r="C69" s="305"/>
      <c r="D69" s="305"/>
      <c r="E69" s="305"/>
      <c r="F69" s="305"/>
      <c r="G69" s="305"/>
      <c r="H69" s="305"/>
      <c r="I69" s="305"/>
      <c r="J69" s="305"/>
      <c r="K69" s="305"/>
      <c r="L69" s="305"/>
      <c r="M69" s="305"/>
      <c r="N69" s="494">
        <f t="shared" si="18"/>
        <v>7.0263283532487454E-6</v>
      </c>
      <c r="O69" s="494">
        <f t="shared" si="19"/>
        <v>7.431469565692853E-6</v>
      </c>
      <c r="P69" s="494">
        <f t="shared" si="12"/>
        <v>1.3226396029750342E-5</v>
      </c>
      <c r="Q69" s="305"/>
      <c r="R69" s="494">
        <f t="shared" si="13"/>
        <v>293.75913074703311</v>
      </c>
      <c r="S69" s="494">
        <f t="shared" si="14"/>
        <v>310.69741265103079</v>
      </c>
      <c r="T69" s="494">
        <f t="shared" si="15"/>
        <v>552.97367348609589</v>
      </c>
      <c r="U69" s="305"/>
    </row>
    <row r="70" spans="1:21">
      <c r="A70">
        <v>64</v>
      </c>
      <c r="B70" s="305"/>
      <c r="C70" s="305"/>
      <c r="D70" s="305"/>
      <c r="E70" s="305"/>
      <c r="F70" s="305"/>
      <c r="G70" s="305"/>
      <c r="H70" s="305"/>
      <c r="I70" s="305"/>
      <c r="J70" s="305"/>
      <c r="K70" s="305"/>
      <c r="L70" s="305"/>
      <c r="M70" s="305"/>
      <c r="N70" s="494">
        <f t="shared" si="18"/>
        <v>5.2697462649365591E-6</v>
      </c>
      <c r="O70" s="494">
        <f t="shared" si="19"/>
        <v>5.5736021742696402E-6</v>
      </c>
      <c r="P70" s="494">
        <f t="shared" si="12"/>
        <v>9.9197970223127566E-6</v>
      </c>
      <c r="Q70" s="305"/>
      <c r="R70" s="494">
        <f t="shared" si="13"/>
        <v>293.75913074703311</v>
      </c>
      <c r="S70" s="494">
        <f t="shared" si="14"/>
        <v>310.69741265103079</v>
      </c>
      <c r="T70" s="494">
        <f t="shared" si="15"/>
        <v>552.97367348609589</v>
      </c>
      <c r="U70" s="305"/>
    </row>
    <row r="71" spans="1:21">
      <c r="A71">
        <v>65</v>
      </c>
      <c r="B71" s="305"/>
      <c r="C71" s="305"/>
      <c r="D71" s="305"/>
      <c r="E71" s="305"/>
      <c r="F71" s="305"/>
      <c r="G71" s="305"/>
      <c r="H71" s="305"/>
      <c r="I71" s="305"/>
      <c r="J71" s="305"/>
      <c r="K71" s="305"/>
      <c r="L71" s="305"/>
      <c r="M71" s="305"/>
      <c r="N71" s="494">
        <f t="shared" si="18"/>
        <v>3.9523096987024195E-6</v>
      </c>
      <c r="O71" s="494">
        <f t="shared" si="19"/>
        <v>4.1802016307022305E-6</v>
      </c>
      <c r="P71" s="494">
        <f t="shared" si="12"/>
        <v>7.4398477667345675E-6</v>
      </c>
      <c r="Q71" s="305"/>
      <c r="R71" s="494">
        <f t="shared" si="13"/>
        <v>293.75913074703311</v>
      </c>
      <c r="S71" s="494">
        <f t="shared" si="14"/>
        <v>310.69741265103079</v>
      </c>
      <c r="T71" s="494">
        <f t="shared" si="15"/>
        <v>552.97367348609589</v>
      </c>
      <c r="U71" s="305"/>
    </row>
    <row r="72" spans="1:21">
      <c r="A72">
        <v>66</v>
      </c>
      <c r="B72" s="305"/>
      <c r="C72" s="305"/>
      <c r="D72" s="305"/>
      <c r="E72" s="305"/>
      <c r="F72" s="305"/>
      <c r="G72" s="305"/>
      <c r="H72" s="305"/>
      <c r="I72" s="305"/>
      <c r="J72" s="305"/>
      <c r="K72" s="305"/>
      <c r="L72" s="305"/>
      <c r="M72" s="305"/>
      <c r="N72" s="494">
        <f t="shared" si="18"/>
        <v>2.9642322740268148E-6</v>
      </c>
      <c r="O72" s="494">
        <f t="shared" si="19"/>
        <v>3.1351512230266729E-6</v>
      </c>
      <c r="P72" s="494">
        <f t="shared" si="12"/>
        <v>5.5798858250509256E-6</v>
      </c>
      <c r="Q72" s="305"/>
      <c r="R72" s="494">
        <f t="shared" si="13"/>
        <v>293.75913074703311</v>
      </c>
      <c r="S72" s="494">
        <f t="shared" si="14"/>
        <v>310.69741265103079</v>
      </c>
      <c r="T72" s="494">
        <f t="shared" si="15"/>
        <v>552.97367348609589</v>
      </c>
      <c r="U72" s="305"/>
    </row>
    <row r="73" spans="1:21">
      <c r="A73">
        <v>67</v>
      </c>
      <c r="B73" s="305"/>
      <c r="C73" s="305"/>
      <c r="D73" s="305"/>
      <c r="E73" s="305"/>
      <c r="F73" s="305"/>
      <c r="G73" s="305"/>
      <c r="H73" s="305"/>
      <c r="I73" s="305"/>
      <c r="J73" s="305"/>
      <c r="K73" s="305"/>
      <c r="L73" s="305"/>
      <c r="M73" s="305"/>
      <c r="N73" s="494">
        <f t="shared" ref="N73:N87" si="20">N72*(1-$P$4)</f>
        <v>2.2231742055201109E-6</v>
      </c>
      <c r="O73" s="494">
        <f t="shared" ref="O73:O87" si="21">O72*(1-$P$4)</f>
        <v>2.3513634172700047E-6</v>
      </c>
      <c r="P73" s="494">
        <f t="shared" si="12"/>
        <v>4.1849143687881938E-6</v>
      </c>
      <c r="Q73" s="305"/>
      <c r="R73" s="494">
        <f t="shared" si="13"/>
        <v>293.75913074703311</v>
      </c>
      <c r="S73" s="494">
        <f t="shared" si="14"/>
        <v>310.69741265103079</v>
      </c>
      <c r="T73" s="494">
        <f t="shared" si="15"/>
        <v>552.97367348609589</v>
      </c>
      <c r="U73" s="305"/>
    </row>
    <row r="74" spans="1:21">
      <c r="A74">
        <v>68</v>
      </c>
      <c r="B74" s="305"/>
      <c r="C74" s="305"/>
      <c r="D74" s="305"/>
      <c r="E74" s="305"/>
      <c r="F74" s="305"/>
      <c r="G74" s="305"/>
      <c r="H74" s="305"/>
      <c r="I74" s="305"/>
      <c r="J74" s="305"/>
      <c r="K74" s="305"/>
      <c r="L74" s="305"/>
      <c r="M74" s="305"/>
      <c r="N74" s="494">
        <f t="shared" si="20"/>
        <v>1.6673806541400832E-6</v>
      </c>
      <c r="O74" s="494">
        <f t="shared" si="21"/>
        <v>1.7635225629525034E-6</v>
      </c>
      <c r="P74" s="494">
        <f t="shared" ref="P74:P87" si="22">P73*(1-$P$4)</f>
        <v>3.1386857765911453E-6</v>
      </c>
      <c r="Q74" s="305"/>
      <c r="R74" s="494">
        <f t="shared" ref="R74:R137" si="23">R73</f>
        <v>293.75913074703311</v>
      </c>
      <c r="S74" s="494">
        <f t="shared" ref="S74:S137" si="24">S73</f>
        <v>310.69741265103079</v>
      </c>
      <c r="T74" s="494">
        <f t="shared" ref="T74:T137" si="25">T73</f>
        <v>552.97367348609589</v>
      </c>
      <c r="U74" s="305"/>
    </row>
    <row r="75" spans="1:21">
      <c r="A75">
        <v>69</v>
      </c>
      <c r="B75" s="305"/>
      <c r="C75" s="305"/>
      <c r="D75" s="305"/>
      <c r="E75" s="305"/>
      <c r="F75" s="305"/>
      <c r="G75" s="305"/>
      <c r="H75" s="305"/>
      <c r="I75" s="305"/>
      <c r="J75" s="305"/>
      <c r="K75" s="305"/>
      <c r="L75" s="305"/>
      <c r="M75" s="305"/>
      <c r="N75" s="494">
        <f t="shared" si="20"/>
        <v>1.2505354906050624E-6</v>
      </c>
      <c r="O75" s="494">
        <f t="shared" si="21"/>
        <v>1.3226419222143776E-6</v>
      </c>
      <c r="P75" s="494">
        <f t="shared" si="22"/>
        <v>2.3540143324433588E-6</v>
      </c>
      <c r="Q75" s="305"/>
      <c r="R75" s="494">
        <f t="shared" si="23"/>
        <v>293.75913074703311</v>
      </c>
      <c r="S75" s="494">
        <f t="shared" si="24"/>
        <v>310.69741265103079</v>
      </c>
      <c r="T75" s="494">
        <f t="shared" si="25"/>
        <v>552.97367348609589</v>
      </c>
      <c r="U75" s="305"/>
    </row>
    <row r="76" spans="1:21">
      <c r="A76">
        <v>70</v>
      </c>
      <c r="B76" s="305"/>
      <c r="C76" s="305"/>
      <c r="D76" s="305"/>
      <c r="E76" s="305"/>
      <c r="F76" s="305"/>
      <c r="G76" s="305"/>
      <c r="H76" s="305"/>
      <c r="I76" s="305"/>
      <c r="J76" s="305"/>
      <c r="K76" s="305"/>
      <c r="L76" s="305"/>
      <c r="M76" s="305"/>
      <c r="N76" s="494">
        <f t="shared" si="20"/>
        <v>9.3790161795379678E-7</v>
      </c>
      <c r="O76" s="494">
        <f t="shared" si="21"/>
        <v>9.9198144166078322E-7</v>
      </c>
      <c r="P76" s="494">
        <f t="shared" si="22"/>
        <v>1.7655107493325191E-6</v>
      </c>
      <c r="Q76" s="305"/>
      <c r="R76" s="494">
        <f t="shared" si="23"/>
        <v>293.75913074703311</v>
      </c>
      <c r="S76" s="494">
        <f t="shared" si="24"/>
        <v>310.69741265103079</v>
      </c>
      <c r="T76" s="494">
        <f t="shared" si="25"/>
        <v>552.97367348609589</v>
      </c>
      <c r="U76" s="305"/>
    </row>
    <row r="77" spans="1:21">
      <c r="A77">
        <v>71</v>
      </c>
      <c r="B77" s="305"/>
      <c r="C77" s="305"/>
      <c r="D77" s="305"/>
      <c r="E77" s="305"/>
      <c r="F77" s="305"/>
      <c r="G77" s="305"/>
      <c r="H77" s="305"/>
      <c r="I77" s="305"/>
      <c r="J77" s="305"/>
      <c r="K77" s="305"/>
      <c r="L77" s="305"/>
      <c r="M77" s="305"/>
      <c r="N77" s="494">
        <f t="shared" si="20"/>
        <v>7.0342621346534764E-7</v>
      </c>
      <c r="O77" s="494">
        <f t="shared" si="21"/>
        <v>7.4398608124558747E-7</v>
      </c>
      <c r="P77" s="494">
        <f t="shared" si="22"/>
        <v>1.3241330619993893E-6</v>
      </c>
      <c r="Q77" s="305"/>
      <c r="R77" s="494">
        <f t="shared" si="23"/>
        <v>293.75913074703311</v>
      </c>
      <c r="S77" s="494">
        <f t="shared" si="24"/>
        <v>310.69741265103079</v>
      </c>
      <c r="T77" s="494">
        <f t="shared" si="25"/>
        <v>552.97367348609589</v>
      </c>
      <c r="U77" s="305"/>
    </row>
    <row r="78" spans="1:21">
      <c r="A78">
        <v>72</v>
      </c>
      <c r="B78" s="305"/>
      <c r="C78" s="305"/>
      <c r="D78" s="305"/>
      <c r="E78" s="305"/>
      <c r="F78" s="305"/>
      <c r="G78" s="305"/>
      <c r="H78" s="305"/>
      <c r="I78" s="305"/>
      <c r="J78" s="305"/>
      <c r="K78" s="305"/>
      <c r="L78" s="305"/>
      <c r="M78" s="305"/>
      <c r="N78" s="494">
        <f t="shared" si="20"/>
        <v>5.2756966009901073E-7</v>
      </c>
      <c r="O78" s="494">
        <f t="shared" si="21"/>
        <v>5.5798956093419055E-7</v>
      </c>
      <c r="P78" s="494">
        <f t="shared" si="22"/>
        <v>9.9309979649954188E-7</v>
      </c>
      <c r="Q78" s="305"/>
      <c r="R78" s="494">
        <f t="shared" si="23"/>
        <v>293.75913074703311</v>
      </c>
      <c r="S78" s="494">
        <f t="shared" si="24"/>
        <v>310.69741265103079</v>
      </c>
      <c r="T78" s="494">
        <f t="shared" si="25"/>
        <v>552.97367348609589</v>
      </c>
      <c r="U78" s="305"/>
    </row>
    <row r="79" spans="1:21">
      <c r="A79">
        <v>73</v>
      </c>
      <c r="B79" s="305"/>
      <c r="C79" s="305"/>
      <c r="D79" s="305"/>
      <c r="E79" s="305"/>
      <c r="F79" s="305"/>
      <c r="G79" s="305"/>
      <c r="H79" s="305"/>
      <c r="I79" s="305"/>
      <c r="J79" s="305"/>
      <c r="K79" s="305"/>
      <c r="L79" s="305"/>
      <c r="M79" s="305"/>
      <c r="N79" s="494">
        <f t="shared" si="20"/>
        <v>3.9567724507425802E-7</v>
      </c>
      <c r="O79" s="494">
        <f t="shared" si="21"/>
        <v>4.1849217070064291E-7</v>
      </c>
      <c r="P79" s="494">
        <f t="shared" si="22"/>
        <v>7.4482484737465641E-7</v>
      </c>
      <c r="Q79" s="305"/>
      <c r="R79" s="494">
        <f t="shared" si="23"/>
        <v>293.75913074703311</v>
      </c>
      <c r="S79" s="494">
        <f t="shared" si="24"/>
        <v>310.69741265103079</v>
      </c>
      <c r="T79" s="494">
        <f t="shared" si="25"/>
        <v>552.97367348609589</v>
      </c>
      <c r="U79" s="305"/>
    </row>
    <row r="80" spans="1:21">
      <c r="A80">
        <v>74</v>
      </c>
      <c r="B80" s="305"/>
      <c r="C80" s="305"/>
      <c r="D80" s="305"/>
      <c r="E80" s="305"/>
      <c r="F80" s="305"/>
      <c r="G80" s="305"/>
      <c r="H80" s="305"/>
      <c r="I80" s="305"/>
      <c r="J80" s="305"/>
      <c r="K80" s="305"/>
      <c r="L80" s="305"/>
      <c r="M80" s="305"/>
      <c r="N80" s="494">
        <f t="shared" si="20"/>
        <v>2.9675793380569354E-7</v>
      </c>
      <c r="O80" s="494">
        <f t="shared" si="21"/>
        <v>3.138691280254822E-7</v>
      </c>
      <c r="P80" s="494">
        <f t="shared" si="22"/>
        <v>5.5861863553099234E-7</v>
      </c>
      <c r="Q80" s="305"/>
      <c r="R80" s="494">
        <f t="shared" si="23"/>
        <v>293.75913074703311</v>
      </c>
      <c r="S80" s="494">
        <f t="shared" si="24"/>
        <v>310.69741265103079</v>
      </c>
      <c r="T80" s="494">
        <f t="shared" si="25"/>
        <v>552.97367348609589</v>
      </c>
      <c r="U80" s="305"/>
    </row>
    <row r="81" spans="1:21">
      <c r="A81">
        <v>75</v>
      </c>
      <c r="B81" s="305"/>
      <c r="C81" s="305"/>
      <c r="D81" s="305"/>
      <c r="E81" s="305"/>
      <c r="F81" s="305"/>
      <c r="G81" s="305"/>
      <c r="H81" s="305"/>
      <c r="I81" s="305"/>
      <c r="J81" s="305"/>
      <c r="K81" s="305"/>
      <c r="L81" s="305"/>
      <c r="M81" s="305"/>
      <c r="N81" s="494">
        <f t="shared" si="20"/>
        <v>2.2256845035427016E-7</v>
      </c>
      <c r="O81" s="494">
        <f t="shared" si="21"/>
        <v>2.3540184601911163E-7</v>
      </c>
      <c r="P81" s="494">
        <f t="shared" si="22"/>
        <v>4.1896397664824428E-7</v>
      </c>
      <c r="Q81" s="305"/>
      <c r="R81" s="494">
        <f t="shared" si="23"/>
        <v>293.75913074703311</v>
      </c>
      <c r="S81" s="494">
        <f t="shared" si="24"/>
        <v>310.69741265103079</v>
      </c>
      <c r="T81" s="494">
        <f t="shared" si="25"/>
        <v>552.97367348609589</v>
      </c>
      <c r="U81" s="305"/>
    </row>
    <row r="82" spans="1:21">
      <c r="A82">
        <v>76</v>
      </c>
      <c r="B82" s="305"/>
      <c r="C82" s="305"/>
      <c r="D82" s="305"/>
      <c r="E82" s="305"/>
      <c r="F82" s="305"/>
      <c r="G82" s="305"/>
      <c r="H82" s="305"/>
      <c r="I82" s="305"/>
      <c r="J82" s="305"/>
      <c r="K82" s="305"/>
      <c r="L82" s="305"/>
      <c r="M82" s="305"/>
      <c r="N82" s="494">
        <f t="shared" si="20"/>
        <v>1.6692633776570262E-7</v>
      </c>
      <c r="O82" s="494">
        <f t="shared" si="21"/>
        <v>1.7655138451433373E-7</v>
      </c>
      <c r="P82" s="494">
        <f t="shared" si="22"/>
        <v>3.1422298248618318E-7</v>
      </c>
      <c r="Q82" s="305"/>
      <c r="R82" s="494">
        <f t="shared" si="23"/>
        <v>293.75913074703311</v>
      </c>
      <c r="S82" s="494">
        <f t="shared" si="24"/>
        <v>310.69741265103079</v>
      </c>
      <c r="T82" s="494">
        <f t="shared" si="25"/>
        <v>552.97367348609589</v>
      </c>
      <c r="U82" s="305"/>
    </row>
    <row r="83" spans="1:21">
      <c r="A83">
        <v>77</v>
      </c>
      <c r="B83" s="305"/>
      <c r="C83" s="305"/>
      <c r="D83" s="305"/>
      <c r="E83" s="305"/>
      <c r="F83" s="305"/>
      <c r="G83" s="305"/>
      <c r="H83" s="305"/>
      <c r="I83" s="305"/>
      <c r="J83" s="305"/>
      <c r="K83" s="305"/>
      <c r="L83" s="305"/>
      <c r="M83" s="305"/>
      <c r="N83" s="494">
        <f t="shared" si="20"/>
        <v>1.2519475332427696E-7</v>
      </c>
      <c r="O83" s="494">
        <f t="shared" si="21"/>
        <v>1.3241353838575029E-7</v>
      </c>
      <c r="P83" s="494">
        <f t="shared" si="22"/>
        <v>2.3566723686463739E-7</v>
      </c>
      <c r="Q83" s="305"/>
      <c r="R83" s="494">
        <f t="shared" si="23"/>
        <v>293.75913074703311</v>
      </c>
      <c r="S83" s="494">
        <f t="shared" si="24"/>
        <v>310.69741265103079</v>
      </c>
      <c r="T83" s="494">
        <f t="shared" si="25"/>
        <v>552.97367348609589</v>
      </c>
      <c r="U83" s="305"/>
    </row>
    <row r="84" spans="1:21">
      <c r="A84">
        <v>78</v>
      </c>
      <c r="B84" s="305"/>
      <c r="C84" s="305"/>
      <c r="D84" s="305"/>
      <c r="E84" s="305"/>
      <c r="F84" s="305"/>
      <c r="G84" s="305"/>
      <c r="H84" s="305"/>
      <c r="I84" s="305"/>
      <c r="J84" s="305"/>
      <c r="K84" s="305"/>
      <c r="L84" s="305"/>
      <c r="M84" s="305"/>
      <c r="N84" s="494">
        <f t="shared" si="20"/>
        <v>9.3896064993207729E-8</v>
      </c>
      <c r="O84" s="494">
        <f t="shared" si="21"/>
        <v>9.9310153789312714E-8</v>
      </c>
      <c r="P84" s="494">
        <f t="shared" si="22"/>
        <v>1.7675042764847805E-7</v>
      </c>
      <c r="Q84" s="305"/>
      <c r="R84" s="494">
        <f t="shared" si="23"/>
        <v>293.75913074703311</v>
      </c>
      <c r="S84" s="494">
        <f t="shared" si="24"/>
        <v>310.69741265103079</v>
      </c>
      <c r="T84" s="494">
        <f t="shared" si="25"/>
        <v>552.97367348609589</v>
      </c>
      <c r="U84" s="305"/>
    </row>
    <row r="85" spans="1:21">
      <c r="A85">
        <v>79</v>
      </c>
      <c r="B85" s="305"/>
      <c r="C85" s="305"/>
      <c r="D85" s="305"/>
      <c r="E85" s="305"/>
      <c r="F85" s="305"/>
      <c r="G85" s="305"/>
      <c r="H85" s="305"/>
      <c r="I85" s="305"/>
      <c r="J85" s="305"/>
      <c r="K85" s="305"/>
      <c r="L85" s="305"/>
      <c r="M85" s="305"/>
      <c r="N85" s="494">
        <f t="shared" si="20"/>
        <v>7.0422048744905797E-8</v>
      </c>
      <c r="O85" s="494">
        <f t="shared" si="21"/>
        <v>7.4482615341984535E-8</v>
      </c>
      <c r="P85" s="494">
        <f t="shared" si="22"/>
        <v>1.3256282073635854E-7</v>
      </c>
      <c r="Q85" s="305"/>
      <c r="R85" s="494">
        <f t="shared" si="23"/>
        <v>293.75913074703311</v>
      </c>
      <c r="S85" s="494">
        <f t="shared" si="24"/>
        <v>310.69741265103079</v>
      </c>
      <c r="T85" s="494">
        <f t="shared" si="25"/>
        <v>552.97367348609589</v>
      </c>
      <c r="U85" s="305"/>
    </row>
    <row r="86" spans="1:21">
      <c r="A86">
        <v>80</v>
      </c>
      <c r="B86" s="305"/>
      <c r="C86" s="305"/>
      <c r="D86" s="305"/>
      <c r="E86" s="305"/>
      <c r="F86" s="305"/>
      <c r="G86" s="305"/>
      <c r="H86" s="305"/>
      <c r="I86" s="305"/>
      <c r="J86" s="305"/>
      <c r="K86" s="305"/>
      <c r="L86" s="305"/>
      <c r="M86" s="305"/>
      <c r="N86" s="494">
        <f t="shared" si="20"/>
        <v>5.2816536558679347E-8</v>
      </c>
      <c r="O86" s="494">
        <f t="shared" si="21"/>
        <v>5.5861961506488398E-8</v>
      </c>
      <c r="P86" s="494">
        <f t="shared" si="22"/>
        <v>9.9422115552268905E-8</v>
      </c>
      <c r="Q86" s="308"/>
      <c r="R86" s="494">
        <f t="shared" si="23"/>
        <v>293.75913074703311</v>
      </c>
      <c r="S86" s="494">
        <f t="shared" si="24"/>
        <v>310.69741265103079</v>
      </c>
      <c r="T86" s="494">
        <f t="shared" si="25"/>
        <v>552.97367348609589</v>
      </c>
      <c r="U86" s="305"/>
    </row>
    <row r="87" spans="1:21">
      <c r="A87">
        <v>81</v>
      </c>
      <c r="B87" s="305"/>
      <c r="C87" s="305"/>
      <c r="D87" s="305"/>
      <c r="E87" s="305"/>
      <c r="F87" s="305"/>
      <c r="G87" s="305"/>
      <c r="H87" s="305"/>
      <c r="I87" s="305"/>
      <c r="J87" s="305"/>
      <c r="K87" s="305"/>
      <c r="L87" s="305"/>
      <c r="M87" s="305"/>
      <c r="N87" s="494">
        <f t="shared" si="20"/>
        <v>3.9612402419009511E-8</v>
      </c>
      <c r="O87" s="494">
        <f t="shared" si="21"/>
        <v>4.1896471129866299E-8</v>
      </c>
      <c r="P87" s="494">
        <f t="shared" si="22"/>
        <v>7.4566586664201682E-8</v>
      </c>
      <c r="Q87" s="305"/>
      <c r="R87" s="494">
        <f t="shared" si="23"/>
        <v>293.75913074703311</v>
      </c>
      <c r="S87" s="494">
        <f t="shared" si="24"/>
        <v>310.69741265103079</v>
      </c>
      <c r="T87" s="494">
        <f t="shared" si="25"/>
        <v>552.97367348609589</v>
      </c>
      <c r="U87" s="305"/>
    </row>
    <row r="88" spans="1:21">
      <c r="A88">
        <v>82</v>
      </c>
      <c r="B88" s="305"/>
      <c r="C88" s="305"/>
      <c r="D88" s="305"/>
      <c r="E88" s="305"/>
      <c r="F88" s="305"/>
      <c r="G88" s="305"/>
      <c r="H88" s="305"/>
      <c r="I88" s="305"/>
      <c r="J88" s="305"/>
      <c r="K88" s="305"/>
      <c r="L88" s="305"/>
      <c r="M88" s="305"/>
      <c r="N88" s="305"/>
      <c r="O88" s="305"/>
      <c r="P88" s="305"/>
      <c r="Q88" s="305"/>
      <c r="R88" s="494">
        <f t="shared" si="23"/>
        <v>293.75913074703311</v>
      </c>
      <c r="S88" s="494">
        <f t="shared" si="24"/>
        <v>310.69741265103079</v>
      </c>
      <c r="T88" s="494">
        <f t="shared" si="25"/>
        <v>552.97367348609589</v>
      </c>
      <c r="U88" s="305"/>
    </row>
    <row r="89" spans="1:21">
      <c r="A89">
        <v>83</v>
      </c>
      <c r="B89" s="305"/>
      <c r="C89" s="305"/>
      <c r="D89" s="305"/>
      <c r="E89" s="305"/>
      <c r="F89" s="305"/>
      <c r="G89" s="305"/>
      <c r="H89" s="305"/>
      <c r="I89" s="305"/>
      <c r="J89" s="305"/>
      <c r="K89" s="305"/>
      <c r="L89" s="305"/>
      <c r="M89" s="305"/>
      <c r="N89" s="305"/>
      <c r="O89" s="305"/>
      <c r="P89" s="305"/>
      <c r="Q89" s="305"/>
      <c r="R89" s="494">
        <f t="shared" si="23"/>
        <v>293.75913074703311</v>
      </c>
      <c r="S89" s="494">
        <f t="shared" si="24"/>
        <v>310.69741265103079</v>
      </c>
      <c r="T89" s="494">
        <f t="shared" si="25"/>
        <v>552.97367348609589</v>
      </c>
      <c r="U89" s="305"/>
    </row>
    <row r="90" spans="1:21">
      <c r="A90">
        <v>84</v>
      </c>
      <c r="B90" s="305"/>
      <c r="C90" s="305"/>
      <c r="D90" s="305"/>
      <c r="E90" s="305"/>
      <c r="F90" s="305"/>
      <c r="G90" s="305"/>
      <c r="H90" s="305"/>
      <c r="I90" s="305"/>
      <c r="J90" s="305"/>
      <c r="K90" s="305"/>
      <c r="L90" s="305"/>
      <c r="M90" s="305"/>
      <c r="N90" s="305"/>
      <c r="O90" s="305"/>
      <c r="P90" s="305"/>
      <c r="Q90" s="305"/>
      <c r="R90" s="494">
        <f t="shared" si="23"/>
        <v>293.75913074703311</v>
      </c>
      <c r="S90" s="494">
        <f t="shared" si="24"/>
        <v>310.69741265103079</v>
      </c>
      <c r="T90" s="494">
        <f t="shared" si="25"/>
        <v>552.97367348609589</v>
      </c>
      <c r="U90" s="305"/>
    </row>
    <row r="91" spans="1:21">
      <c r="A91">
        <v>85</v>
      </c>
      <c r="B91" s="305"/>
      <c r="C91" s="305"/>
      <c r="D91" s="305"/>
      <c r="E91" s="305"/>
      <c r="F91" s="305"/>
      <c r="G91" s="305"/>
      <c r="H91" s="305"/>
      <c r="I91" s="305"/>
      <c r="J91" s="305"/>
      <c r="K91" s="305"/>
      <c r="L91" s="305"/>
      <c r="M91" s="305"/>
      <c r="N91" s="305"/>
      <c r="O91" s="305"/>
      <c r="P91" s="305"/>
      <c r="Q91" s="305"/>
      <c r="R91" s="494">
        <f t="shared" si="23"/>
        <v>293.75913074703311</v>
      </c>
      <c r="S91" s="494">
        <f t="shared" si="24"/>
        <v>310.69741265103079</v>
      </c>
      <c r="T91" s="494">
        <f t="shared" si="25"/>
        <v>552.97367348609589</v>
      </c>
      <c r="U91" s="305"/>
    </row>
    <row r="92" spans="1:21">
      <c r="A92">
        <v>86</v>
      </c>
      <c r="B92" s="305"/>
      <c r="C92" s="305"/>
      <c r="D92" s="305"/>
      <c r="E92" s="305"/>
      <c r="F92" s="305"/>
      <c r="G92" s="305"/>
      <c r="H92" s="305"/>
      <c r="I92" s="305"/>
      <c r="J92" s="305"/>
      <c r="K92" s="305"/>
      <c r="L92" s="305"/>
      <c r="M92" s="305"/>
      <c r="N92" s="305"/>
      <c r="O92" s="305"/>
      <c r="P92" s="305"/>
      <c r="Q92" s="305"/>
      <c r="R92" s="494">
        <f t="shared" si="23"/>
        <v>293.75913074703311</v>
      </c>
      <c r="S92" s="494">
        <f t="shared" si="24"/>
        <v>310.69741265103079</v>
      </c>
      <c r="T92" s="494">
        <f t="shared" si="25"/>
        <v>552.97367348609589</v>
      </c>
      <c r="U92" s="305"/>
    </row>
    <row r="93" spans="1:21">
      <c r="A93">
        <v>87</v>
      </c>
      <c r="B93" s="305"/>
      <c r="C93" s="305"/>
      <c r="D93" s="305"/>
      <c r="E93" s="305"/>
      <c r="F93" s="305"/>
      <c r="G93" s="305"/>
      <c r="H93" s="305"/>
      <c r="I93" s="305"/>
      <c r="J93" s="305"/>
      <c r="K93" s="305"/>
      <c r="L93" s="305"/>
      <c r="M93" s="305"/>
      <c r="N93" s="305"/>
      <c r="O93" s="305"/>
      <c r="P93" s="305"/>
      <c r="Q93" s="305"/>
      <c r="R93" s="494">
        <f t="shared" si="23"/>
        <v>293.75913074703311</v>
      </c>
      <c r="S93" s="494">
        <f t="shared" si="24"/>
        <v>310.69741265103079</v>
      </c>
      <c r="T93" s="494">
        <f t="shared" si="25"/>
        <v>552.97367348609589</v>
      </c>
      <c r="U93" s="305"/>
    </row>
    <row r="94" spans="1:21">
      <c r="A94">
        <v>88</v>
      </c>
      <c r="B94" s="305"/>
      <c r="C94" s="305"/>
      <c r="D94" s="305"/>
      <c r="E94" s="305"/>
      <c r="F94" s="305"/>
      <c r="G94" s="305"/>
      <c r="H94" s="305"/>
      <c r="I94" s="305"/>
      <c r="J94" s="305"/>
      <c r="K94" s="305"/>
      <c r="L94" s="305"/>
      <c r="M94" s="305"/>
      <c r="N94" s="305"/>
      <c r="O94" s="305"/>
      <c r="P94" s="305"/>
      <c r="Q94" s="305"/>
      <c r="R94" s="494">
        <f t="shared" si="23"/>
        <v>293.75913074703311</v>
      </c>
      <c r="S94" s="494">
        <f t="shared" si="24"/>
        <v>310.69741265103079</v>
      </c>
      <c r="T94" s="494">
        <f t="shared" si="25"/>
        <v>552.97367348609589</v>
      </c>
      <c r="U94" s="305"/>
    </row>
    <row r="95" spans="1:21">
      <c r="A95">
        <v>89</v>
      </c>
      <c r="B95" s="305"/>
      <c r="C95" s="305"/>
      <c r="D95" s="305"/>
      <c r="E95" s="305"/>
      <c r="F95" s="305"/>
      <c r="G95" s="305"/>
      <c r="H95" s="305"/>
      <c r="I95" s="305"/>
      <c r="J95" s="305"/>
      <c r="K95" s="305"/>
      <c r="L95" s="305"/>
      <c r="M95" s="305"/>
      <c r="N95" s="305"/>
      <c r="O95" s="305"/>
      <c r="P95" s="305"/>
      <c r="Q95" s="305"/>
      <c r="R95" s="494">
        <f t="shared" si="23"/>
        <v>293.75913074703311</v>
      </c>
      <c r="S95" s="494">
        <f t="shared" si="24"/>
        <v>310.69741265103079</v>
      </c>
      <c r="T95" s="494">
        <f t="shared" si="25"/>
        <v>552.97367348609589</v>
      </c>
      <c r="U95" s="305"/>
    </row>
    <row r="96" spans="1:21">
      <c r="A96">
        <v>90</v>
      </c>
      <c r="B96" s="305"/>
      <c r="C96" s="305"/>
      <c r="D96" s="305"/>
      <c r="E96" s="305"/>
      <c r="F96" s="305"/>
      <c r="G96" s="305"/>
      <c r="H96" s="305"/>
      <c r="I96" s="305"/>
      <c r="J96" s="305"/>
      <c r="K96" s="305"/>
      <c r="L96" s="305"/>
      <c r="M96" s="305"/>
      <c r="N96" s="305"/>
      <c r="O96" s="305"/>
      <c r="P96" s="305"/>
      <c r="Q96" s="305"/>
      <c r="R96" s="494">
        <f t="shared" si="23"/>
        <v>293.75913074703311</v>
      </c>
      <c r="S96" s="494">
        <f t="shared" si="24"/>
        <v>310.69741265103079</v>
      </c>
      <c r="T96" s="494">
        <f t="shared" si="25"/>
        <v>552.97367348609589</v>
      </c>
      <c r="U96" s="305"/>
    </row>
    <row r="97" spans="1:21">
      <c r="A97">
        <v>91</v>
      </c>
      <c r="B97" s="305"/>
      <c r="C97" s="305"/>
      <c r="D97" s="305"/>
      <c r="E97" s="305"/>
      <c r="F97" s="305"/>
      <c r="G97" s="305"/>
      <c r="H97" s="305"/>
      <c r="I97" s="305"/>
      <c r="J97" s="305"/>
      <c r="K97" s="305"/>
      <c r="L97" s="305"/>
      <c r="M97" s="305"/>
      <c r="N97" s="305"/>
      <c r="O97" s="305"/>
      <c r="P97" s="305"/>
      <c r="Q97" s="305"/>
      <c r="R97" s="494">
        <f t="shared" si="23"/>
        <v>293.75913074703311</v>
      </c>
      <c r="S97" s="494">
        <f t="shared" si="24"/>
        <v>310.69741265103079</v>
      </c>
      <c r="T97" s="494">
        <f t="shared" si="25"/>
        <v>552.97367348609589</v>
      </c>
      <c r="U97" s="305"/>
    </row>
    <row r="98" spans="1:21">
      <c r="A98">
        <v>92</v>
      </c>
      <c r="B98" s="305"/>
      <c r="C98" s="305"/>
      <c r="D98" s="305"/>
      <c r="E98" s="305"/>
      <c r="F98" s="305"/>
      <c r="G98" s="305"/>
      <c r="H98" s="305"/>
      <c r="I98" s="305"/>
      <c r="J98" s="305"/>
      <c r="K98" s="305"/>
      <c r="L98" s="305"/>
      <c r="M98" s="305"/>
      <c r="N98" s="305"/>
      <c r="O98" s="305"/>
      <c r="P98" s="305"/>
      <c r="Q98" s="305"/>
      <c r="R98" s="494">
        <f t="shared" si="23"/>
        <v>293.75913074703311</v>
      </c>
      <c r="S98" s="494">
        <f t="shared" si="24"/>
        <v>310.69741265103079</v>
      </c>
      <c r="T98" s="494">
        <f t="shared" si="25"/>
        <v>552.97367348609589</v>
      </c>
      <c r="U98" s="305"/>
    </row>
    <row r="99" spans="1:21">
      <c r="A99">
        <v>93</v>
      </c>
      <c r="B99" s="305"/>
      <c r="C99" s="305"/>
      <c r="D99" s="305"/>
      <c r="E99" s="305"/>
      <c r="F99" s="305"/>
      <c r="G99" s="305"/>
      <c r="H99" s="305"/>
      <c r="I99" s="305"/>
      <c r="J99" s="305"/>
      <c r="K99" s="305"/>
      <c r="L99" s="305"/>
      <c r="M99" s="305"/>
      <c r="N99" s="305"/>
      <c r="O99" s="305"/>
      <c r="P99" s="305"/>
      <c r="Q99" s="305"/>
      <c r="R99" s="494">
        <f t="shared" si="23"/>
        <v>293.75913074703311</v>
      </c>
      <c r="S99" s="494">
        <f t="shared" si="24"/>
        <v>310.69741265103079</v>
      </c>
      <c r="T99" s="494">
        <f t="shared" si="25"/>
        <v>552.97367348609589</v>
      </c>
      <c r="U99" s="305"/>
    </row>
    <row r="100" spans="1:21">
      <c r="A100">
        <v>94</v>
      </c>
      <c r="B100" s="305"/>
      <c r="C100" s="305"/>
      <c r="D100" s="305"/>
      <c r="E100" s="305"/>
      <c r="F100" s="305"/>
      <c r="G100" s="305"/>
      <c r="H100" s="305"/>
      <c r="I100" s="305"/>
      <c r="J100" s="305"/>
      <c r="K100" s="305"/>
      <c r="L100" s="305"/>
      <c r="M100" s="305"/>
      <c r="N100" s="305"/>
      <c r="O100" s="305"/>
      <c r="P100" s="305"/>
      <c r="Q100" s="305"/>
      <c r="R100" s="494">
        <f t="shared" si="23"/>
        <v>293.75913074703311</v>
      </c>
      <c r="S100" s="494">
        <f t="shared" si="24"/>
        <v>310.69741265103079</v>
      </c>
      <c r="T100" s="494">
        <f t="shared" si="25"/>
        <v>552.97367348609589</v>
      </c>
      <c r="U100" s="305"/>
    </row>
    <row r="101" spans="1:21">
      <c r="A101">
        <v>95</v>
      </c>
      <c r="B101" s="305"/>
      <c r="C101" s="305"/>
      <c r="D101" s="305"/>
      <c r="E101" s="305"/>
      <c r="F101" s="305"/>
      <c r="G101" s="305"/>
      <c r="H101" s="305"/>
      <c r="I101" s="305"/>
      <c r="J101" s="305"/>
      <c r="K101" s="305"/>
      <c r="L101" s="305"/>
      <c r="M101" s="305"/>
      <c r="N101" s="305"/>
      <c r="O101" s="305"/>
      <c r="P101" s="305"/>
      <c r="Q101" s="305"/>
      <c r="R101" s="494">
        <f t="shared" si="23"/>
        <v>293.75913074703311</v>
      </c>
      <c r="S101" s="494">
        <f t="shared" si="24"/>
        <v>310.69741265103079</v>
      </c>
      <c r="T101" s="494">
        <f t="shared" si="25"/>
        <v>552.97367348609589</v>
      </c>
      <c r="U101" s="305"/>
    </row>
    <row r="102" spans="1:21">
      <c r="A102">
        <v>96</v>
      </c>
      <c r="B102" s="305"/>
      <c r="C102" s="305"/>
      <c r="D102" s="305"/>
      <c r="E102" s="305"/>
      <c r="F102" s="305"/>
      <c r="G102" s="305"/>
      <c r="H102" s="305"/>
      <c r="I102" s="305"/>
      <c r="J102" s="305"/>
      <c r="K102" s="305"/>
      <c r="L102" s="305"/>
      <c r="M102" s="305"/>
      <c r="N102" s="305"/>
      <c r="O102" s="305"/>
      <c r="P102" s="305"/>
      <c r="Q102" s="305"/>
      <c r="R102" s="494">
        <f t="shared" si="23"/>
        <v>293.75913074703311</v>
      </c>
      <c r="S102" s="494">
        <f t="shared" si="24"/>
        <v>310.69741265103079</v>
      </c>
      <c r="T102" s="494">
        <f t="shared" si="25"/>
        <v>552.97367348609589</v>
      </c>
      <c r="U102" s="305"/>
    </row>
    <row r="103" spans="1:21">
      <c r="A103">
        <v>97</v>
      </c>
      <c r="B103" s="305"/>
      <c r="C103" s="305"/>
      <c r="D103" s="305"/>
      <c r="E103" s="305"/>
      <c r="F103" s="305"/>
      <c r="G103" s="305"/>
      <c r="H103" s="305"/>
      <c r="I103" s="305"/>
      <c r="J103" s="305"/>
      <c r="K103" s="305"/>
      <c r="L103" s="305"/>
      <c r="M103" s="305"/>
      <c r="N103" s="305"/>
      <c r="O103" s="305"/>
      <c r="P103" s="305"/>
      <c r="Q103" s="305"/>
      <c r="R103" s="494">
        <f t="shared" si="23"/>
        <v>293.75913074703311</v>
      </c>
      <c r="S103" s="494">
        <f t="shared" si="24"/>
        <v>310.69741265103079</v>
      </c>
      <c r="T103" s="494">
        <f t="shared" si="25"/>
        <v>552.97367348609589</v>
      </c>
      <c r="U103" s="305"/>
    </row>
    <row r="104" spans="1:21">
      <c r="A104">
        <v>98</v>
      </c>
      <c r="B104" s="305"/>
      <c r="C104" s="305"/>
      <c r="D104" s="305"/>
      <c r="E104" s="305"/>
      <c r="F104" s="305"/>
      <c r="G104" s="305"/>
      <c r="H104" s="305"/>
      <c r="I104" s="305"/>
      <c r="J104" s="305"/>
      <c r="K104" s="305"/>
      <c r="L104" s="305"/>
      <c r="M104" s="305"/>
      <c r="N104" s="305"/>
      <c r="O104" s="305"/>
      <c r="P104" s="305"/>
      <c r="Q104" s="305"/>
      <c r="R104" s="494">
        <f t="shared" si="23"/>
        <v>293.75913074703311</v>
      </c>
      <c r="S104" s="494">
        <f t="shared" si="24"/>
        <v>310.69741265103079</v>
      </c>
      <c r="T104" s="494">
        <f t="shared" si="25"/>
        <v>552.97367348609589</v>
      </c>
      <c r="U104" s="305"/>
    </row>
    <row r="105" spans="1:21">
      <c r="A105">
        <v>99</v>
      </c>
      <c r="B105" s="305"/>
      <c r="C105" s="305"/>
      <c r="D105" s="305"/>
      <c r="E105" s="305"/>
      <c r="F105" s="305"/>
      <c r="G105" s="305"/>
      <c r="H105" s="305"/>
      <c r="I105" s="305"/>
      <c r="J105" s="305"/>
      <c r="K105" s="305"/>
      <c r="L105" s="305"/>
      <c r="M105" s="305"/>
      <c r="N105" s="305"/>
      <c r="O105" s="305"/>
      <c r="P105" s="305"/>
      <c r="Q105" s="305"/>
      <c r="R105" s="494">
        <f t="shared" si="23"/>
        <v>293.75913074703311</v>
      </c>
      <c r="S105" s="494">
        <f t="shared" si="24"/>
        <v>310.69741265103079</v>
      </c>
      <c r="T105" s="494">
        <f t="shared" si="25"/>
        <v>552.97367348609589</v>
      </c>
      <c r="U105" s="305"/>
    </row>
    <row r="106" spans="1:21">
      <c r="A106">
        <v>100</v>
      </c>
      <c r="B106" s="305"/>
      <c r="C106" s="305"/>
      <c r="D106" s="305"/>
      <c r="E106" s="305"/>
      <c r="F106" s="305"/>
      <c r="G106" s="305"/>
      <c r="H106" s="305"/>
      <c r="I106" s="305"/>
      <c r="J106" s="305"/>
      <c r="K106" s="305"/>
      <c r="L106" s="305"/>
      <c r="M106" s="305"/>
      <c r="N106" s="305"/>
      <c r="O106" s="305"/>
      <c r="P106" s="305"/>
      <c r="Q106" s="305"/>
      <c r="R106" s="494">
        <f t="shared" si="23"/>
        <v>293.75913074703311</v>
      </c>
      <c r="S106" s="494">
        <f t="shared" si="24"/>
        <v>310.69741265103079</v>
      </c>
      <c r="T106" s="494">
        <f t="shared" si="25"/>
        <v>552.97367348609589</v>
      </c>
      <c r="U106" s="305"/>
    </row>
    <row r="107" spans="1:21">
      <c r="A107">
        <v>101</v>
      </c>
      <c r="B107" s="305"/>
      <c r="C107" s="305"/>
      <c r="D107" s="305"/>
      <c r="E107" s="305"/>
      <c r="F107" s="305"/>
      <c r="G107" s="305"/>
      <c r="H107" s="305"/>
      <c r="I107" s="305"/>
      <c r="J107" s="305"/>
      <c r="K107" s="305"/>
      <c r="L107" s="305"/>
      <c r="M107" s="305"/>
      <c r="N107" s="305"/>
      <c r="O107" s="305"/>
      <c r="P107" s="305"/>
      <c r="Q107" s="305"/>
      <c r="R107" s="494">
        <f t="shared" si="23"/>
        <v>293.75913074703311</v>
      </c>
      <c r="S107" s="494">
        <f t="shared" si="24"/>
        <v>310.69741265103079</v>
      </c>
      <c r="T107" s="494">
        <f t="shared" si="25"/>
        <v>552.97367348609589</v>
      </c>
      <c r="U107" s="305"/>
    </row>
    <row r="108" spans="1:21">
      <c r="A108">
        <v>102</v>
      </c>
      <c r="B108" s="305"/>
      <c r="C108" s="305"/>
      <c r="D108" s="305"/>
      <c r="E108" s="305"/>
      <c r="F108" s="305"/>
      <c r="G108" s="305"/>
      <c r="H108" s="305"/>
      <c r="I108" s="305"/>
      <c r="J108" s="305"/>
      <c r="K108" s="305"/>
      <c r="L108" s="305"/>
      <c r="M108" s="305"/>
      <c r="N108" s="305"/>
      <c r="O108" s="305"/>
      <c r="P108" s="305"/>
      <c r="Q108" s="305"/>
      <c r="R108" s="494">
        <f t="shared" si="23"/>
        <v>293.75913074703311</v>
      </c>
      <c r="S108" s="494">
        <f t="shared" si="24"/>
        <v>310.69741265103079</v>
      </c>
      <c r="T108" s="494">
        <f t="shared" si="25"/>
        <v>552.97367348609589</v>
      </c>
      <c r="U108" s="305"/>
    </row>
    <row r="109" spans="1:21">
      <c r="A109">
        <v>103</v>
      </c>
      <c r="B109" s="305"/>
      <c r="C109" s="305"/>
      <c r="D109" s="305"/>
      <c r="E109" s="305"/>
      <c r="F109" s="305"/>
      <c r="G109" s="305"/>
      <c r="H109" s="305"/>
      <c r="I109" s="305"/>
      <c r="J109" s="305"/>
      <c r="K109" s="305"/>
      <c r="L109" s="305"/>
      <c r="M109" s="305"/>
      <c r="N109" s="305"/>
      <c r="O109" s="305"/>
      <c r="P109" s="305"/>
      <c r="Q109" s="305"/>
      <c r="R109" s="494">
        <f t="shared" si="23"/>
        <v>293.75913074703311</v>
      </c>
      <c r="S109" s="494">
        <f t="shared" si="24"/>
        <v>310.69741265103079</v>
      </c>
      <c r="T109" s="494">
        <f t="shared" si="25"/>
        <v>552.97367348609589</v>
      </c>
      <c r="U109" s="305"/>
    </row>
    <row r="110" spans="1:21">
      <c r="A110">
        <v>104</v>
      </c>
      <c r="B110" s="305"/>
      <c r="C110" s="305"/>
      <c r="D110" s="305"/>
      <c r="E110" s="305"/>
      <c r="F110" s="305"/>
      <c r="G110" s="305"/>
      <c r="H110" s="305"/>
      <c r="I110" s="305"/>
      <c r="J110" s="305"/>
      <c r="K110" s="305"/>
      <c r="L110" s="305"/>
      <c r="M110" s="305"/>
      <c r="N110" s="305"/>
      <c r="O110" s="305"/>
      <c r="P110" s="305"/>
      <c r="Q110" s="305"/>
      <c r="R110" s="494">
        <f t="shared" si="23"/>
        <v>293.75913074703311</v>
      </c>
      <c r="S110" s="494">
        <f t="shared" si="24"/>
        <v>310.69741265103079</v>
      </c>
      <c r="T110" s="494">
        <f t="shared" si="25"/>
        <v>552.97367348609589</v>
      </c>
      <c r="U110" s="305"/>
    </row>
    <row r="111" spans="1:21">
      <c r="A111">
        <v>105</v>
      </c>
      <c r="B111" s="305"/>
      <c r="C111" s="305"/>
      <c r="D111" s="305"/>
      <c r="E111" s="305"/>
      <c r="F111" s="305"/>
      <c r="G111" s="305"/>
      <c r="H111" s="305"/>
      <c r="I111" s="305"/>
      <c r="J111" s="305"/>
      <c r="K111" s="305"/>
      <c r="L111" s="305"/>
      <c r="M111" s="305"/>
      <c r="N111" s="305"/>
      <c r="O111" s="305"/>
      <c r="P111" s="305"/>
      <c r="Q111" s="305"/>
      <c r="R111" s="494">
        <f t="shared" si="23"/>
        <v>293.75913074703311</v>
      </c>
      <c r="S111" s="494">
        <f t="shared" si="24"/>
        <v>310.69741265103079</v>
      </c>
      <c r="T111" s="494">
        <f t="shared" si="25"/>
        <v>552.97367348609589</v>
      </c>
      <c r="U111" s="305"/>
    </row>
    <row r="112" spans="1:21">
      <c r="A112">
        <v>106</v>
      </c>
      <c r="B112" s="305"/>
      <c r="C112" s="305"/>
      <c r="D112" s="305"/>
      <c r="E112" s="305"/>
      <c r="F112" s="305"/>
      <c r="G112" s="305"/>
      <c r="H112" s="305"/>
      <c r="I112" s="305"/>
      <c r="J112" s="305"/>
      <c r="K112" s="305"/>
      <c r="L112" s="305"/>
      <c r="M112" s="305"/>
      <c r="N112" s="305"/>
      <c r="O112" s="305"/>
      <c r="P112" s="305"/>
      <c r="Q112" s="305"/>
      <c r="R112" s="494">
        <f t="shared" si="23"/>
        <v>293.75913074703311</v>
      </c>
      <c r="S112" s="494">
        <f t="shared" si="24"/>
        <v>310.69741265103079</v>
      </c>
      <c r="T112" s="494">
        <f t="shared" si="25"/>
        <v>552.97367348609589</v>
      </c>
      <c r="U112" s="305"/>
    </row>
    <row r="113" spans="1:21">
      <c r="A113">
        <v>107</v>
      </c>
      <c r="B113" s="305"/>
      <c r="C113" s="305"/>
      <c r="D113" s="305"/>
      <c r="E113" s="305"/>
      <c r="F113" s="305"/>
      <c r="G113" s="305"/>
      <c r="H113" s="305"/>
      <c r="I113" s="305"/>
      <c r="J113" s="305"/>
      <c r="K113" s="305"/>
      <c r="L113" s="305"/>
      <c r="M113" s="305"/>
      <c r="N113" s="305"/>
      <c r="O113" s="305"/>
      <c r="P113" s="305"/>
      <c r="Q113" s="305"/>
      <c r="R113" s="494">
        <f t="shared" si="23"/>
        <v>293.75913074703311</v>
      </c>
      <c r="S113" s="494">
        <f t="shared" si="24"/>
        <v>310.69741265103079</v>
      </c>
      <c r="T113" s="494">
        <f t="shared" si="25"/>
        <v>552.97367348609589</v>
      </c>
      <c r="U113" s="305"/>
    </row>
    <row r="114" spans="1:21">
      <c r="A114">
        <v>108</v>
      </c>
      <c r="B114" s="305"/>
      <c r="C114" s="305"/>
      <c r="D114" s="305"/>
      <c r="E114" s="305"/>
      <c r="F114" s="305"/>
      <c r="G114" s="305"/>
      <c r="H114" s="305"/>
      <c r="I114" s="305"/>
      <c r="J114" s="305"/>
      <c r="K114" s="305"/>
      <c r="L114" s="305"/>
      <c r="M114" s="305"/>
      <c r="N114" s="305"/>
      <c r="O114" s="305"/>
      <c r="P114" s="305"/>
      <c r="Q114" s="305"/>
      <c r="R114" s="494">
        <f t="shared" si="23"/>
        <v>293.75913074703311</v>
      </c>
      <c r="S114" s="494">
        <f t="shared" si="24"/>
        <v>310.69741265103079</v>
      </c>
      <c r="T114" s="494">
        <f t="shared" si="25"/>
        <v>552.97367348609589</v>
      </c>
      <c r="U114" s="305"/>
    </row>
    <row r="115" spans="1:21">
      <c r="A115">
        <v>109</v>
      </c>
      <c r="B115" s="305"/>
      <c r="C115" s="305"/>
      <c r="D115" s="305"/>
      <c r="E115" s="305"/>
      <c r="F115" s="305"/>
      <c r="G115" s="305"/>
      <c r="H115" s="305"/>
      <c r="I115" s="305"/>
      <c r="J115" s="305"/>
      <c r="K115" s="305"/>
      <c r="L115" s="305"/>
      <c r="M115" s="305"/>
      <c r="N115" s="305"/>
      <c r="O115" s="305"/>
      <c r="P115" s="305"/>
      <c r="Q115" s="305"/>
      <c r="R115" s="494">
        <f t="shared" si="23"/>
        <v>293.75913074703311</v>
      </c>
      <c r="S115" s="494">
        <f t="shared" si="24"/>
        <v>310.69741265103079</v>
      </c>
      <c r="T115" s="494">
        <f t="shared" si="25"/>
        <v>552.97367348609589</v>
      </c>
      <c r="U115" s="305"/>
    </row>
    <row r="116" spans="1:21">
      <c r="A116">
        <v>110</v>
      </c>
      <c r="B116" s="305"/>
      <c r="C116" s="305"/>
      <c r="D116" s="305"/>
      <c r="E116" s="305"/>
      <c r="F116" s="305"/>
      <c r="G116" s="305"/>
      <c r="H116" s="305"/>
      <c r="I116" s="305"/>
      <c r="J116" s="305"/>
      <c r="K116" s="305"/>
      <c r="L116" s="305"/>
      <c r="M116" s="305"/>
      <c r="N116" s="305"/>
      <c r="O116" s="305"/>
      <c r="P116" s="305"/>
      <c r="Q116" s="305"/>
      <c r="R116" s="494">
        <f t="shared" si="23"/>
        <v>293.75913074703311</v>
      </c>
      <c r="S116" s="494">
        <f t="shared" si="24"/>
        <v>310.69741265103079</v>
      </c>
      <c r="T116" s="494">
        <f t="shared" si="25"/>
        <v>552.97367348609589</v>
      </c>
      <c r="U116" s="305"/>
    </row>
    <row r="117" spans="1:21">
      <c r="A117">
        <v>111</v>
      </c>
      <c r="B117" s="305"/>
      <c r="C117" s="305"/>
      <c r="D117" s="305"/>
      <c r="E117" s="305"/>
      <c r="F117" s="305"/>
      <c r="G117" s="305"/>
      <c r="H117" s="305"/>
      <c r="I117" s="305"/>
      <c r="J117" s="305"/>
      <c r="K117" s="305"/>
      <c r="L117" s="305"/>
      <c r="M117" s="305"/>
      <c r="N117" s="305"/>
      <c r="O117" s="305"/>
      <c r="P117" s="305"/>
      <c r="Q117" s="305"/>
      <c r="R117" s="494">
        <f t="shared" si="23"/>
        <v>293.75913074703311</v>
      </c>
      <c r="S117" s="494">
        <f t="shared" si="24"/>
        <v>310.69741265103079</v>
      </c>
      <c r="T117" s="494">
        <f t="shared" si="25"/>
        <v>552.97367348609589</v>
      </c>
      <c r="U117" s="305"/>
    </row>
    <row r="118" spans="1:21">
      <c r="A118">
        <v>112</v>
      </c>
      <c r="B118" s="305"/>
      <c r="C118" s="305"/>
      <c r="D118" s="305"/>
      <c r="E118" s="305"/>
      <c r="F118" s="305"/>
      <c r="G118" s="305"/>
      <c r="H118" s="305"/>
      <c r="I118" s="305"/>
      <c r="J118" s="305"/>
      <c r="K118" s="305"/>
      <c r="L118" s="305"/>
      <c r="M118" s="305"/>
      <c r="N118" s="305"/>
      <c r="O118" s="305"/>
      <c r="P118" s="305"/>
      <c r="Q118" s="305"/>
      <c r="R118" s="494">
        <f t="shared" si="23"/>
        <v>293.75913074703311</v>
      </c>
      <c r="S118" s="494">
        <f t="shared" si="24"/>
        <v>310.69741265103079</v>
      </c>
      <c r="T118" s="494">
        <f t="shared" si="25"/>
        <v>552.97367348609589</v>
      </c>
      <c r="U118" s="305"/>
    </row>
    <row r="119" spans="1:21">
      <c r="A119">
        <v>113</v>
      </c>
      <c r="B119" s="305"/>
      <c r="C119" s="305"/>
      <c r="D119" s="305"/>
      <c r="E119" s="305"/>
      <c r="F119" s="305"/>
      <c r="G119" s="305"/>
      <c r="H119" s="305"/>
      <c r="I119" s="305"/>
      <c r="J119" s="305"/>
      <c r="K119" s="305"/>
      <c r="L119" s="305"/>
      <c r="M119" s="305"/>
      <c r="N119" s="305"/>
      <c r="O119" s="305"/>
      <c r="P119" s="305"/>
      <c r="Q119" s="305"/>
      <c r="R119" s="494">
        <f t="shared" si="23"/>
        <v>293.75913074703311</v>
      </c>
      <c r="S119" s="494">
        <f t="shared" si="24"/>
        <v>310.69741265103079</v>
      </c>
      <c r="T119" s="494">
        <f t="shared" si="25"/>
        <v>552.97367348609589</v>
      </c>
      <c r="U119" s="305"/>
    </row>
    <row r="120" spans="1:21">
      <c r="A120">
        <v>114</v>
      </c>
      <c r="B120" s="305"/>
      <c r="C120" s="305"/>
      <c r="D120" s="305"/>
      <c r="E120" s="305"/>
      <c r="F120" s="305"/>
      <c r="G120" s="305"/>
      <c r="H120" s="305"/>
      <c r="I120" s="305"/>
      <c r="J120" s="305"/>
      <c r="K120" s="305"/>
      <c r="L120" s="305"/>
      <c r="M120" s="305"/>
      <c r="N120" s="305"/>
      <c r="O120" s="305"/>
      <c r="P120" s="305"/>
      <c r="Q120" s="305"/>
      <c r="R120" s="494">
        <f t="shared" si="23"/>
        <v>293.75913074703311</v>
      </c>
      <c r="S120" s="494">
        <f t="shared" si="24"/>
        <v>310.69741265103079</v>
      </c>
      <c r="T120" s="494">
        <f t="shared" si="25"/>
        <v>552.97367348609589</v>
      </c>
      <c r="U120" s="305"/>
    </row>
    <row r="121" spans="1:21">
      <c r="A121">
        <v>115</v>
      </c>
      <c r="B121" s="305"/>
      <c r="C121" s="305"/>
      <c r="D121" s="305"/>
      <c r="E121" s="305"/>
      <c r="F121" s="305"/>
      <c r="G121" s="305"/>
      <c r="H121" s="305"/>
      <c r="I121" s="305"/>
      <c r="J121" s="305"/>
      <c r="K121" s="305"/>
      <c r="L121" s="305"/>
      <c r="M121" s="305"/>
      <c r="N121" s="305"/>
      <c r="O121" s="305"/>
      <c r="P121" s="305"/>
      <c r="Q121" s="305"/>
      <c r="R121" s="494">
        <f t="shared" si="23"/>
        <v>293.75913074703311</v>
      </c>
      <c r="S121" s="494">
        <f t="shared" si="24"/>
        <v>310.69741265103079</v>
      </c>
      <c r="T121" s="494">
        <f t="shared" si="25"/>
        <v>552.97367348609589</v>
      </c>
      <c r="U121" s="305"/>
    </row>
    <row r="122" spans="1:21">
      <c r="A122">
        <v>116</v>
      </c>
      <c r="B122" s="305"/>
      <c r="C122" s="305"/>
      <c r="D122" s="305"/>
      <c r="E122" s="305"/>
      <c r="F122" s="305"/>
      <c r="G122" s="305"/>
      <c r="H122" s="305"/>
      <c r="I122" s="305"/>
      <c r="J122" s="305"/>
      <c r="K122" s="305"/>
      <c r="L122" s="305"/>
      <c r="M122" s="305"/>
      <c r="N122" s="305"/>
      <c r="O122" s="305"/>
      <c r="P122" s="305"/>
      <c r="Q122" s="305"/>
      <c r="R122" s="494">
        <f t="shared" si="23"/>
        <v>293.75913074703311</v>
      </c>
      <c r="S122" s="494">
        <f t="shared" si="24"/>
        <v>310.69741265103079</v>
      </c>
      <c r="T122" s="494">
        <f t="shared" si="25"/>
        <v>552.97367348609589</v>
      </c>
      <c r="U122" s="305"/>
    </row>
    <row r="123" spans="1:21">
      <c r="A123">
        <v>117</v>
      </c>
      <c r="B123" s="305"/>
      <c r="C123" s="305"/>
      <c r="D123" s="305"/>
      <c r="E123" s="305"/>
      <c r="F123" s="305"/>
      <c r="G123" s="305"/>
      <c r="H123" s="305"/>
      <c r="I123" s="305"/>
      <c r="J123" s="305"/>
      <c r="K123" s="305"/>
      <c r="L123" s="305"/>
      <c r="M123" s="305"/>
      <c r="N123" s="305"/>
      <c r="O123" s="305"/>
      <c r="P123" s="305"/>
      <c r="Q123" s="305"/>
      <c r="R123" s="494">
        <f t="shared" si="23"/>
        <v>293.75913074703311</v>
      </c>
      <c r="S123" s="494">
        <f t="shared" si="24"/>
        <v>310.69741265103079</v>
      </c>
      <c r="T123" s="494">
        <f t="shared" si="25"/>
        <v>552.97367348609589</v>
      </c>
      <c r="U123" s="305"/>
    </row>
    <row r="124" spans="1:21">
      <c r="A124">
        <v>118</v>
      </c>
      <c r="B124" s="305"/>
      <c r="C124" s="305"/>
      <c r="D124" s="305"/>
      <c r="E124" s="305"/>
      <c r="F124" s="305"/>
      <c r="G124" s="305"/>
      <c r="H124" s="305"/>
      <c r="I124" s="305"/>
      <c r="J124" s="305"/>
      <c r="K124" s="305"/>
      <c r="L124" s="305"/>
      <c r="M124" s="305"/>
      <c r="N124" s="305"/>
      <c r="O124" s="305"/>
      <c r="P124" s="305"/>
      <c r="Q124" s="305"/>
      <c r="R124" s="494">
        <f t="shared" si="23"/>
        <v>293.75913074703311</v>
      </c>
      <c r="S124" s="494">
        <f t="shared" si="24"/>
        <v>310.69741265103079</v>
      </c>
      <c r="T124" s="494">
        <f t="shared" si="25"/>
        <v>552.97367348609589</v>
      </c>
      <c r="U124" s="305"/>
    </row>
    <row r="125" spans="1:21">
      <c r="A125">
        <v>119</v>
      </c>
      <c r="B125" s="305"/>
      <c r="C125" s="305"/>
      <c r="D125" s="305"/>
      <c r="E125" s="305"/>
      <c r="F125" s="305"/>
      <c r="G125" s="305"/>
      <c r="H125" s="305"/>
      <c r="I125" s="305"/>
      <c r="J125" s="305"/>
      <c r="K125" s="305"/>
      <c r="L125" s="305"/>
      <c r="M125" s="305"/>
      <c r="N125" s="305"/>
      <c r="O125" s="305"/>
      <c r="P125" s="305"/>
      <c r="Q125" s="305"/>
      <c r="R125" s="494">
        <f t="shared" si="23"/>
        <v>293.75913074703311</v>
      </c>
      <c r="S125" s="494">
        <f t="shared" si="24"/>
        <v>310.69741265103079</v>
      </c>
      <c r="T125" s="494">
        <f t="shared" si="25"/>
        <v>552.97367348609589</v>
      </c>
      <c r="U125" s="305"/>
    </row>
    <row r="126" spans="1:21">
      <c r="A126">
        <v>120</v>
      </c>
      <c r="B126" s="305"/>
      <c r="C126" s="305"/>
      <c r="D126" s="305"/>
      <c r="E126" s="305"/>
      <c r="F126" s="305"/>
      <c r="G126" s="305"/>
      <c r="H126" s="305"/>
      <c r="I126" s="305"/>
      <c r="J126" s="305"/>
      <c r="K126" s="305"/>
      <c r="L126" s="305"/>
      <c r="M126" s="305"/>
      <c r="N126" s="305"/>
      <c r="O126" s="305"/>
      <c r="P126" s="305"/>
      <c r="Q126" s="305"/>
      <c r="R126" s="494">
        <f t="shared" si="23"/>
        <v>293.75913074703311</v>
      </c>
      <c r="S126" s="494">
        <f t="shared" si="24"/>
        <v>310.69741265103079</v>
      </c>
      <c r="T126" s="494">
        <f t="shared" si="25"/>
        <v>552.97367348609589</v>
      </c>
      <c r="U126" s="305"/>
    </row>
    <row r="127" spans="1:21">
      <c r="A127">
        <v>121</v>
      </c>
      <c r="B127" s="305"/>
      <c r="C127" s="305"/>
      <c r="D127" s="305"/>
      <c r="E127" s="305"/>
      <c r="F127" s="305"/>
      <c r="G127" s="305"/>
      <c r="H127" s="305"/>
      <c r="I127" s="305"/>
      <c r="J127" s="305"/>
      <c r="K127" s="305"/>
      <c r="L127" s="305"/>
      <c r="M127" s="305"/>
      <c r="N127" s="305"/>
      <c r="O127" s="305"/>
      <c r="P127" s="305"/>
      <c r="Q127" s="305"/>
      <c r="R127" s="494">
        <f t="shared" si="23"/>
        <v>293.75913074703311</v>
      </c>
      <c r="S127" s="494">
        <f t="shared" si="24"/>
        <v>310.69741265103079</v>
      </c>
      <c r="T127" s="494">
        <f t="shared" si="25"/>
        <v>552.97367348609589</v>
      </c>
      <c r="U127" s="305"/>
    </row>
    <row r="128" spans="1:21">
      <c r="A128">
        <v>122</v>
      </c>
      <c r="B128" s="305"/>
      <c r="C128" s="305"/>
      <c r="D128" s="305"/>
      <c r="E128" s="305"/>
      <c r="F128" s="305"/>
      <c r="G128" s="305"/>
      <c r="H128" s="305"/>
      <c r="I128" s="305"/>
      <c r="J128" s="305"/>
      <c r="K128" s="305"/>
      <c r="L128" s="305"/>
      <c r="M128" s="305"/>
      <c r="N128" s="305"/>
      <c r="O128" s="305"/>
      <c r="P128" s="305"/>
      <c r="Q128" s="305"/>
      <c r="R128" s="494">
        <f t="shared" si="23"/>
        <v>293.75913074703311</v>
      </c>
      <c r="S128" s="494">
        <f t="shared" si="24"/>
        <v>310.69741265103079</v>
      </c>
      <c r="T128" s="494">
        <f t="shared" si="25"/>
        <v>552.97367348609589</v>
      </c>
      <c r="U128" s="305"/>
    </row>
    <row r="129" spans="1:21">
      <c r="A129">
        <v>123</v>
      </c>
      <c r="B129" s="305"/>
      <c r="C129" s="305"/>
      <c r="D129" s="305"/>
      <c r="E129" s="305"/>
      <c r="F129" s="305"/>
      <c r="G129" s="305"/>
      <c r="H129" s="305"/>
      <c r="I129" s="305"/>
      <c r="J129" s="305"/>
      <c r="K129" s="305"/>
      <c r="L129" s="305"/>
      <c r="M129" s="305"/>
      <c r="N129" s="305"/>
      <c r="O129" s="305"/>
      <c r="P129" s="305"/>
      <c r="Q129" s="305"/>
      <c r="R129" s="494">
        <f t="shared" si="23"/>
        <v>293.75913074703311</v>
      </c>
      <c r="S129" s="494">
        <f t="shared" si="24"/>
        <v>310.69741265103079</v>
      </c>
      <c r="T129" s="494">
        <f t="shared" si="25"/>
        <v>552.97367348609589</v>
      </c>
      <c r="U129" s="305"/>
    </row>
    <row r="130" spans="1:21">
      <c r="A130">
        <v>124</v>
      </c>
      <c r="B130" s="305"/>
      <c r="C130" s="305"/>
      <c r="D130" s="305"/>
      <c r="E130" s="305"/>
      <c r="F130" s="305"/>
      <c r="G130" s="305"/>
      <c r="H130" s="305"/>
      <c r="I130" s="305"/>
      <c r="J130" s="305"/>
      <c r="K130" s="305"/>
      <c r="L130" s="305"/>
      <c r="M130" s="305"/>
      <c r="N130" s="305"/>
      <c r="O130" s="305"/>
      <c r="P130" s="305"/>
      <c r="Q130" s="305"/>
      <c r="R130" s="494">
        <f t="shared" si="23"/>
        <v>293.75913074703311</v>
      </c>
      <c r="S130" s="494">
        <f t="shared" si="24"/>
        <v>310.69741265103079</v>
      </c>
      <c r="T130" s="494">
        <f t="shared" si="25"/>
        <v>552.97367348609589</v>
      </c>
      <c r="U130" s="305"/>
    </row>
    <row r="131" spans="1:21">
      <c r="A131">
        <v>125</v>
      </c>
      <c r="B131" s="305"/>
      <c r="C131" s="305"/>
      <c r="D131" s="305"/>
      <c r="E131" s="305"/>
      <c r="F131" s="305"/>
      <c r="G131" s="305"/>
      <c r="H131" s="305"/>
      <c r="I131" s="305"/>
      <c r="J131" s="305"/>
      <c r="K131" s="305"/>
      <c r="L131" s="305"/>
      <c r="M131" s="305"/>
      <c r="N131" s="305"/>
      <c r="O131" s="305"/>
      <c r="P131" s="305"/>
      <c r="Q131" s="305"/>
      <c r="R131" s="494">
        <f t="shared" si="23"/>
        <v>293.75913074703311</v>
      </c>
      <c r="S131" s="494">
        <f t="shared" si="24"/>
        <v>310.69741265103079</v>
      </c>
      <c r="T131" s="494">
        <f t="shared" si="25"/>
        <v>552.97367348609589</v>
      </c>
      <c r="U131" s="305"/>
    </row>
    <row r="132" spans="1:21">
      <c r="A132">
        <v>126</v>
      </c>
      <c r="B132" s="305"/>
      <c r="C132" s="305"/>
      <c r="D132" s="305"/>
      <c r="E132" s="305"/>
      <c r="F132" s="305"/>
      <c r="G132" s="305"/>
      <c r="H132" s="305"/>
      <c r="I132" s="305"/>
      <c r="J132" s="305"/>
      <c r="K132" s="305"/>
      <c r="L132" s="305"/>
      <c r="M132" s="305"/>
      <c r="N132" s="305"/>
      <c r="O132" s="305"/>
      <c r="P132" s="305"/>
      <c r="Q132" s="305"/>
      <c r="R132" s="494">
        <f t="shared" si="23"/>
        <v>293.75913074703311</v>
      </c>
      <c r="S132" s="494">
        <f t="shared" si="24"/>
        <v>310.69741265103079</v>
      </c>
      <c r="T132" s="494">
        <f t="shared" si="25"/>
        <v>552.97367348609589</v>
      </c>
      <c r="U132" s="305"/>
    </row>
    <row r="133" spans="1:21">
      <c r="A133">
        <v>127</v>
      </c>
      <c r="B133" s="305"/>
      <c r="C133" s="305"/>
      <c r="D133" s="305"/>
      <c r="E133" s="305"/>
      <c r="F133" s="305"/>
      <c r="G133" s="305"/>
      <c r="H133" s="305"/>
      <c r="I133" s="305"/>
      <c r="J133" s="305"/>
      <c r="K133" s="305"/>
      <c r="L133" s="305"/>
      <c r="M133" s="305"/>
      <c r="N133" s="305"/>
      <c r="O133" s="305"/>
      <c r="P133" s="305"/>
      <c r="Q133" s="305"/>
      <c r="R133" s="494">
        <f t="shared" si="23"/>
        <v>293.75913074703311</v>
      </c>
      <c r="S133" s="494">
        <f t="shared" si="24"/>
        <v>310.69741265103079</v>
      </c>
      <c r="T133" s="494">
        <f t="shared" si="25"/>
        <v>552.97367348609589</v>
      </c>
      <c r="U133" s="305"/>
    </row>
    <row r="134" spans="1:21">
      <c r="A134">
        <v>128</v>
      </c>
      <c r="B134" s="305"/>
      <c r="C134" s="305"/>
      <c r="D134" s="305"/>
      <c r="E134" s="305"/>
      <c r="F134" s="305"/>
      <c r="G134" s="305"/>
      <c r="H134" s="305"/>
      <c r="I134" s="305"/>
      <c r="J134" s="305"/>
      <c r="K134" s="305"/>
      <c r="L134" s="305"/>
      <c r="M134" s="305"/>
      <c r="N134" s="305"/>
      <c r="O134" s="305"/>
      <c r="P134" s="305"/>
      <c r="Q134" s="305"/>
      <c r="R134" s="494">
        <f t="shared" si="23"/>
        <v>293.75913074703311</v>
      </c>
      <c r="S134" s="494">
        <f t="shared" si="24"/>
        <v>310.69741265103079</v>
      </c>
      <c r="T134" s="494">
        <f t="shared" si="25"/>
        <v>552.97367348609589</v>
      </c>
      <c r="U134" s="305"/>
    </row>
    <row r="135" spans="1:21">
      <c r="A135">
        <v>129</v>
      </c>
      <c r="B135" s="305"/>
      <c r="C135" s="305"/>
      <c r="D135" s="305"/>
      <c r="E135" s="305"/>
      <c r="F135" s="305"/>
      <c r="G135" s="305"/>
      <c r="H135" s="305"/>
      <c r="I135" s="305"/>
      <c r="J135" s="305"/>
      <c r="K135" s="305"/>
      <c r="L135" s="305"/>
      <c r="M135" s="305"/>
      <c r="N135" s="305"/>
      <c r="O135" s="305"/>
      <c r="P135" s="305"/>
      <c r="Q135" s="305"/>
      <c r="R135" s="494">
        <f t="shared" si="23"/>
        <v>293.75913074703311</v>
      </c>
      <c r="S135" s="494">
        <f t="shared" si="24"/>
        <v>310.69741265103079</v>
      </c>
      <c r="T135" s="494">
        <f t="shared" si="25"/>
        <v>552.97367348609589</v>
      </c>
      <c r="U135" s="305"/>
    </row>
    <row r="136" spans="1:21">
      <c r="A136">
        <v>130</v>
      </c>
      <c r="B136" s="305"/>
      <c r="C136" s="305"/>
      <c r="D136" s="305"/>
      <c r="E136" s="305"/>
      <c r="F136" s="305"/>
      <c r="G136" s="305"/>
      <c r="H136" s="305"/>
      <c r="I136" s="305"/>
      <c r="J136" s="305"/>
      <c r="K136" s="305"/>
      <c r="L136" s="305"/>
      <c r="M136" s="305"/>
      <c r="N136" s="305"/>
      <c r="O136" s="305"/>
      <c r="P136" s="305"/>
      <c r="Q136" s="305"/>
      <c r="R136" s="494">
        <f t="shared" si="23"/>
        <v>293.75913074703311</v>
      </c>
      <c r="S136" s="494">
        <f t="shared" si="24"/>
        <v>310.69741265103079</v>
      </c>
      <c r="T136" s="494">
        <f t="shared" si="25"/>
        <v>552.97367348609589</v>
      </c>
      <c r="U136" s="305"/>
    </row>
    <row r="137" spans="1:21">
      <c r="A137">
        <v>131</v>
      </c>
      <c r="B137" s="305"/>
      <c r="C137" s="305"/>
      <c r="D137" s="305"/>
      <c r="E137" s="305"/>
      <c r="F137" s="305"/>
      <c r="G137" s="305"/>
      <c r="H137" s="305"/>
      <c r="I137" s="305"/>
      <c r="J137" s="305"/>
      <c r="K137" s="305"/>
      <c r="L137" s="305"/>
      <c r="M137" s="305"/>
      <c r="N137" s="305"/>
      <c r="O137" s="305"/>
      <c r="P137" s="305"/>
      <c r="Q137" s="305"/>
      <c r="R137" s="494">
        <f t="shared" si="23"/>
        <v>293.75913074703311</v>
      </c>
      <c r="S137" s="494">
        <f t="shared" si="24"/>
        <v>310.69741265103079</v>
      </c>
      <c r="T137" s="494">
        <f t="shared" si="25"/>
        <v>552.97367348609589</v>
      </c>
      <c r="U137" s="305"/>
    </row>
    <row r="138" spans="1:21">
      <c r="A138">
        <v>132</v>
      </c>
      <c r="B138" s="305"/>
      <c r="C138" s="305"/>
      <c r="D138" s="305"/>
      <c r="E138" s="305"/>
      <c r="F138" s="305"/>
      <c r="G138" s="305"/>
      <c r="H138" s="305"/>
      <c r="I138" s="305"/>
      <c r="J138" s="305"/>
      <c r="K138" s="305"/>
      <c r="L138" s="305"/>
      <c r="M138" s="305"/>
      <c r="N138" s="305"/>
      <c r="O138" s="305"/>
      <c r="P138" s="305"/>
      <c r="Q138" s="305"/>
      <c r="R138" s="494">
        <f t="shared" ref="R138:R166" si="26">R137</f>
        <v>293.75913074703311</v>
      </c>
      <c r="S138" s="494">
        <f t="shared" ref="S138:S166" si="27">S137</f>
        <v>310.69741265103079</v>
      </c>
      <c r="T138" s="494">
        <f t="shared" ref="T138:T166" si="28">T137</f>
        <v>552.97367348609589</v>
      </c>
      <c r="U138" s="305"/>
    </row>
    <row r="139" spans="1:21">
      <c r="A139">
        <v>133</v>
      </c>
      <c r="B139" s="305"/>
      <c r="C139" s="305"/>
      <c r="D139" s="305"/>
      <c r="E139" s="305"/>
      <c r="F139" s="305"/>
      <c r="G139" s="305"/>
      <c r="H139" s="305"/>
      <c r="I139" s="305"/>
      <c r="J139" s="305"/>
      <c r="K139" s="305"/>
      <c r="L139" s="305"/>
      <c r="M139" s="305"/>
      <c r="N139" s="305"/>
      <c r="O139" s="305"/>
      <c r="P139" s="305"/>
      <c r="Q139" s="305"/>
      <c r="R139" s="494">
        <f t="shared" si="26"/>
        <v>293.75913074703311</v>
      </c>
      <c r="S139" s="494">
        <f t="shared" si="27"/>
        <v>310.69741265103079</v>
      </c>
      <c r="T139" s="494">
        <f t="shared" si="28"/>
        <v>552.97367348609589</v>
      </c>
      <c r="U139" s="305"/>
    </row>
    <row r="140" spans="1:21">
      <c r="A140">
        <v>134</v>
      </c>
      <c r="B140" s="305"/>
      <c r="C140" s="305"/>
      <c r="D140" s="305"/>
      <c r="E140" s="305"/>
      <c r="F140" s="305"/>
      <c r="G140" s="305"/>
      <c r="H140" s="305"/>
      <c r="I140" s="305"/>
      <c r="J140" s="305"/>
      <c r="K140" s="305"/>
      <c r="L140" s="305"/>
      <c r="M140" s="305"/>
      <c r="N140" s="305"/>
      <c r="O140" s="305"/>
      <c r="P140" s="305"/>
      <c r="Q140" s="305"/>
      <c r="R140" s="494">
        <f t="shared" si="26"/>
        <v>293.75913074703311</v>
      </c>
      <c r="S140" s="494">
        <f t="shared" si="27"/>
        <v>310.69741265103079</v>
      </c>
      <c r="T140" s="494">
        <f t="shared" si="28"/>
        <v>552.97367348609589</v>
      </c>
      <c r="U140" s="305"/>
    </row>
    <row r="141" spans="1:21">
      <c r="A141">
        <v>135</v>
      </c>
      <c r="B141" s="305"/>
      <c r="C141" s="305"/>
      <c r="D141" s="305"/>
      <c r="E141" s="305"/>
      <c r="F141" s="305"/>
      <c r="G141" s="305"/>
      <c r="H141" s="305"/>
      <c r="I141" s="305"/>
      <c r="J141" s="305"/>
      <c r="K141" s="305"/>
      <c r="L141" s="305"/>
      <c r="M141" s="305"/>
      <c r="N141" s="305"/>
      <c r="O141" s="305"/>
      <c r="P141" s="305"/>
      <c r="Q141" s="305"/>
      <c r="R141" s="494">
        <f t="shared" si="26"/>
        <v>293.75913074703311</v>
      </c>
      <c r="S141" s="494">
        <f t="shared" si="27"/>
        <v>310.69741265103079</v>
      </c>
      <c r="T141" s="494">
        <f t="shared" si="28"/>
        <v>552.97367348609589</v>
      </c>
      <c r="U141" s="305"/>
    </row>
    <row r="142" spans="1:21">
      <c r="A142">
        <v>136</v>
      </c>
      <c r="B142" s="305"/>
      <c r="C142" s="305"/>
      <c r="D142" s="305"/>
      <c r="E142" s="305"/>
      <c r="F142" s="305"/>
      <c r="G142" s="305"/>
      <c r="H142" s="305"/>
      <c r="I142" s="305"/>
      <c r="J142" s="305"/>
      <c r="K142" s="305"/>
      <c r="L142" s="305"/>
      <c r="M142" s="305"/>
      <c r="N142" s="305"/>
      <c r="O142" s="305"/>
      <c r="P142" s="305"/>
      <c r="Q142" s="305"/>
      <c r="R142" s="494">
        <f t="shared" si="26"/>
        <v>293.75913074703311</v>
      </c>
      <c r="S142" s="494">
        <f t="shared" si="27"/>
        <v>310.69741265103079</v>
      </c>
      <c r="T142" s="494">
        <f t="shared" si="28"/>
        <v>552.97367348609589</v>
      </c>
      <c r="U142" s="305"/>
    </row>
    <row r="143" spans="1:21">
      <c r="A143">
        <v>137</v>
      </c>
      <c r="B143" s="305"/>
      <c r="C143" s="305"/>
      <c r="D143" s="305"/>
      <c r="E143" s="305"/>
      <c r="F143" s="305"/>
      <c r="G143" s="305"/>
      <c r="H143" s="305"/>
      <c r="I143" s="305"/>
      <c r="J143" s="305"/>
      <c r="K143" s="305"/>
      <c r="L143" s="305"/>
      <c r="M143" s="305"/>
      <c r="N143" s="305"/>
      <c r="O143" s="305"/>
      <c r="P143" s="305"/>
      <c r="Q143" s="305"/>
      <c r="R143" s="494">
        <f t="shared" si="26"/>
        <v>293.75913074703311</v>
      </c>
      <c r="S143" s="494">
        <f t="shared" si="27"/>
        <v>310.69741265103079</v>
      </c>
      <c r="T143" s="494">
        <f t="shared" si="28"/>
        <v>552.97367348609589</v>
      </c>
      <c r="U143" s="305"/>
    </row>
    <row r="144" spans="1:21">
      <c r="A144">
        <v>138</v>
      </c>
      <c r="B144" s="305"/>
      <c r="C144" s="305"/>
      <c r="D144" s="305"/>
      <c r="E144" s="305"/>
      <c r="F144" s="305"/>
      <c r="G144" s="305"/>
      <c r="H144" s="305"/>
      <c r="I144" s="305"/>
      <c r="J144" s="305"/>
      <c r="K144" s="305"/>
      <c r="L144" s="305"/>
      <c r="M144" s="305"/>
      <c r="N144" s="305"/>
      <c r="O144" s="305"/>
      <c r="P144" s="305"/>
      <c r="Q144" s="305"/>
      <c r="R144" s="494">
        <f t="shared" si="26"/>
        <v>293.75913074703311</v>
      </c>
      <c r="S144" s="494">
        <f t="shared" si="27"/>
        <v>310.69741265103079</v>
      </c>
      <c r="T144" s="494">
        <f t="shared" si="28"/>
        <v>552.97367348609589</v>
      </c>
      <c r="U144" s="305"/>
    </row>
    <row r="145" spans="1:21">
      <c r="A145">
        <v>139</v>
      </c>
      <c r="B145" s="305"/>
      <c r="C145" s="305"/>
      <c r="D145" s="305"/>
      <c r="E145" s="305"/>
      <c r="F145" s="305"/>
      <c r="G145" s="305"/>
      <c r="H145" s="305"/>
      <c r="I145" s="305"/>
      <c r="J145" s="305"/>
      <c r="K145" s="305"/>
      <c r="L145" s="305"/>
      <c r="M145" s="305"/>
      <c r="N145" s="305"/>
      <c r="O145" s="305"/>
      <c r="P145" s="305"/>
      <c r="Q145" s="305"/>
      <c r="R145" s="494">
        <f t="shared" si="26"/>
        <v>293.75913074703311</v>
      </c>
      <c r="S145" s="494">
        <f t="shared" si="27"/>
        <v>310.69741265103079</v>
      </c>
      <c r="T145" s="494">
        <f t="shared" si="28"/>
        <v>552.97367348609589</v>
      </c>
      <c r="U145" s="305"/>
    </row>
    <row r="146" spans="1:21">
      <c r="A146">
        <v>140</v>
      </c>
      <c r="B146" s="305"/>
      <c r="C146" s="305"/>
      <c r="D146" s="305"/>
      <c r="E146" s="305"/>
      <c r="F146" s="305"/>
      <c r="G146" s="305"/>
      <c r="H146" s="305"/>
      <c r="I146" s="305"/>
      <c r="J146" s="305"/>
      <c r="K146" s="305"/>
      <c r="L146" s="305"/>
      <c r="M146" s="305"/>
      <c r="N146" s="305"/>
      <c r="O146" s="305"/>
      <c r="P146" s="305"/>
      <c r="Q146" s="305"/>
      <c r="R146" s="494">
        <f t="shared" si="26"/>
        <v>293.75913074703311</v>
      </c>
      <c r="S146" s="494">
        <f t="shared" si="27"/>
        <v>310.69741265103079</v>
      </c>
      <c r="T146" s="494">
        <f t="shared" si="28"/>
        <v>552.97367348609589</v>
      </c>
      <c r="U146" s="305"/>
    </row>
    <row r="147" spans="1:21">
      <c r="A147">
        <v>141</v>
      </c>
      <c r="B147" s="305"/>
      <c r="C147" s="305"/>
      <c r="D147" s="305"/>
      <c r="E147" s="305"/>
      <c r="F147" s="305"/>
      <c r="G147" s="305"/>
      <c r="H147" s="305"/>
      <c r="I147" s="305"/>
      <c r="J147" s="305"/>
      <c r="K147" s="305"/>
      <c r="L147" s="305"/>
      <c r="M147" s="305"/>
      <c r="N147" s="305"/>
      <c r="O147" s="305"/>
      <c r="P147" s="305"/>
      <c r="Q147" s="305"/>
      <c r="R147" s="494">
        <f t="shared" si="26"/>
        <v>293.75913074703311</v>
      </c>
      <c r="S147" s="494">
        <f t="shared" si="27"/>
        <v>310.69741265103079</v>
      </c>
      <c r="T147" s="494">
        <f t="shared" si="28"/>
        <v>552.97367348609589</v>
      </c>
      <c r="U147" s="305"/>
    </row>
    <row r="148" spans="1:21">
      <c r="A148">
        <v>142</v>
      </c>
      <c r="B148" s="305"/>
      <c r="C148" s="305"/>
      <c r="D148" s="305"/>
      <c r="E148" s="305"/>
      <c r="F148" s="305"/>
      <c r="G148" s="305"/>
      <c r="H148" s="305"/>
      <c r="I148" s="305"/>
      <c r="J148" s="305"/>
      <c r="K148" s="305"/>
      <c r="L148" s="305"/>
      <c r="M148" s="305"/>
      <c r="N148" s="305"/>
      <c r="O148" s="305"/>
      <c r="P148" s="305"/>
      <c r="Q148" s="305"/>
      <c r="R148" s="494">
        <f t="shared" si="26"/>
        <v>293.75913074703311</v>
      </c>
      <c r="S148" s="494">
        <f t="shared" si="27"/>
        <v>310.69741265103079</v>
      </c>
      <c r="T148" s="494">
        <f t="shared" si="28"/>
        <v>552.97367348609589</v>
      </c>
      <c r="U148" s="305"/>
    </row>
    <row r="149" spans="1:21">
      <c r="A149">
        <v>143</v>
      </c>
      <c r="B149" s="305"/>
      <c r="C149" s="305"/>
      <c r="D149" s="305"/>
      <c r="E149" s="305"/>
      <c r="F149" s="305"/>
      <c r="G149" s="305"/>
      <c r="H149" s="305"/>
      <c r="I149" s="305"/>
      <c r="J149" s="305"/>
      <c r="K149" s="305"/>
      <c r="L149" s="305"/>
      <c r="M149" s="305"/>
      <c r="N149" s="305"/>
      <c r="O149" s="305"/>
      <c r="P149" s="305"/>
      <c r="Q149" s="305"/>
      <c r="R149" s="494">
        <f t="shared" si="26"/>
        <v>293.75913074703311</v>
      </c>
      <c r="S149" s="494">
        <f t="shared" si="27"/>
        <v>310.69741265103079</v>
      </c>
      <c r="T149" s="494">
        <f t="shared" si="28"/>
        <v>552.97367348609589</v>
      </c>
      <c r="U149" s="305"/>
    </row>
    <row r="150" spans="1:21">
      <c r="A150">
        <v>144</v>
      </c>
      <c r="B150" s="305"/>
      <c r="C150" s="305"/>
      <c r="D150" s="305"/>
      <c r="E150" s="305"/>
      <c r="F150" s="305"/>
      <c r="G150" s="305"/>
      <c r="H150" s="305"/>
      <c r="I150" s="305"/>
      <c r="J150" s="305"/>
      <c r="K150" s="305"/>
      <c r="L150" s="305"/>
      <c r="M150" s="305"/>
      <c r="N150" s="305"/>
      <c r="O150" s="305"/>
      <c r="P150" s="305"/>
      <c r="Q150" s="305"/>
      <c r="R150" s="494">
        <f t="shared" si="26"/>
        <v>293.75913074703311</v>
      </c>
      <c r="S150" s="494">
        <f t="shared" si="27"/>
        <v>310.69741265103079</v>
      </c>
      <c r="T150" s="494">
        <f t="shared" si="28"/>
        <v>552.97367348609589</v>
      </c>
      <c r="U150" s="305"/>
    </row>
    <row r="151" spans="1:21">
      <c r="A151">
        <v>145</v>
      </c>
      <c r="B151" s="305"/>
      <c r="C151" s="305"/>
      <c r="D151" s="305"/>
      <c r="E151" s="305"/>
      <c r="F151" s="305"/>
      <c r="G151" s="305"/>
      <c r="H151" s="305"/>
      <c r="I151" s="305"/>
      <c r="J151" s="305"/>
      <c r="K151" s="305"/>
      <c r="L151" s="305"/>
      <c r="M151" s="305"/>
      <c r="N151" s="305"/>
      <c r="O151" s="305"/>
      <c r="P151" s="305"/>
      <c r="Q151" s="305"/>
      <c r="R151" s="494">
        <f t="shared" si="26"/>
        <v>293.75913074703311</v>
      </c>
      <c r="S151" s="494">
        <f t="shared" si="27"/>
        <v>310.69741265103079</v>
      </c>
      <c r="T151" s="494">
        <f t="shared" si="28"/>
        <v>552.97367348609589</v>
      </c>
      <c r="U151" s="305"/>
    </row>
    <row r="152" spans="1:21">
      <c r="A152">
        <v>146</v>
      </c>
      <c r="B152" s="305"/>
      <c r="C152" s="305"/>
      <c r="D152" s="305"/>
      <c r="E152" s="305"/>
      <c r="F152" s="305"/>
      <c r="G152" s="305"/>
      <c r="H152" s="305"/>
      <c r="I152" s="305"/>
      <c r="J152" s="305"/>
      <c r="K152" s="305"/>
      <c r="L152" s="305"/>
      <c r="M152" s="305"/>
      <c r="N152" s="305"/>
      <c r="O152" s="305"/>
      <c r="P152" s="305"/>
      <c r="Q152" s="305"/>
      <c r="R152" s="494">
        <f t="shared" si="26"/>
        <v>293.75913074703311</v>
      </c>
      <c r="S152" s="494">
        <f t="shared" si="27"/>
        <v>310.69741265103079</v>
      </c>
      <c r="T152" s="494">
        <f t="shared" si="28"/>
        <v>552.97367348609589</v>
      </c>
      <c r="U152" s="305"/>
    </row>
    <row r="153" spans="1:21">
      <c r="A153">
        <v>147</v>
      </c>
      <c r="B153" s="305"/>
      <c r="C153" s="305"/>
      <c r="D153" s="305"/>
      <c r="E153" s="305"/>
      <c r="F153" s="305"/>
      <c r="G153" s="305"/>
      <c r="H153" s="305"/>
      <c r="I153" s="305"/>
      <c r="J153" s="305"/>
      <c r="K153" s="305"/>
      <c r="L153" s="305"/>
      <c r="M153" s="305"/>
      <c r="N153" s="305"/>
      <c r="O153" s="305"/>
      <c r="P153" s="305"/>
      <c r="Q153" s="305"/>
      <c r="R153" s="494">
        <f t="shared" si="26"/>
        <v>293.75913074703311</v>
      </c>
      <c r="S153" s="494">
        <f t="shared" si="27"/>
        <v>310.69741265103079</v>
      </c>
      <c r="T153" s="494">
        <f t="shared" si="28"/>
        <v>552.97367348609589</v>
      </c>
      <c r="U153" s="305"/>
    </row>
    <row r="154" spans="1:21">
      <c r="A154">
        <v>148</v>
      </c>
      <c r="B154" s="305"/>
      <c r="C154" s="305"/>
      <c r="D154" s="305"/>
      <c r="E154" s="305"/>
      <c r="F154" s="305"/>
      <c r="G154" s="305"/>
      <c r="H154" s="305"/>
      <c r="I154" s="305"/>
      <c r="J154" s="305"/>
      <c r="K154" s="305"/>
      <c r="L154" s="305"/>
      <c r="M154" s="305"/>
      <c r="N154" s="305"/>
      <c r="O154" s="305"/>
      <c r="P154" s="305"/>
      <c r="Q154" s="305"/>
      <c r="R154" s="494">
        <f t="shared" si="26"/>
        <v>293.75913074703311</v>
      </c>
      <c r="S154" s="494">
        <f t="shared" si="27"/>
        <v>310.69741265103079</v>
      </c>
      <c r="T154" s="494">
        <f t="shared" si="28"/>
        <v>552.97367348609589</v>
      </c>
      <c r="U154" s="305"/>
    </row>
    <row r="155" spans="1:21">
      <c r="A155">
        <v>149</v>
      </c>
      <c r="B155" s="305"/>
      <c r="C155" s="305"/>
      <c r="D155" s="305"/>
      <c r="E155" s="305"/>
      <c r="F155" s="305"/>
      <c r="G155" s="305"/>
      <c r="H155" s="305"/>
      <c r="I155" s="305"/>
      <c r="J155" s="305"/>
      <c r="K155" s="305"/>
      <c r="L155" s="305"/>
      <c r="M155" s="305"/>
      <c r="N155" s="305"/>
      <c r="O155" s="305"/>
      <c r="P155" s="305"/>
      <c r="Q155" s="305"/>
      <c r="R155" s="494">
        <f t="shared" si="26"/>
        <v>293.75913074703311</v>
      </c>
      <c r="S155" s="494">
        <f t="shared" si="27"/>
        <v>310.69741265103079</v>
      </c>
      <c r="T155" s="494">
        <f t="shared" si="28"/>
        <v>552.97367348609589</v>
      </c>
      <c r="U155" s="305"/>
    </row>
    <row r="156" spans="1:21">
      <c r="A156">
        <v>150</v>
      </c>
      <c r="B156" s="305"/>
      <c r="C156" s="305"/>
      <c r="D156" s="305"/>
      <c r="E156" s="305"/>
      <c r="F156" s="305"/>
      <c r="G156" s="305"/>
      <c r="H156" s="305"/>
      <c r="I156" s="305"/>
      <c r="J156" s="305"/>
      <c r="K156" s="305"/>
      <c r="L156" s="305"/>
      <c r="M156" s="305"/>
      <c r="N156" s="305"/>
      <c r="O156" s="305"/>
      <c r="P156" s="305"/>
      <c r="Q156" s="305"/>
      <c r="R156" s="494">
        <f t="shared" si="26"/>
        <v>293.75913074703311</v>
      </c>
      <c r="S156" s="494">
        <f t="shared" si="27"/>
        <v>310.69741265103079</v>
      </c>
      <c r="T156" s="494">
        <f t="shared" si="28"/>
        <v>552.97367348609589</v>
      </c>
      <c r="U156" s="305"/>
    </row>
    <row r="157" spans="1:21">
      <c r="A157">
        <v>151</v>
      </c>
      <c r="B157" s="305"/>
      <c r="C157" s="305"/>
      <c r="D157" s="305"/>
      <c r="E157" s="305"/>
      <c r="F157" s="305"/>
      <c r="G157" s="305"/>
      <c r="H157" s="305"/>
      <c r="I157" s="305"/>
      <c r="J157" s="305"/>
      <c r="K157" s="305"/>
      <c r="L157" s="305"/>
      <c r="M157" s="305"/>
      <c r="N157" s="305"/>
      <c r="O157" s="305"/>
      <c r="P157" s="305"/>
      <c r="Q157" s="305"/>
      <c r="R157" s="494">
        <f t="shared" si="26"/>
        <v>293.75913074703311</v>
      </c>
      <c r="S157" s="494">
        <f t="shared" si="27"/>
        <v>310.69741265103079</v>
      </c>
      <c r="T157" s="494">
        <f t="shared" si="28"/>
        <v>552.97367348609589</v>
      </c>
      <c r="U157" s="305"/>
    </row>
    <row r="158" spans="1:21">
      <c r="A158">
        <v>152</v>
      </c>
      <c r="B158" s="305"/>
      <c r="C158" s="305"/>
      <c r="D158" s="305"/>
      <c r="E158" s="305"/>
      <c r="F158" s="305"/>
      <c r="G158" s="305"/>
      <c r="H158" s="305"/>
      <c r="I158" s="305"/>
      <c r="J158" s="305"/>
      <c r="K158" s="305"/>
      <c r="L158" s="305"/>
      <c r="M158" s="305"/>
      <c r="N158" s="305"/>
      <c r="O158" s="305"/>
      <c r="P158" s="305"/>
      <c r="Q158" s="305"/>
      <c r="R158" s="494">
        <f t="shared" si="26"/>
        <v>293.75913074703311</v>
      </c>
      <c r="S158" s="494">
        <f t="shared" si="27"/>
        <v>310.69741265103079</v>
      </c>
      <c r="T158" s="494">
        <f t="shared" si="28"/>
        <v>552.97367348609589</v>
      </c>
      <c r="U158" s="305"/>
    </row>
    <row r="159" spans="1:21">
      <c r="A159">
        <v>153</v>
      </c>
      <c r="B159" s="305"/>
      <c r="C159" s="305"/>
      <c r="D159" s="305"/>
      <c r="E159" s="305"/>
      <c r="F159" s="305"/>
      <c r="G159" s="305"/>
      <c r="H159" s="305"/>
      <c r="I159" s="305"/>
      <c r="J159" s="305"/>
      <c r="K159" s="305"/>
      <c r="L159" s="305"/>
      <c r="M159" s="305"/>
      <c r="N159" s="305"/>
      <c r="O159" s="305"/>
      <c r="P159" s="305"/>
      <c r="Q159" s="305"/>
      <c r="R159" s="494">
        <f t="shared" si="26"/>
        <v>293.75913074703311</v>
      </c>
      <c r="S159" s="494">
        <f t="shared" si="27"/>
        <v>310.69741265103079</v>
      </c>
      <c r="T159" s="494">
        <f t="shared" si="28"/>
        <v>552.97367348609589</v>
      </c>
      <c r="U159" s="305"/>
    </row>
    <row r="160" spans="1:21">
      <c r="A160">
        <v>154</v>
      </c>
      <c r="B160" s="305"/>
      <c r="C160" s="305"/>
      <c r="D160" s="305"/>
      <c r="E160" s="305"/>
      <c r="F160" s="305"/>
      <c r="G160" s="305"/>
      <c r="H160" s="305"/>
      <c r="I160" s="305"/>
      <c r="J160" s="305"/>
      <c r="K160" s="305"/>
      <c r="L160" s="305"/>
      <c r="M160" s="305"/>
      <c r="N160" s="305"/>
      <c r="O160" s="305"/>
      <c r="P160" s="305"/>
      <c r="Q160" s="305"/>
      <c r="R160" s="494">
        <f t="shared" si="26"/>
        <v>293.75913074703311</v>
      </c>
      <c r="S160" s="494">
        <f t="shared" si="27"/>
        <v>310.69741265103079</v>
      </c>
      <c r="T160" s="494">
        <f t="shared" si="28"/>
        <v>552.97367348609589</v>
      </c>
      <c r="U160" s="305"/>
    </row>
    <row r="161" spans="1:21">
      <c r="A161">
        <v>155</v>
      </c>
      <c r="B161" s="305"/>
      <c r="C161" s="305"/>
      <c r="D161" s="305"/>
      <c r="E161" s="305"/>
      <c r="F161" s="305"/>
      <c r="G161" s="305"/>
      <c r="H161" s="305"/>
      <c r="I161" s="305"/>
      <c r="J161" s="305"/>
      <c r="K161" s="305"/>
      <c r="L161" s="305"/>
      <c r="M161" s="305"/>
      <c r="N161" s="305"/>
      <c r="O161" s="305"/>
      <c r="P161" s="305"/>
      <c r="Q161" s="305"/>
      <c r="R161" s="494">
        <f t="shared" si="26"/>
        <v>293.75913074703311</v>
      </c>
      <c r="S161" s="494">
        <f t="shared" si="27"/>
        <v>310.69741265103079</v>
      </c>
      <c r="T161" s="494">
        <f t="shared" si="28"/>
        <v>552.97367348609589</v>
      </c>
      <c r="U161" s="305"/>
    </row>
    <row r="162" spans="1:21">
      <c r="A162">
        <v>156</v>
      </c>
      <c r="B162" s="305"/>
      <c r="C162" s="305"/>
      <c r="D162" s="305"/>
      <c r="E162" s="305"/>
      <c r="F162" s="305"/>
      <c r="G162" s="305"/>
      <c r="H162" s="305"/>
      <c r="I162" s="305"/>
      <c r="J162" s="305"/>
      <c r="K162" s="305"/>
      <c r="L162" s="305"/>
      <c r="M162" s="305"/>
      <c r="N162" s="305"/>
      <c r="O162" s="305"/>
      <c r="P162" s="305"/>
      <c r="Q162" s="305"/>
      <c r="R162" s="494">
        <f t="shared" si="26"/>
        <v>293.75913074703311</v>
      </c>
      <c r="S162" s="494">
        <f t="shared" si="27"/>
        <v>310.69741265103079</v>
      </c>
      <c r="T162" s="494">
        <f t="shared" si="28"/>
        <v>552.97367348609589</v>
      </c>
      <c r="U162" s="305"/>
    </row>
    <row r="163" spans="1:21">
      <c r="A163">
        <v>157</v>
      </c>
      <c r="B163" s="305"/>
      <c r="C163" s="305"/>
      <c r="D163" s="305"/>
      <c r="E163" s="305"/>
      <c r="F163" s="305"/>
      <c r="G163" s="305"/>
      <c r="H163" s="305"/>
      <c r="I163" s="305"/>
      <c r="J163" s="305"/>
      <c r="K163" s="305"/>
      <c r="L163" s="305"/>
      <c r="M163" s="305"/>
      <c r="N163" s="305"/>
      <c r="O163" s="305"/>
      <c r="P163" s="305"/>
      <c r="Q163" s="305"/>
      <c r="R163" s="494">
        <f t="shared" si="26"/>
        <v>293.75913074703311</v>
      </c>
      <c r="S163" s="494">
        <f t="shared" si="27"/>
        <v>310.69741265103079</v>
      </c>
      <c r="T163" s="494">
        <f t="shared" si="28"/>
        <v>552.97367348609589</v>
      </c>
      <c r="U163" s="305"/>
    </row>
    <row r="164" spans="1:21">
      <c r="A164">
        <v>158</v>
      </c>
      <c r="B164" s="305"/>
      <c r="C164" s="305"/>
      <c r="D164" s="305"/>
      <c r="E164" s="305"/>
      <c r="F164" s="305"/>
      <c r="G164" s="305"/>
      <c r="H164" s="305"/>
      <c r="I164" s="305"/>
      <c r="J164" s="305"/>
      <c r="K164" s="305"/>
      <c r="L164" s="305"/>
      <c r="M164" s="305"/>
      <c r="N164" s="305"/>
      <c r="O164" s="305"/>
      <c r="P164" s="305"/>
      <c r="Q164" s="305"/>
      <c r="R164" s="494">
        <f t="shared" si="26"/>
        <v>293.75913074703311</v>
      </c>
      <c r="S164" s="494">
        <f t="shared" si="27"/>
        <v>310.69741265103079</v>
      </c>
      <c r="T164" s="494">
        <f t="shared" si="28"/>
        <v>552.97367348609589</v>
      </c>
      <c r="U164" s="305"/>
    </row>
    <row r="165" spans="1:21">
      <c r="A165">
        <v>159</v>
      </c>
      <c r="B165" s="305"/>
      <c r="C165" s="305"/>
      <c r="D165" s="305"/>
      <c r="E165" s="305"/>
      <c r="F165" s="305"/>
      <c r="G165" s="305"/>
      <c r="H165" s="305"/>
      <c r="I165" s="305"/>
      <c r="J165" s="305"/>
      <c r="K165" s="305"/>
      <c r="L165" s="305"/>
      <c r="M165" s="305"/>
      <c r="N165" s="305"/>
      <c r="O165" s="305"/>
      <c r="P165" s="305"/>
      <c r="Q165" s="305"/>
      <c r="R165" s="494">
        <f t="shared" si="26"/>
        <v>293.75913074703311</v>
      </c>
      <c r="S165" s="494">
        <f t="shared" si="27"/>
        <v>310.69741265103079</v>
      </c>
      <c r="T165" s="494">
        <f t="shared" si="28"/>
        <v>552.97367348609589</v>
      </c>
      <c r="U165" s="305"/>
    </row>
    <row r="166" spans="1:21">
      <c r="A166">
        <v>160</v>
      </c>
      <c r="B166" s="305"/>
      <c r="C166" s="305"/>
      <c r="D166" s="305"/>
      <c r="E166" s="305"/>
      <c r="F166" s="305"/>
      <c r="G166" s="305"/>
      <c r="H166" s="305"/>
      <c r="I166" s="305"/>
      <c r="J166" s="305"/>
      <c r="K166" s="305"/>
      <c r="L166" s="305"/>
      <c r="M166" s="305"/>
      <c r="N166" s="305"/>
      <c r="O166" s="305"/>
      <c r="P166" s="305"/>
      <c r="Q166" s="305"/>
      <c r="R166" s="494">
        <f t="shared" si="26"/>
        <v>293.75913074703311</v>
      </c>
      <c r="S166" s="494">
        <f t="shared" si="27"/>
        <v>310.69741265103079</v>
      </c>
      <c r="T166" s="494">
        <f t="shared" si="28"/>
        <v>552.97367348609589</v>
      </c>
      <c r="U166" s="305"/>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8DDC6-E738-4566-B314-2B4FAD0CD1BC}">
  <dimension ref="A1:V166"/>
  <sheetViews>
    <sheetView workbookViewId="0"/>
  </sheetViews>
  <sheetFormatPr defaultColWidth="8.77734375" defaultRowHeight="14.4"/>
  <sheetData>
    <row r="1" spans="1:22">
      <c r="A1" t="s">
        <v>267</v>
      </c>
      <c r="B1" s="335"/>
      <c r="C1" s="335"/>
      <c r="D1" s="335"/>
      <c r="E1" s="335"/>
    </row>
    <row r="2" spans="1:22">
      <c r="B2" s="335"/>
      <c r="C2" s="335"/>
      <c r="D2" s="335"/>
      <c r="E2" s="335"/>
      <c r="G2" s="335"/>
      <c r="H2" s="335"/>
      <c r="I2" s="335"/>
      <c r="K2" s="335"/>
      <c r="L2" s="335"/>
      <c r="M2" s="335"/>
    </row>
    <row r="3" spans="1:22">
      <c r="B3" s="506"/>
      <c r="C3" s="506" t="s">
        <v>166</v>
      </c>
      <c r="D3" s="506"/>
      <c r="E3" s="504"/>
      <c r="G3" s="506"/>
      <c r="H3" s="506" t="s">
        <v>167</v>
      </c>
      <c r="I3" s="506"/>
      <c r="K3" s="506"/>
      <c r="L3" s="506" t="s">
        <v>168</v>
      </c>
      <c r="M3" s="506"/>
      <c r="O3" s="506"/>
      <c r="P3" s="506" t="s">
        <v>169</v>
      </c>
      <c r="Q3" s="506"/>
      <c r="S3" s="504"/>
      <c r="T3" s="504" t="s">
        <v>170</v>
      </c>
      <c r="U3" s="504"/>
    </row>
    <row r="4" spans="1:22">
      <c r="A4" s="301"/>
      <c r="B4" s="300" t="s">
        <v>165</v>
      </c>
      <c r="C4" s="300"/>
      <c r="D4" s="326">
        <v>1</v>
      </c>
      <c r="E4" s="525"/>
      <c r="G4" s="300" t="s">
        <v>165</v>
      </c>
      <c r="H4" s="300"/>
      <c r="I4" s="326">
        <v>0.75</v>
      </c>
      <c r="K4" s="300" t="s">
        <v>165</v>
      </c>
      <c r="L4" s="300"/>
      <c r="M4" s="326">
        <v>0.5</v>
      </c>
      <c r="O4" s="507" t="s">
        <v>165</v>
      </c>
      <c r="P4" s="507"/>
      <c r="Q4" s="326">
        <v>0.25</v>
      </c>
      <c r="S4" s="300" t="s">
        <v>158</v>
      </c>
      <c r="T4" s="300"/>
      <c r="U4" s="300"/>
    </row>
    <row r="5" spans="1:22">
      <c r="A5" s="302" t="s">
        <v>153</v>
      </c>
      <c r="B5" s="469" t="s">
        <v>141</v>
      </c>
      <c r="C5" s="469" t="s">
        <v>140</v>
      </c>
      <c r="D5" s="469" t="s">
        <v>201</v>
      </c>
      <c r="E5" s="325" t="s">
        <v>304</v>
      </c>
      <c r="G5" s="469" t="s">
        <v>141</v>
      </c>
      <c r="H5" s="469" t="s">
        <v>140</v>
      </c>
      <c r="I5" s="469" t="s">
        <v>201</v>
      </c>
      <c r="K5" s="469" t="s">
        <v>141</v>
      </c>
      <c r="L5" s="469" t="s">
        <v>140</v>
      </c>
      <c r="M5" s="469" t="s">
        <v>201</v>
      </c>
      <c r="O5" s="469" t="s">
        <v>141</v>
      </c>
      <c r="P5" s="469" t="s">
        <v>140</v>
      </c>
      <c r="Q5" s="469" t="s">
        <v>201</v>
      </c>
      <c r="S5" s="469" t="s">
        <v>141</v>
      </c>
      <c r="T5" s="469" t="s">
        <v>140</v>
      </c>
      <c r="U5" s="469" t="s">
        <v>201</v>
      </c>
    </row>
    <row r="6" spans="1:22">
      <c r="A6" s="493">
        <v>0</v>
      </c>
      <c r="B6" s="471">
        <f>-'4.1 CBA_smooth (si27)'!D15</f>
        <v>-482.03920055126093</v>
      </c>
      <c r="C6" s="471">
        <f>-'4.1 CBA_smooth (si27)'!E15</f>
        <v>-262.67805675123049</v>
      </c>
      <c r="D6" s="471">
        <f>-'4.1 CBA_smooth (si27)'!F15</f>
        <v>-583.75034321187411</v>
      </c>
      <c r="E6" s="471">
        <f>-'4.1 CBA_smooth (si27)'!G15</f>
        <v>-442.82253350478851</v>
      </c>
      <c r="F6" s="305"/>
      <c r="G6" s="471">
        <f>-'4.1 CBA_smooth (si27)'!D15</f>
        <v>-482.03920055126093</v>
      </c>
      <c r="H6" s="471">
        <f>-'4.1 CBA_smooth (si27)'!E15</f>
        <v>-262.67805675123049</v>
      </c>
      <c r="I6" s="471">
        <f>-'4.1 CBA_smooth (si27)'!F15</f>
        <v>-583.75034321187411</v>
      </c>
      <c r="J6" s="305"/>
      <c r="K6" s="471">
        <f>-'4.1 CBA_smooth (si27)'!D15</f>
        <v>-482.03920055126093</v>
      </c>
      <c r="L6" s="471">
        <f>-'4.1 CBA_smooth (si27)'!E15</f>
        <v>-262.67805675123049</v>
      </c>
      <c r="M6" s="471">
        <f>-'4.1 CBA_smooth (si27)'!F15</f>
        <v>-583.75034321187411</v>
      </c>
      <c r="N6" s="305"/>
      <c r="O6" s="471">
        <f>-'4.1 CBA_smooth (si27)'!D15</f>
        <v>-482.03920055126093</v>
      </c>
      <c r="P6" s="471">
        <f>-'4.1 CBA_smooth (si27)'!E15</f>
        <v>-262.67805675123049</v>
      </c>
      <c r="Q6" s="471">
        <f>-'4.1 CBA_smooth (si27)'!F15</f>
        <v>-583.75034321187411</v>
      </c>
      <c r="R6" s="305"/>
      <c r="S6" s="471">
        <f>-'4.1 CBA_smooth (si27)'!D15</f>
        <v>-482.03920055126093</v>
      </c>
      <c r="T6" s="471">
        <f>-'4.1 CBA_smooth (si27)'!E15</f>
        <v>-262.67805675123049</v>
      </c>
      <c r="U6" s="471">
        <f>-'4.1 CBA_smooth (si27)'!F15</f>
        <v>-583.75034321187411</v>
      </c>
    </row>
    <row r="7" spans="1:22">
      <c r="A7" s="493">
        <v>1</v>
      </c>
      <c r="B7" s="470">
        <f>'4.1 CBA_smooth (si27)'!D28/(1+disc5)</f>
        <v>89.025213707695414</v>
      </c>
      <c r="C7" s="470">
        <f>'4.1 CBA_smooth (si27)'!E28/(1+disc5)</f>
        <v>51.348729117400929</v>
      </c>
      <c r="D7" s="470">
        <f>'4.1 CBA_smooth (si27)'!F28/(1+disc5)</f>
        <v>145.5456066730969</v>
      </c>
      <c r="E7" s="470">
        <f>'4.1 CBA_smooth (si27)'!G28/(1+disc5)</f>
        <v>95.399127851505966</v>
      </c>
      <c r="F7" s="305"/>
      <c r="G7" s="470">
        <f>'4.1 CBA_smooth (si27)'!D28/(1+disc5)</f>
        <v>89.025213707695414</v>
      </c>
      <c r="H7" s="470">
        <f>'4.1 CBA_smooth (si27)'!E28/(1+disc5)</f>
        <v>51.348729117400929</v>
      </c>
      <c r="I7" s="470">
        <f>'4.1 CBA_smooth (si27)'!F28/(1+disc5)</f>
        <v>145.5456066730969</v>
      </c>
      <c r="J7" s="305"/>
      <c r="K7" s="470">
        <f>'4.1 CBA_smooth (si27)'!D28/(1+disc5)</f>
        <v>89.025213707695414</v>
      </c>
      <c r="L7" s="470">
        <f>'4.1 CBA_smooth (si27)'!E28/(1+disc5)</f>
        <v>51.348729117400929</v>
      </c>
      <c r="M7" s="470">
        <f>'4.1 CBA_smooth (si27)'!F28/(1+disc5)</f>
        <v>145.5456066730969</v>
      </c>
      <c r="N7" s="305"/>
      <c r="O7" s="470">
        <f>'4.1 CBA_smooth (si27)'!D28/(1+disc5)</f>
        <v>89.025213707695414</v>
      </c>
      <c r="P7" s="470">
        <f>'4.1 CBA_smooth (si27)'!E28/(1+disc5)</f>
        <v>51.348729117400929</v>
      </c>
      <c r="Q7" s="470">
        <f>'4.1 CBA_smooth (si27)'!F28/(1+disc5)</f>
        <v>145.5456066730969</v>
      </c>
      <c r="R7" s="305"/>
      <c r="S7" s="470">
        <f>'4.1 CBA_smooth (si27)'!D28/(1+disc5)</f>
        <v>89.025213707695414</v>
      </c>
      <c r="T7" s="470">
        <f>'4.1 CBA_smooth (si27)'!E28/(1+disc5)</f>
        <v>51.348729117400929</v>
      </c>
      <c r="U7" s="470">
        <f>'4.1 CBA_smooth (si27)'!F28/(1+disc5)</f>
        <v>145.5456066730969</v>
      </c>
    </row>
    <row r="8" spans="1:22">
      <c r="A8" s="493">
        <v>2</v>
      </c>
      <c r="B8" s="470">
        <f>'4.1 CBA_smooth (si27)'!D32</f>
        <v>293.75913074703311</v>
      </c>
      <c r="C8" s="470">
        <f>'4.1 CBA_smooth (si27)'!E32</f>
        <v>310.69741265103079</v>
      </c>
      <c r="D8" s="470">
        <f>'4.1 CBA_smooth (si27)'!F32</f>
        <v>552.97367348609589</v>
      </c>
      <c r="E8" s="470">
        <f>'4.1 CBA_smooth (si27)'!G32</f>
        <v>384.06049836478661</v>
      </c>
      <c r="F8" s="305"/>
      <c r="G8" s="470">
        <f>'4.1 CBA_smooth (si27)'!D32</f>
        <v>293.75913074703311</v>
      </c>
      <c r="H8" s="470">
        <f>'4.1 CBA_smooth (si27)'!E32</f>
        <v>310.69741265103079</v>
      </c>
      <c r="I8" s="470">
        <f>'4.1 CBA_smooth (si27)'!F32</f>
        <v>552.97367348609589</v>
      </c>
      <c r="J8" s="305"/>
      <c r="K8" s="470">
        <f>'4.1 CBA_smooth (si27)'!D32</f>
        <v>293.75913074703311</v>
      </c>
      <c r="L8" s="470">
        <f>'4.1 CBA_smooth (si27)'!E32</f>
        <v>310.69741265103079</v>
      </c>
      <c r="M8" s="470">
        <f>'4.1 CBA_smooth (si27)'!F32</f>
        <v>552.97367348609589</v>
      </c>
      <c r="N8" s="305"/>
      <c r="O8" s="470">
        <f>'4.1 CBA_smooth (si27)'!D32</f>
        <v>293.75913074703311</v>
      </c>
      <c r="P8" s="470">
        <f>'4.1 CBA_smooth (si27)'!E32</f>
        <v>310.69741265103079</v>
      </c>
      <c r="Q8" s="470">
        <f>'4.1 CBA_smooth (si27)'!F32</f>
        <v>552.97367348609589</v>
      </c>
      <c r="R8" s="305"/>
      <c r="S8" s="470">
        <f>'4.1 CBA_smooth (si27)'!D32</f>
        <v>293.75913074703311</v>
      </c>
      <c r="T8" s="470">
        <f>'4.1 CBA_smooth (si27)'!E32</f>
        <v>310.69741265103079</v>
      </c>
      <c r="U8" s="470">
        <f>'4.1 CBA_smooth (si27)'!F32</f>
        <v>552.97367348609589</v>
      </c>
    </row>
    <row r="9" spans="1:22">
      <c r="A9" s="493">
        <v>3</v>
      </c>
      <c r="B9" s="464"/>
      <c r="C9" s="464"/>
      <c r="D9" s="464"/>
      <c r="E9" s="464"/>
      <c r="F9" s="305"/>
      <c r="G9" s="494">
        <f t="shared" ref="G9:G33" si="0">G8*(1-$I$4)</f>
        <v>73.439782686758278</v>
      </c>
      <c r="H9" s="494">
        <f t="shared" ref="H9:H33" si="1">H8*(1-$I$4)</f>
        <v>77.674353162757697</v>
      </c>
      <c r="I9" s="494">
        <f t="shared" ref="I9:I24" si="2">I8*(1-$I$4)</f>
        <v>138.24341837152397</v>
      </c>
      <c r="J9" s="305"/>
      <c r="K9" s="494">
        <f t="shared" ref="K9:K40" si="3">K8*(1-$M$4)</f>
        <v>146.87956537351656</v>
      </c>
      <c r="L9" s="494">
        <f t="shared" ref="L9:L40" si="4">L8*(1-$M$4)</f>
        <v>155.34870632551539</v>
      </c>
      <c r="M9" s="494">
        <f t="shared" ref="M9:M24" si="5">M8*(1-$M$4)</f>
        <v>276.48683674304795</v>
      </c>
      <c r="N9" s="305"/>
      <c r="O9" s="494">
        <f t="shared" ref="O9:O40" si="6">O8*(1-$Q$4)</f>
        <v>220.31934806027482</v>
      </c>
      <c r="P9" s="494">
        <f t="shared" ref="P9:P40" si="7">P8*(1-$Q$4)</f>
        <v>233.02305948827308</v>
      </c>
      <c r="Q9" s="494">
        <f t="shared" ref="Q9:Q24" si="8">Q8*(1-$Q$4)</f>
        <v>414.73025511457195</v>
      </c>
      <c r="R9" s="305"/>
      <c r="S9" s="537">
        <f>S8</f>
        <v>293.75913074703311</v>
      </c>
      <c r="T9" s="537">
        <f>T8</f>
        <v>310.69741265103079</v>
      </c>
      <c r="U9" s="537">
        <f t="shared" ref="U9:U24" si="9">U8</f>
        <v>552.97367348609589</v>
      </c>
      <c r="V9" s="305"/>
    </row>
    <row r="10" spans="1:22">
      <c r="A10" s="493">
        <v>4</v>
      </c>
      <c r="B10" s="305"/>
      <c r="C10" s="305"/>
      <c r="D10" s="305"/>
      <c r="E10" s="305"/>
      <c r="F10" s="305"/>
      <c r="G10" s="494">
        <f t="shared" si="0"/>
        <v>18.359945671689569</v>
      </c>
      <c r="H10" s="494">
        <f t="shared" si="1"/>
        <v>19.418588290689424</v>
      </c>
      <c r="I10" s="494">
        <f t="shared" si="2"/>
        <v>34.560854592880993</v>
      </c>
      <c r="J10" s="305"/>
      <c r="K10" s="494">
        <f t="shared" si="3"/>
        <v>73.439782686758278</v>
      </c>
      <c r="L10" s="494">
        <f t="shared" si="4"/>
        <v>77.674353162757697</v>
      </c>
      <c r="M10" s="494">
        <f t="shared" si="5"/>
        <v>138.24341837152397</v>
      </c>
      <c r="N10" s="305"/>
      <c r="O10" s="494">
        <f t="shared" si="6"/>
        <v>165.23951104520611</v>
      </c>
      <c r="P10" s="494">
        <f t="shared" si="7"/>
        <v>174.76729461620482</v>
      </c>
      <c r="Q10" s="494">
        <f t="shared" si="8"/>
        <v>311.04769133592896</v>
      </c>
      <c r="R10" s="305"/>
      <c r="S10" s="537">
        <f t="shared" ref="S10:S41" si="10">S9</f>
        <v>293.75913074703311</v>
      </c>
      <c r="T10" s="537">
        <f t="shared" ref="T10:U25" si="11">T9</f>
        <v>310.69741265103079</v>
      </c>
      <c r="U10" s="537">
        <f t="shared" si="9"/>
        <v>552.97367348609589</v>
      </c>
      <c r="V10" s="305"/>
    </row>
    <row r="11" spans="1:22">
      <c r="A11">
        <v>5</v>
      </c>
      <c r="C11" s="305"/>
      <c r="D11" s="305"/>
      <c r="E11" s="305"/>
      <c r="F11" s="305"/>
      <c r="G11" s="494">
        <f t="shared" si="0"/>
        <v>4.5899864179223924</v>
      </c>
      <c r="H11" s="494">
        <f t="shared" si="1"/>
        <v>4.8546470726723561</v>
      </c>
      <c r="I11" s="494">
        <f t="shared" si="2"/>
        <v>8.6402136482202483</v>
      </c>
      <c r="J11" s="305"/>
      <c r="K11" s="494">
        <f t="shared" si="3"/>
        <v>36.719891343379139</v>
      </c>
      <c r="L11" s="494">
        <f t="shared" si="4"/>
        <v>38.837176581378849</v>
      </c>
      <c r="M11" s="494">
        <f t="shared" si="5"/>
        <v>69.121709185761986</v>
      </c>
      <c r="N11" s="305"/>
      <c r="O11" s="494">
        <f t="shared" si="6"/>
        <v>123.92963328390459</v>
      </c>
      <c r="P11" s="494">
        <f t="shared" si="7"/>
        <v>131.07547096215362</v>
      </c>
      <c r="Q11" s="494">
        <f t="shared" si="8"/>
        <v>233.28576850194673</v>
      </c>
      <c r="R11" s="305"/>
      <c r="S11" s="537">
        <f t="shared" si="10"/>
        <v>293.75913074703311</v>
      </c>
      <c r="T11" s="537">
        <f t="shared" si="11"/>
        <v>310.69741265103079</v>
      </c>
      <c r="U11" s="537">
        <f t="shared" si="9"/>
        <v>552.97367348609589</v>
      </c>
      <c r="V11" s="305"/>
    </row>
    <row r="12" spans="1:22">
      <c r="A12">
        <v>6</v>
      </c>
      <c r="B12" s="464"/>
      <c r="C12" s="464"/>
      <c r="D12" s="464"/>
      <c r="E12" s="464"/>
      <c r="F12" s="305"/>
      <c r="G12" s="494">
        <f t="shared" si="0"/>
        <v>1.1474966044805981</v>
      </c>
      <c r="H12" s="494">
        <f t="shared" si="1"/>
        <v>1.213661768168089</v>
      </c>
      <c r="I12" s="494">
        <f t="shared" si="2"/>
        <v>2.1600534120550621</v>
      </c>
      <c r="J12" s="305"/>
      <c r="K12" s="494">
        <f t="shared" si="3"/>
        <v>18.359945671689569</v>
      </c>
      <c r="L12" s="494">
        <f t="shared" si="4"/>
        <v>19.418588290689424</v>
      </c>
      <c r="M12" s="494">
        <f t="shared" si="5"/>
        <v>34.560854592880993</v>
      </c>
      <c r="N12" s="305"/>
      <c r="O12" s="494">
        <f t="shared" si="6"/>
        <v>92.947224962928445</v>
      </c>
      <c r="P12" s="494">
        <f t="shared" si="7"/>
        <v>98.306603221615205</v>
      </c>
      <c r="Q12" s="494">
        <f t="shared" si="8"/>
        <v>174.96432637646006</v>
      </c>
      <c r="R12" s="305"/>
      <c r="S12" s="537">
        <f t="shared" si="10"/>
        <v>293.75913074703311</v>
      </c>
      <c r="T12" s="537">
        <f t="shared" si="11"/>
        <v>310.69741265103079</v>
      </c>
      <c r="U12" s="537">
        <f t="shared" si="9"/>
        <v>552.97367348609589</v>
      </c>
      <c r="V12" s="305"/>
    </row>
    <row r="13" spans="1:22">
      <c r="A13">
        <v>7</v>
      </c>
      <c r="B13" s="305"/>
      <c r="C13" s="305"/>
      <c r="D13" s="305"/>
      <c r="E13" s="305"/>
      <c r="F13" s="305"/>
      <c r="G13" s="494">
        <f t="shared" si="0"/>
        <v>0.28687415112014952</v>
      </c>
      <c r="H13" s="494">
        <f t="shared" si="1"/>
        <v>0.30341544204202225</v>
      </c>
      <c r="I13" s="494">
        <f t="shared" si="2"/>
        <v>0.54001335301376552</v>
      </c>
      <c r="J13" s="305"/>
      <c r="K13" s="494">
        <f t="shared" si="3"/>
        <v>9.1799728358447847</v>
      </c>
      <c r="L13" s="494">
        <f t="shared" si="4"/>
        <v>9.7092941453447121</v>
      </c>
      <c r="M13" s="494">
        <f t="shared" si="5"/>
        <v>17.280427296440497</v>
      </c>
      <c r="N13" s="305"/>
      <c r="O13" s="494">
        <f t="shared" si="6"/>
        <v>69.710418722196337</v>
      </c>
      <c r="P13" s="494">
        <f t="shared" si="7"/>
        <v>73.729952416211404</v>
      </c>
      <c r="Q13" s="494">
        <f t="shared" si="8"/>
        <v>131.22324478234503</v>
      </c>
      <c r="R13" s="305"/>
      <c r="S13" s="537">
        <f t="shared" si="10"/>
        <v>293.75913074703311</v>
      </c>
      <c r="T13" s="537">
        <f t="shared" si="11"/>
        <v>310.69741265103079</v>
      </c>
      <c r="U13" s="537">
        <f t="shared" si="9"/>
        <v>552.97367348609589</v>
      </c>
      <c r="V13" s="305"/>
    </row>
    <row r="14" spans="1:22">
      <c r="A14">
        <v>8</v>
      </c>
      <c r="C14" s="305"/>
      <c r="D14" s="305"/>
      <c r="E14" s="305"/>
      <c r="F14" s="305"/>
      <c r="G14" s="494">
        <f t="shared" si="0"/>
        <v>7.1718537780037381E-2</v>
      </c>
      <c r="H14" s="494">
        <f t="shared" si="1"/>
        <v>7.5853860510505564E-2</v>
      </c>
      <c r="I14" s="494">
        <f t="shared" si="2"/>
        <v>0.13500333825344138</v>
      </c>
      <c r="J14" s="305"/>
      <c r="K14" s="494">
        <f t="shared" si="3"/>
        <v>4.5899864179223924</v>
      </c>
      <c r="L14" s="494">
        <f t="shared" si="4"/>
        <v>4.8546470726723561</v>
      </c>
      <c r="M14" s="494">
        <f t="shared" si="5"/>
        <v>8.6402136482202483</v>
      </c>
      <c r="N14" s="305"/>
      <c r="O14" s="494">
        <f t="shared" si="6"/>
        <v>52.282814041647256</v>
      </c>
      <c r="P14" s="494">
        <f t="shared" si="7"/>
        <v>55.297464312158553</v>
      </c>
      <c r="Q14" s="494">
        <f t="shared" si="8"/>
        <v>98.417433586758776</v>
      </c>
      <c r="R14" s="305"/>
      <c r="S14" s="537">
        <f t="shared" si="10"/>
        <v>293.75913074703311</v>
      </c>
      <c r="T14" s="537">
        <f t="shared" si="11"/>
        <v>310.69741265103079</v>
      </c>
      <c r="U14" s="537">
        <f t="shared" si="9"/>
        <v>552.97367348609589</v>
      </c>
      <c r="V14" s="305"/>
    </row>
    <row r="15" spans="1:22">
      <c r="A15">
        <v>9</v>
      </c>
      <c r="B15" s="464"/>
      <c r="C15" s="464"/>
      <c r="D15" s="464"/>
      <c r="E15" s="464"/>
      <c r="F15" s="305"/>
      <c r="G15" s="494">
        <f t="shared" si="0"/>
        <v>1.7929634445009345E-2</v>
      </c>
      <c r="H15" s="494">
        <f t="shared" si="1"/>
        <v>1.8963465127626391E-2</v>
      </c>
      <c r="I15" s="494">
        <f t="shared" si="2"/>
        <v>3.3750834563360345E-2</v>
      </c>
      <c r="J15" s="305"/>
      <c r="K15" s="494">
        <f t="shared" si="3"/>
        <v>2.2949932089611962</v>
      </c>
      <c r="L15" s="494">
        <f t="shared" si="4"/>
        <v>2.427323536336178</v>
      </c>
      <c r="M15" s="494">
        <f t="shared" si="5"/>
        <v>4.3201068241101241</v>
      </c>
      <c r="N15" s="305"/>
      <c r="O15" s="494">
        <f t="shared" si="6"/>
        <v>39.212110531235439</v>
      </c>
      <c r="P15" s="494">
        <f t="shared" si="7"/>
        <v>41.473098234118915</v>
      </c>
      <c r="Q15" s="494">
        <f t="shared" si="8"/>
        <v>73.813075190069085</v>
      </c>
      <c r="R15" s="305"/>
      <c r="S15" s="537">
        <f t="shared" si="10"/>
        <v>293.75913074703311</v>
      </c>
      <c r="T15" s="537">
        <f t="shared" si="11"/>
        <v>310.69741265103079</v>
      </c>
      <c r="U15" s="537">
        <f t="shared" si="9"/>
        <v>552.97367348609589</v>
      </c>
      <c r="V15" s="305"/>
    </row>
    <row r="16" spans="1:22">
      <c r="A16">
        <v>10</v>
      </c>
      <c r="B16" s="305"/>
      <c r="C16" s="305"/>
      <c r="D16" s="305"/>
      <c r="E16" s="305"/>
      <c r="F16" s="305"/>
      <c r="G16" s="494">
        <f t="shared" si="0"/>
        <v>4.4824086112523363E-3</v>
      </c>
      <c r="H16" s="494">
        <f t="shared" si="1"/>
        <v>4.7408662819065977E-3</v>
      </c>
      <c r="I16" s="494">
        <f t="shared" si="2"/>
        <v>8.4377086408400862E-3</v>
      </c>
      <c r="J16" s="305"/>
      <c r="K16" s="494">
        <f t="shared" si="3"/>
        <v>1.1474966044805981</v>
      </c>
      <c r="L16" s="494">
        <f t="shared" si="4"/>
        <v>1.213661768168089</v>
      </c>
      <c r="M16" s="494">
        <f t="shared" si="5"/>
        <v>2.1600534120550621</v>
      </c>
      <c r="N16" s="305"/>
      <c r="O16" s="494">
        <f t="shared" si="6"/>
        <v>29.409082898426579</v>
      </c>
      <c r="P16" s="494">
        <f t="shared" si="7"/>
        <v>31.104823675589188</v>
      </c>
      <c r="Q16" s="494">
        <f t="shared" si="8"/>
        <v>55.359806392551818</v>
      </c>
      <c r="R16" s="305"/>
      <c r="S16" s="537">
        <f t="shared" si="10"/>
        <v>293.75913074703311</v>
      </c>
      <c r="T16" s="537">
        <f t="shared" si="11"/>
        <v>310.69741265103079</v>
      </c>
      <c r="U16" s="537">
        <f t="shared" si="9"/>
        <v>552.97367348609589</v>
      </c>
      <c r="V16" s="305"/>
    </row>
    <row r="17" spans="1:22">
      <c r="A17">
        <v>11</v>
      </c>
      <c r="C17" s="305"/>
      <c r="D17" s="305"/>
      <c r="E17" s="305"/>
      <c r="F17" s="305"/>
      <c r="G17" s="494">
        <f t="shared" si="0"/>
        <v>1.1206021528130841E-3</v>
      </c>
      <c r="H17" s="494">
        <f t="shared" si="1"/>
        <v>1.1852165704766494E-3</v>
      </c>
      <c r="I17" s="494">
        <f t="shared" si="2"/>
        <v>2.1094271602100216E-3</v>
      </c>
      <c r="J17" s="305"/>
      <c r="K17" s="494">
        <f t="shared" si="3"/>
        <v>0.57374830224029905</v>
      </c>
      <c r="L17" s="494">
        <f t="shared" si="4"/>
        <v>0.60683088408404451</v>
      </c>
      <c r="M17" s="494">
        <f t="shared" si="5"/>
        <v>1.080026706027531</v>
      </c>
      <c r="N17" s="305"/>
      <c r="O17" s="494">
        <f t="shared" si="6"/>
        <v>22.056812173819935</v>
      </c>
      <c r="P17" s="494">
        <f t="shared" si="7"/>
        <v>23.328617756691891</v>
      </c>
      <c r="Q17" s="494">
        <f t="shared" si="8"/>
        <v>41.51985479441386</v>
      </c>
      <c r="R17" s="305"/>
      <c r="S17" s="537">
        <f t="shared" si="10"/>
        <v>293.75913074703311</v>
      </c>
      <c r="T17" s="537">
        <f t="shared" si="11"/>
        <v>310.69741265103079</v>
      </c>
      <c r="U17" s="537">
        <f t="shared" si="9"/>
        <v>552.97367348609589</v>
      </c>
      <c r="V17" s="305"/>
    </row>
    <row r="18" spans="1:22">
      <c r="A18">
        <v>12</v>
      </c>
      <c r="B18" s="464"/>
      <c r="C18" s="464"/>
      <c r="D18" s="464"/>
      <c r="E18" s="464"/>
      <c r="F18" s="305"/>
      <c r="G18" s="494">
        <f t="shared" si="0"/>
        <v>2.8015053820327102E-4</v>
      </c>
      <c r="H18" s="494">
        <f t="shared" si="1"/>
        <v>2.9630414261916236E-4</v>
      </c>
      <c r="I18" s="494">
        <f t="shared" si="2"/>
        <v>5.2735679005250539E-4</v>
      </c>
      <c r="J18" s="305"/>
      <c r="K18" s="494">
        <f t="shared" si="3"/>
        <v>0.28687415112014952</v>
      </c>
      <c r="L18" s="494">
        <f t="shared" si="4"/>
        <v>0.30341544204202225</v>
      </c>
      <c r="M18" s="494">
        <f t="shared" si="5"/>
        <v>0.54001335301376552</v>
      </c>
      <c r="N18" s="305"/>
      <c r="O18" s="494">
        <f t="shared" si="6"/>
        <v>16.542609130364951</v>
      </c>
      <c r="P18" s="494">
        <f t="shared" si="7"/>
        <v>17.496463317518916</v>
      </c>
      <c r="Q18" s="494">
        <f t="shared" si="8"/>
        <v>31.139891095810395</v>
      </c>
      <c r="R18" s="305"/>
      <c r="S18" s="537">
        <f t="shared" si="10"/>
        <v>293.75913074703311</v>
      </c>
      <c r="T18" s="537">
        <f t="shared" si="11"/>
        <v>310.69741265103079</v>
      </c>
      <c r="U18" s="537">
        <f t="shared" si="9"/>
        <v>552.97367348609589</v>
      </c>
      <c r="V18" s="305"/>
    </row>
    <row r="19" spans="1:22">
      <c r="A19">
        <v>13</v>
      </c>
      <c r="B19" s="305"/>
      <c r="C19" s="305"/>
      <c r="D19" s="305"/>
      <c r="E19" s="305"/>
      <c r="F19" s="305"/>
      <c r="G19" s="494">
        <f t="shared" si="0"/>
        <v>7.0037634550817755E-5</v>
      </c>
      <c r="H19" s="494">
        <f t="shared" si="1"/>
        <v>7.4076035654790589E-5</v>
      </c>
      <c r="I19" s="494">
        <f t="shared" si="2"/>
        <v>1.3183919751312635E-4</v>
      </c>
      <c r="J19" s="305"/>
      <c r="K19" s="494">
        <f t="shared" si="3"/>
        <v>0.14343707556007476</v>
      </c>
      <c r="L19" s="494">
        <f t="shared" si="4"/>
        <v>0.15170772102101113</v>
      </c>
      <c r="M19" s="494">
        <f t="shared" si="5"/>
        <v>0.27000667650688276</v>
      </c>
      <c r="N19" s="305"/>
      <c r="O19" s="494">
        <f t="shared" si="6"/>
        <v>12.406956847773714</v>
      </c>
      <c r="P19" s="494">
        <f t="shared" si="7"/>
        <v>13.122347488139187</v>
      </c>
      <c r="Q19" s="494">
        <f t="shared" si="8"/>
        <v>23.354918321857795</v>
      </c>
      <c r="R19" s="305"/>
      <c r="S19" s="537">
        <f t="shared" si="10"/>
        <v>293.75913074703311</v>
      </c>
      <c r="T19" s="537">
        <f t="shared" si="11"/>
        <v>310.69741265103079</v>
      </c>
      <c r="U19" s="537">
        <f t="shared" si="9"/>
        <v>552.97367348609589</v>
      </c>
      <c r="V19" s="305"/>
    </row>
    <row r="20" spans="1:22">
      <c r="A20">
        <v>14</v>
      </c>
      <c r="C20" s="305"/>
      <c r="D20" s="305"/>
      <c r="E20" s="305"/>
      <c r="F20" s="305"/>
      <c r="G20" s="494">
        <f t="shared" si="0"/>
        <v>1.7509408637704439E-5</v>
      </c>
      <c r="H20" s="494">
        <f t="shared" si="1"/>
        <v>1.8519008913697647E-5</v>
      </c>
      <c r="I20" s="494">
        <f t="shared" si="2"/>
        <v>3.2959799378281587E-5</v>
      </c>
      <c r="J20" s="305"/>
      <c r="K20" s="494">
        <f t="shared" si="3"/>
        <v>7.1718537780037381E-2</v>
      </c>
      <c r="L20" s="494">
        <f t="shared" si="4"/>
        <v>7.5853860510505564E-2</v>
      </c>
      <c r="M20" s="494">
        <f t="shared" si="5"/>
        <v>0.13500333825344138</v>
      </c>
      <c r="N20" s="305"/>
      <c r="O20" s="494">
        <f t="shared" si="6"/>
        <v>9.3052176358302852</v>
      </c>
      <c r="P20" s="494">
        <f t="shared" si="7"/>
        <v>9.8417606161043913</v>
      </c>
      <c r="Q20" s="494">
        <f t="shared" si="8"/>
        <v>17.516188741393346</v>
      </c>
      <c r="R20" s="305"/>
      <c r="S20" s="537">
        <f t="shared" si="10"/>
        <v>293.75913074703311</v>
      </c>
      <c r="T20" s="537">
        <f t="shared" si="11"/>
        <v>310.69741265103079</v>
      </c>
      <c r="U20" s="537">
        <f t="shared" si="9"/>
        <v>552.97367348609589</v>
      </c>
      <c r="V20" s="305"/>
    </row>
    <row r="21" spans="1:22">
      <c r="A21">
        <v>15</v>
      </c>
      <c r="B21" s="464"/>
      <c r="C21" s="464"/>
      <c r="D21" s="464"/>
      <c r="E21" s="464"/>
      <c r="F21" s="305"/>
      <c r="G21" s="494">
        <f t="shared" si="0"/>
        <v>4.3773521594261097E-6</v>
      </c>
      <c r="H21" s="494">
        <f t="shared" si="1"/>
        <v>4.6297522284244118E-6</v>
      </c>
      <c r="I21" s="494">
        <f t="shared" si="2"/>
        <v>8.2399498445703967E-6</v>
      </c>
      <c r="J21" s="305"/>
      <c r="K21" s="494">
        <f t="shared" si="3"/>
        <v>3.585926889001869E-2</v>
      </c>
      <c r="L21" s="494">
        <f t="shared" si="4"/>
        <v>3.7926930255252782E-2</v>
      </c>
      <c r="M21" s="494">
        <f t="shared" si="5"/>
        <v>6.750166912672069E-2</v>
      </c>
      <c r="N21" s="305"/>
      <c r="O21" s="494">
        <f t="shared" si="6"/>
        <v>6.9789132268727139</v>
      </c>
      <c r="P21" s="494">
        <f t="shared" si="7"/>
        <v>7.3813204620782935</v>
      </c>
      <c r="Q21" s="494">
        <f t="shared" si="8"/>
        <v>13.137141556045009</v>
      </c>
      <c r="R21" s="305"/>
      <c r="S21" s="537">
        <f t="shared" si="10"/>
        <v>293.75913074703311</v>
      </c>
      <c r="T21" s="537">
        <f t="shared" si="11"/>
        <v>310.69741265103079</v>
      </c>
      <c r="U21" s="537">
        <f t="shared" si="9"/>
        <v>552.97367348609589</v>
      </c>
      <c r="V21" s="305"/>
    </row>
    <row r="22" spans="1:22">
      <c r="A22">
        <v>16</v>
      </c>
      <c r="B22" s="305"/>
      <c r="C22" s="305"/>
      <c r="D22" s="305"/>
      <c r="E22" s="305"/>
      <c r="F22" s="305"/>
      <c r="G22" s="494">
        <f t="shared" si="0"/>
        <v>1.0943380398565274E-6</v>
      </c>
      <c r="H22" s="494">
        <f t="shared" si="1"/>
        <v>1.157438057106103E-6</v>
      </c>
      <c r="I22" s="494">
        <f t="shared" si="2"/>
        <v>2.0599874611425992E-6</v>
      </c>
      <c r="J22" s="305"/>
      <c r="K22" s="494">
        <f t="shared" si="3"/>
        <v>1.7929634445009345E-2</v>
      </c>
      <c r="L22" s="494">
        <f t="shared" si="4"/>
        <v>1.8963465127626391E-2</v>
      </c>
      <c r="M22" s="494">
        <f t="shared" si="5"/>
        <v>3.3750834563360345E-2</v>
      </c>
      <c r="N22" s="305"/>
      <c r="O22" s="494">
        <f t="shared" si="6"/>
        <v>5.2341849201545356</v>
      </c>
      <c r="P22" s="494">
        <f t="shared" si="7"/>
        <v>5.5359903465587204</v>
      </c>
      <c r="Q22" s="494">
        <f t="shared" si="8"/>
        <v>9.8528561670337567</v>
      </c>
      <c r="R22" s="305"/>
      <c r="S22" s="537">
        <f t="shared" si="10"/>
        <v>293.75913074703311</v>
      </c>
      <c r="T22" s="537">
        <f t="shared" si="11"/>
        <v>310.69741265103079</v>
      </c>
      <c r="U22" s="537">
        <f t="shared" si="9"/>
        <v>552.97367348609589</v>
      </c>
      <c r="V22" s="305"/>
    </row>
    <row r="23" spans="1:22">
      <c r="A23">
        <v>17</v>
      </c>
      <c r="C23" s="305"/>
      <c r="D23" s="305"/>
      <c r="E23" s="305"/>
      <c r="F23" s="305"/>
      <c r="G23" s="494">
        <f t="shared" si="0"/>
        <v>2.7358450996413185E-7</v>
      </c>
      <c r="H23" s="494">
        <f t="shared" si="1"/>
        <v>2.8935951427652574E-7</v>
      </c>
      <c r="I23" s="494">
        <f t="shared" si="2"/>
        <v>5.1499686528564979E-7</v>
      </c>
      <c r="J23" s="305"/>
      <c r="K23" s="494">
        <f t="shared" si="3"/>
        <v>8.9648172225046726E-3</v>
      </c>
      <c r="L23" s="494">
        <f t="shared" si="4"/>
        <v>9.4817325638131954E-3</v>
      </c>
      <c r="M23" s="494">
        <f t="shared" si="5"/>
        <v>1.6875417281680172E-2</v>
      </c>
      <c r="N23" s="305"/>
      <c r="O23" s="494">
        <f t="shared" si="6"/>
        <v>3.9256386901159015</v>
      </c>
      <c r="P23" s="494">
        <f t="shared" si="7"/>
        <v>4.1519927599190405</v>
      </c>
      <c r="Q23" s="494">
        <f t="shared" si="8"/>
        <v>7.3896421252753175</v>
      </c>
      <c r="R23" s="305"/>
      <c r="S23" s="537">
        <f t="shared" si="10"/>
        <v>293.75913074703311</v>
      </c>
      <c r="T23" s="537">
        <f t="shared" si="11"/>
        <v>310.69741265103079</v>
      </c>
      <c r="U23" s="537">
        <f t="shared" si="9"/>
        <v>552.97367348609589</v>
      </c>
      <c r="V23" s="305"/>
    </row>
    <row r="24" spans="1:22">
      <c r="A24">
        <v>18</v>
      </c>
      <c r="B24" s="464"/>
      <c r="C24" s="464"/>
      <c r="D24" s="464"/>
      <c r="E24" s="464"/>
      <c r="F24" s="305"/>
      <c r="G24" s="494">
        <f t="shared" si="0"/>
        <v>6.8396127491032964E-8</v>
      </c>
      <c r="H24" s="494">
        <f t="shared" si="1"/>
        <v>7.2339878569131435E-8</v>
      </c>
      <c r="I24" s="494">
        <f t="shared" si="2"/>
        <v>1.2874921632141245E-7</v>
      </c>
      <c r="J24" s="305"/>
      <c r="K24" s="494">
        <f t="shared" si="3"/>
        <v>4.4824086112523363E-3</v>
      </c>
      <c r="L24" s="494">
        <f t="shared" si="4"/>
        <v>4.7408662819065977E-3</v>
      </c>
      <c r="M24" s="494">
        <f t="shared" si="5"/>
        <v>8.4377086408400862E-3</v>
      </c>
      <c r="N24" s="305"/>
      <c r="O24" s="494">
        <f t="shared" si="6"/>
        <v>2.9442290175869261</v>
      </c>
      <c r="P24" s="494">
        <f t="shared" si="7"/>
        <v>3.1139945699392806</v>
      </c>
      <c r="Q24" s="494">
        <f t="shared" si="8"/>
        <v>5.5422315939564886</v>
      </c>
      <c r="R24" s="305"/>
      <c r="S24" s="537">
        <f t="shared" si="10"/>
        <v>293.75913074703311</v>
      </c>
      <c r="T24" s="537">
        <f t="shared" si="11"/>
        <v>310.69741265103079</v>
      </c>
      <c r="U24" s="537">
        <f t="shared" si="9"/>
        <v>552.97367348609589</v>
      </c>
      <c r="V24" s="305"/>
    </row>
    <row r="25" spans="1:22">
      <c r="A25">
        <v>19</v>
      </c>
      <c r="B25" s="305"/>
      <c r="C25" s="305"/>
      <c r="D25" s="305"/>
      <c r="E25" s="305"/>
      <c r="F25" s="305"/>
      <c r="G25" s="494">
        <f t="shared" si="0"/>
        <v>1.7099031872758241E-8</v>
      </c>
      <c r="H25" s="494">
        <f t="shared" si="1"/>
        <v>1.8084969642282859E-8</v>
      </c>
      <c r="I25" s="494">
        <f t="shared" ref="I25:I33" si="12">I24*(1-$I$4)</f>
        <v>3.2187304080353112E-8</v>
      </c>
      <c r="J25" s="305"/>
      <c r="K25" s="494">
        <f t="shared" si="3"/>
        <v>2.2412043056261681E-3</v>
      </c>
      <c r="L25" s="494">
        <f t="shared" si="4"/>
        <v>2.3704331409532989E-3</v>
      </c>
      <c r="M25" s="494">
        <f t="shared" ref="M25:M57" si="13">M24*(1-$M$4)</f>
        <v>4.2188543204200431E-3</v>
      </c>
      <c r="N25" s="305"/>
      <c r="O25" s="494">
        <f t="shared" si="6"/>
        <v>2.2081717631901947</v>
      </c>
      <c r="P25" s="494">
        <f t="shared" si="7"/>
        <v>2.3354959274544607</v>
      </c>
      <c r="Q25" s="494">
        <f t="shared" ref="Q25:Q56" si="14">Q24*(1-$Q$4)</f>
        <v>4.1566736954673669</v>
      </c>
      <c r="R25" s="305"/>
      <c r="S25" s="537">
        <f t="shared" si="10"/>
        <v>293.75913074703311</v>
      </c>
      <c r="T25" s="537">
        <f t="shared" si="11"/>
        <v>310.69741265103079</v>
      </c>
      <c r="U25" s="537">
        <f t="shared" si="11"/>
        <v>552.97367348609589</v>
      </c>
      <c r="V25" s="305"/>
    </row>
    <row r="26" spans="1:22">
      <c r="A26">
        <v>20</v>
      </c>
      <c r="C26" s="305"/>
      <c r="D26" s="305"/>
      <c r="E26" s="305"/>
      <c r="F26" s="305"/>
      <c r="G26" s="494">
        <f t="shared" si="0"/>
        <v>4.2747579681895602E-9</v>
      </c>
      <c r="H26" s="494">
        <f t="shared" si="1"/>
        <v>4.5212424105707147E-9</v>
      </c>
      <c r="I26" s="494">
        <f t="shared" si="12"/>
        <v>8.046826020088278E-9</v>
      </c>
      <c r="J26" s="305"/>
      <c r="K26" s="494">
        <f t="shared" si="3"/>
        <v>1.1206021528130841E-3</v>
      </c>
      <c r="L26" s="494">
        <f t="shared" si="4"/>
        <v>1.1852165704766494E-3</v>
      </c>
      <c r="M26" s="494">
        <f t="shared" si="13"/>
        <v>2.1094271602100216E-3</v>
      </c>
      <c r="N26" s="305"/>
      <c r="O26" s="494">
        <f t="shared" si="6"/>
        <v>1.656128822392646</v>
      </c>
      <c r="P26" s="494">
        <f t="shared" si="7"/>
        <v>1.7516219455908455</v>
      </c>
      <c r="Q26" s="494">
        <f t="shared" si="14"/>
        <v>3.1175052716005252</v>
      </c>
      <c r="R26" s="305"/>
      <c r="S26" s="537">
        <f t="shared" si="10"/>
        <v>293.75913074703311</v>
      </c>
      <c r="T26" s="537">
        <f t="shared" ref="T26:U41" si="15">T25</f>
        <v>310.69741265103079</v>
      </c>
      <c r="U26" s="537">
        <f t="shared" si="15"/>
        <v>552.97367348609589</v>
      </c>
      <c r="V26" s="305"/>
    </row>
    <row r="27" spans="1:22">
      <c r="A27">
        <v>21</v>
      </c>
      <c r="B27" s="464"/>
      <c r="C27" s="464"/>
      <c r="D27" s="464"/>
      <c r="E27" s="464"/>
      <c r="F27" s="305"/>
      <c r="G27" s="494">
        <f t="shared" si="0"/>
        <v>1.0686894920473901E-9</v>
      </c>
      <c r="H27" s="494">
        <f t="shared" si="1"/>
        <v>1.1303106026426787E-9</v>
      </c>
      <c r="I27" s="494">
        <f t="shared" si="12"/>
        <v>2.0117065050220695E-9</v>
      </c>
      <c r="J27" s="305"/>
      <c r="K27" s="494">
        <f t="shared" si="3"/>
        <v>5.6030107640654204E-4</v>
      </c>
      <c r="L27" s="494">
        <f t="shared" si="4"/>
        <v>5.9260828523832472E-4</v>
      </c>
      <c r="M27" s="494">
        <f t="shared" si="13"/>
        <v>1.0547135801050108E-3</v>
      </c>
      <c r="N27" s="305"/>
      <c r="O27" s="494">
        <f t="shared" si="6"/>
        <v>1.2420966167944845</v>
      </c>
      <c r="P27" s="494">
        <f t="shared" si="7"/>
        <v>1.3137164591931341</v>
      </c>
      <c r="Q27" s="494">
        <f t="shared" si="14"/>
        <v>2.338128953700394</v>
      </c>
      <c r="R27" s="305"/>
      <c r="S27" s="537">
        <f t="shared" si="10"/>
        <v>293.75913074703311</v>
      </c>
      <c r="T27" s="537">
        <f t="shared" si="15"/>
        <v>310.69741265103079</v>
      </c>
      <c r="U27" s="537">
        <f t="shared" si="15"/>
        <v>552.97367348609589</v>
      </c>
      <c r="V27" s="305"/>
    </row>
    <row r="28" spans="1:22">
      <c r="A28">
        <v>22</v>
      </c>
      <c r="B28" s="305"/>
      <c r="C28" s="305"/>
      <c r="D28" s="305"/>
      <c r="E28" s="305"/>
      <c r="F28" s="305"/>
      <c r="G28" s="494">
        <f t="shared" si="0"/>
        <v>2.6717237301184751E-10</v>
      </c>
      <c r="H28" s="494">
        <f t="shared" si="1"/>
        <v>2.8257765066066967E-10</v>
      </c>
      <c r="I28" s="494">
        <f t="shared" si="12"/>
        <v>5.0292662625551738E-10</v>
      </c>
      <c r="J28" s="305"/>
      <c r="K28" s="494">
        <f t="shared" si="3"/>
        <v>2.8015053820327102E-4</v>
      </c>
      <c r="L28" s="494">
        <f t="shared" si="4"/>
        <v>2.9630414261916236E-4</v>
      </c>
      <c r="M28" s="494">
        <f t="shared" si="13"/>
        <v>5.2735679005250539E-4</v>
      </c>
      <c r="N28" s="305"/>
      <c r="O28" s="494">
        <f t="shared" si="6"/>
        <v>0.93157246259586335</v>
      </c>
      <c r="P28" s="494">
        <f t="shared" si="7"/>
        <v>0.98528734439485055</v>
      </c>
      <c r="Q28" s="494">
        <f t="shared" si="14"/>
        <v>1.7535967152752954</v>
      </c>
      <c r="R28" s="305"/>
      <c r="S28" s="537">
        <f t="shared" si="10"/>
        <v>293.75913074703311</v>
      </c>
      <c r="T28" s="537">
        <f t="shared" si="15"/>
        <v>310.69741265103079</v>
      </c>
      <c r="U28" s="537">
        <f t="shared" si="15"/>
        <v>552.97367348609589</v>
      </c>
      <c r="V28" s="305"/>
    </row>
    <row r="29" spans="1:22">
      <c r="A29">
        <v>23</v>
      </c>
      <c r="B29" s="305"/>
      <c r="C29" s="305"/>
      <c r="D29" s="305"/>
      <c r="E29" s="305"/>
      <c r="F29" s="305"/>
      <c r="G29" s="494">
        <f t="shared" si="0"/>
        <v>6.6793093252961878E-11</v>
      </c>
      <c r="H29" s="494">
        <f t="shared" si="1"/>
        <v>7.0644412665167417E-11</v>
      </c>
      <c r="I29" s="494">
        <f t="shared" si="12"/>
        <v>1.2573165656387934E-10</v>
      </c>
      <c r="J29" s="305"/>
      <c r="K29" s="494">
        <f t="shared" si="3"/>
        <v>1.4007526910163551E-4</v>
      </c>
      <c r="L29" s="494">
        <f t="shared" si="4"/>
        <v>1.4815207130958118E-4</v>
      </c>
      <c r="M29" s="494">
        <f t="shared" si="13"/>
        <v>2.6367839502625269E-4</v>
      </c>
      <c r="N29" s="305"/>
      <c r="O29" s="494">
        <f t="shared" si="6"/>
        <v>0.69867934694689748</v>
      </c>
      <c r="P29" s="494">
        <f t="shared" si="7"/>
        <v>0.73896550829613794</v>
      </c>
      <c r="Q29" s="494">
        <f t="shared" si="14"/>
        <v>1.3151975364564716</v>
      </c>
      <c r="R29" s="305"/>
      <c r="S29" s="537">
        <f t="shared" si="10"/>
        <v>293.75913074703311</v>
      </c>
      <c r="T29" s="537">
        <f t="shared" si="15"/>
        <v>310.69741265103079</v>
      </c>
      <c r="U29" s="537">
        <f t="shared" si="15"/>
        <v>552.97367348609589</v>
      </c>
      <c r="V29" s="305"/>
    </row>
    <row r="30" spans="1:22">
      <c r="A30">
        <v>24</v>
      </c>
      <c r="B30" s="305"/>
      <c r="C30" s="305"/>
      <c r="D30" s="305"/>
      <c r="E30" s="305"/>
      <c r="F30" s="305"/>
      <c r="G30" s="494">
        <f t="shared" si="0"/>
        <v>1.669827331324047E-11</v>
      </c>
      <c r="H30" s="494">
        <f t="shared" si="1"/>
        <v>1.7661103166291854E-11</v>
      </c>
      <c r="I30" s="494">
        <f t="shared" si="12"/>
        <v>3.1432914140969836E-11</v>
      </c>
      <c r="J30" s="305"/>
      <c r="K30" s="494">
        <f t="shared" si="3"/>
        <v>7.0037634550817755E-5</v>
      </c>
      <c r="L30" s="494">
        <f t="shared" si="4"/>
        <v>7.4076035654790589E-5</v>
      </c>
      <c r="M30" s="494">
        <f t="shared" si="13"/>
        <v>1.3183919751312635E-4</v>
      </c>
      <c r="N30" s="305"/>
      <c r="O30" s="494">
        <f t="shared" si="6"/>
        <v>0.52400951021017317</v>
      </c>
      <c r="P30" s="494">
        <f t="shared" si="7"/>
        <v>0.55422413122210346</v>
      </c>
      <c r="Q30" s="494">
        <f t="shared" si="14"/>
        <v>0.98639815234235373</v>
      </c>
      <c r="R30" s="305"/>
      <c r="S30" s="537">
        <f t="shared" si="10"/>
        <v>293.75913074703311</v>
      </c>
      <c r="T30" s="537">
        <f t="shared" si="15"/>
        <v>310.69741265103079</v>
      </c>
      <c r="U30" s="537">
        <f t="shared" si="15"/>
        <v>552.97367348609589</v>
      </c>
      <c r="V30" s="305"/>
    </row>
    <row r="31" spans="1:22">
      <c r="A31">
        <v>25</v>
      </c>
      <c r="B31" s="305"/>
      <c r="C31" s="305"/>
      <c r="D31" s="305"/>
      <c r="E31" s="305"/>
      <c r="F31" s="305"/>
      <c r="G31" s="494">
        <f t="shared" si="0"/>
        <v>4.1745683283101174E-12</v>
      </c>
      <c r="H31" s="494">
        <f t="shared" si="1"/>
        <v>4.4152757915729636E-12</v>
      </c>
      <c r="I31" s="494">
        <f t="shared" si="12"/>
        <v>7.858228535242459E-12</v>
      </c>
      <c r="J31" s="305"/>
      <c r="K31" s="494">
        <f t="shared" si="3"/>
        <v>3.5018817275408877E-5</v>
      </c>
      <c r="L31" s="494">
        <f t="shared" si="4"/>
        <v>3.7038017827395295E-5</v>
      </c>
      <c r="M31" s="494">
        <f t="shared" si="13"/>
        <v>6.5919598756563174E-5</v>
      </c>
      <c r="N31" s="305"/>
      <c r="O31" s="494">
        <f t="shared" si="6"/>
        <v>0.39300713265762988</v>
      </c>
      <c r="P31" s="494">
        <f t="shared" si="7"/>
        <v>0.41566809841657759</v>
      </c>
      <c r="Q31" s="494">
        <f t="shared" si="14"/>
        <v>0.7397986142567653</v>
      </c>
      <c r="R31" s="305"/>
      <c r="S31" s="537">
        <f t="shared" si="10"/>
        <v>293.75913074703311</v>
      </c>
      <c r="T31" s="537">
        <f t="shared" si="15"/>
        <v>310.69741265103079</v>
      </c>
      <c r="U31" s="537">
        <f t="shared" si="15"/>
        <v>552.97367348609589</v>
      </c>
      <c r="V31" s="305"/>
    </row>
    <row r="32" spans="1:22">
      <c r="A32">
        <v>26</v>
      </c>
      <c r="B32" s="305"/>
      <c r="C32" s="305"/>
      <c r="D32" s="305"/>
      <c r="E32" s="305"/>
      <c r="F32" s="305"/>
      <c r="G32" s="494">
        <f t="shared" si="0"/>
        <v>1.0436420820775294E-12</v>
      </c>
      <c r="H32" s="494">
        <f t="shared" si="1"/>
        <v>1.1038189478932409E-12</v>
      </c>
      <c r="I32" s="494">
        <f t="shared" si="12"/>
        <v>1.9645571338106148E-12</v>
      </c>
      <c r="J32" s="305"/>
      <c r="K32" s="494">
        <f t="shared" si="3"/>
        <v>1.7509408637704439E-5</v>
      </c>
      <c r="L32" s="494">
        <f t="shared" si="4"/>
        <v>1.8519008913697647E-5</v>
      </c>
      <c r="M32" s="494">
        <f t="shared" si="13"/>
        <v>3.2959799378281587E-5</v>
      </c>
      <c r="N32" s="305"/>
      <c r="O32" s="494">
        <f t="shared" si="6"/>
        <v>0.29475534949322241</v>
      </c>
      <c r="P32" s="494">
        <f t="shared" si="7"/>
        <v>0.31175107381243317</v>
      </c>
      <c r="Q32" s="494">
        <f t="shared" si="14"/>
        <v>0.55484896069257394</v>
      </c>
      <c r="R32" s="305"/>
      <c r="S32" s="537">
        <f t="shared" si="10"/>
        <v>293.75913074703311</v>
      </c>
      <c r="T32" s="537">
        <f t="shared" si="15"/>
        <v>310.69741265103079</v>
      </c>
      <c r="U32" s="537">
        <f t="shared" si="15"/>
        <v>552.97367348609589</v>
      </c>
      <c r="V32" s="305"/>
    </row>
    <row r="33" spans="1:22">
      <c r="A33">
        <v>27</v>
      </c>
      <c r="B33" s="305"/>
      <c r="C33" s="305"/>
      <c r="D33" s="305"/>
      <c r="E33" s="305"/>
      <c r="F33" s="305"/>
      <c r="G33" s="494">
        <f t="shared" si="0"/>
        <v>2.6091052051938234E-13</v>
      </c>
      <c r="H33" s="494">
        <f t="shared" si="1"/>
        <v>2.7595473697331022E-13</v>
      </c>
      <c r="I33" s="494">
        <f t="shared" si="12"/>
        <v>4.9113928345265369E-13</v>
      </c>
      <c r="J33" s="305"/>
      <c r="K33" s="494">
        <f t="shared" si="3"/>
        <v>8.7547043188522193E-6</v>
      </c>
      <c r="L33" s="494">
        <f t="shared" si="4"/>
        <v>9.2595044568488237E-6</v>
      </c>
      <c r="M33" s="494">
        <f t="shared" si="13"/>
        <v>1.6479899689140793E-5</v>
      </c>
      <c r="N33" s="305"/>
      <c r="O33" s="494">
        <f t="shared" si="6"/>
        <v>0.22106651211991679</v>
      </c>
      <c r="P33" s="494">
        <f t="shared" si="7"/>
        <v>0.23381330535932487</v>
      </c>
      <c r="Q33" s="494">
        <f t="shared" si="14"/>
        <v>0.41613672051943046</v>
      </c>
      <c r="R33" s="305"/>
      <c r="S33" s="537">
        <f t="shared" si="10"/>
        <v>293.75913074703311</v>
      </c>
      <c r="T33" s="537">
        <f t="shared" si="15"/>
        <v>310.69741265103079</v>
      </c>
      <c r="U33" s="537">
        <f t="shared" si="15"/>
        <v>552.97367348609589</v>
      </c>
      <c r="V33" s="305"/>
    </row>
    <row r="34" spans="1:22">
      <c r="A34">
        <v>28</v>
      </c>
      <c r="B34" s="305"/>
      <c r="C34" s="305"/>
      <c r="D34" s="305"/>
      <c r="E34" s="305"/>
      <c r="F34" s="305"/>
      <c r="G34" s="494"/>
      <c r="H34" s="494"/>
      <c r="I34" s="494"/>
      <c r="J34" s="305"/>
      <c r="K34" s="494">
        <f t="shared" si="3"/>
        <v>4.3773521594261097E-6</v>
      </c>
      <c r="L34" s="494">
        <f t="shared" si="4"/>
        <v>4.6297522284244118E-6</v>
      </c>
      <c r="M34" s="494">
        <f t="shared" si="13"/>
        <v>8.2399498445703967E-6</v>
      </c>
      <c r="N34" s="305"/>
      <c r="O34" s="494">
        <f t="shared" si="6"/>
        <v>0.16579988408993759</v>
      </c>
      <c r="P34" s="494">
        <f t="shared" si="7"/>
        <v>0.17535997901949366</v>
      </c>
      <c r="Q34" s="494">
        <f t="shared" si="14"/>
        <v>0.31210254038957286</v>
      </c>
      <c r="R34" s="305"/>
      <c r="S34" s="537">
        <f t="shared" si="10"/>
        <v>293.75913074703311</v>
      </c>
      <c r="T34" s="537">
        <f t="shared" si="15"/>
        <v>310.69741265103079</v>
      </c>
      <c r="U34" s="537">
        <f t="shared" si="15"/>
        <v>552.97367348609589</v>
      </c>
      <c r="V34" s="305"/>
    </row>
    <row r="35" spans="1:22">
      <c r="A35">
        <v>29</v>
      </c>
      <c r="B35" s="305"/>
      <c r="C35" s="305"/>
      <c r="D35" s="305"/>
      <c r="E35" s="305"/>
      <c r="F35" s="305"/>
      <c r="G35" s="494"/>
      <c r="H35" s="494"/>
      <c r="I35" s="494"/>
      <c r="J35" s="305"/>
      <c r="K35" s="494">
        <f t="shared" si="3"/>
        <v>2.1886760797130548E-6</v>
      </c>
      <c r="L35" s="494">
        <f t="shared" si="4"/>
        <v>2.3148761142122059E-6</v>
      </c>
      <c r="M35" s="494">
        <f t="shared" si="13"/>
        <v>4.1199749222851983E-6</v>
      </c>
      <c r="N35" s="305"/>
      <c r="O35" s="494">
        <f t="shared" si="6"/>
        <v>0.12434991306745319</v>
      </c>
      <c r="P35" s="494">
        <f t="shared" si="7"/>
        <v>0.13151998426462025</v>
      </c>
      <c r="Q35" s="494">
        <f t="shared" si="14"/>
        <v>0.23407690529217964</v>
      </c>
      <c r="R35" s="305"/>
      <c r="S35" s="537">
        <f t="shared" si="10"/>
        <v>293.75913074703311</v>
      </c>
      <c r="T35" s="537">
        <f t="shared" si="15"/>
        <v>310.69741265103079</v>
      </c>
      <c r="U35" s="537">
        <f t="shared" si="15"/>
        <v>552.97367348609589</v>
      </c>
      <c r="V35" s="305"/>
    </row>
    <row r="36" spans="1:22">
      <c r="A36">
        <v>30</v>
      </c>
      <c r="B36" s="305"/>
      <c r="C36" s="305"/>
      <c r="D36" s="305"/>
      <c r="E36" s="305"/>
      <c r="F36" s="305"/>
      <c r="G36" s="494"/>
      <c r="H36" s="494"/>
      <c r="I36" s="494"/>
      <c r="J36" s="305"/>
      <c r="K36" s="494">
        <f t="shared" si="3"/>
        <v>1.0943380398565274E-6</v>
      </c>
      <c r="L36" s="494">
        <f t="shared" si="4"/>
        <v>1.157438057106103E-6</v>
      </c>
      <c r="M36" s="494">
        <f t="shared" si="13"/>
        <v>2.0599874611425992E-6</v>
      </c>
      <c r="N36" s="305"/>
      <c r="O36" s="494">
        <f t="shared" si="6"/>
        <v>9.3262434800589891E-2</v>
      </c>
      <c r="P36" s="494">
        <f t="shared" si="7"/>
        <v>9.8639988198465187E-2</v>
      </c>
      <c r="Q36" s="494">
        <f t="shared" si="14"/>
        <v>0.17555767896913474</v>
      </c>
      <c r="R36" s="305"/>
      <c r="S36" s="537">
        <f t="shared" si="10"/>
        <v>293.75913074703311</v>
      </c>
      <c r="T36" s="537">
        <f t="shared" si="15"/>
        <v>310.69741265103079</v>
      </c>
      <c r="U36" s="537">
        <f t="shared" si="15"/>
        <v>552.97367348609589</v>
      </c>
      <c r="V36" s="305"/>
    </row>
    <row r="37" spans="1:22">
      <c r="A37">
        <v>31</v>
      </c>
      <c r="B37" s="305"/>
      <c r="C37" s="305"/>
      <c r="D37" s="305"/>
      <c r="E37" s="305"/>
      <c r="F37" s="305"/>
      <c r="G37" s="305"/>
      <c r="H37" s="305"/>
      <c r="I37" s="305"/>
      <c r="J37" s="305"/>
      <c r="K37" s="494">
        <f t="shared" si="3"/>
        <v>5.4716901992826371E-7</v>
      </c>
      <c r="L37" s="494">
        <f t="shared" si="4"/>
        <v>5.7871902855305148E-7</v>
      </c>
      <c r="M37" s="494">
        <f t="shared" si="13"/>
        <v>1.0299937305712996E-6</v>
      </c>
      <c r="N37" s="305"/>
      <c r="O37" s="494">
        <f t="shared" si="6"/>
        <v>6.9946826100442422E-2</v>
      </c>
      <c r="P37" s="494">
        <f t="shared" si="7"/>
        <v>7.3979991148848886E-2</v>
      </c>
      <c r="Q37" s="494">
        <f t="shared" si="14"/>
        <v>0.13166825922685105</v>
      </c>
      <c r="R37" s="305"/>
      <c r="S37" s="537">
        <f t="shared" si="10"/>
        <v>293.75913074703311</v>
      </c>
      <c r="T37" s="537">
        <f t="shared" si="15"/>
        <v>310.69741265103079</v>
      </c>
      <c r="U37" s="537">
        <f t="shared" si="15"/>
        <v>552.97367348609589</v>
      </c>
      <c r="V37" s="305"/>
    </row>
    <row r="38" spans="1:22">
      <c r="A38">
        <v>32</v>
      </c>
      <c r="B38" s="305"/>
      <c r="C38" s="305"/>
      <c r="D38" s="305"/>
      <c r="E38" s="305"/>
      <c r="F38" s="305"/>
      <c r="G38" s="305"/>
      <c r="H38" s="305"/>
      <c r="I38" s="305"/>
      <c r="J38" s="305"/>
      <c r="K38" s="494">
        <f t="shared" si="3"/>
        <v>2.7358450996413185E-7</v>
      </c>
      <c r="L38" s="494">
        <f t="shared" si="4"/>
        <v>2.8935951427652574E-7</v>
      </c>
      <c r="M38" s="494">
        <f t="shared" si="13"/>
        <v>5.1499686528564979E-7</v>
      </c>
      <c r="N38" s="305"/>
      <c r="O38" s="494">
        <f t="shared" si="6"/>
        <v>5.2460119575331816E-2</v>
      </c>
      <c r="P38" s="494">
        <f t="shared" si="7"/>
        <v>5.5484993361636661E-2</v>
      </c>
      <c r="Q38" s="494">
        <f t="shared" si="14"/>
        <v>9.8751194420138286E-2</v>
      </c>
      <c r="R38" s="305"/>
      <c r="S38" s="537">
        <f t="shared" si="10"/>
        <v>293.75913074703311</v>
      </c>
      <c r="T38" s="537">
        <f t="shared" si="15"/>
        <v>310.69741265103079</v>
      </c>
      <c r="U38" s="537">
        <f t="shared" si="15"/>
        <v>552.97367348609589</v>
      </c>
      <c r="V38" s="305"/>
    </row>
    <row r="39" spans="1:22">
      <c r="A39">
        <v>33</v>
      </c>
      <c r="B39" s="305"/>
      <c r="C39" s="305"/>
      <c r="D39" s="305"/>
      <c r="E39" s="305"/>
      <c r="F39" s="305"/>
      <c r="G39" s="305"/>
      <c r="H39" s="305"/>
      <c r="I39" s="305"/>
      <c r="J39" s="305"/>
      <c r="K39" s="494">
        <f t="shared" si="3"/>
        <v>1.3679225498206593E-7</v>
      </c>
      <c r="L39" s="494">
        <f t="shared" si="4"/>
        <v>1.4467975713826287E-7</v>
      </c>
      <c r="M39" s="494">
        <f t="shared" si="13"/>
        <v>2.574984326428249E-7</v>
      </c>
      <c r="N39" s="305"/>
      <c r="O39" s="494">
        <f t="shared" si="6"/>
        <v>3.9345089681498864E-2</v>
      </c>
      <c r="P39" s="494">
        <f t="shared" si="7"/>
        <v>4.16137450212275E-2</v>
      </c>
      <c r="Q39" s="494">
        <f t="shared" si="14"/>
        <v>7.4063395815103711E-2</v>
      </c>
      <c r="R39" s="305"/>
      <c r="S39" s="537">
        <f t="shared" si="10"/>
        <v>293.75913074703311</v>
      </c>
      <c r="T39" s="537">
        <f t="shared" si="15"/>
        <v>310.69741265103079</v>
      </c>
      <c r="U39" s="537">
        <f t="shared" si="15"/>
        <v>552.97367348609589</v>
      </c>
      <c r="V39" s="305"/>
    </row>
    <row r="40" spans="1:22">
      <c r="A40">
        <v>34</v>
      </c>
      <c r="B40" s="305"/>
      <c r="C40" s="305"/>
      <c r="D40" s="305"/>
      <c r="E40" s="305"/>
      <c r="F40" s="305"/>
      <c r="G40" s="305"/>
      <c r="H40" s="305"/>
      <c r="I40" s="305"/>
      <c r="J40" s="305"/>
      <c r="K40" s="494">
        <f t="shared" si="3"/>
        <v>6.8396127491032964E-8</v>
      </c>
      <c r="L40" s="494">
        <f t="shared" si="4"/>
        <v>7.2339878569131435E-8</v>
      </c>
      <c r="M40" s="494">
        <f t="shared" si="13"/>
        <v>1.2874921632141245E-7</v>
      </c>
      <c r="N40" s="305"/>
      <c r="O40" s="494">
        <f t="shared" si="6"/>
        <v>2.950881726112415E-2</v>
      </c>
      <c r="P40" s="494">
        <f t="shared" si="7"/>
        <v>3.1210308765920625E-2</v>
      </c>
      <c r="Q40" s="494">
        <f t="shared" si="14"/>
        <v>5.5547546861327783E-2</v>
      </c>
      <c r="R40" s="305"/>
      <c r="S40" s="537">
        <f t="shared" si="10"/>
        <v>293.75913074703311</v>
      </c>
      <c r="T40" s="537">
        <f t="shared" si="15"/>
        <v>310.69741265103079</v>
      </c>
      <c r="U40" s="537">
        <f t="shared" si="15"/>
        <v>552.97367348609589</v>
      </c>
      <c r="V40" s="305"/>
    </row>
    <row r="41" spans="1:22">
      <c r="A41">
        <v>35</v>
      </c>
      <c r="B41" s="305"/>
      <c r="C41" s="305"/>
      <c r="D41" s="305"/>
      <c r="E41" s="305"/>
      <c r="F41" s="305"/>
      <c r="G41" s="305"/>
      <c r="H41" s="305"/>
      <c r="I41" s="305"/>
      <c r="J41" s="305"/>
      <c r="K41" s="494">
        <f t="shared" ref="K41:K57" si="16">K40*(1-$M$4)</f>
        <v>3.4198063745516482E-8</v>
      </c>
      <c r="L41" s="494">
        <f t="shared" ref="L41:L57" si="17">L40*(1-$M$4)</f>
        <v>3.6169939284565717E-8</v>
      </c>
      <c r="M41" s="494">
        <f t="shared" si="13"/>
        <v>6.4374608160706224E-8</v>
      </c>
      <c r="N41" s="305"/>
      <c r="O41" s="494">
        <f t="shared" ref="O41:O72" si="18">O40*(1-$Q$4)</f>
        <v>2.2131612945843114E-2</v>
      </c>
      <c r="P41" s="494">
        <f t="shared" ref="P41:P72" si="19">P40*(1-$Q$4)</f>
        <v>2.3407731574440468E-2</v>
      </c>
      <c r="Q41" s="494">
        <f t="shared" si="14"/>
        <v>4.1660660145995836E-2</v>
      </c>
      <c r="R41" s="305"/>
      <c r="S41" s="537">
        <f t="shared" si="10"/>
        <v>293.75913074703311</v>
      </c>
      <c r="T41" s="537">
        <f t="shared" si="15"/>
        <v>310.69741265103079</v>
      </c>
      <c r="U41" s="537">
        <f t="shared" si="15"/>
        <v>552.97367348609589</v>
      </c>
      <c r="V41" s="305"/>
    </row>
    <row r="42" spans="1:22">
      <c r="A42">
        <v>36</v>
      </c>
      <c r="B42" s="305"/>
      <c r="C42" s="305"/>
      <c r="D42" s="305"/>
      <c r="E42" s="305"/>
      <c r="F42" s="305"/>
      <c r="G42" s="305"/>
      <c r="H42" s="305"/>
      <c r="I42" s="305"/>
      <c r="J42" s="305"/>
      <c r="K42" s="494">
        <f t="shared" si="16"/>
        <v>1.7099031872758241E-8</v>
      </c>
      <c r="L42" s="494">
        <f t="shared" si="17"/>
        <v>1.8084969642282859E-8</v>
      </c>
      <c r="M42" s="494">
        <f t="shared" si="13"/>
        <v>3.2187304080353112E-8</v>
      </c>
      <c r="N42" s="305"/>
      <c r="O42" s="494">
        <f t="shared" si="18"/>
        <v>1.6598709709382334E-2</v>
      </c>
      <c r="P42" s="494">
        <f t="shared" si="19"/>
        <v>1.7555798680830351E-2</v>
      </c>
      <c r="Q42" s="494">
        <f t="shared" si="14"/>
        <v>3.1245495109496875E-2</v>
      </c>
      <c r="R42" s="305"/>
      <c r="S42" s="537">
        <f t="shared" ref="S42:S73" si="20">S41</f>
        <v>293.75913074703311</v>
      </c>
      <c r="T42" s="537">
        <f t="shared" ref="T42:U57" si="21">T41</f>
        <v>310.69741265103079</v>
      </c>
      <c r="U42" s="537">
        <f t="shared" si="21"/>
        <v>552.97367348609589</v>
      </c>
      <c r="V42" s="305"/>
    </row>
    <row r="43" spans="1:22">
      <c r="A43">
        <v>37</v>
      </c>
      <c r="B43" s="305"/>
      <c r="C43" s="305"/>
      <c r="D43" s="305"/>
      <c r="E43" s="305"/>
      <c r="F43" s="305"/>
      <c r="G43" s="305"/>
      <c r="H43" s="305"/>
      <c r="I43" s="305"/>
      <c r="J43" s="305"/>
      <c r="K43" s="494">
        <f t="shared" si="16"/>
        <v>8.5495159363791204E-9</v>
      </c>
      <c r="L43" s="494">
        <f t="shared" si="17"/>
        <v>9.0424848211414294E-9</v>
      </c>
      <c r="M43" s="494">
        <f t="shared" si="13"/>
        <v>1.6093652040176556E-8</v>
      </c>
      <c r="N43" s="305"/>
      <c r="O43" s="494">
        <f t="shared" si="18"/>
        <v>1.244903228203675E-2</v>
      </c>
      <c r="P43" s="494">
        <f t="shared" si="19"/>
        <v>1.3166849010622764E-2</v>
      </c>
      <c r="Q43" s="494">
        <f t="shared" si="14"/>
        <v>2.3434121332122658E-2</v>
      </c>
      <c r="R43" s="305"/>
      <c r="S43" s="537">
        <f t="shared" si="20"/>
        <v>293.75913074703311</v>
      </c>
      <c r="T43" s="537">
        <f t="shared" si="21"/>
        <v>310.69741265103079</v>
      </c>
      <c r="U43" s="537">
        <f t="shared" si="21"/>
        <v>552.97367348609589</v>
      </c>
      <c r="V43" s="305"/>
    </row>
    <row r="44" spans="1:22">
      <c r="A44">
        <v>38</v>
      </c>
      <c r="B44" s="305"/>
      <c r="C44" s="305"/>
      <c r="D44" s="305"/>
      <c r="E44" s="305"/>
      <c r="F44" s="305"/>
      <c r="G44" s="305"/>
      <c r="H44" s="305"/>
      <c r="I44" s="305"/>
      <c r="J44" s="305"/>
      <c r="K44" s="494">
        <f t="shared" si="16"/>
        <v>4.2747579681895602E-9</v>
      </c>
      <c r="L44" s="494">
        <f t="shared" si="17"/>
        <v>4.5212424105707147E-9</v>
      </c>
      <c r="M44" s="494">
        <f t="shared" si="13"/>
        <v>8.046826020088278E-9</v>
      </c>
      <c r="N44" s="305"/>
      <c r="O44" s="494">
        <f t="shared" si="18"/>
        <v>9.3367742115275619E-3</v>
      </c>
      <c r="P44" s="494">
        <f t="shared" si="19"/>
        <v>9.8751367579670742E-3</v>
      </c>
      <c r="Q44" s="494">
        <f t="shared" si="14"/>
        <v>1.7575590999091992E-2</v>
      </c>
      <c r="R44" s="305"/>
      <c r="S44" s="537">
        <f t="shared" si="20"/>
        <v>293.75913074703311</v>
      </c>
      <c r="T44" s="537">
        <f t="shared" si="21"/>
        <v>310.69741265103079</v>
      </c>
      <c r="U44" s="537">
        <f t="shared" si="21"/>
        <v>552.97367348609589</v>
      </c>
      <c r="V44" s="305"/>
    </row>
    <row r="45" spans="1:22">
      <c r="A45">
        <v>39</v>
      </c>
      <c r="B45" s="305"/>
      <c r="C45" s="305"/>
      <c r="D45" s="305"/>
      <c r="E45" s="305"/>
      <c r="F45" s="305"/>
      <c r="G45" s="305"/>
      <c r="H45" s="305"/>
      <c r="I45" s="305"/>
      <c r="J45" s="305"/>
      <c r="K45" s="494">
        <f t="shared" si="16"/>
        <v>2.1373789840947801E-9</v>
      </c>
      <c r="L45" s="494">
        <f t="shared" si="17"/>
        <v>2.2606212052853573E-9</v>
      </c>
      <c r="M45" s="494">
        <f t="shared" si="13"/>
        <v>4.023413010044139E-9</v>
      </c>
      <c r="N45" s="305"/>
      <c r="O45" s="494">
        <f t="shared" si="18"/>
        <v>7.0025806586456714E-3</v>
      </c>
      <c r="P45" s="494">
        <f t="shared" si="19"/>
        <v>7.4063525684753056E-3</v>
      </c>
      <c r="Q45" s="494">
        <f t="shared" si="14"/>
        <v>1.3181693249318994E-2</v>
      </c>
      <c r="R45" s="305"/>
      <c r="S45" s="537">
        <f t="shared" si="20"/>
        <v>293.75913074703311</v>
      </c>
      <c r="T45" s="537">
        <f t="shared" si="21"/>
        <v>310.69741265103079</v>
      </c>
      <c r="U45" s="537">
        <f t="shared" si="21"/>
        <v>552.97367348609589</v>
      </c>
      <c r="V45" s="305"/>
    </row>
    <row r="46" spans="1:22">
      <c r="A46">
        <v>40</v>
      </c>
      <c r="B46" s="305"/>
      <c r="C46" s="305"/>
      <c r="D46" s="305"/>
      <c r="E46" s="305"/>
      <c r="F46" s="305"/>
      <c r="G46" s="305"/>
      <c r="H46" s="305"/>
      <c r="I46" s="305"/>
      <c r="J46" s="305"/>
      <c r="K46" s="494">
        <f t="shared" si="16"/>
        <v>1.0686894920473901E-9</v>
      </c>
      <c r="L46" s="494">
        <f t="shared" si="17"/>
        <v>1.1303106026426787E-9</v>
      </c>
      <c r="M46" s="494">
        <f t="shared" si="13"/>
        <v>2.0117065050220695E-9</v>
      </c>
      <c r="N46" s="305"/>
      <c r="O46" s="494">
        <f t="shared" si="18"/>
        <v>5.2519354939842538E-3</v>
      </c>
      <c r="P46" s="494">
        <f t="shared" si="19"/>
        <v>5.554764426356479E-3</v>
      </c>
      <c r="Q46" s="494">
        <f t="shared" si="14"/>
        <v>9.8862699369892462E-3</v>
      </c>
      <c r="R46" s="305"/>
      <c r="S46" s="537">
        <f t="shared" si="20"/>
        <v>293.75913074703311</v>
      </c>
      <c r="T46" s="537">
        <f t="shared" si="21"/>
        <v>310.69741265103079</v>
      </c>
      <c r="U46" s="537">
        <f t="shared" si="21"/>
        <v>552.97367348609589</v>
      </c>
      <c r="V46" s="305"/>
    </row>
    <row r="47" spans="1:22">
      <c r="A47">
        <v>41</v>
      </c>
      <c r="B47" s="305"/>
      <c r="C47" s="305"/>
      <c r="D47" s="305"/>
      <c r="E47" s="305"/>
      <c r="F47" s="305"/>
      <c r="G47" s="305"/>
      <c r="H47" s="305"/>
      <c r="I47" s="305"/>
      <c r="J47" s="305"/>
      <c r="K47" s="494">
        <f t="shared" si="16"/>
        <v>5.3434474602369503E-10</v>
      </c>
      <c r="L47" s="494">
        <f t="shared" si="17"/>
        <v>5.6515530132133934E-10</v>
      </c>
      <c r="M47" s="494">
        <f t="shared" si="13"/>
        <v>1.0058532525110348E-9</v>
      </c>
      <c r="N47" s="305"/>
      <c r="O47" s="494">
        <f t="shared" si="18"/>
        <v>3.9389516204881899E-3</v>
      </c>
      <c r="P47" s="494">
        <f t="shared" si="19"/>
        <v>4.1660733197673595E-3</v>
      </c>
      <c r="Q47" s="494">
        <f t="shared" si="14"/>
        <v>7.4147024527419347E-3</v>
      </c>
      <c r="R47" s="305"/>
      <c r="S47" s="537">
        <f t="shared" si="20"/>
        <v>293.75913074703311</v>
      </c>
      <c r="T47" s="537">
        <f t="shared" si="21"/>
        <v>310.69741265103079</v>
      </c>
      <c r="U47" s="537">
        <f t="shared" si="21"/>
        <v>552.97367348609589</v>
      </c>
      <c r="V47" s="305"/>
    </row>
    <row r="48" spans="1:22">
      <c r="A48">
        <v>42</v>
      </c>
      <c r="B48" s="305"/>
      <c r="C48" s="305"/>
      <c r="D48" s="305"/>
      <c r="E48" s="305"/>
      <c r="F48" s="305"/>
      <c r="G48" s="305"/>
      <c r="H48" s="305"/>
      <c r="I48" s="305"/>
      <c r="J48" s="305"/>
      <c r="K48" s="494">
        <f t="shared" si="16"/>
        <v>2.6717237301184751E-10</v>
      </c>
      <c r="L48" s="494">
        <f t="shared" si="17"/>
        <v>2.8257765066066967E-10</v>
      </c>
      <c r="M48" s="494">
        <f t="shared" si="13"/>
        <v>5.0292662625551738E-10</v>
      </c>
      <c r="N48" s="305"/>
      <c r="O48" s="494">
        <f t="shared" si="18"/>
        <v>2.9542137153661424E-3</v>
      </c>
      <c r="P48" s="494">
        <f t="shared" si="19"/>
        <v>3.1245549898255196E-3</v>
      </c>
      <c r="Q48" s="494">
        <f t="shared" si="14"/>
        <v>5.5610268395564506E-3</v>
      </c>
      <c r="R48" s="305"/>
      <c r="S48" s="537">
        <f t="shared" si="20"/>
        <v>293.75913074703311</v>
      </c>
      <c r="T48" s="537">
        <f t="shared" si="21"/>
        <v>310.69741265103079</v>
      </c>
      <c r="U48" s="537">
        <f t="shared" si="21"/>
        <v>552.97367348609589</v>
      </c>
      <c r="V48" s="305"/>
    </row>
    <row r="49" spans="1:22">
      <c r="A49">
        <v>43</v>
      </c>
      <c r="B49" s="305"/>
      <c r="C49" s="305"/>
      <c r="D49" s="305"/>
      <c r="E49" s="305"/>
      <c r="F49" s="305"/>
      <c r="G49" s="305"/>
      <c r="H49" s="305"/>
      <c r="I49" s="305"/>
      <c r="J49" s="305"/>
      <c r="K49" s="494">
        <f t="shared" si="16"/>
        <v>1.3358618650592376E-10</v>
      </c>
      <c r="L49" s="494">
        <f t="shared" si="17"/>
        <v>1.4128882533033483E-10</v>
      </c>
      <c r="M49" s="494">
        <f t="shared" si="13"/>
        <v>2.5146331312775869E-10</v>
      </c>
      <c r="N49" s="305"/>
      <c r="O49" s="494">
        <f t="shared" si="18"/>
        <v>2.2156602865246069E-3</v>
      </c>
      <c r="P49" s="494">
        <f t="shared" si="19"/>
        <v>2.3434162423691396E-3</v>
      </c>
      <c r="Q49" s="494">
        <f t="shared" si="14"/>
        <v>4.1707701296673384E-3</v>
      </c>
      <c r="R49" s="305"/>
      <c r="S49" s="537">
        <f t="shared" si="20"/>
        <v>293.75913074703311</v>
      </c>
      <c r="T49" s="537">
        <f t="shared" si="21"/>
        <v>310.69741265103079</v>
      </c>
      <c r="U49" s="537">
        <f t="shared" si="21"/>
        <v>552.97367348609589</v>
      </c>
      <c r="V49" s="305"/>
    </row>
    <row r="50" spans="1:22">
      <c r="A50">
        <v>44</v>
      </c>
      <c r="B50" s="305"/>
      <c r="C50" s="305"/>
      <c r="D50" s="305"/>
      <c r="E50" s="305"/>
      <c r="F50" s="305"/>
      <c r="G50" s="305"/>
      <c r="H50" s="305"/>
      <c r="I50" s="305"/>
      <c r="J50" s="305"/>
      <c r="K50" s="494">
        <f t="shared" si="16"/>
        <v>6.6793093252961878E-11</v>
      </c>
      <c r="L50" s="494">
        <f t="shared" si="17"/>
        <v>7.0644412665167417E-11</v>
      </c>
      <c r="M50" s="494">
        <f t="shared" si="13"/>
        <v>1.2573165656387934E-10</v>
      </c>
      <c r="N50" s="305"/>
      <c r="O50" s="494">
        <f t="shared" si="18"/>
        <v>1.6617452148934551E-3</v>
      </c>
      <c r="P50" s="494">
        <f t="shared" si="19"/>
        <v>1.7575621817768547E-3</v>
      </c>
      <c r="Q50" s="494">
        <f t="shared" si="14"/>
        <v>3.1280775972505038E-3</v>
      </c>
      <c r="R50" s="305"/>
      <c r="S50" s="537">
        <f t="shared" si="20"/>
        <v>293.75913074703311</v>
      </c>
      <c r="T50" s="537">
        <f t="shared" si="21"/>
        <v>310.69741265103079</v>
      </c>
      <c r="U50" s="537">
        <f t="shared" si="21"/>
        <v>552.97367348609589</v>
      </c>
      <c r="V50" s="305"/>
    </row>
    <row r="51" spans="1:22">
      <c r="A51">
        <v>45</v>
      </c>
      <c r="B51" s="305"/>
      <c r="C51" s="305"/>
      <c r="D51" s="305"/>
      <c r="E51" s="305"/>
      <c r="F51" s="305"/>
      <c r="G51" s="305"/>
      <c r="H51" s="305"/>
      <c r="I51" s="305"/>
      <c r="J51" s="305"/>
      <c r="K51" s="494">
        <f t="shared" si="16"/>
        <v>3.3396546626480939E-11</v>
      </c>
      <c r="L51" s="494">
        <f t="shared" si="17"/>
        <v>3.5322206332583708E-11</v>
      </c>
      <c r="M51" s="494">
        <f t="shared" si="13"/>
        <v>6.2865828281939672E-11</v>
      </c>
      <c r="N51" s="305"/>
      <c r="O51" s="494">
        <f t="shared" si="18"/>
        <v>1.2463089111700914E-3</v>
      </c>
      <c r="P51" s="494">
        <f t="shared" si="19"/>
        <v>1.318171636332641E-3</v>
      </c>
      <c r="Q51" s="494">
        <f t="shared" si="14"/>
        <v>2.3460581979378777E-3</v>
      </c>
      <c r="R51" s="305"/>
      <c r="S51" s="537">
        <f t="shared" si="20"/>
        <v>293.75913074703311</v>
      </c>
      <c r="T51" s="537">
        <f t="shared" si="21"/>
        <v>310.69741265103079</v>
      </c>
      <c r="U51" s="537">
        <f t="shared" si="21"/>
        <v>552.97367348609589</v>
      </c>
      <c r="V51" s="305"/>
    </row>
    <row r="52" spans="1:22">
      <c r="A52">
        <v>46</v>
      </c>
      <c r="B52" s="305"/>
      <c r="C52" s="305"/>
      <c r="D52" s="305"/>
      <c r="E52" s="305"/>
      <c r="F52" s="305"/>
      <c r="G52" s="305"/>
      <c r="H52" s="305"/>
      <c r="I52" s="305"/>
      <c r="J52" s="305"/>
      <c r="K52" s="494">
        <f t="shared" si="16"/>
        <v>1.669827331324047E-11</v>
      </c>
      <c r="L52" s="494">
        <f t="shared" si="17"/>
        <v>1.7661103166291854E-11</v>
      </c>
      <c r="M52" s="494">
        <f t="shared" si="13"/>
        <v>3.1432914140969836E-11</v>
      </c>
      <c r="N52" s="305"/>
      <c r="O52" s="494">
        <f t="shared" si="18"/>
        <v>9.3473168337756857E-4</v>
      </c>
      <c r="P52" s="494">
        <f t="shared" si="19"/>
        <v>9.8862872724948076E-4</v>
      </c>
      <c r="Q52" s="494">
        <f t="shared" si="14"/>
        <v>1.7595436484534083E-3</v>
      </c>
      <c r="R52" s="305"/>
      <c r="S52" s="537">
        <f t="shared" si="20"/>
        <v>293.75913074703311</v>
      </c>
      <c r="T52" s="537">
        <f t="shared" si="21"/>
        <v>310.69741265103079</v>
      </c>
      <c r="U52" s="537">
        <f t="shared" si="21"/>
        <v>552.97367348609589</v>
      </c>
      <c r="V52" s="305"/>
    </row>
    <row r="53" spans="1:22">
      <c r="A53">
        <v>47</v>
      </c>
      <c r="B53" s="305"/>
      <c r="C53" s="305"/>
      <c r="D53" s="305"/>
      <c r="E53" s="305"/>
      <c r="F53" s="305"/>
      <c r="G53" s="305"/>
      <c r="H53" s="305"/>
      <c r="I53" s="305"/>
      <c r="J53" s="305"/>
      <c r="K53" s="494">
        <f t="shared" si="16"/>
        <v>8.3491366566202348E-12</v>
      </c>
      <c r="L53" s="494">
        <f t="shared" si="17"/>
        <v>8.8305515831459271E-12</v>
      </c>
      <c r="M53" s="494">
        <f t="shared" si="13"/>
        <v>1.5716457070484918E-11</v>
      </c>
      <c r="N53" s="305"/>
      <c r="O53" s="494">
        <f t="shared" si="18"/>
        <v>7.0104876253317648E-4</v>
      </c>
      <c r="P53" s="494">
        <f t="shared" si="19"/>
        <v>7.4147154543711057E-4</v>
      </c>
      <c r="Q53" s="494">
        <f t="shared" si="14"/>
        <v>1.3196577363400563E-3</v>
      </c>
      <c r="R53" s="305"/>
      <c r="S53" s="537">
        <f t="shared" si="20"/>
        <v>293.75913074703311</v>
      </c>
      <c r="T53" s="537">
        <f t="shared" si="21"/>
        <v>310.69741265103079</v>
      </c>
      <c r="U53" s="537">
        <f t="shared" si="21"/>
        <v>552.97367348609589</v>
      </c>
      <c r="V53" s="305"/>
    </row>
    <row r="54" spans="1:22">
      <c r="A54">
        <v>48</v>
      </c>
      <c r="B54" s="305"/>
      <c r="C54" s="305"/>
      <c r="D54" s="305"/>
      <c r="E54" s="305"/>
      <c r="F54" s="305"/>
      <c r="G54" s="305"/>
      <c r="H54" s="305"/>
      <c r="I54" s="305"/>
      <c r="J54" s="305"/>
      <c r="K54" s="494">
        <f t="shared" si="16"/>
        <v>4.1745683283101174E-12</v>
      </c>
      <c r="L54" s="494">
        <f t="shared" si="17"/>
        <v>4.4152757915729636E-12</v>
      </c>
      <c r="M54" s="494">
        <f t="shared" si="13"/>
        <v>7.858228535242459E-12</v>
      </c>
      <c r="N54" s="305"/>
      <c r="O54" s="494">
        <f t="shared" si="18"/>
        <v>5.2578657189988236E-4</v>
      </c>
      <c r="P54" s="494">
        <f t="shared" si="19"/>
        <v>5.5610365907783296E-4</v>
      </c>
      <c r="Q54" s="494">
        <f t="shared" si="14"/>
        <v>9.8974330225504214E-4</v>
      </c>
      <c r="R54" s="305"/>
      <c r="S54" s="537">
        <f t="shared" si="20"/>
        <v>293.75913074703311</v>
      </c>
      <c r="T54" s="537">
        <f t="shared" si="21"/>
        <v>310.69741265103079</v>
      </c>
      <c r="U54" s="537">
        <f t="shared" si="21"/>
        <v>552.97367348609589</v>
      </c>
      <c r="V54" s="305"/>
    </row>
    <row r="55" spans="1:22">
      <c r="A55">
        <v>49</v>
      </c>
      <c r="B55" s="305"/>
      <c r="C55" s="305"/>
      <c r="D55" s="305"/>
      <c r="E55" s="305"/>
      <c r="F55" s="305"/>
      <c r="G55" s="305"/>
      <c r="H55" s="305"/>
      <c r="I55" s="305"/>
      <c r="J55" s="305"/>
      <c r="K55" s="494">
        <f t="shared" si="16"/>
        <v>2.0872841641550587E-12</v>
      </c>
      <c r="L55" s="494">
        <f t="shared" si="17"/>
        <v>2.2076378957864818E-12</v>
      </c>
      <c r="M55" s="494">
        <f t="shared" si="13"/>
        <v>3.9291142676212295E-12</v>
      </c>
      <c r="N55" s="305"/>
      <c r="O55" s="494">
        <f t="shared" si="18"/>
        <v>3.9433992892491177E-4</v>
      </c>
      <c r="P55" s="494">
        <f t="shared" si="19"/>
        <v>4.1707774430837472E-4</v>
      </c>
      <c r="Q55" s="494">
        <f t="shared" si="14"/>
        <v>7.423074766912816E-4</v>
      </c>
      <c r="R55" s="305"/>
      <c r="S55" s="537">
        <f t="shared" si="20"/>
        <v>293.75913074703311</v>
      </c>
      <c r="T55" s="537">
        <f t="shared" si="21"/>
        <v>310.69741265103079</v>
      </c>
      <c r="U55" s="537">
        <f t="shared" si="21"/>
        <v>552.97367348609589</v>
      </c>
      <c r="V55" s="305"/>
    </row>
    <row r="56" spans="1:22">
      <c r="A56">
        <v>50</v>
      </c>
      <c r="B56" s="305"/>
      <c r="C56" s="305"/>
      <c r="D56" s="305"/>
      <c r="E56" s="305"/>
      <c r="F56" s="305"/>
      <c r="G56" s="305"/>
      <c r="H56" s="305"/>
      <c r="I56" s="305"/>
      <c r="J56" s="305"/>
      <c r="K56" s="494">
        <f t="shared" si="16"/>
        <v>1.0436420820775294E-12</v>
      </c>
      <c r="L56" s="494">
        <f t="shared" si="17"/>
        <v>1.1038189478932409E-12</v>
      </c>
      <c r="M56" s="494">
        <f t="shared" si="13"/>
        <v>1.9645571338106148E-12</v>
      </c>
      <c r="N56" s="305"/>
      <c r="O56" s="494">
        <f t="shared" si="18"/>
        <v>2.957549466936838E-4</v>
      </c>
      <c r="P56" s="494">
        <f t="shared" si="19"/>
        <v>3.1280830823128102E-4</v>
      </c>
      <c r="Q56" s="494">
        <f t="shared" si="14"/>
        <v>5.5673060751846117E-4</v>
      </c>
      <c r="R56" s="305"/>
      <c r="S56" s="537">
        <f t="shared" si="20"/>
        <v>293.75913074703311</v>
      </c>
      <c r="T56" s="537">
        <f t="shared" si="21"/>
        <v>310.69741265103079</v>
      </c>
      <c r="U56" s="537">
        <f t="shared" si="21"/>
        <v>552.97367348609589</v>
      </c>
      <c r="V56" s="305"/>
    </row>
    <row r="57" spans="1:22">
      <c r="A57">
        <v>51</v>
      </c>
      <c r="B57" s="305"/>
      <c r="C57" s="305"/>
      <c r="D57" s="305"/>
      <c r="E57" s="305"/>
      <c r="F57" s="305"/>
      <c r="G57" s="305"/>
      <c r="H57" s="305"/>
      <c r="I57" s="305"/>
      <c r="J57" s="305"/>
      <c r="K57" s="494">
        <f t="shared" si="16"/>
        <v>5.2182104103876468E-13</v>
      </c>
      <c r="L57" s="494">
        <f t="shared" si="17"/>
        <v>5.5190947394662045E-13</v>
      </c>
      <c r="M57" s="494">
        <f t="shared" si="13"/>
        <v>9.8227856690530738E-13</v>
      </c>
      <c r="N57" s="305"/>
      <c r="O57" s="494">
        <f t="shared" si="18"/>
        <v>2.2181621002026285E-4</v>
      </c>
      <c r="P57" s="494">
        <f t="shared" si="19"/>
        <v>2.3460623117346077E-4</v>
      </c>
      <c r="Q57" s="494">
        <f t="shared" ref="Q57:Q87" si="22">Q56*(1-$Q$4)</f>
        <v>4.1754795563884588E-4</v>
      </c>
      <c r="R57" s="305"/>
      <c r="S57" s="537">
        <f t="shared" si="20"/>
        <v>293.75913074703311</v>
      </c>
      <c r="T57" s="537">
        <f t="shared" si="21"/>
        <v>310.69741265103079</v>
      </c>
      <c r="U57" s="537">
        <f t="shared" si="21"/>
        <v>552.97367348609589</v>
      </c>
      <c r="V57" s="305"/>
    </row>
    <row r="58" spans="1:22">
      <c r="A58">
        <v>52</v>
      </c>
      <c r="B58" s="305"/>
      <c r="C58" s="305"/>
      <c r="D58" s="305"/>
      <c r="E58" s="305"/>
      <c r="F58" s="305"/>
      <c r="G58" s="305"/>
      <c r="H58" s="305"/>
      <c r="I58" s="305"/>
      <c r="J58" s="305"/>
      <c r="K58" s="305"/>
      <c r="L58" s="305"/>
      <c r="M58" s="305"/>
      <c r="N58" s="305"/>
      <c r="O58" s="494">
        <f t="shared" si="18"/>
        <v>1.6636215751519715E-4</v>
      </c>
      <c r="P58" s="494">
        <f t="shared" si="19"/>
        <v>1.7595467338009558E-4</v>
      </c>
      <c r="Q58" s="494">
        <f t="shared" si="22"/>
        <v>3.131609667291344E-4</v>
      </c>
      <c r="R58" s="305"/>
      <c r="S58" s="537">
        <f t="shared" si="20"/>
        <v>293.75913074703311</v>
      </c>
      <c r="T58" s="537">
        <f t="shared" ref="T58:U73" si="23">T57</f>
        <v>310.69741265103079</v>
      </c>
      <c r="U58" s="537">
        <f t="shared" si="23"/>
        <v>552.97367348609589</v>
      </c>
      <c r="V58" s="305"/>
    </row>
    <row r="59" spans="1:22">
      <c r="A59">
        <v>53</v>
      </c>
      <c r="B59" s="305"/>
      <c r="C59" s="305"/>
      <c r="D59" s="305"/>
      <c r="E59" s="305"/>
      <c r="F59" s="305"/>
      <c r="G59" s="305"/>
      <c r="H59" s="305"/>
      <c r="I59" s="305"/>
      <c r="J59" s="305"/>
      <c r="K59" s="305"/>
      <c r="L59" s="305"/>
      <c r="M59" s="305"/>
      <c r="N59" s="305"/>
      <c r="O59" s="494">
        <f t="shared" si="18"/>
        <v>1.2477161813639786E-4</v>
      </c>
      <c r="P59" s="494">
        <f t="shared" si="19"/>
        <v>1.3196600503507169E-4</v>
      </c>
      <c r="Q59" s="494">
        <f t="shared" si="22"/>
        <v>2.348707250468508E-4</v>
      </c>
      <c r="R59" s="305"/>
      <c r="S59" s="537">
        <f t="shared" si="20"/>
        <v>293.75913074703311</v>
      </c>
      <c r="T59" s="537">
        <f t="shared" si="23"/>
        <v>310.69741265103079</v>
      </c>
      <c r="U59" s="537">
        <f t="shared" si="23"/>
        <v>552.97367348609589</v>
      </c>
      <c r="V59" s="305"/>
    </row>
    <row r="60" spans="1:22">
      <c r="A60">
        <v>54</v>
      </c>
      <c r="B60" s="305"/>
      <c r="C60" s="305"/>
      <c r="D60" s="305"/>
      <c r="E60" s="305"/>
      <c r="F60" s="305"/>
      <c r="G60" s="305"/>
      <c r="H60" s="305"/>
      <c r="I60" s="305"/>
      <c r="J60" s="305"/>
      <c r="K60" s="305"/>
      <c r="L60" s="305"/>
      <c r="M60" s="305"/>
      <c r="N60" s="305"/>
      <c r="O60" s="494">
        <f t="shared" si="18"/>
        <v>9.3578713602298405E-5</v>
      </c>
      <c r="P60" s="494">
        <f t="shared" si="19"/>
        <v>9.8974503776303759E-5</v>
      </c>
      <c r="Q60" s="494">
        <f t="shared" si="22"/>
        <v>1.761530437851381E-4</v>
      </c>
      <c r="R60" s="305"/>
      <c r="S60" s="537">
        <f t="shared" si="20"/>
        <v>293.75913074703311</v>
      </c>
      <c r="T60" s="537">
        <f t="shared" si="23"/>
        <v>310.69741265103079</v>
      </c>
      <c r="U60" s="537">
        <f t="shared" si="23"/>
        <v>552.97367348609589</v>
      </c>
      <c r="V60" s="305"/>
    </row>
    <row r="61" spans="1:22">
      <c r="A61">
        <v>55</v>
      </c>
      <c r="B61" s="305"/>
      <c r="C61" s="305"/>
      <c r="D61" s="305"/>
      <c r="E61" s="305"/>
      <c r="F61" s="305"/>
      <c r="G61" s="305"/>
      <c r="H61" s="305"/>
      <c r="I61" s="305"/>
      <c r="J61" s="305"/>
      <c r="K61" s="305"/>
      <c r="L61" s="305"/>
      <c r="M61" s="305"/>
      <c r="N61" s="305"/>
      <c r="O61" s="494">
        <f t="shared" si="18"/>
        <v>7.0184035201723797E-5</v>
      </c>
      <c r="P61" s="494">
        <f t="shared" si="19"/>
        <v>7.4230877832227819E-5</v>
      </c>
      <c r="Q61" s="494">
        <f t="shared" si="22"/>
        <v>1.3211478283885357E-4</v>
      </c>
      <c r="R61" s="305"/>
      <c r="S61" s="537">
        <f t="shared" si="20"/>
        <v>293.75913074703311</v>
      </c>
      <c r="T61" s="537">
        <f t="shared" si="23"/>
        <v>310.69741265103079</v>
      </c>
      <c r="U61" s="537">
        <f t="shared" si="23"/>
        <v>552.97367348609589</v>
      </c>
      <c r="V61" s="305"/>
    </row>
    <row r="62" spans="1:22">
      <c r="A62">
        <v>56</v>
      </c>
      <c r="B62" s="305"/>
      <c r="C62" s="305"/>
      <c r="D62" s="305"/>
      <c r="E62" s="305"/>
      <c r="F62" s="305"/>
      <c r="G62" s="305"/>
      <c r="H62" s="305"/>
      <c r="I62" s="305"/>
      <c r="J62" s="305"/>
      <c r="K62" s="305"/>
      <c r="L62" s="305"/>
      <c r="M62" s="305"/>
      <c r="N62" s="305"/>
      <c r="O62" s="494">
        <f t="shared" si="18"/>
        <v>5.2638026401292847E-5</v>
      </c>
      <c r="P62" s="494">
        <f t="shared" si="19"/>
        <v>5.5673158374170868E-5</v>
      </c>
      <c r="Q62" s="494">
        <f t="shared" si="22"/>
        <v>9.9086087129140186E-5</v>
      </c>
      <c r="R62" s="305"/>
      <c r="S62" s="537">
        <f t="shared" si="20"/>
        <v>293.75913074703311</v>
      </c>
      <c r="T62" s="537">
        <f t="shared" si="23"/>
        <v>310.69741265103079</v>
      </c>
      <c r="U62" s="537">
        <f t="shared" si="23"/>
        <v>552.97367348609589</v>
      </c>
      <c r="V62" s="305"/>
    </row>
    <row r="63" spans="1:22">
      <c r="A63">
        <v>57</v>
      </c>
      <c r="B63" s="305"/>
      <c r="C63" s="305"/>
      <c r="D63" s="305"/>
      <c r="E63" s="305"/>
      <c r="F63" s="305"/>
      <c r="G63" s="305"/>
      <c r="H63" s="305"/>
      <c r="I63" s="305"/>
      <c r="J63" s="305"/>
      <c r="K63" s="305"/>
      <c r="L63" s="305"/>
      <c r="M63" s="305"/>
      <c r="N63" s="305"/>
      <c r="O63" s="494">
        <f t="shared" si="18"/>
        <v>3.9478519800969632E-5</v>
      </c>
      <c r="P63" s="494">
        <f t="shared" si="19"/>
        <v>4.1754868780628147E-5</v>
      </c>
      <c r="Q63" s="494">
        <f t="shared" si="22"/>
        <v>7.4314565346855139E-5</v>
      </c>
      <c r="R63" s="305"/>
      <c r="S63" s="537">
        <f t="shared" si="20"/>
        <v>293.75913074703311</v>
      </c>
      <c r="T63" s="537">
        <f t="shared" si="23"/>
        <v>310.69741265103079</v>
      </c>
      <c r="U63" s="537">
        <f t="shared" si="23"/>
        <v>552.97367348609589</v>
      </c>
      <c r="V63" s="305"/>
    </row>
    <row r="64" spans="1:22">
      <c r="A64">
        <v>58</v>
      </c>
      <c r="B64" s="305"/>
      <c r="C64" s="305"/>
      <c r="D64" s="305"/>
      <c r="E64" s="305"/>
      <c r="F64" s="305"/>
      <c r="G64" s="305"/>
      <c r="H64" s="305"/>
      <c r="I64" s="305"/>
      <c r="J64" s="305"/>
      <c r="K64" s="305"/>
      <c r="L64" s="305"/>
      <c r="M64" s="305"/>
      <c r="N64" s="305"/>
      <c r="O64" s="494">
        <f t="shared" si="18"/>
        <v>2.9608889850727224E-5</v>
      </c>
      <c r="P64" s="494">
        <f t="shared" si="19"/>
        <v>3.1316151585471114E-5</v>
      </c>
      <c r="Q64" s="494">
        <f t="shared" si="22"/>
        <v>5.5735924010141358E-5</v>
      </c>
      <c r="R64" s="305"/>
      <c r="S64" s="537">
        <f t="shared" si="20"/>
        <v>293.75913074703311</v>
      </c>
      <c r="T64" s="537">
        <f t="shared" si="23"/>
        <v>310.69741265103079</v>
      </c>
      <c r="U64" s="537">
        <f t="shared" si="23"/>
        <v>552.97367348609589</v>
      </c>
      <c r="V64" s="305"/>
    </row>
    <row r="65" spans="1:22">
      <c r="A65">
        <v>59</v>
      </c>
      <c r="B65" s="305"/>
      <c r="C65" s="305"/>
      <c r="D65" s="305"/>
      <c r="E65" s="305"/>
      <c r="F65" s="305"/>
      <c r="G65" s="305"/>
      <c r="H65" s="305"/>
      <c r="I65" s="305"/>
      <c r="J65" s="305"/>
      <c r="K65" s="305"/>
      <c r="L65" s="305"/>
      <c r="M65" s="305"/>
      <c r="N65" s="305"/>
      <c r="O65" s="494">
        <f t="shared" si="18"/>
        <v>2.2206667388045419E-5</v>
      </c>
      <c r="P65" s="494">
        <f t="shared" si="19"/>
        <v>2.3487113689103335E-5</v>
      </c>
      <c r="Q65" s="494">
        <f t="shared" si="22"/>
        <v>4.1801943007606018E-5</v>
      </c>
      <c r="R65" s="305"/>
      <c r="S65" s="537">
        <f t="shared" si="20"/>
        <v>293.75913074703311</v>
      </c>
      <c r="T65" s="537">
        <f t="shared" si="23"/>
        <v>310.69741265103079</v>
      </c>
      <c r="U65" s="537">
        <f t="shared" si="23"/>
        <v>552.97367348609589</v>
      </c>
      <c r="V65" s="305"/>
    </row>
    <row r="66" spans="1:22">
      <c r="A66">
        <v>60</v>
      </c>
      <c r="B66" s="305"/>
      <c r="C66" s="305"/>
      <c r="D66" s="305"/>
      <c r="E66" s="305"/>
      <c r="F66" s="305"/>
      <c r="G66" s="305"/>
      <c r="H66" s="305"/>
      <c r="I66" s="305"/>
      <c r="J66" s="305"/>
      <c r="K66" s="305"/>
      <c r="L66" s="305"/>
      <c r="M66" s="305"/>
      <c r="N66" s="305"/>
      <c r="O66" s="494">
        <f t="shared" si="18"/>
        <v>1.6655000541034064E-5</v>
      </c>
      <c r="P66" s="494">
        <f t="shared" si="19"/>
        <v>1.7615335266827501E-5</v>
      </c>
      <c r="Q66" s="494">
        <f t="shared" si="22"/>
        <v>3.135145725570451E-5</v>
      </c>
      <c r="R66" s="305"/>
      <c r="S66" s="537">
        <f t="shared" si="20"/>
        <v>293.75913074703311</v>
      </c>
      <c r="T66" s="537">
        <f t="shared" si="23"/>
        <v>310.69741265103079</v>
      </c>
      <c r="U66" s="537">
        <f t="shared" si="23"/>
        <v>552.97367348609589</v>
      </c>
      <c r="V66" s="305"/>
    </row>
    <row r="67" spans="1:22">
      <c r="A67">
        <v>61</v>
      </c>
      <c r="B67" s="305"/>
      <c r="C67" s="305"/>
      <c r="D67" s="305"/>
      <c r="E67" s="305"/>
      <c r="F67" s="305"/>
      <c r="G67" s="305"/>
      <c r="H67" s="305"/>
      <c r="I67" s="305"/>
      <c r="J67" s="305"/>
      <c r="K67" s="305"/>
      <c r="L67" s="305"/>
      <c r="M67" s="305"/>
      <c r="N67" s="305"/>
      <c r="O67" s="494">
        <f t="shared" si="18"/>
        <v>1.2491250405775548E-5</v>
      </c>
      <c r="P67" s="494">
        <f t="shared" si="19"/>
        <v>1.3211501450120626E-5</v>
      </c>
      <c r="Q67" s="494">
        <f t="shared" si="22"/>
        <v>2.3513592941778383E-5</v>
      </c>
      <c r="R67" s="305"/>
      <c r="S67" s="537">
        <f t="shared" si="20"/>
        <v>293.75913074703311</v>
      </c>
      <c r="T67" s="537">
        <f t="shared" si="23"/>
        <v>310.69741265103079</v>
      </c>
      <c r="U67" s="537">
        <f t="shared" si="23"/>
        <v>552.97367348609589</v>
      </c>
      <c r="V67" s="305"/>
    </row>
    <row r="68" spans="1:22">
      <c r="A68">
        <v>62</v>
      </c>
      <c r="B68" s="305"/>
      <c r="C68" s="305"/>
      <c r="D68" s="305"/>
      <c r="E68" s="305"/>
      <c r="F68" s="305"/>
      <c r="G68" s="305"/>
      <c r="H68" s="305"/>
      <c r="I68" s="305"/>
      <c r="J68" s="305"/>
      <c r="K68" s="305"/>
      <c r="L68" s="305"/>
      <c r="M68" s="305"/>
      <c r="N68" s="305"/>
      <c r="O68" s="494">
        <f t="shared" si="18"/>
        <v>9.3684378043316611E-6</v>
      </c>
      <c r="P68" s="494">
        <f t="shared" si="19"/>
        <v>9.9086260875904707E-6</v>
      </c>
      <c r="Q68" s="494">
        <f t="shared" si="22"/>
        <v>1.7635194706333789E-5</v>
      </c>
      <c r="R68" s="305"/>
      <c r="S68" s="537">
        <f t="shared" si="20"/>
        <v>293.75913074703311</v>
      </c>
      <c r="T68" s="537">
        <f t="shared" si="23"/>
        <v>310.69741265103079</v>
      </c>
      <c r="U68" s="537">
        <f t="shared" si="23"/>
        <v>552.97367348609589</v>
      </c>
      <c r="V68" s="305"/>
    </row>
    <row r="69" spans="1:22">
      <c r="A69">
        <v>63</v>
      </c>
      <c r="B69" s="305"/>
      <c r="C69" s="305"/>
      <c r="D69" s="305"/>
      <c r="E69" s="305"/>
      <c r="F69" s="305"/>
      <c r="G69" s="305"/>
      <c r="H69" s="305"/>
      <c r="I69" s="305"/>
      <c r="J69" s="305"/>
      <c r="K69" s="305"/>
      <c r="L69" s="305"/>
      <c r="M69" s="305"/>
      <c r="N69" s="305"/>
      <c r="O69" s="494">
        <f t="shared" si="18"/>
        <v>7.0263283532487454E-6</v>
      </c>
      <c r="P69" s="494">
        <f t="shared" si="19"/>
        <v>7.431469565692853E-6</v>
      </c>
      <c r="Q69" s="494">
        <f t="shared" si="22"/>
        <v>1.3226396029750342E-5</v>
      </c>
      <c r="R69" s="305"/>
      <c r="S69" s="537">
        <f t="shared" si="20"/>
        <v>293.75913074703311</v>
      </c>
      <c r="T69" s="537">
        <f t="shared" si="23"/>
        <v>310.69741265103079</v>
      </c>
      <c r="U69" s="537">
        <f t="shared" si="23"/>
        <v>552.97367348609589</v>
      </c>
      <c r="V69" s="305"/>
    </row>
    <row r="70" spans="1:22">
      <c r="A70">
        <v>64</v>
      </c>
      <c r="B70" s="305"/>
      <c r="C70" s="305"/>
      <c r="D70" s="305"/>
      <c r="E70" s="305"/>
      <c r="F70" s="305"/>
      <c r="G70" s="305"/>
      <c r="H70" s="305"/>
      <c r="I70" s="305"/>
      <c r="J70" s="305"/>
      <c r="K70" s="305"/>
      <c r="L70" s="305"/>
      <c r="M70" s="305"/>
      <c r="N70" s="305"/>
      <c r="O70" s="494">
        <f t="shared" si="18"/>
        <v>5.2697462649365591E-6</v>
      </c>
      <c r="P70" s="494">
        <f t="shared" si="19"/>
        <v>5.5736021742696402E-6</v>
      </c>
      <c r="Q70" s="494">
        <f t="shared" si="22"/>
        <v>9.9197970223127566E-6</v>
      </c>
      <c r="R70" s="305"/>
      <c r="S70" s="537">
        <f t="shared" si="20"/>
        <v>293.75913074703311</v>
      </c>
      <c r="T70" s="537">
        <f t="shared" si="23"/>
        <v>310.69741265103079</v>
      </c>
      <c r="U70" s="537">
        <f t="shared" si="23"/>
        <v>552.97367348609589</v>
      </c>
      <c r="V70" s="305"/>
    </row>
    <row r="71" spans="1:22">
      <c r="A71">
        <v>65</v>
      </c>
      <c r="B71" s="305"/>
      <c r="C71" s="305"/>
      <c r="D71" s="305"/>
      <c r="E71" s="305"/>
      <c r="F71" s="305"/>
      <c r="G71" s="305"/>
      <c r="H71" s="305"/>
      <c r="I71" s="305"/>
      <c r="J71" s="305"/>
      <c r="K71" s="305"/>
      <c r="L71" s="305"/>
      <c r="M71" s="305"/>
      <c r="N71" s="305"/>
      <c r="O71" s="494">
        <f t="shared" si="18"/>
        <v>3.9523096987024195E-6</v>
      </c>
      <c r="P71" s="494">
        <f t="shared" si="19"/>
        <v>4.1802016307022305E-6</v>
      </c>
      <c r="Q71" s="494">
        <f t="shared" si="22"/>
        <v>7.4398477667345675E-6</v>
      </c>
      <c r="R71" s="305"/>
      <c r="S71" s="537">
        <f t="shared" si="20"/>
        <v>293.75913074703311</v>
      </c>
      <c r="T71" s="537">
        <f t="shared" si="23"/>
        <v>310.69741265103079</v>
      </c>
      <c r="U71" s="537">
        <f t="shared" si="23"/>
        <v>552.97367348609589</v>
      </c>
      <c r="V71" s="305"/>
    </row>
    <row r="72" spans="1:22">
      <c r="A72">
        <v>66</v>
      </c>
      <c r="B72" s="305"/>
      <c r="C72" s="305"/>
      <c r="D72" s="305"/>
      <c r="E72" s="305"/>
      <c r="F72" s="305"/>
      <c r="G72" s="305"/>
      <c r="H72" s="305"/>
      <c r="I72" s="305"/>
      <c r="J72" s="305"/>
      <c r="K72" s="305"/>
      <c r="L72" s="305"/>
      <c r="M72" s="305"/>
      <c r="N72" s="305"/>
      <c r="O72" s="494">
        <f t="shared" si="18"/>
        <v>2.9642322740268148E-6</v>
      </c>
      <c r="P72" s="494">
        <f t="shared" si="19"/>
        <v>3.1351512230266729E-6</v>
      </c>
      <c r="Q72" s="494">
        <f t="shared" si="22"/>
        <v>5.5798858250509256E-6</v>
      </c>
      <c r="R72" s="305"/>
      <c r="S72" s="537">
        <f t="shared" si="20"/>
        <v>293.75913074703311</v>
      </c>
      <c r="T72" s="537">
        <f t="shared" si="23"/>
        <v>310.69741265103079</v>
      </c>
      <c r="U72" s="537">
        <f t="shared" si="23"/>
        <v>552.97367348609589</v>
      </c>
      <c r="V72" s="305"/>
    </row>
    <row r="73" spans="1:22">
      <c r="A73">
        <v>67</v>
      </c>
      <c r="B73" s="305"/>
      <c r="C73" s="305"/>
      <c r="D73" s="305"/>
      <c r="E73" s="305"/>
      <c r="F73" s="305"/>
      <c r="G73" s="305"/>
      <c r="H73" s="305"/>
      <c r="I73" s="305"/>
      <c r="J73" s="305"/>
      <c r="K73" s="305"/>
      <c r="L73" s="305"/>
      <c r="M73" s="305"/>
      <c r="N73" s="305"/>
      <c r="O73" s="494">
        <f t="shared" ref="O73:O87" si="24">O72*(1-$Q$4)</f>
        <v>2.2231742055201109E-6</v>
      </c>
      <c r="P73" s="494">
        <f t="shared" ref="P73:P87" si="25">P72*(1-$Q$4)</f>
        <v>2.3513634172700047E-6</v>
      </c>
      <c r="Q73" s="494">
        <f t="shared" si="22"/>
        <v>4.1849143687881938E-6</v>
      </c>
      <c r="R73" s="305"/>
      <c r="S73" s="537">
        <f t="shared" si="20"/>
        <v>293.75913074703311</v>
      </c>
      <c r="T73" s="537">
        <f t="shared" si="23"/>
        <v>310.69741265103079</v>
      </c>
      <c r="U73" s="537">
        <f t="shared" si="23"/>
        <v>552.97367348609589</v>
      </c>
      <c r="V73" s="305"/>
    </row>
    <row r="74" spans="1:22">
      <c r="A74">
        <v>68</v>
      </c>
      <c r="B74" s="305"/>
      <c r="C74" s="305"/>
      <c r="D74" s="305"/>
      <c r="E74" s="305"/>
      <c r="F74" s="305"/>
      <c r="G74" s="305"/>
      <c r="H74" s="305"/>
      <c r="I74" s="305"/>
      <c r="J74" s="305"/>
      <c r="K74" s="305"/>
      <c r="L74" s="305"/>
      <c r="M74" s="305"/>
      <c r="N74" s="305"/>
      <c r="O74" s="494">
        <f t="shared" si="24"/>
        <v>1.6673806541400832E-6</v>
      </c>
      <c r="P74" s="494">
        <f t="shared" si="25"/>
        <v>1.7635225629525034E-6</v>
      </c>
      <c r="Q74" s="494">
        <f t="shared" si="22"/>
        <v>3.1386857765911453E-6</v>
      </c>
      <c r="R74" s="305"/>
      <c r="S74" s="537">
        <f t="shared" ref="S74:S105" si="26">S73</f>
        <v>293.75913074703311</v>
      </c>
      <c r="T74" s="537">
        <f t="shared" ref="T74:U89" si="27">T73</f>
        <v>310.69741265103079</v>
      </c>
      <c r="U74" s="537">
        <f t="shared" si="27"/>
        <v>552.97367348609589</v>
      </c>
      <c r="V74" s="305"/>
    </row>
    <row r="75" spans="1:22">
      <c r="A75">
        <v>69</v>
      </c>
      <c r="B75" s="305"/>
      <c r="C75" s="305"/>
      <c r="D75" s="305"/>
      <c r="E75" s="305"/>
      <c r="F75" s="305"/>
      <c r="G75" s="305"/>
      <c r="H75" s="305"/>
      <c r="I75" s="305"/>
      <c r="J75" s="305"/>
      <c r="K75" s="305"/>
      <c r="L75" s="305"/>
      <c r="M75" s="305"/>
      <c r="N75" s="305"/>
      <c r="O75" s="494">
        <f t="shared" si="24"/>
        <v>1.2505354906050624E-6</v>
      </c>
      <c r="P75" s="494">
        <f t="shared" si="25"/>
        <v>1.3226419222143776E-6</v>
      </c>
      <c r="Q75" s="494">
        <f t="shared" si="22"/>
        <v>2.3540143324433588E-6</v>
      </c>
      <c r="R75" s="305"/>
      <c r="S75" s="537">
        <f t="shared" si="26"/>
        <v>293.75913074703311</v>
      </c>
      <c r="T75" s="537">
        <f t="shared" si="27"/>
        <v>310.69741265103079</v>
      </c>
      <c r="U75" s="537">
        <f t="shared" si="27"/>
        <v>552.97367348609589</v>
      </c>
      <c r="V75" s="305"/>
    </row>
    <row r="76" spans="1:22">
      <c r="A76">
        <v>70</v>
      </c>
      <c r="B76" s="305"/>
      <c r="C76" s="305"/>
      <c r="D76" s="305"/>
      <c r="E76" s="305"/>
      <c r="F76" s="305"/>
      <c r="G76" s="305"/>
      <c r="H76" s="305"/>
      <c r="I76" s="305"/>
      <c r="J76" s="305"/>
      <c r="K76" s="305"/>
      <c r="L76" s="305"/>
      <c r="M76" s="305"/>
      <c r="N76" s="305"/>
      <c r="O76" s="494">
        <f t="shared" si="24"/>
        <v>9.3790161795379678E-7</v>
      </c>
      <c r="P76" s="494">
        <f t="shared" si="25"/>
        <v>9.9198144166078322E-7</v>
      </c>
      <c r="Q76" s="494">
        <f t="shared" si="22"/>
        <v>1.7655107493325191E-6</v>
      </c>
      <c r="R76" s="305"/>
      <c r="S76" s="537">
        <f t="shared" si="26"/>
        <v>293.75913074703311</v>
      </c>
      <c r="T76" s="537">
        <f t="shared" si="27"/>
        <v>310.69741265103079</v>
      </c>
      <c r="U76" s="537">
        <f t="shared" si="27"/>
        <v>552.97367348609589</v>
      </c>
      <c r="V76" s="305"/>
    </row>
    <row r="77" spans="1:22">
      <c r="A77">
        <v>71</v>
      </c>
      <c r="B77" s="305"/>
      <c r="C77" s="305"/>
      <c r="D77" s="305"/>
      <c r="E77" s="305"/>
      <c r="F77" s="305"/>
      <c r="G77" s="305"/>
      <c r="H77" s="305"/>
      <c r="I77" s="305"/>
      <c r="J77" s="305"/>
      <c r="K77" s="305"/>
      <c r="L77" s="305"/>
      <c r="M77" s="305"/>
      <c r="N77" s="305"/>
      <c r="O77" s="494">
        <f t="shared" si="24"/>
        <v>7.0342621346534764E-7</v>
      </c>
      <c r="P77" s="494">
        <f t="shared" si="25"/>
        <v>7.4398608124558747E-7</v>
      </c>
      <c r="Q77" s="494">
        <f t="shared" si="22"/>
        <v>1.3241330619993893E-6</v>
      </c>
      <c r="R77" s="305"/>
      <c r="S77" s="537">
        <f t="shared" si="26"/>
        <v>293.75913074703311</v>
      </c>
      <c r="T77" s="537">
        <f t="shared" si="27"/>
        <v>310.69741265103079</v>
      </c>
      <c r="U77" s="537">
        <f t="shared" si="27"/>
        <v>552.97367348609589</v>
      </c>
      <c r="V77" s="305"/>
    </row>
    <row r="78" spans="1:22">
      <c r="A78">
        <v>72</v>
      </c>
      <c r="B78" s="305"/>
      <c r="C78" s="305"/>
      <c r="D78" s="305"/>
      <c r="E78" s="305"/>
      <c r="F78" s="305"/>
      <c r="G78" s="305"/>
      <c r="H78" s="305"/>
      <c r="I78" s="305"/>
      <c r="J78" s="305"/>
      <c r="K78" s="305"/>
      <c r="L78" s="305"/>
      <c r="M78" s="305"/>
      <c r="N78" s="305"/>
      <c r="O78" s="494">
        <f t="shared" si="24"/>
        <v>5.2756966009901073E-7</v>
      </c>
      <c r="P78" s="494">
        <f t="shared" si="25"/>
        <v>5.5798956093419055E-7</v>
      </c>
      <c r="Q78" s="494">
        <f t="shared" si="22"/>
        <v>9.9309979649954188E-7</v>
      </c>
      <c r="R78" s="305"/>
      <c r="S78" s="537">
        <f t="shared" si="26"/>
        <v>293.75913074703311</v>
      </c>
      <c r="T78" s="537">
        <f t="shared" si="27"/>
        <v>310.69741265103079</v>
      </c>
      <c r="U78" s="537">
        <f t="shared" si="27"/>
        <v>552.97367348609589</v>
      </c>
      <c r="V78" s="305"/>
    </row>
    <row r="79" spans="1:22">
      <c r="A79">
        <v>73</v>
      </c>
      <c r="B79" s="305"/>
      <c r="C79" s="305"/>
      <c r="D79" s="305"/>
      <c r="E79" s="305"/>
      <c r="F79" s="305"/>
      <c r="G79" s="305"/>
      <c r="H79" s="305"/>
      <c r="I79" s="305"/>
      <c r="J79" s="305"/>
      <c r="K79" s="305"/>
      <c r="L79" s="305"/>
      <c r="M79" s="305"/>
      <c r="N79" s="305"/>
      <c r="O79" s="494">
        <f t="shared" si="24"/>
        <v>3.9567724507425802E-7</v>
      </c>
      <c r="P79" s="494">
        <f t="shared" si="25"/>
        <v>4.1849217070064291E-7</v>
      </c>
      <c r="Q79" s="494">
        <f t="shared" si="22"/>
        <v>7.4482484737465641E-7</v>
      </c>
      <c r="R79" s="305"/>
      <c r="S79" s="537">
        <f t="shared" si="26"/>
        <v>293.75913074703311</v>
      </c>
      <c r="T79" s="537">
        <f t="shared" si="27"/>
        <v>310.69741265103079</v>
      </c>
      <c r="U79" s="537">
        <f t="shared" si="27"/>
        <v>552.97367348609589</v>
      </c>
      <c r="V79" s="305"/>
    </row>
    <row r="80" spans="1:22">
      <c r="A80">
        <v>74</v>
      </c>
      <c r="B80" s="305"/>
      <c r="C80" s="305"/>
      <c r="D80" s="305"/>
      <c r="E80" s="305"/>
      <c r="F80" s="305"/>
      <c r="G80" s="305"/>
      <c r="H80" s="305"/>
      <c r="I80" s="305"/>
      <c r="J80" s="305"/>
      <c r="K80" s="305"/>
      <c r="L80" s="305"/>
      <c r="M80" s="305"/>
      <c r="N80" s="305"/>
      <c r="O80" s="494">
        <f t="shared" si="24"/>
        <v>2.9675793380569354E-7</v>
      </c>
      <c r="P80" s="494">
        <f t="shared" si="25"/>
        <v>3.138691280254822E-7</v>
      </c>
      <c r="Q80" s="494">
        <f t="shared" si="22"/>
        <v>5.5861863553099234E-7</v>
      </c>
      <c r="R80" s="305"/>
      <c r="S80" s="537">
        <f t="shared" si="26"/>
        <v>293.75913074703311</v>
      </c>
      <c r="T80" s="537">
        <f t="shared" si="27"/>
        <v>310.69741265103079</v>
      </c>
      <c r="U80" s="537">
        <f t="shared" si="27"/>
        <v>552.97367348609589</v>
      </c>
      <c r="V80" s="305"/>
    </row>
    <row r="81" spans="1:22">
      <c r="A81">
        <v>75</v>
      </c>
      <c r="B81" s="305"/>
      <c r="C81" s="305"/>
      <c r="D81" s="305"/>
      <c r="E81" s="305"/>
      <c r="F81" s="305"/>
      <c r="G81" s="305"/>
      <c r="H81" s="305"/>
      <c r="I81" s="305"/>
      <c r="J81" s="305"/>
      <c r="K81" s="305"/>
      <c r="L81" s="305"/>
      <c r="M81" s="305"/>
      <c r="N81" s="305"/>
      <c r="O81" s="494">
        <f t="shared" si="24"/>
        <v>2.2256845035427016E-7</v>
      </c>
      <c r="P81" s="494">
        <f t="shared" si="25"/>
        <v>2.3540184601911163E-7</v>
      </c>
      <c r="Q81" s="494">
        <f t="shared" si="22"/>
        <v>4.1896397664824428E-7</v>
      </c>
      <c r="R81" s="305"/>
      <c r="S81" s="537">
        <f t="shared" si="26"/>
        <v>293.75913074703311</v>
      </c>
      <c r="T81" s="537">
        <f t="shared" si="27"/>
        <v>310.69741265103079</v>
      </c>
      <c r="U81" s="537">
        <f t="shared" si="27"/>
        <v>552.97367348609589</v>
      </c>
      <c r="V81" s="305"/>
    </row>
    <row r="82" spans="1:22">
      <c r="A82">
        <v>76</v>
      </c>
      <c r="B82" s="305"/>
      <c r="C82" s="305"/>
      <c r="D82" s="305"/>
      <c r="E82" s="305"/>
      <c r="F82" s="305"/>
      <c r="G82" s="305"/>
      <c r="H82" s="305"/>
      <c r="I82" s="305"/>
      <c r="J82" s="305"/>
      <c r="K82" s="305"/>
      <c r="L82" s="305"/>
      <c r="M82" s="305"/>
      <c r="N82" s="305"/>
      <c r="O82" s="494">
        <f t="shared" si="24"/>
        <v>1.6692633776570262E-7</v>
      </c>
      <c r="P82" s="494">
        <f t="shared" si="25"/>
        <v>1.7655138451433373E-7</v>
      </c>
      <c r="Q82" s="494">
        <f t="shared" si="22"/>
        <v>3.1422298248618318E-7</v>
      </c>
      <c r="R82" s="305"/>
      <c r="S82" s="537">
        <f t="shared" si="26"/>
        <v>293.75913074703311</v>
      </c>
      <c r="T82" s="537">
        <f t="shared" si="27"/>
        <v>310.69741265103079</v>
      </c>
      <c r="U82" s="537">
        <f t="shared" si="27"/>
        <v>552.97367348609589</v>
      </c>
      <c r="V82" s="305"/>
    </row>
    <row r="83" spans="1:22">
      <c r="A83">
        <v>77</v>
      </c>
      <c r="B83" s="305"/>
      <c r="C83" s="305"/>
      <c r="D83" s="305"/>
      <c r="E83" s="305"/>
      <c r="F83" s="305"/>
      <c r="G83" s="305"/>
      <c r="H83" s="305"/>
      <c r="I83" s="305"/>
      <c r="J83" s="305"/>
      <c r="K83" s="305"/>
      <c r="L83" s="305"/>
      <c r="M83" s="305"/>
      <c r="N83" s="305"/>
      <c r="O83" s="494">
        <f t="shared" si="24"/>
        <v>1.2519475332427696E-7</v>
      </c>
      <c r="P83" s="494">
        <f t="shared" si="25"/>
        <v>1.3241353838575029E-7</v>
      </c>
      <c r="Q83" s="494">
        <f t="shared" si="22"/>
        <v>2.3566723686463739E-7</v>
      </c>
      <c r="R83" s="305"/>
      <c r="S83" s="537">
        <f t="shared" si="26"/>
        <v>293.75913074703311</v>
      </c>
      <c r="T83" s="537">
        <f t="shared" si="27"/>
        <v>310.69741265103079</v>
      </c>
      <c r="U83" s="537">
        <f t="shared" si="27"/>
        <v>552.97367348609589</v>
      </c>
      <c r="V83" s="305"/>
    </row>
    <row r="84" spans="1:22">
      <c r="A84">
        <v>78</v>
      </c>
      <c r="B84" s="305"/>
      <c r="C84" s="305"/>
      <c r="D84" s="305"/>
      <c r="E84" s="305"/>
      <c r="F84" s="305"/>
      <c r="G84" s="305"/>
      <c r="H84" s="305"/>
      <c r="I84" s="305"/>
      <c r="J84" s="305"/>
      <c r="K84" s="305"/>
      <c r="L84" s="305"/>
      <c r="M84" s="305"/>
      <c r="N84" s="305"/>
      <c r="O84" s="494">
        <f t="shared" si="24"/>
        <v>9.3896064993207729E-8</v>
      </c>
      <c r="P84" s="494">
        <f t="shared" si="25"/>
        <v>9.9310153789312714E-8</v>
      </c>
      <c r="Q84" s="494">
        <f t="shared" si="22"/>
        <v>1.7675042764847805E-7</v>
      </c>
      <c r="R84" s="305"/>
      <c r="S84" s="537">
        <f t="shared" si="26"/>
        <v>293.75913074703311</v>
      </c>
      <c r="T84" s="537">
        <f t="shared" si="27"/>
        <v>310.69741265103079</v>
      </c>
      <c r="U84" s="537">
        <f t="shared" si="27"/>
        <v>552.97367348609589</v>
      </c>
      <c r="V84" s="305"/>
    </row>
    <row r="85" spans="1:22">
      <c r="A85">
        <v>79</v>
      </c>
      <c r="B85" s="305"/>
      <c r="C85" s="305"/>
      <c r="D85" s="305"/>
      <c r="E85" s="305"/>
      <c r="F85" s="305"/>
      <c r="G85" s="305"/>
      <c r="H85" s="305"/>
      <c r="I85" s="305"/>
      <c r="J85" s="305"/>
      <c r="K85" s="305"/>
      <c r="L85" s="305"/>
      <c r="M85" s="305"/>
      <c r="N85" s="305"/>
      <c r="O85" s="494">
        <f t="shared" si="24"/>
        <v>7.0422048744905797E-8</v>
      </c>
      <c r="P85" s="494">
        <f t="shared" si="25"/>
        <v>7.4482615341984535E-8</v>
      </c>
      <c r="Q85" s="494">
        <f t="shared" si="22"/>
        <v>1.3256282073635854E-7</v>
      </c>
      <c r="R85" s="305"/>
      <c r="S85" s="537">
        <f t="shared" si="26"/>
        <v>293.75913074703311</v>
      </c>
      <c r="T85" s="537">
        <f t="shared" si="27"/>
        <v>310.69741265103079</v>
      </c>
      <c r="U85" s="537">
        <f t="shared" si="27"/>
        <v>552.97367348609589</v>
      </c>
      <c r="V85" s="305"/>
    </row>
    <row r="86" spans="1:22">
      <c r="A86">
        <v>80</v>
      </c>
      <c r="B86" s="305"/>
      <c r="C86" s="305"/>
      <c r="D86" s="305"/>
      <c r="E86" s="305"/>
      <c r="F86" s="305"/>
      <c r="G86" s="305"/>
      <c r="H86" s="305"/>
      <c r="I86" s="305"/>
      <c r="J86" s="305"/>
      <c r="K86" s="305"/>
      <c r="L86" s="305"/>
      <c r="M86" s="305"/>
      <c r="N86" s="305"/>
      <c r="O86" s="494">
        <f t="shared" si="24"/>
        <v>5.2816536558679347E-8</v>
      </c>
      <c r="P86" s="494">
        <f t="shared" si="25"/>
        <v>5.5861961506488398E-8</v>
      </c>
      <c r="Q86" s="494">
        <f t="shared" si="22"/>
        <v>9.9422115552268905E-8</v>
      </c>
      <c r="R86" s="308"/>
      <c r="S86" s="537">
        <f t="shared" si="26"/>
        <v>293.75913074703311</v>
      </c>
      <c r="T86" s="537">
        <f t="shared" si="27"/>
        <v>310.69741265103079</v>
      </c>
      <c r="U86" s="537">
        <f t="shared" si="27"/>
        <v>552.97367348609589</v>
      </c>
      <c r="V86" s="305"/>
    </row>
    <row r="87" spans="1:22">
      <c r="A87">
        <v>81</v>
      </c>
      <c r="B87" s="305"/>
      <c r="C87" s="305"/>
      <c r="D87" s="305"/>
      <c r="E87" s="305"/>
      <c r="F87" s="305"/>
      <c r="G87" s="305"/>
      <c r="H87" s="305"/>
      <c r="I87" s="305"/>
      <c r="J87" s="305"/>
      <c r="K87" s="305"/>
      <c r="L87" s="305"/>
      <c r="M87" s="305"/>
      <c r="N87" s="305"/>
      <c r="O87" s="494">
        <f t="shared" si="24"/>
        <v>3.9612402419009511E-8</v>
      </c>
      <c r="P87" s="494">
        <f t="shared" si="25"/>
        <v>4.1896471129866299E-8</v>
      </c>
      <c r="Q87" s="494">
        <f t="shared" si="22"/>
        <v>7.4566586664201682E-8</v>
      </c>
      <c r="R87" s="305"/>
      <c r="S87" s="537">
        <f t="shared" si="26"/>
        <v>293.75913074703311</v>
      </c>
      <c r="T87" s="537">
        <f t="shared" si="27"/>
        <v>310.69741265103079</v>
      </c>
      <c r="U87" s="537">
        <f t="shared" si="27"/>
        <v>552.97367348609589</v>
      </c>
      <c r="V87" s="305"/>
    </row>
    <row r="88" spans="1:22">
      <c r="A88">
        <v>82</v>
      </c>
      <c r="B88" s="305"/>
      <c r="C88" s="305"/>
      <c r="D88" s="305"/>
      <c r="E88" s="305"/>
      <c r="F88" s="305"/>
      <c r="G88" s="305"/>
      <c r="H88" s="305"/>
      <c r="I88" s="305"/>
      <c r="J88" s="305"/>
      <c r="K88" s="305"/>
      <c r="L88" s="305"/>
      <c r="M88" s="305"/>
      <c r="N88" s="305"/>
      <c r="O88" s="305"/>
      <c r="P88" s="305"/>
      <c r="Q88" s="305"/>
      <c r="R88" s="305"/>
      <c r="S88" s="537">
        <f t="shared" si="26"/>
        <v>293.75913074703311</v>
      </c>
      <c r="T88" s="537">
        <f t="shared" si="27"/>
        <v>310.69741265103079</v>
      </c>
      <c r="U88" s="537">
        <f t="shared" si="27"/>
        <v>552.97367348609589</v>
      </c>
      <c r="V88" s="305"/>
    </row>
    <row r="89" spans="1:22">
      <c r="A89">
        <v>83</v>
      </c>
      <c r="B89" s="305"/>
      <c r="C89" s="305"/>
      <c r="D89" s="305"/>
      <c r="E89" s="305"/>
      <c r="F89" s="305"/>
      <c r="G89" s="305"/>
      <c r="H89" s="305"/>
      <c r="I89" s="305"/>
      <c r="J89" s="305"/>
      <c r="K89" s="305"/>
      <c r="L89" s="305"/>
      <c r="M89" s="305"/>
      <c r="N89" s="305"/>
      <c r="O89" s="305"/>
      <c r="P89" s="305"/>
      <c r="Q89" s="305"/>
      <c r="R89" s="305"/>
      <c r="S89" s="537">
        <f t="shared" si="26"/>
        <v>293.75913074703311</v>
      </c>
      <c r="T89" s="537">
        <f t="shared" si="27"/>
        <v>310.69741265103079</v>
      </c>
      <c r="U89" s="537">
        <f t="shared" si="27"/>
        <v>552.97367348609589</v>
      </c>
      <c r="V89" s="305"/>
    </row>
    <row r="90" spans="1:22">
      <c r="A90">
        <v>84</v>
      </c>
      <c r="B90" s="305"/>
      <c r="C90" s="305"/>
      <c r="D90" s="305"/>
      <c r="E90" s="305"/>
      <c r="F90" s="305"/>
      <c r="G90" s="305"/>
      <c r="H90" s="305"/>
      <c r="I90" s="305"/>
      <c r="J90" s="305"/>
      <c r="K90" s="305"/>
      <c r="L90" s="305"/>
      <c r="M90" s="305"/>
      <c r="N90" s="305"/>
      <c r="O90" s="305"/>
      <c r="P90" s="305"/>
      <c r="Q90" s="305"/>
      <c r="R90" s="305"/>
      <c r="S90" s="537">
        <f t="shared" si="26"/>
        <v>293.75913074703311</v>
      </c>
      <c r="T90" s="537">
        <f t="shared" ref="T90:U105" si="28">T89</f>
        <v>310.69741265103079</v>
      </c>
      <c r="U90" s="537">
        <f t="shared" si="28"/>
        <v>552.97367348609589</v>
      </c>
      <c r="V90" s="305"/>
    </row>
    <row r="91" spans="1:22">
      <c r="A91">
        <v>85</v>
      </c>
      <c r="B91" s="305"/>
      <c r="C91" s="305"/>
      <c r="D91" s="305"/>
      <c r="E91" s="305"/>
      <c r="F91" s="305"/>
      <c r="G91" s="305"/>
      <c r="H91" s="305"/>
      <c r="I91" s="305"/>
      <c r="J91" s="305"/>
      <c r="K91" s="305"/>
      <c r="L91" s="305"/>
      <c r="M91" s="305"/>
      <c r="N91" s="305"/>
      <c r="O91" s="305"/>
      <c r="P91" s="305"/>
      <c r="Q91" s="305"/>
      <c r="R91" s="305"/>
      <c r="S91" s="537">
        <f t="shared" si="26"/>
        <v>293.75913074703311</v>
      </c>
      <c r="T91" s="537">
        <f t="shared" si="28"/>
        <v>310.69741265103079</v>
      </c>
      <c r="U91" s="537">
        <f t="shared" si="28"/>
        <v>552.97367348609589</v>
      </c>
      <c r="V91" s="305"/>
    </row>
    <row r="92" spans="1:22">
      <c r="A92">
        <v>86</v>
      </c>
      <c r="B92" s="305"/>
      <c r="C92" s="305"/>
      <c r="D92" s="305"/>
      <c r="E92" s="305"/>
      <c r="F92" s="305"/>
      <c r="G92" s="305"/>
      <c r="H92" s="305"/>
      <c r="I92" s="305"/>
      <c r="J92" s="305"/>
      <c r="K92" s="305"/>
      <c r="L92" s="305"/>
      <c r="M92" s="305"/>
      <c r="N92" s="305"/>
      <c r="O92" s="305"/>
      <c r="P92" s="305"/>
      <c r="Q92" s="305"/>
      <c r="R92" s="305"/>
      <c r="S92" s="537">
        <f t="shared" si="26"/>
        <v>293.75913074703311</v>
      </c>
      <c r="T92" s="537">
        <f t="shared" si="28"/>
        <v>310.69741265103079</v>
      </c>
      <c r="U92" s="537">
        <f t="shared" si="28"/>
        <v>552.97367348609589</v>
      </c>
      <c r="V92" s="305"/>
    </row>
    <row r="93" spans="1:22">
      <c r="A93">
        <v>87</v>
      </c>
      <c r="B93" s="305"/>
      <c r="C93" s="305"/>
      <c r="D93" s="305"/>
      <c r="E93" s="305"/>
      <c r="F93" s="305"/>
      <c r="G93" s="305"/>
      <c r="H93" s="305"/>
      <c r="I93" s="305"/>
      <c r="J93" s="305"/>
      <c r="K93" s="305"/>
      <c r="L93" s="305"/>
      <c r="M93" s="305"/>
      <c r="N93" s="305"/>
      <c r="O93" s="305"/>
      <c r="P93" s="305"/>
      <c r="Q93" s="305"/>
      <c r="R93" s="305"/>
      <c r="S93" s="537">
        <f t="shared" si="26"/>
        <v>293.75913074703311</v>
      </c>
      <c r="T93" s="537">
        <f t="shared" si="28"/>
        <v>310.69741265103079</v>
      </c>
      <c r="U93" s="537">
        <f t="shared" si="28"/>
        <v>552.97367348609589</v>
      </c>
      <c r="V93" s="305"/>
    </row>
    <row r="94" spans="1:22">
      <c r="A94">
        <v>88</v>
      </c>
      <c r="B94" s="305"/>
      <c r="C94" s="305"/>
      <c r="D94" s="305"/>
      <c r="E94" s="305"/>
      <c r="F94" s="305"/>
      <c r="G94" s="305"/>
      <c r="H94" s="305"/>
      <c r="I94" s="305"/>
      <c r="J94" s="305"/>
      <c r="K94" s="305"/>
      <c r="L94" s="305"/>
      <c r="M94" s="305"/>
      <c r="N94" s="305"/>
      <c r="O94" s="305"/>
      <c r="P94" s="305"/>
      <c r="Q94" s="305"/>
      <c r="R94" s="305"/>
      <c r="S94" s="537">
        <f t="shared" si="26"/>
        <v>293.75913074703311</v>
      </c>
      <c r="T94" s="537">
        <f t="shared" si="28"/>
        <v>310.69741265103079</v>
      </c>
      <c r="U94" s="537">
        <f t="shared" si="28"/>
        <v>552.97367348609589</v>
      </c>
      <c r="V94" s="305"/>
    </row>
    <row r="95" spans="1:22">
      <c r="A95">
        <v>89</v>
      </c>
      <c r="B95" s="305"/>
      <c r="C95" s="305"/>
      <c r="D95" s="305"/>
      <c r="E95" s="305"/>
      <c r="F95" s="305"/>
      <c r="G95" s="305"/>
      <c r="H95" s="305"/>
      <c r="I95" s="305"/>
      <c r="J95" s="305"/>
      <c r="K95" s="305"/>
      <c r="L95" s="305"/>
      <c r="M95" s="305"/>
      <c r="N95" s="305"/>
      <c r="O95" s="305"/>
      <c r="P95" s="305"/>
      <c r="Q95" s="305"/>
      <c r="R95" s="305"/>
      <c r="S95" s="537">
        <f t="shared" si="26"/>
        <v>293.75913074703311</v>
      </c>
      <c r="T95" s="537">
        <f t="shared" si="28"/>
        <v>310.69741265103079</v>
      </c>
      <c r="U95" s="537">
        <f t="shared" si="28"/>
        <v>552.97367348609589</v>
      </c>
      <c r="V95" s="305"/>
    </row>
    <row r="96" spans="1:22">
      <c r="A96">
        <v>90</v>
      </c>
      <c r="B96" s="305"/>
      <c r="C96" s="305"/>
      <c r="D96" s="305"/>
      <c r="E96" s="305"/>
      <c r="F96" s="305"/>
      <c r="G96" s="305"/>
      <c r="H96" s="305"/>
      <c r="I96" s="305"/>
      <c r="J96" s="305"/>
      <c r="K96" s="305"/>
      <c r="L96" s="305"/>
      <c r="M96" s="305"/>
      <c r="N96" s="305"/>
      <c r="O96" s="305"/>
      <c r="P96" s="305"/>
      <c r="Q96" s="305"/>
      <c r="R96" s="305"/>
      <c r="S96" s="537">
        <f t="shared" si="26"/>
        <v>293.75913074703311</v>
      </c>
      <c r="T96" s="537">
        <f t="shared" si="28"/>
        <v>310.69741265103079</v>
      </c>
      <c r="U96" s="537">
        <f t="shared" si="28"/>
        <v>552.97367348609589</v>
      </c>
      <c r="V96" s="305"/>
    </row>
    <row r="97" spans="1:22">
      <c r="A97">
        <v>91</v>
      </c>
      <c r="B97" s="305"/>
      <c r="C97" s="305"/>
      <c r="D97" s="305"/>
      <c r="E97" s="305"/>
      <c r="F97" s="305"/>
      <c r="G97" s="305"/>
      <c r="H97" s="305"/>
      <c r="I97" s="305"/>
      <c r="J97" s="305"/>
      <c r="K97" s="305"/>
      <c r="L97" s="305"/>
      <c r="M97" s="305"/>
      <c r="N97" s="305"/>
      <c r="O97" s="305"/>
      <c r="P97" s="305"/>
      <c r="Q97" s="305"/>
      <c r="R97" s="305"/>
      <c r="S97" s="537">
        <f t="shared" si="26"/>
        <v>293.75913074703311</v>
      </c>
      <c r="T97" s="537">
        <f t="shared" si="28"/>
        <v>310.69741265103079</v>
      </c>
      <c r="U97" s="537">
        <f t="shared" si="28"/>
        <v>552.97367348609589</v>
      </c>
      <c r="V97" s="305"/>
    </row>
    <row r="98" spans="1:22">
      <c r="A98">
        <v>92</v>
      </c>
      <c r="B98" s="305"/>
      <c r="C98" s="305"/>
      <c r="D98" s="305"/>
      <c r="E98" s="305"/>
      <c r="F98" s="305"/>
      <c r="G98" s="305"/>
      <c r="H98" s="305"/>
      <c r="I98" s="305"/>
      <c r="J98" s="305"/>
      <c r="K98" s="305"/>
      <c r="L98" s="305"/>
      <c r="M98" s="305"/>
      <c r="N98" s="305"/>
      <c r="O98" s="305"/>
      <c r="P98" s="305"/>
      <c r="Q98" s="305"/>
      <c r="R98" s="305"/>
      <c r="S98" s="537">
        <f t="shared" si="26"/>
        <v>293.75913074703311</v>
      </c>
      <c r="T98" s="537">
        <f t="shared" si="28"/>
        <v>310.69741265103079</v>
      </c>
      <c r="U98" s="537">
        <f t="shared" si="28"/>
        <v>552.97367348609589</v>
      </c>
      <c r="V98" s="305"/>
    </row>
    <row r="99" spans="1:22">
      <c r="A99">
        <v>93</v>
      </c>
      <c r="B99" s="305"/>
      <c r="C99" s="305"/>
      <c r="D99" s="305"/>
      <c r="E99" s="305"/>
      <c r="F99" s="305"/>
      <c r="G99" s="305"/>
      <c r="H99" s="305"/>
      <c r="I99" s="305"/>
      <c r="J99" s="305"/>
      <c r="K99" s="305"/>
      <c r="L99" s="305"/>
      <c r="M99" s="305"/>
      <c r="N99" s="305"/>
      <c r="O99" s="305"/>
      <c r="P99" s="305"/>
      <c r="Q99" s="305"/>
      <c r="R99" s="305"/>
      <c r="S99" s="537">
        <f t="shared" si="26"/>
        <v>293.75913074703311</v>
      </c>
      <c r="T99" s="537">
        <f t="shared" si="28"/>
        <v>310.69741265103079</v>
      </c>
      <c r="U99" s="537">
        <f t="shared" si="28"/>
        <v>552.97367348609589</v>
      </c>
      <c r="V99" s="305"/>
    </row>
    <row r="100" spans="1:22">
      <c r="A100">
        <v>94</v>
      </c>
      <c r="B100" s="305"/>
      <c r="C100" s="305"/>
      <c r="D100" s="305"/>
      <c r="E100" s="305"/>
      <c r="F100" s="305"/>
      <c r="G100" s="305"/>
      <c r="H100" s="305"/>
      <c r="I100" s="305"/>
      <c r="J100" s="305"/>
      <c r="K100" s="305"/>
      <c r="L100" s="305"/>
      <c r="M100" s="305"/>
      <c r="N100" s="305"/>
      <c r="O100" s="305"/>
      <c r="P100" s="305"/>
      <c r="Q100" s="305"/>
      <c r="R100" s="305"/>
      <c r="S100" s="537">
        <f t="shared" si="26"/>
        <v>293.75913074703311</v>
      </c>
      <c r="T100" s="537">
        <f t="shared" si="28"/>
        <v>310.69741265103079</v>
      </c>
      <c r="U100" s="537">
        <f t="shared" si="28"/>
        <v>552.97367348609589</v>
      </c>
      <c r="V100" s="305"/>
    </row>
    <row r="101" spans="1:22">
      <c r="A101">
        <v>95</v>
      </c>
      <c r="B101" s="305"/>
      <c r="C101" s="305"/>
      <c r="D101" s="305"/>
      <c r="E101" s="305"/>
      <c r="F101" s="305"/>
      <c r="G101" s="305"/>
      <c r="H101" s="305"/>
      <c r="I101" s="305"/>
      <c r="J101" s="305"/>
      <c r="K101" s="305"/>
      <c r="L101" s="305"/>
      <c r="M101" s="305"/>
      <c r="N101" s="305"/>
      <c r="O101" s="305"/>
      <c r="P101" s="305"/>
      <c r="Q101" s="305"/>
      <c r="R101" s="305"/>
      <c r="S101" s="537">
        <f t="shared" si="26"/>
        <v>293.75913074703311</v>
      </c>
      <c r="T101" s="537">
        <f t="shared" si="28"/>
        <v>310.69741265103079</v>
      </c>
      <c r="U101" s="537">
        <f t="shared" si="28"/>
        <v>552.97367348609589</v>
      </c>
      <c r="V101" s="305"/>
    </row>
    <row r="102" spans="1:22">
      <c r="A102">
        <v>96</v>
      </c>
      <c r="B102" s="305"/>
      <c r="C102" s="305"/>
      <c r="D102" s="305"/>
      <c r="E102" s="305"/>
      <c r="F102" s="305"/>
      <c r="G102" s="305"/>
      <c r="H102" s="305"/>
      <c r="I102" s="305"/>
      <c r="J102" s="305"/>
      <c r="K102" s="305"/>
      <c r="L102" s="305"/>
      <c r="M102" s="305"/>
      <c r="N102" s="305"/>
      <c r="O102" s="305"/>
      <c r="P102" s="305"/>
      <c r="Q102" s="305"/>
      <c r="R102" s="305"/>
      <c r="S102" s="537">
        <f t="shared" si="26"/>
        <v>293.75913074703311</v>
      </c>
      <c r="T102" s="537">
        <f t="shared" si="28"/>
        <v>310.69741265103079</v>
      </c>
      <c r="U102" s="537">
        <f t="shared" si="28"/>
        <v>552.97367348609589</v>
      </c>
      <c r="V102" s="305"/>
    </row>
    <row r="103" spans="1:22">
      <c r="A103">
        <v>97</v>
      </c>
      <c r="B103" s="305"/>
      <c r="C103" s="305"/>
      <c r="D103" s="305"/>
      <c r="E103" s="305"/>
      <c r="F103" s="305"/>
      <c r="G103" s="305"/>
      <c r="H103" s="305"/>
      <c r="I103" s="305"/>
      <c r="J103" s="305"/>
      <c r="K103" s="305"/>
      <c r="L103" s="305"/>
      <c r="M103" s="305"/>
      <c r="N103" s="305"/>
      <c r="O103" s="305"/>
      <c r="P103" s="305"/>
      <c r="Q103" s="305"/>
      <c r="R103" s="305"/>
      <c r="S103" s="537">
        <f t="shared" si="26"/>
        <v>293.75913074703311</v>
      </c>
      <c r="T103" s="537">
        <f t="shared" si="28"/>
        <v>310.69741265103079</v>
      </c>
      <c r="U103" s="537">
        <f t="shared" si="28"/>
        <v>552.97367348609589</v>
      </c>
      <c r="V103" s="305"/>
    </row>
    <row r="104" spans="1:22">
      <c r="A104">
        <v>98</v>
      </c>
      <c r="B104" s="305"/>
      <c r="C104" s="305"/>
      <c r="D104" s="305"/>
      <c r="E104" s="305"/>
      <c r="F104" s="305"/>
      <c r="G104" s="305"/>
      <c r="H104" s="305"/>
      <c r="I104" s="305"/>
      <c r="J104" s="305"/>
      <c r="K104" s="305"/>
      <c r="L104" s="305"/>
      <c r="M104" s="305"/>
      <c r="N104" s="305"/>
      <c r="O104" s="305"/>
      <c r="P104" s="305"/>
      <c r="Q104" s="305"/>
      <c r="R104" s="305"/>
      <c r="S104" s="537">
        <f t="shared" si="26"/>
        <v>293.75913074703311</v>
      </c>
      <c r="T104" s="537">
        <f t="shared" si="28"/>
        <v>310.69741265103079</v>
      </c>
      <c r="U104" s="537">
        <f t="shared" si="28"/>
        <v>552.97367348609589</v>
      </c>
      <c r="V104" s="305"/>
    </row>
    <row r="105" spans="1:22">
      <c r="A105">
        <v>99</v>
      </c>
      <c r="B105" s="305"/>
      <c r="C105" s="305"/>
      <c r="D105" s="305"/>
      <c r="E105" s="305"/>
      <c r="F105" s="305"/>
      <c r="G105" s="305"/>
      <c r="H105" s="305"/>
      <c r="I105" s="305"/>
      <c r="J105" s="305"/>
      <c r="K105" s="305"/>
      <c r="L105" s="305"/>
      <c r="M105" s="305"/>
      <c r="N105" s="305"/>
      <c r="O105" s="305"/>
      <c r="P105" s="305"/>
      <c r="Q105" s="305"/>
      <c r="R105" s="305"/>
      <c r="S105" s="537">
        <f t="shared" si="26"/>
        <v>293.75913074703311</v>
      </c>
      <c r="T105" s="537">
        <f t="shared" si="28"/>
        <v>310.69741265103079</v>
      </c>
      <c r="U105" s="537">
        <f t="shared" si="28"/>
        <v>552.97367348609589</v>
      </c>
      <c r="V105" s="305"/>
    </row>
    <row r="106" spans="1:22">
      <c r="A106">
        <v>100</v>
      </c>
      <c r="B106" s="305"/>
      <c r="C106" s="305"/>
      <c r="D106" s="305"/>
      <c r="E106" s="305"/>
      <c r="F106" s="305"/>
      <c r="G106" s="305"/>
      <c r="H106" s="305"/>
      <c r="I106" s="305"/>
      <c r="J106" s="305"/>
      <c r="K106" s="305"/>
      <c r="L106" s="305"/>
      <c r="M106" s="305"/>
      <c r="N106" s="305"/>
      <c r="O106" s="305"/>
      <c r="P106" s="305"/>
      <c r="Q106" s="305"/>
      <c r="R106" s="305"/>
      <c r="S106" s="537">
        <f t="shared" ref="S106:S137" si="29">S105</f>
        <v>293.75913074703311</v>
      </c>
      <c r="T106" s="537">
        <f t="shared" ref="T106:U121" si="30">T105</f>
        <v>310.69741265103079</v>
      </c>
      <c r="U106" s="537">
        <f t="shared" si="30"/>
        <v>552.97367348609589</v>
      </c>
      <c r="V106" s="305"/>
    </row>
    <row r="107" spans="1:22">
      <c r="A107">
        <v>101</v>
      </c>
      <c r="B107" s="305"/>
      <c r="C107" s="305"/>
      <c r="D107" s="305"/>
      <c r="E107" s="305"/>
      <c r="F107" s="305"/>
      <c r="G107" s="305"/>
      <c r="H107" s="305"/>
      <c r="I107" s="305"/>
      <c r="J107" s="305"/>
      <c r="K107" s="305"/>
      <c r="L107" s="305"/>
      <c r="M107" s="305"/>
      <c r="N107" s="305"/>
      <c r="O107" s="305"/>
      <c r="P107" s="305"/>
      <c r="Q107" s="305"/>
      <c r="R107" s="305"/>
      <c r="S107" s="537">
        <f t="shared" si="29"/>
        <v>293.75913074703311</v>
      </c>
      <c r="T107" s="537">
        <f t="shared" si="30"/>
        <v>310.69741265103079</v>
      </c>
      <c r="U107" s="537">
        <f t="shared" si="30"/>
        <v>552.97367348609589</v>
      </c>
      <c r="V107" s="305"/>
    </row>
    <row r="108" spans="1:22">
      <c r="A108">
        <v>102</v>
      </c>
      <c r="B108" s="305"/>
      <c r="C108" s="305"/>
      <c r="D108" s="305"/>
      <c r="E108" s="305"/>
      <c r="F108" s="305"/>
      <c r="G108" s="305"/>
      <c r="H108" s="305"/>
      <c r="I108" s="305"/>
      <c r="J108" s="305"/>
      <c r="K108" s="305"/>
      <c r="L108" s="305"/>
      <c r="M108" s="305"/>
      <c r="N108" s="305"/>
      <c r="O108" s="305"/>
      <c r="P108" s="305"/>
      <c r="Q108" s="305"/>
      <c r="R108" s="305"/>
      <c r="S108" s="537">
        <f t="shared" si="29"/>
        <v>293.75913074703311</v>
      </c>
      <c r="T108" s="537">
        <f t="shared" si="30"/>
        <v>310.69741265103079</v>
      </c>
      <c r="U108" s="537">
        <f t="shared" si="30"/>
        <v>552.97367348609589</v>
      </c>
      <c r="V108" s="305"/>
    </row>
    <row r="109" spans="1:22">
      <c r="A109">
        <v>103</v>
      </c>
      <c r="B109" s="305"/>
      <c r="C109" s="305"/>
      <c r="D109" s="305"/>
      <c r="E109" s="305"/>
      <c r="F109" s="305"/>
      <c r="G109" s="305"/>
      <c r="H109" s="305"/>
      <c r="I109" s="305"/>
      <c r="J109" s="305"/>
      <c r="K109" s="305"/>
      <c r="L109" s="305"/>
      <c r="M109" s="305"/>
      <c r="N109" s="305"/>
      <c r="O109" s="305"/>
      <c r="P109" s="305"/>
      <c r="Q109" s="305"/>
      <c r="R109" s="305"/>
      <c r="S109" s="537">
        <f t="shared" si="29"/>
        <v>293.75913074703311</v>
      </c>
      <c r="T109" s="537">
        <f t="shared" si="30"/>
        <v>310.69741265103079</v>
      </c>
      <c r="U109" s="537">
        <f t="shared" si="30"/>
        <v>552.97367348609589</v>
      </c>
      <c r="V109" s="305"/>
    </row>
    <row r="110" spans="1:22">
      <c r="A110">
        <v>104</v>
      </c>
      <c r="B110" s="305"/>
      <c r="C110" s="305"/>
      <c r="D110" s="305"/>
      <c r="E110" s="305"/>
      <c r="F110" s="305"/>
      <c r="G110" s="305"/>
      <c r="H110" s="305"/>
      <c r="I110" s="305"/>
      <c r="J110" s="305"/>
      <c r="K110" s="305"/>
      <c r="L110" s="305"/>
      <c r="M110" s="305"/>
      <c r="N110" s="305"/>
      <c r="O110" s="305"/>
      <c r="P110" s="305"/>
      <c r="Q110" s="305"/>
      <c r="R110" s="305"/>
      <c r="S110" s="537">
        <f t="shared" si="29"/>
        <v>293.75913074703311</v>
      </c>
      <c r="T110" s="537">
        <f t="shared" si="30"/>
        <v>310.69741265103079</v>
      </c>
      <c r="U110" s="537">
        <f t="shared" si="30"/>
        <v>552.97367348609589</v>
      </c>
      <c r="V110" s="305"/>
    </row>
    <row r="111" spans="1:22">
      <c r="A111">
        <v>105</v>
      </c>
      <c r="B111" s="305"/>
      <c r="C111" s="305"/>
      <c r="D111" s="305"/>
      <c r="E111" s="305"/>
      <c r="F111" s="305"/>
      <c r="G111" s="305"/>
      <c r="H111" s="305"/>
      <c r="I111" s="305"/>
      <c r="J111" s="305"/>
      <c r="K111" s="305"/>
      <c r="L111" s="305"/>
      <c r="M111" s="305"/>
      <c r="N111" s="305"/>
      <c r="O111" s="305"/>
      <c r="P111" s="305"/>
      <c r="Q111" s="305"/>
      <c r="R111" s="305"/>
      <c r="S111" s="537">
        <f t="shared" si="29"/>
        <v>293.75913074703311</v>
      </c>
      <c r="T111" s="537">
        <f t="shared" si="30"/>
        <v>310.69741265103079</v>
      </c>
      <c r="U111" s="537">
        <f t="shared" si="30"/>
        <v>552.97367348609589</v>
      </c>
      <c r="V111" s="305"/>
    </row>
    <row r="112" spans="1:22">
      <c r="A112">
        <v>106</v>
      </c>
      <c r="B112" s="305"/>
      <c r="C112" s="305"/>
      <c r="D112" s="305"/>
      <c r="E112" s="305"/>
      <c r="F112" s="305"/>
      <c r="G112" s="305"/>
      <c r="H112" s="305"/>
      <c r="I112" s="305"/>
      <c r="J112" s="305"/>
      <c r="K112" s="305"/>
      <c r="L112" s="305"/>
      <c r="M112" s="305"/>
      <c r="N112" s="305"/>
      <c r="O112" s="305"/>
      <c r="P112" s="305"/>
      <c r="Q112" s="305"/>
      <c r="R112" s="305"/>
      <c r="S112" s="537">
        <f t="shared" si="29"/>
        <v>293.75913074703311</v>
      </c>
      <c r="T112" s="537">
        <f t="shared" si="30"/>
        <v>310.69741265103079</v>
      </c>
      <c r="U112" s="537">
        <f t="shared" si="30"/>
        <v>552.97367348609589</v>
      </c>
      <c r="V112" s="305"/>
    </row>
    <row r="113" spans="1:22">
      <c r="A113">
        <v>107</v>
      </c>
      <c r="B113" s="305"/>
      <c r="C113" s="305"/>
      <c r="D113" s="305"/>
      <c r="E113" s="305"/>
      <c r="F113" s="305"/>
      <c r="G113" s="305"/>
      <c r="H113" s="305"/>
      <c r="I113" s="305"/>
      <c r="J113" s="305"/>
      <c r="K113" s="305"/>
      <c r="L113" s="305"/>
      <c r="M113" s="305"/>
      <c r="N113" s="305"/>
      <c r="O113" s="305"/>
      <c r="P113" s="305"/>
      <c r="Q113" s="305"/>
      <c r="R113" s="305"/>
      <c r="S113" s="537">
        <f t="shared" si="29"/>
        <v>293.75913074703311</v>
      </c>
      <c r="T113" s="537">
        <f t="shared" si="30"/>
        <v>310.69741265103079</v>
      </c>
      <c r="U113" s="537">
        <f t="shared" si="30"/>
        <v>552.97367348609589</v>
      </c>
      <c r="V113" s="305"/>
    </row>
    <row r="114" spans="1:22">
      <c r="A114">
        <v>108</v>
      </c>
      <c r="B114" s="305"/>
      <c r="C114" s="305"/>
      <c r="D114" s="305"/>
      <c r="E114" s="305"/>
      <c r="F114" s="305"/>
      <c r="G114" s="305"/>
      <c r="H114" s="305"/>
      <c r="I114" s="305"/>
      <c r="J114" s="305"/>
      <c r="K114" s="305"/>
      <c r="L114" s="305"/>
      <c r="M114" s="305"/>
      <c r="N114" s="305"/>
      <c r="O114" s="305"/>
      <c r="P114" s="305"/>
      <c r="Q114" s="305"/>
      <c r="R114" s="305"/>
      <c r="S114" s="537">
        <f t="shared" si="29"/>
        <v>293.75913074703311</v>
      </c>
      <c r="T114" s="537">
        <f t="shared" si="30"/>
        <v>310.69741265103079</v>
      </c>
      <c r="U114" s="537">
        <f t="shared" si="30"/>
        <v>552.97367348609589</v>
      </c>
      <c r="V114" s="305"/>
    </row>
    <row r="115" spans="1:22">
      <c r="A115">
        <v>109</v>
      </c>
      <c r="B115" s="305"/>
      <c r="C115" s="305"/>
      <c r="D115" s="305"/>
      <c r="E115" s="305"/>
      <c r="F115" s="305"/>
      <c r="G115" s="305"/>
      <c r="H115" s="305"/>
      <c r="I115" s="305"/>
      <c r="J115" s="305"/>
      <c r="K115" s="305"/>
      <c r="L115" s="305"/>
      <c r="M115" s="305"/>
      <c r="N115" s="305"/>
      <c r="O115" s="305"/>
      <c r="P115" s="305"/>
      <c r="Q115" s="305"/>
      <c r="R115" s="305"/>
      <c r="S115" s="537">
        <f t="shared" si="29"/>
        <v>293.75913074703311</v>
      </c>
      <c r="T115" s="537">
        <f t="shared" si="30"/>
        <v>310.69741265103079</v>
      </c>
      <c r="U115" s="537">
        <f t="shared" si="30"/>
        <v>552.97367348609589</v>
      </c>
      <c r="V115" s="305"/>
    </row>
    <row r="116" spans="1:22">
      <c r="A116">
        <v>110</v>
      </c>
      <c r="B116" s="305"/>
      <c r="C116" s="305"/>
      <c r="D116" s="305"/>
      <c r="E116" s="305"/>
      <c r="F116" s="305"/>
      <c r="G116" s="305"/>
      <c r="H116" s="305"/>
      <c r="I116" s="305"/>
      <c r="J116" s="305"/>
      <c r="K116" s="305"/>
      <c r="L116" s="305"/>
      <c r="M116" s="305"/>
      <c r="N116" s="305"/>
      <c r="O116" s="305"/>
      <c r="P116" s="305"/>
      <c r="Q116" s="305"/>
      <c r="R116" s="305"/>
      <c r="S116" s="537">
        <f t="shared" si="29"/>
        <v>293.75913074703311</v>
      </c>
      <c r="T116" s="537">
        <f t="shared" si="30"/>
        <v>310.69741265103079</v>
      </c>
      <c r="U116" s="537">
        <f t="shared" si="30"/>
        <v>552.97367348609589</v>
      </c>
      <c r="V116" s="305"/>
    </row>
    <row r="117" spans="1:22">
      <c r="A117">
        <v>111</v>
      </c>
      <c r="B117" s="305"/>
      <c r="C117" s="305"/>
      <c r="D117" s="305"/>
      <c r="E117" s="305"/>
      <c r="F117" s="305"/>
      <c r="G117" s="305"/>
      <c r="H117" s="305"/>
      <c r="I117" s="305"/>
      <c r="J117" s="305"/>
      <c r="K117" s="305"/>
      <c r="L117" s="305"/>
      <c r="M117" s="305"/>
      <c r="N117" s="305"/>
      <c r="O117" s="305"/>
      <c r="P117" s="305"/>
      <c r="Q117" s="305"/>
      <c r="R117" s="305"/>
      <c r="S117" s="537">
        <f t="shared" si="29"/>
        <v>293.75913074703311</v>
      </c>
      <c r="T117" s="537">
        <f t="shared" si="30"/>
        <v>310.69741265103079</v>
      </c>
      <c r="U117" s="537">
        <f t="shared" si="30"/>
        <v>552.97367348609589</v>
      </c>
      <c r="V117" s="305"/>
    </row>
    <row r="118" spans="1:22">
      <c r="A118">
        <v>112</v>
      </c>
      <c r="B118" s="305"/>
      <c r="C118" s="305"/>
      <c r="D118" s="305"/>
      <c r="E118" s="305"/>
      <c r="F118" s="305"/>
      <c r="G118" s="305"/>
      <c r="H118" s="305"/>
      <c r="I118" s="305"/>
      <c r="J118" s="305"/>
      <c r="K118" s="305"/>
      <c r="L118" s="305"/>
      <c r="M118" s="305"/>
      <c r="N118" s="305"/>
      <c r="O118" s="305"/>
      <c r="P118" s="305"/>
      <c r="Q118" s="305"/>
      <c r="R118" s="305"/>
      <c r="S118" s="537">
        <f t="shared" si="29"/>
        <v>293.75913074703311</v>
      </c>
      <c r="T118" s="537">
        <f t="shared" si="30"/>
        <v>310.69741265103079</v>
      </c>
      <c r="U118" s="537">
        <f t="shared" si="30"/>
        <v>552.97367348609589</v>
      </c>
      <c r="V118" s="305"/>
    </row>
    <row r="119" spans="1:22">
      <c r="A119">
        <v>113</v>
      </c>
      <c r="B119" s="305"/>
      <c r="C119" s="305"/>
      <c r="D119" s="305"/>
      <c r="E119" s="305"/>
      <c r="F119" s="305"/>
      <c r="G119" s="305"/>
      <c r="H119" s="305"/>
      <c r="I119" s="305"/>
      <c r="J119" s="305"/>
      <c r="K119" s="305"/>
      <c r="L119" s="305"/>
      <c r="M119" s="305"/>
      <c r="N119" s="305"/>
      <c r="O119" s="305"/>
      <c r="P119" s="305"/>
      <c r="Q119" s="305"/>
      <c r="R119" s="305"/>
      <c r="S119" s="537">
        <f t="shared" si="29"/>
        <v>293.75913074703311</v>
      </c>
      <c r="T119" s="537">
        <f t="shared" si="30"/>
        <v>310.69741265103079</v>
      </c>
      <c r="U119" s="537">
        <f t="shared" si="30"/>
        <v>552.97367348609589</v>
      </c>
      <c r="V119" s="305"/>
    </row>
    <row r="120" spans="1:22">
      <c r="A120">
        <v>114</v>
      </c>
      <c r="B120" s="305"/>
      <c r="C120" s="305"/>
      <c r="D120" s="305"/>
      <c r="E120" s="305"/>
      <c r="F120" s="305"/>
      <c r="G120" s="305"/>
      <c r="H120" s="305"/>
      <c r="I120" s="305"/>
      <c r="J120" s="305"/>
      <c r="K120" s="305"/>
      <c r="L120" s="305"/>
      <c r="M120" s="305"/>
      <c r="N120" s="305"/>
      <c r="O120" s="305"/>
      <c r="P120" s="305"/>
      <c r="Q120" s="305"/>
      <c r="R120" s="305"/>
      <c r="S120" s="537">
        <f t="shared" si="29"/>
        <v>293.75913074703311</v>
      </c>
      <c r="T120" s="537">
        <f t="shared" si="30"/>
        <v>310.69741265103079</v>
      </c>
      <c r="U120" s="537">
        <f t="shared" si="30"/>
        <v>552.97367348609589</v>
      </c>
      <c r="V120" s="305"/>
    </row>
    <row r="121" spans="1:22">
      <c r="A121">
        <v>115</v>
      </c>
      <c r="B121" s="305"/>
      <c r="C121" s="305"/>
      <c r="D121" s="305"/>
      <c r="E121" s="305"/>
      <c r="F121" s="305"/>
      <c r="G121" s="305"/>
      <c r="H121" s="305"/>
      <c r="I121" s="305"/>
      <c r="J121" s="305"/>
      <c r="K121" s="305"/>
      <c r="L121" s="305"/>
      <c r="M121" s="305"/>
      <c r="N121" s="305"/>
      <c r="O121" s="305"/>
      <c r="P121" s="305"/>
      <c r="Q121" s="305"/>
      <c r="R121" s="305"/>
      <c r="S121" s="537">
        <f t="shared" si="29"/>
        <v>293.75913074703311</v>
      </c>
      <c r="T121" s="537">
        <f t="shared" si="30"/>
        <v>310.69741265103079</v>
      </c>
      <c r="U121" s="537">
        <f t="shared" si="30"/>
        <v>552.97367348609589</v>
      </c>
      <c r="V121" s="305"/>
    </row>
    <row r="122" spans="1:22">
      <c r="A122">
        <v>116</v>
      </c>
      <c r="B122" s="305"/>
      <c r="C122" s="305"/>
      <c r="D122" s="305"/>
      <c r="E122" s="305"/>
      <c r="F122" s="305"/>
      <c r="G122" s="305"/>
      <c r="H122" s="305"/>
      <c r="I122" s="305"/>
      <c r="J122" s="305"/>
      <c r="K122" s="305"/>
      <c r="L122" s="305"/>
      <c r="M122" s="305"/>
      <c r="N122" s="305"/>
      <c r="O122" s="305"/>
      <c r="P122" s="305"/>
      <c r="Q122" s="305"/>
      <c r="R122" s="305"/>
      <c r="S122" s="537">
        <f t="shared" si="29"/>
        <v>293.75913074703311</v>
      </c>
      <c r="T122" s="537">
        <f t="shared" ref="T122:U137" si="31">T121</f>
        <v>310.69741265103079</v>
      </c>
      <c r="U122" s="537">
        <f t="shared" si="31"/>
        <v>552.97367348609589</v>
      </c>
      <c r="V122" s="305"/>
    </row>
    <row r="123" spans="1:22">
      <c r="A123">
        <v>117</v>
      </c>
      <c r="B123" s="305"/>
      <c r="C123" s="305"/>
      <c r="D123" s="305"/>
      <c r="E123" s="305"/>
      <c r="F123" s="305"/>
      <c r="G123" s="305"/>
      <c r="H123" s="305"/>
      <c r="I123" s="305"/>
      <c r="J123" s="305"/>
      <c r="K123" s="305"/>
      <c r="L123" s="305"/>
      <c r="M123" s="305"/>
      <c r="N123" s="305"/>
      <c r="O123" s="305"/>
      <c r="P123" s="305"/>
      <c r="Q123" s="305"/>
      <c r="R123" s="305"/>
      <c r="S123" s="537">
        <f t="shared" si="29"/>
        <v>293.75913074703311</v>
      </c>
      <c r="T123" s="537">
        <f t="shared" si="31"/>
        <v>310.69741265103079</v>
      </c>
      <c r="U123" s="537">
        <f t="shared" si="31"/>
        <v>552.97367348609589</v>
      </c>
      <c r="V123" s="305"/>
    </row>
    <row r="124" spans="1:22">
      <c r="A124">
        <v>118</v>
      </c>
      <c r="B124" s="305"/>
      <c r="C124" s="305"/>
      <c r="D124" s="305"/>
      <c r="E124" s="305"/>
      <c r="F124" s="305"/>
      <c r="G124" s="305"/>
      <c r="H124" s="305"/>
      <c r="I124" s="305"/>
      <c r="J124" s="305"/>
      <c r="K124" s="305"/>
      <c r="L124" s="305"/>
      <c r="M124" s="305"/>
      <c r="N124" s="305"/>
      <c r="O124" s="305"/>
      <c r="P124" s="305"/>
      <c r="Q124" s="305"/>
      <c r="R124" s="305"/>
      <c r="S124" s="537">
        <f t="shared" si="29"/>
        <v>293.75913074703311</v>
      </c>
      <c r="T124" s="537">
        <f t="shared" si="31"/>
        <v>310.69741265103079</v>
      </c>
      <c r="U124" s="537">
        <f t="shared" si="31"/>
        <v>552.97367348609589</v>
      </c>
      <c r="V124" s="305"/>
    </row>
    <row r="125" spans="1:22">
      <c r="A125">
        <v>119</v>
      </c>
      <c r="B125" s="305"/>
      <c r="C125" s="305"/>
      <c r="D125" s="305"/>
      <c r="E125" s="305"/>
      <c r="F125" s="305"/>
      <c r="G125" s="305"/>
      <c r="H125" s="305"/>
      <c r="I125" s="305"/>
      <c r="J125" s="305"/>
      <c r="K125" s="305"/>
      <c r="L125" s="305"/>
      <c r="M125" s="305"/>
      <c r="N125" s="305"/>
      <c r="O125" s="305"/>
      <c r="P125" s="305"/>
      <c r="Q125" s="305"/>
      <c r="R125" s="305"/>
      <c r="S125" s="537">
        <f t="shared" si="29"/>
        <v>293.75913074703311</v>
      </c>
      <c r="T125" s="537">
        <f t="shared" si="31"/>
        <v>310.69741265103079</v>
      </c>
      <c r="U125" s="537">
        <f t="shared" si="31"/>
        <v>552.97367348609589</v>
      </c>
      <c r="V125" s="305"/>
    </row>
    <row r="126" spans="1:22">
      <c r="A126">
        <v>120</v>
      </c>
      <c r="B126" s="305"/>
      <c r="C126" s="305"/>
      <c r="D126" s="305"/>
      <c r="E126" s="305"/>
      <c r="F126" s="305"/>
      <c r="G126" s="305"/>
      <c r="H126" s="305"/>
      <c r="I126" s="305"/>
      <c r="J126" s="305"/>
      <c r="K126" s="305"/>
      <c r="L126" s="305"/>
      <c r="M126" s="305"/>
      <c r="N126" s="305"/>
      <c r="O126" s="305"/>
      <c r="P126" s="305"/>
      <c r="Q126" s="305"/>
      <c r="R126" s="305"/>
      <c r="S126" s="537">
        <f t="shared" si="29"/>
        <v>293.75913074703311</v>
      </c>
      <c r="T126" s="537">
        <f t="shared" si="31"/>
        <v>310.69741265103079</v>
      </c>
      <c r="U126" s="537">
        <f t="shared" si="31"/>
        <v>552.97367348609589</v>
      </c>
      <c r="V126" s="305"/>
    </row>
    <row r="127" spans="1:22">
      <c r="A127">
        <v>121</v>
      </c>
      <c r="B127" s="305"/>
      <c r="C127" s="305"/>
      <c r="D127" s="305"/>
      <c r="E127" s="305"/>
      <c r="F127" s="305"/>
      <c r="G127" s="305"/>
      <c r="H127" s="305"/>
      <c r="I127" s="305"/>
      <c r="J127" s="305"/>
      <c r="K127" s="305"/>
      <c r="L127" s="305"/>
      <c r="M127" s="305"/>
      <c r="N127" s="305"/>
      <c r="O127" s="305"/>
      <c r="P127" s="305"/>
      <c r="Q127" s="305"/>
      <c r="R127" s="305"/>
      <c r="S127" s="537">
        <f t="shared" si="29"/>
        <v>293.75913074703311</v>
      </c>
      <c r="T127" s="537">
        <f t="shared" si="31"/>
        <v>310.69741265103079</v>
      </c>
      <c r="U127" s="537">
        <f t="shared" si="31"/>
        <v>552.97367348609589</v>
      </c>
      <c r="V127" s="305"/>
    </row>
    <row r="128" spans="1:22">
      <c r="A128">
        <v>122</v>
      </c>
      <c r="B128" s="305"/>
      <c r="C128" s="305"/>
      <c r="D128" s="305"/>
      <c r="E128" s="305"/>
      <c r="F128" s="305"/>
      <c r="G128" s="305"/>
      <c r="H128" s="305"/>
      <c r="I128" s="305"/>
      <c r="J128" s="305"/>
      <c r="K128" s="305"/>
      <c r="L128" s="305"/>
      <c r="M128" s="305"/>
      <c r="N128" s="305"/>
      <c r="O128" s="305"/>
      <c r="P128" s="305"/>
      <c r="Q128" s="305"/>
      <c r="R128" s="305"/>
      <c r="S128" s="537">
        <f t="shared" si="29"/>
        <v>293.75913074703311</v>
      </c>
      <c r="T128" s="537">
        <f t="shared" si="31"/>
        <v>310.69741265103079</v>
      </c>
      <c r="U128" s="537">
        <f t="shared" si="31"/>
        <v>552.97367348609589</v>
      </c>
      <c r="V128" s="305"/>
    </row>
    <row r="129" spans="1:22">
      <c r="A129">
        <v>123</v>
      </c>
      <c r="B129" s="305"/>
      <c r="C129" s="305"/>
      <c r="D129" s="305"/>
      <c r="E129" s="305"/>
      <c r="F129" s="305"/>
      <c r="G129" s="305"/>
      <c r="H129" s="305"/>
      <c r="I129" s="305"/>
      <c r="J129" s="305"/>
      <c r="K129" s="305"/>
      <c r="L129" s="305"/>
      <c r="M129" s="305"/>
      <c r="N129" s="305"/>
      <c r="O129" s="305"/>
      <c r="P129" s="305"/>
      <c r="Q129" s="305"/>
      <c r="R129" s="305"/>
      <c r="S129" s="537">
        <f t="shared" si="29"/>
        <v>293.75913074703311</v>
      </c>
      <c r="T129" s="537">
        <f t="shared" si="31"/>
        <v>310.69741265103079</v>
      </c>
      <c r="U129" s="537">
        <f t="shared" si="31"/>
        <v>552.97367348609589</v>
      </c>
      <c r="V129" s="305"/>
    </row>
    <row r="130" spans="1:22">
      <c r="A130">
        <v>124</v>
      </c>
      <c r="B130" s="305"/>
      <c r="C130" s="305"/>
      <c r="D130" s="305"/>
      <c r="E130" s="305"/>
      <c r="F130" s="305"/>
      <c r="G130" s="305"/>
      <c r="H130" s="305"/>
      <c r="I130" s="305"/>
      <c r="J130" s="305"/>
      <c r="K130" s="305"/>
      <c r="L130" s="305"/>
      <c r="M130" s="305"/>
      <c r="N130" s="305"/>
      <c r="O130" s="305"/>
      <c r="P130" s="305"/>
      <c r="Q130" s="305"/>
      <c r="R130" s="305"/>
      <c r="S130" s="537">
        <f t="shared" si="29"/>
        <v>293.75913074703311</v>
      </c>
      <c r="T130" s="537">
        <f t="shared" si="31"/>
        <v>310.69741265103079</v>
      </c>
      <c r="U130" s="537">
        <f t="shared" si="31"/>
        <v>552.97367348609589</v>
      </c>
      <c r="V130" s="305"/>
    </row>
    <row r="131" spans="1:22">
      <c r="A131">
        <v>125</v>
      </c>
      <c r="B131" s="305"/>
      <c r="C131" s="305"/>
      <c r="D131" s="305"/>
      <c r="E131" s="305"/>
      <c r="F131" s="305"/>
      <c r="G131" s="305"/>
      <c r="H131" s="305"/>
      <c r="I131" s="305"/>
      <c r="J131" s="305"/>
      <c r="K131" s="305"/>
      <c r="L131" s="305"/>
      <c r="M131" s="305"/>
      <c r="N131" s="305"/>
      <c r="O131" s="305"/>
      <c r="P131" s="305"/>
      <c r="Q131" s="305"/>
      <c r="R131" s="305"/>
      <c r="S131" s="537">
        <f t="shared" si="29"/>
        <v>293.75913074703311</v>
      </c>
      <c r="T131" s="537">
        <f t="shared" si="31"/>
        <v>310.69741265103079</v>
      </c>
      <c r="U131" s="537">
        <f t="shared" si="31"/>
        <v>552.97367348609589</v>
      </c>
      <c r="V131" s="305"/>
    </row>
    <row r="132" spans="1:22">
      <c r="A132">
        <v>126</v>
      </c>
      <c r="B132" s="305"/>
      <c r="C132" s="305"/>
      <c r="D132" s="305"/>
      <c r="E132" s="305"/>
      <c r="F132" s="305"/>
      <c r="G132" s="305"/>
      <c r="H132" s="305"/>
      <c r="I132" s="305"/>
      <c r="J132" s="305"/>
      <c r="K132" s="305"/>
      <c r="L132" s="305"/>
      <c r="M132" s="305"/>
      <c r="N132" s="305"/>
      <c r="O132" s="305"/>
      <c r="P132" s="305"/>
      <c r="Q132" s="305"/>
      <c r="R132" s="305"/>
      <c r="S132" s="537">
        <f t="shared" si="29"/>
        <v>293.75913074703311</v>
      </c>
      <c r="T132" s="537">
        <f t="shared" si="31"/>
        <v>310.69741265103079</v>
      </c>
      <c r="U132" s="537">
        <f t="shared" si="31"/>
        <v>552.97367348609589</v>
      </c>
      <c r="V132" s="305"/>
    </row>
    <row r="133" spans="1:22">
      <c r="A133">
        <v>127</v>
      </c>
      <c r="B133" s="305"/>
      <c r="C133" s="305"/>
      <c r="D133" s="305"/>
      <c r="E133" s="305"/>
      <c r="F133" s="305"/>
      <c r="G133" s="305"/>
      <c r="H133" s="305"/>
      <c r="I133" s="305"/>
      <c r="J133" s="305"/>
      <c r="K133" s="305"/>
      <c r="L133" s="305"/>
      <c r="M133" s="305"/>
      <c r="N133" s="305"/>
      <c r="O133" s="305"/>
      <c r="P133" s="305"/>
      <c r="Q133" s="305"/>
      <c r="R133" s="305"/>
      <c r="S133" s="537">
        <f t="shared" si="29"/>
        <v>293.75913074703311</v>
      </c>
      <c r="T133" s="537">
        <f t="shared" si="31"/>
        <v>310.69741265103079</v>
      </c>
      <c r="U133" s="537">
        <f t="shared" si="31"/>
        <v>552.97367348609589</v>
      </c>
      <c r="V133" s="305"/>
    </row>
    <row r="134" spans="1:22">
      <c r="A134">
        <v>128</v>
      </c>
      <c r="B134" s="305"/>
      <c r="C134" s="305"/>
      <c r="D134" s="305"/>
      <c r="E134" s="305"/>
      <c r="F134" s="305"/>
      <c r="G134" s="305"/>
      <c r="H134" s="305"/>
      <c r="I134" s="305"/>
      <c r="J134" s="305"/>
      <c r="K134" s="305"/>
      <c r="L134" s="305"/>
      <c r="M134" s="305"/>
      <c r="N134" s="305"/>
      <c r="O134" s="305"/>
      <c r="P134" s="305"/>
      <c r="Q134" s="305"/>
      <c r="R134" s="305"/>
      <c r="S134" s="537">
        <f t="shared" si="29"/>
        <v>293.75913074703311</v>
      </c>
      <c r="T134" s="537">
        <f t="shared" si="31"/>
        <v>310.69741265103079</v>
      </c>
      <c r="U134" s="537">
        <f t="shared" si="31"/>
        <v>552.97367348609589</v>
      </c>
      <c r="V134" s="305"/>
    </row>
    <row r="135" spans="1:22">
      <c r="A135">
        <v>129</v>
      </c>
      <c r="B135" s="305"/>
      <c r="C135" s="305"/>
      <c r="D135" s="305"/>
      <c r="E135" s="305"/>
      <c r="F135" s="305"/>
      <c r="G135" s="305"/>
      <c r="H135" s="305"/>
      <c r="I135" s="305"/>
      <c r="J135" s="305"/>
      <c r="K135" s="305"/>
      <c r="L135" s="305"/>
      <c r="M135" s="305"/>
      <c r="N135" s="305"/>
      <c r="O135" s="305"/>
      <c r="P135" s="305"/>
      <c r="Q135" s="305"/>
      <c r="R135" s="305"/>
      <c r="S135" s="537">
        <f t="shared" si="29"/>
        <v>293.75913074703311</v>
      </c>
      <c r="T135" s="537">
        <f t="shared" si="31"/>
        <v>310.69741265103079</v>
      </c>
      <c r="U135" s="537">
        <f t="shared" si="31"/>
        <v>552.97367348609589</v>
      </c>
      <c r="V135" s="305"/>
    </row>
    <row r="136" spans="1:22">
      <c r="A136">
        <v>130</v>
      </c>
      <c r="B136" s="305"/>
      <c r="C136" s="305"/>
      <c r="D136" s="305"/>
      <c r="E136" s="305"/>
      <c r="F136" s="305"/>
      <c r="G136" s="305"/>
      <c r="H136" s="305"/>
      <c r="I136" s="305"/>
      <c r="J136" s="305"/>
      <c r="K136" s="305"/>
      <c r="L136" s="305"/>
      <c r="M136" s="305"/>
      <c r="N136" s="305"/>
      <c r="O136" s="305"/>
      <c r="P136" s="305"/>
      <c r="Q136" s="305"/>
      <c r="R136" s="305"/>
      <c r="S136" s="537">
        <f t="shared" si="29"/>
        <v>293.75913074703311</v>
      </c>
      <c r="T136" s="537">
        <f t="shared" si="31"/>
        <v>310.69741265103079</v>
      </c>
      <c r="U136" s="537">
        <f t="shared" si="31"/>
        <v>552.97367348609589</v>
      </c>
      <c r="V136" s="305"/>
    </row>
    <row r="137" spans="1:22">
      <c r="A137">
        <v>131</v>
      </c>
      <c r="B137" s="305"/>
      <c r="C137" s="305"/>
      <c r="D137" s="305"/>
      <c r="E137" s="305"/>
      <c r="F137" s="305"/>
      <c r="G137" s="305"/>
      <c r="H137" s="305"/>
      <c r="I137" s="305"/>
      <c r="J137" s="305"/>
      <c r="K137" s="305"/>
      <c r="L137" s="305"/>
      <c r="M137" s="305"/>
      <c r="N137" s="305"/>
      <c r="O137" s="305"/>
      <c r="P137" s="305"/>
      <c r="Q137" s="305"/>
      <c r="R137" s="305"/>
      <c r="S137" s="537">
        <f t="shared" si="29"/>
        <v>293.75913074703311</v>
      </c>
      <c r="T137" s="537">
        <f t="shared" si="31"/>
        <v>310.69741265103079</v>
      </c>
      <c r="U137" s="537">
        <f t="shared" si="31"/>
        <v>552.97367348609589</v>
      </c>
      <c r="V137" s="305"/>
    </row>
    <row r="138" spans="1:22">
      <c r="A138">
        <v>132</v>
      </c>
      <c r="B138" s="305"/>
      <c r="C138" s="305"/>
      <c r="D138" s="305"/>
      <c r="E138" s="305"/>
      <c r="F138" s="305"/>
      <c r="G138" s="305"/>
      <c r="H138" s="305"/>
      <c r="I138" s="305"/>
      <c r="J138" s="305"/>
      <c r="K138" s="305"/>
      <c r="L138" s="305"/>
      <c r="M138" s="305"/>
      <c r="N138" s="305"/>
      <c r="O138" s="305"/>
      <c r="P138" s="305"/>
      <c r="Q138" s="305"/>
      <c r="R138" s="305"/>
      <c r="S138" s="537">
        <f t="shared" ref="S138:S166" si="32">S137</f>
        <v>293.75913074703311</v>
      </c>
      <c r="T138" s="537">
        <f t="shared" ref="T138:U153" si="33">T137</f>
        <v>310.69741265103079</v>
      </c>
      <c r="U138" s="537">
        <f t="shared" si="33"/>
        <v>552.97367348609589</v>
      </c>
      <c r="V138" s="305"/>
    </row>
    <row r="139" spans="1:22">
      <c r="A139">
        <v>133</v>
      </c>
      <c r="B139" s="305"/>
      <c r="C139" s="305"/>
      <c r="D139" s="305"/>
      <c r="E139" s="305"/>
      <c r="F139" s="305"/>
      <c r="G139" s="305"/>
      <c r="H139" s="305"/>
      <c r="I139" s="305"/>
      <c r="J139" s="305"/>
      <c r="K139" s="305"/>
      <c r="L139" s="305"/>
      <c r="M139" s="305"/>
      <c r="N139" s="305"/>
      <c r="O139" s="305"/>
      <c r="P139" s="305"/>
      <c r="Q139" s="305"/>
      <c r="R139" s="305"/>
      <c r="S139" s="537">
        <f t="shared" si="32"/>
        <v>293.75913074703311</v>
      </c>
      <c r="T139" s="537">
        <f t="shared" si="33"/>
        <v>310.69741265103079</v>
      </c>
      <c r="U139" s="537">
        <f t="shared" si="33"/>
        <v>552.97367348609589</v>
      </c>
      <c r="V139" s="305"/>
    </row>
    <row r="140" spans="1:22">
      <c r="A140">
        <v>134</v>
      </c>
      <c r="B140" s="305"/>
      <c r="C140" s="305"/>
      <c r="D140" s="305"/>
      <c r="E140" s="305"/>
      <c r="F140" s="305"/>
      <c r="G140" s="305"/>
      <c r="H140" s="305"/>
      <c r="I140" s="305"/>
      <c r="J140" s="305"/>
      <c r="K140" s="305"/>
      <c r="L140" s="305"/>
      <c r="M140" s="305"/>
      <c r="N140" s="305"/>
      <c r="O140" s="305"/>
      <c r="P140" s="305"/>
      <c r="Q140" s="305"/>
      <c r="R140" s="305"/>
      <c r="S140" s="537">
        <f t="shared" si="32"/>
        <v>293.75913074703311</v>
      </c>
      <c r="T140" s="537">
        <f t="shared" si="33"/>
        <v>310.69741265103079</v>
      </c>
      <c r="U140" s="537">
        <f t="shared" si="33"/>
        <v>552.97367348609589</v>
      </c>
      <c r="V140" s="305"/>
    </row>
    <row r="141" spans="1:22">
      <c r="A141">
        <v>135</v>
      </c>
      <c r="B141" s="305"/>
      <c r="C141" s="305"/>
      <c r="D141" s="305"/>
      <c r="E141" s="305"/>
      <c r="F141" s="305"/>
      <c r="G141" s="305"/>
      <c r="H141" s="305"/>
      <c r="I141" s="305"/>
      <c r="J141" s="305"/>
      <c r="K141" s="305"/>
      <c r="L141" s="305"/>
      <c r="M141" s="305"/>
      <c r="N141" s="305"/>
      <c r="O141" s="305"/>
      <c r="P141" s="305"/>
      <c r="Q141" s="305"/>
      <c r="R141" s="305"/>
      <c r="S141" s="537">
        <f t="shared" si="32"/>
        <v>293.75913074703311</v>
      </c>
      <c r="T141" s="537">
        <f t="shared" si="33"/>
        <v>310.69741265103079</v>
      </c>
      <c r="U141" s="537">
        <f t="shared" si="33"/>
        <v>552.97367348609589</v>
      </c>
      <c r="V141" s="305"/>
    </row>
    <row r="142" spans="1:22">
      <c r="A142">
        <v>136</v>
      </c>
      <c r="B142" s="305"/>
      <c r="C142" s="305"/>
      <c r="D142" s="305"/>
      <c r="E142" s="305"/>
      <c r="F142" s="305"/>
      <c r="G142" s="305"/>
      <c r="H142" s="305"/>
      <c r="I142" s="305"/>
      <c r="J142" s="305"/>
      <c r="K142" s="305"/>
      <c r="L142" s="305"/>
      <c r="M142" s="305"/>
      <c r="N142" s="305"/>
      <c r="O142" s="305"/>
      <c r="P142" s="305"/>
      <c r="Q142" s="305"/>
      <c r="R142" s="305"/>
      <c r="S142" s="537">
        <f t="shared" si="32"/>
        <v>293.75913074703311</v>
      </c>
      <c r="T142" s="537">
        <f t="shared" si="33"/>
        <v>310.69741265103079</v>
      </c>
      <c r="U142" s="537">
        <f t="shared" si="33"/>
        <v>552.97367348609589</v>
      </c>
      <c r="V142" s="305"/>
    </row>
    <row r="143" spans="1:22">
      <c r="A143">
        <v>137</v>
      </c>
      <c r="B143" s="305"/>
      <c r="C143" s="305"/>
      <c r="D143" s="305"/>
      <c r="E143" s="305"/>
      <c r="F143" s="305"/>
      <c r="G143" s="305"/>
      <c r="H143" s="305"/>
      <c r="I143" s="305"/>
      <c r="J143" s="305"/>
      <c r="K143" s="305"/>
      <c r="L143" s="305"/>
      <c r="M143" s="305"/>
      <c r="N143" s="305"/>
      <c r="O143" s="305"/>
      <c r="P143" s="305"/>
      <c r="Q143" s="305"/>
      <c r="R143" s="305"/>
      <c r="S143" s="537">
        <f t="shared" si="32"/>
        <v>293.75913074703311</v>
      </c>
      <c r="T143" s="537">
        <f t="shared" si="33"/>
        <v>310.69741265103079</v>
      </c>
      <c r="U143" s="537">
        <f t="shared" si="33"/>
        <v>552.97367348609589</v>
      </c>
      <c r="V143" s="305"/>
    </row>
    <row r="144" spans="1:22">
      <c r="A144">
        <v>138</v>
      </c>
      <c r="B144" s="305"/>
      <c r="C144" s="305"/>
      <c r="D144" s="305"/>
      <c r="E144" s="305"/>
      <c r="F144" s="305"/>
      <c r="G144" s="305"/>
      <c r="H144" s="305"/>
      <c r="I144" s="305"/>
      <c r="J144" s="305"/>
      <c r="K144" s="305"/>
      <c r="L144" s="305"/>
      <c r="M144" s="305"/>
      <c r="N144" s="305"/>
      <c r="O144" s="305"/>
      <c r="P144" s="305"/>
      <c r="Q144" s="305"/>
      <c r="R144" s="305"/>
      <c r="S144" s="537">
        <f t="shared" si="32"/>
        <v>293.75913074703311</v>
      </c>
      <c r="T144" s="537">
        <f t="shared" si="33"/>
        <v>310.69741265103079</v>
      </c>
      <c r="U144" s="537">
        <f t="shared" si="33"/>
        <v>552.97367348609589</v>
      </c>
      <c r="V144" s="305"/>
    </row>
    <row r="145" spans="1:22">
      <c r="A145">
        <v>139</v>
      </c>
      <c r="B145" s="305"/>
      <c r="C145" s="305"/>
      <c r="D145" s="305"/>
      <c r="E145" s="305"/>
      <c r="F145" s="305"/>
      <c r="G145" s="305"/>
      <c r="H145" s="305"/>
      <c r="I145" s="305"/>
      <c r="J145" s="305"/>
      <c r="K145" s="305"/>
      <c r="L145" s="305"/>
      <c r="M145" s="305"/>
      <c r="N145" s="305"/>
      <c r="O145" s="305"/>
      <c r="P145" s="305"/>
      <c r="Q145" s="305"/>
      <c r="R145" s="305"/>
      <c r="S145" s="537">
        <f t="shared" si="32"/>
        <v>293.75913074703311</v>
      </c>
      <c r="T145" s="537">
        <f t="shared" si="33"/>
        <v>310.69741265103079</v>
      </c>
      <c r="U145" s="537">
        <f t="shared" si="33"/>
        <v>552.97367348609589</v>
      </c>
      <c r="V145" s="305"/>
    </row>
    <row r="146" spans="1:22">
      <c r="A146">
        <v>140</v>
      </c>
      <c r="B146" s="305"/>
      <c r="C146" s="305"/>
      <c r="D146" s="305"/>
      <c r="E146" s="305"/>
      <c r="F146" s="305"/>
      <c r="G146" s="305"/>
      <c r="H146" s="305"/>
      <c r="I146" s="305"/>
      <c r="J146" s="305"/>
      <c r="K146" s="305"/>
      <c r="L146" s="305"/>
      <c r="M146" s="305"/>
      <c r="N146" s="305"/>
      <c r="O146" s="305"/>
      <c r="P146" s="305"/>
      <c r="Q146" s="305"/>
      <c r="R146" s="305"/>
      <c r="S146" s="537">
        <f t="shared" si="32"/>
        <v>293.75913074703311</v>
      </c>
      <c r="T146" s="537">
        <f t="shared" si="33"/>
        <v>310.69741265103079</v>
      </c>
      <c r="U146" s="537">
        <f t="shared" si="33"/>
        <v>552.97367348609589</v>
      </c>
      <c r="V146" s="305"/>
    </row>
    <row r="147" spans="1:22">
      <c r="A147">
        <v>141</v>
      </c>
      <c r="B147" s="305"/>
      <c r="C147" s="305"/>
      <c r="D147" s="305"/>
      <c r="E147" s="305"/>
      <c r="F147" s="305"/>
      <c r="G147" s="305"/>
      <c r="H147" s="305"/>
      <c r="I147" s="305"/>
      <c r="J147" s="305"/>
      <c r="K147" s="305"/>
      <c r="L147" s="305"/>
      <c r="M147" s="305"/>
      <c r="N147" s="305"/>
      <c r="O147" s="305"/>
      <c r="P147" s="305"/>
      <c r="Q147" s="305"/>
      <c r="R147" s="305"/>
      <c r="S147" s="537">
        <f t="shared" si="32"/>
        <v>293.75913074703311</v>
      </c>
      <c r="T147" s="537">
        <f t="shared" si="33"/>
        <v>310.69741265103079</v>
      </c>
      <c r="U147" s="537">
        <f t="shared" si="33"/>
        <v>552.97367348609589</v>
      </c>
      <c r="V147" s="305"/>
    </row>
    <row r="148" spans="1:22">
      <c r="A148">
        <v>142</v>
      </c>
      <c r="B148" s="305"/>
      <c r="C148" s="305"/>
      <c r="D148" s="305"/>
      <c r="E148" s="305"/>
      <c r="F148" s="305"/>
      <c r="G148" s="305"/>
      <c r="H148" s="305"/>
      <c r="I148" s="305"/>
      <c r="J148" s="305"/>
      <c r="K148" s="305"/>
      <c r="L148" s="305"/>
      <c r="M148" s="305"/>
      <c r="N148" s="305"/>
      <c r="O148" s="305"/>
      <c r="P148" s="305"/>
      <c r="Q148" s="305"/>
      <c r="R148" s="305"/>
      <c r="S148" s="537">
        <f t="shared" si="32"/>
        <v>293.75913074703311</v>
      </c>
      <c r="T148" s="537">
        <f t="shared" si="33"/>
        <v>310.69741265103079</v>
      </c>
      <c r="U148" s="537">
        <f t="shared" si="33"/>
        <v>552.97367348609589</v>
      </c>
      <c r="V148" s="305"/>
    </row>
    <row r="149" spans="1:22">
      <c r="A149">
        <v>143</v>
      </c>
      <c r="B149" s="305"/>
      <c r="C149" s="305"/>
      <c r="D149" s="305"/>
      <c r="E149" s="305"/>
      <c r="F149" s="305"/>
      <c r="G149" s="305"/>
      <c r="H149" s="305"/>
      <c r="I149" s="305"/>
      <c r="J149" s="305"/>
      <c r="K149" s="305"/>
      <c r="L149" s="305"/>
      <c r="M149" s="305"/>
      <c r="N149" s="305"/>
      <c r="O149" s="305"/>
      <c r="P149" s="305"/>
      <c r="Q149" s="305"/>
      <c r="R149" s="305"/>
      <c r="S149" s="537">
        <f t="shared" si="32"/>
        <v>293.75913074703311</v>
      </c>
      <c r="T149" s="537">
        <f t="shared" si="33"/>
        <v>310.69741265103079</v>
      </c>
      <c r="U149" s="537">
        <f t="shared" si="33"/>
        <v>552.97367348609589</v>
      </c>
      <c r="V149" s="305"/>
    </row>
    <row r="150" spans="1:22">
      <c r="A150">
        <v>144</v>
      </c>
      <c r="B150" s="305"/>
      <c r="C150" s="305"/>
      <c r="D150" s="305"/>
      <c r="E150" s="305"/>
      <c r="F150" s="305"/>
      <c r="G150" s="305"/>
      <c r="H150" s="305"/>
      <c r="I150" s="305"/>
      <c r="J150" s="305"/>
      <c r="K150" s="305"/>
      <c r="L150" s="305"/>
      <c r="M150" s="305"/>
      <c r="N150" s="305"/>
      <c r="O150" s="305"/>
      <c r="P150" s="305"/>
      <c r="Q150" s="305"/>
      <c r="R150" s="305"/>
      <c r="S150" s="537">
        <f t="shared" si="32"/>
        <v>293.75913074703311</v>
      </c>
      <c r="T150" s="537">
        <f t="shared" si="33"/>
        <v>310.69741265103079</v>
      </c>
      <c r="U150" s="537">
        <f t="shared" si="33"/>
        <v>552.97367348609589</v>
      </c>
      <c r="V150" s="305"/>
    </row>
    <row r="151" spans="1:22">
      <c r="A151">
        <v>145</v>
      </c>
      <c r="B151" s="305"/>
      <c r="C151" s="305"/>
      <c r="D151" s="305"/>
      <c r="E151" s="305"/>
      <c r="F151" s="305"/>
      <c r="G151" s="305"/>
      <c r="H151" s="305"/>
      <c r="I151" s="305"/>
      <c r="J151" s="305"/>
      <c r="K151" s="305"/>
      <c r="L151" s="305"/>
      <c r="M151" s="305"/>
      <c r="N151" s="305"/>
      <c r="O151" s="305"/>
      <c r="P151" s="305"/>
      <c r="Q151" s="305"/>
      <c r="R151" s="305"/>
      <c r="S151" s="537">
        <f t="shared" si="32"/>
        <v>293.75913074703311</v>
      </c>
      <c r="T151" s="537">
        <f t="shared" si="33"/>
        <v>310.69741265103079</v>
      </c>
      <c r="U151" s="537">
        <f t="shared" si="33"/>
        <v>552.97367348609589</v>
      </c>
      <c r="V151" s="305"/>
    </row>
    <row r="152" spans="1:22">
      <c r="A152">
        <v>146</v>
      </c>
      <c r="B152" s="305"/>
      <c r="C152" s="305"/>
      <c r="D152" s="305"/>
      <c r="E152" s="305"/>
      <c r="F152" s="305"/>
      <c r="G152" s="305"/>
      <c r="H152" s="305"/>
      <c r="I152" s="305"/>
      <c r="J152" s="305"/>
      <c r="K152" s="305"/>
      <c r="L152" s="305"/>
      <c r="M152" s="305"/>
      <c r="N152" s="305"/>
      <c r="O152" s="305"/>
      <c r="P152" s="305"/>
      <c r="Q152" s="305"/>
      <c r="R152" s="305"/>
      <c r="S152" s="537">
        <f t="shared" si="32"/>
        <v>293.75913074703311</v>
      </c>
      <c r="T152" s="537">
        <f t="shared" si="33"/>
        <v>310.69741265103079</v>
      </c>
      <c r="U152" s="537">
        <f t="shared" si="33"/>
        <v>552.97367348609589</v>
      </c>
      <c r="V152" s="305"/>
    </row>
    <row r="153" spans="1:22">
      <c r="A153">
        <v>147</v>
      </c>
      <c r="B153" s="305"/>
      <c r="C153" s="305"/>
      <c r="D153" s="305"/>
      <c r="E153" s="305"/>
      <c r="F153" s="305"/>
      <c r="G153" s="305"/>
      <c r="H153" s="305"/>
      <c r="I153" s="305"/>
      <c r="J153" s="305"/>
      <c r="K153" s="305"/>
      <c r="L153" s="305"/>
      <c r="M153" s="305"/>
      <c r="N153" s="305"/>
      <c r="O153" s="305"/>
      <c r="P153" s="305"/>
      <c r="Q153" s="305"/>
      <c r="R153" s="305"/>
      <c r="S153" s="537">
        <f t="shared" si="32"/>
        <v>293.75913074703311</v>
      </c>
      <c r="T153" s="537">
        <f t="shared" si="33"/>
        <v>310.69741265103079</v>
      </c>
      <c r="U153" s="537">
        <f t="shared" si="33"/>
        <v>552.97367348609589</v>
      </c>
      <c r="V153" s="305"/>
    </row>
    <row r="154" spans="1:22">
      <c r="A154">
        <v>148</v>
      </c>
      <c r="B154" s="305"/>
      <c r="C154" s="305"/>
      <c r="D154" s="305"/>
      <c r="E154" s="305"/>
      <c r="F154" s="305"/>
      <c r="G154" s="305"/>
      <c r="H154" s="305"/>
      <c r="I154" s="305"/>
      <c r="J154" s="305"/>
      <c r="K154" s="305"/>
      <c r="L154" s="305"/>
      <c r="M154" s="305"/>
      <c r="N154" s="305"/>
      <c r="O154" s="305"/>
      <c r="P154" s="305"/>
      <c r="Q154" s="305"/>
      <c r="R154" s="305"/>
      <c r="S154" s="537">
        <f t="shared" si="32"/>
        <v>293.75913074703311</v>
      </c>
      <c r="T154" s="537">
        <f t="shared" ref="T154:U166" si="34">T153</f>
        <v>310.69741265103079</v>
      </c>
      <c r="U154" s="537">
        <f t="shared" si="34"/>
        <v>552.97367348609589</v>
      </c>
      <c r="V154" s="305"/>
    </row>
    <row r="155" spans="1:22">
      <c r="A155">
        <v>149</v>
      </c>
      <c r="B155" s="305"/>
      <c r="C155" s="305"/>
      <c r="D155" s="305"/>
      <c r="E155" s="305"/>
      <c r="F155" s="305"/>
      <c r="G155" s="305"/>
      <c r="H155" s="305"/>
      <c r="I155" s="305"/>
      <c r="J155" s="305"/>
      <c r="K155" s="305"/>
      <c r="L155" s="305"/>
      <c r="M155" s="305"/>
      <c r="N155" s="305"/>
      <c r="O155" s="305"/>
      <c r="P155" s="305"/>
      <c r="Q155" s="305"/>
      <c r="R155" s="305"/>
      <c r="S155" s="537">
        <f t="shared" si="32"/>
        <v>293.75913074703311</v>
      </c>
      <c r="T155" s="537">
        <f t="shared" si="34"/>
        <v>310.69741265103079</v>
      </c>
      <c r="U155" s="537">
        <f t="shared" si="34"/>
        <v>552.97367348609589</v>
      </c>
      <c r="V155" s="305"/>
    </row>
    <row r="156" spans="1:22">
      <c r="A156">
        <v>150</v>
      </c>
      <c r="B156" s="305"/>
      <c r="C156" s="305"/>
      <c r="D156" s="305"/>
      <c r="E156" s="305"/>
      <c r="F156" s="305"/>
      <c r="G156" s="305"/>
      <c r="H156" s="305"/>
      <c r="I156" s="305"/>
      <c r="J156" s="305"/>
      <c r="K156" s="305"/>
      <c r="L156" s="305"/>
      <c r="M156" s="305"/>
      <c r="N156" s="305"/>
      <c r="O156" s="305"/>
      <c r="P156" s="305"/>
      <c r="Q156" s="305"/>
      <c r="R156" s="305"/>
      <c r="S156" s="537">
        <f t="shared" si="32"/>
        <v>293.75913074703311</v>
      </c>
      <c r="T156" s="537">
        <f t="shared" si="34"/>
        <v>310.69741265103079</v>
      </c>
      <c r="U156" s="537">
        <f t="shared" si="34"/>
        <v>552.97367348609589</v>
      </c>
      <c r="V156" s="305"/>
    </row>
    <row r="157" spans="1:22">
      <c r="A157">
        <v>151</v>
      </c>
      <c r="B157" s="305"/>
      <c r="C157" s="305"/>
      <c r="D157" s="305"/>
      <c r="E157" s="305"/>
      <c r="F157" s="305"/>
      <c r="G157" s="305"/>
      <c r="H157" s="305"/>
      <c r="I157" s="305"/>
      <c r="J157" s="305"/>
      <c r="K157" s="305"/>
      <c r="L157" s="305"/>
      <c r="M157" s="305"/>
      <c r="N157" s="305"/>
      <c r="O157" s="305"/>
      <c r="P157" s="305"/>
      <c r="Q157" s="305"/>
      <c r="R157" s="305"/>
      <c r="S157" s="537">
        <f t="shared" si="32"/>
        <v>293.75913074703311</v>
      </c>
      <c r="T157" s="537">
        <f t="shared" si="34"/>
        <v>310.69741265103079</v>
      </c>
      <c r="U157" s="537">
        <f t="shared" si="34"/>
        <v>552.97367348609589</v>
      </c>
      <c r="V157" s="305"/>
    </row>
    <row r="158" spans="1:22">
      <c r="A158">
        <v>152</v>
      </c>
      <c r="B158" s="305"/>
      <c r="C158" s="305"/>
      <c r="D158" s="305"/>
      <c r="E158" s="305"/>
      <c r="F158" s="305"/>
      <c r="G158" s="305"/>
      <c r="H158" s="305"/>
      <c r="I158" s="305"/>
      <c r="J158" s="305"/>
      <c r="K158" s="305"/>
      <c r="L158" s="305"/>
      <c r="M158" s="305"/>
      <c r="N158" s="305"/>
      <c r="O158" s="305"/>
      <c r="P158" s="305"/>
      <c r="Q158" s="305"/>
      <c r="R158" s="305"/>
      <c r="S158" s="537">
        <f t="shared" si="32"/>
        <v>293.75913074703311</v>
      </c>
      <c r="T158" s="537">
        <f t="shared" si="34"/>
        <v>310.69741265103079</v>
      </c>
      <c r="U158" s="537">
        <f t="shared" si="34"/>
        <v>552.97367348609589</v>
      </c>
      <c r="V158" s="305"/>
    </row>
    <row r="159" spans="1:22">
      <c r="A159">
        <v>153</v>
      </c>
      <c r="B159" s="305"/>
      <c r="C159" s="305"/>
      <c r="D159" s="305"/>
      <c r="E159" s="305"/>
      <c r="F159" s="305"/>
      <c r="G159" s="305"/>
      <c r="H159" s="305"/>
      <c r="I159" s="305"/>
      <c r="J159" s="305"/>
      <c r="K159" s="305"/>
      <c r="L159" s="305"/>
      <c r="M159" s="305"/>
      <c r="N159" s="305"/>
      <c r="O159" s="305"/>
      <c r="P159" s="305"/>
      <c r="Q159" s="305"/>
      <c r="R159" s="305"/>
      <c r="S159" s="537">
        <f t="shared" si="32"/>
        <v>293.75913074703311</v>
      </c>
      <c r="T159" s="537">
        <f t="shared" si="34"/>
        <v>310.69741265103079</v>
      </c>
      <c r="U159" s="537">
        <f t="shared" si="34"/>
        <v>552.97367348609589</v>
      </c>
      <c r="V159" s="305"/>
    </row>
    <row r="160" spans="1:22">
      <c r="A160">
        <v>154</v>
      </c>
      <c r="B160" s="305"/>
      <c r="C160" s="305"/>
      <c r="D160" s="305"/>
      <c r="E160" s="305"/>
      <c r="F160" s="305"/>
      <c r="G160" s="305"/>
      <c r="H160" s="305"/>
      <c r="I160" s="305"/>
      <c r="J160" s="305"/>
      <c r="K160" s="305"/>
      <c r="L160" s="305"/>
      <c r="M160" s="305"/>
      <c r="N160" s="305"/>
      <c r="O160" s="305"/>
      <c r="P160" s="305"/>
      <c r="Q160" s="305"/>
      <c r="R160" s="305"/>
      <c r="S160" s="537">
        <f t="shared" si="32"/>
        <v>293.75913074703311</v>
      </c>
      <c r="T160" s="537">
        <f t="shared" si="34"/>
        <v>310.69741265103079</v>
      </c>
      <c r="U160" s="537">
        <f t="shared" si="34"/>
        <v>552.97367348609589</v>
      </c>
      <c r="V160" s="305"/>
    </row>
    <row r="161" spans="1:22">
      <c r="A161">
        <v>155</v>
      </c>
      <c r="B161" s="305"/>
      <c r="C161" s="305"/>
      <c r="D161" s="305"/>
      <c r="E161" s="305"/>
      <c r="F161" s="305"/>
      <c r="G161" s="305"/>
      <c r="H161" s="305"/>
      <c r="I161" s="305"/>
      <c r="J161" s="305"/>
      <c r="K161" s="305"/>
      <c r="L161" s="305"/>
      <c r="M161" s="305"/>
      <c r="N161" s="305"/>
      <c r="O161" s="305"/>
      <c r="P161" s="305"/>
      <c r="Q161" s="305"/>
      <c r="R161" s="305"/>
      <c r="S161" s="537">
        <f t="shared" si="32"/>
        <v>293.75913074703311</v>
      </c>
      <c r="T161" s="537">
        <f t="shared" si="34"/>
        <v>310.69741265103079</v>
      </c>
      <c r="U161" s="537">
        <f t="shared" si="34"/>
        <v>552.97367348609589</v>
      </c>
      <c r="V161" s="305"/>
    </row>
    <row r="162" spans="1:22">
      <c r="A162">
        <v>156</v>
      </c>
      <c r="B162" s="305"/>
      <c r="C162" s="305"/>
      <c r="D162" s="305"/>
      <c r="E162" s="305"/>
      <c r="F162" s="305"/>
      <c r="G162" s="305"/>
      <c r="H162" s="305"/>
      <c r="I162" s="305"/>
      <c r="J162" s="305"/>
      <c r="K162" s="305"/>
      <c r="L162" s="305"/>
      <c r="M162" s="305"/>
      <c r="N162" s="305"/>
      <c r="O162" s="305"/>
      <c r="P162" s="305"/>
      <c r="Q162" s="305"/>
      <c r="R162" s="305"/>
      <c r="S162" s="537">
        <f t="shared" si="32"/>
        <v>293.75913074703311</v>
      </c>
      <c r="T162" s="537">
        <f t="shared" si="34"/>
        <v>310.69741265103079</v>
      </c>
      <c r="U162" s="537">
        <f t="shared" si="34"/>
        <v>552.97367348609589</v>
      </c>
      <c r="V162" s="305"/>
    </row>
    <row r="163" spans="1:22">
      <c r="A163">
        <v>157</v>
      </c>
      <c r="B163" s="305"/>
      <c r="C163" s="305"/>
      <c r="D163" s="305"/>
      <c r="E163" s="305"/>
      <c r="F163" s="305"/>
      <c r="G163" s="305"/>
      <c r="H163" s="305"/>
      <c r="I163" s="305"/>
      <c r="J163" s="305"/>
      <c r="K163" s="305"/>
      <c r="L163" s="305"/>
      <c r="M163" s="305"/>
      <c r="N163" s="305"/>
      <c r="O163" s="305"/>
      <c r="P163" s="305"/>
      <c r="Q163" s="305"/>
      <c r="R163" s="305"/>
      <c r="S163" s="537">
        <f t="shared" si="32"/>
        <v>293.75913074703311</v>
      </c>
      <c r="T163" s="537">
        <f t="shared" si="34"/>
        <v>310.69741265103079</v>
      </c>
      <c r="U163" s="537">
        <f t="shared" si="34"/>
        <v>552.97367348609589</v>
      </c>
      <c r="V163" s="305"/>
    </row>
    <row r="164" spans="1:22">
      <c r="A164">
        <v>158</v>
      </c>
      <c r="B164" s="305"/>
      <c r="C164" s="305"/>
      <c r="D164" s="305"/>
      <c r="E164" s="305"/>
      <c r="F164" s="305"/>
      <c r="G164" s="305"/>
      <c r="H164" s="305"/>
      <c r="I164" s="305"/>
      <c r="J164" s="305"/>
      <c r="K164" s="305"/>
      <c r="L164" s="305"/>
      <c r="M164" s="305"/>
      <c r="N164" s="305"/>
      <c r="O164" s="305"/>
      <c r="P164" s="305"/>
      <c r="Q164" s="305"/>
      <c r="R164" s="305"/>
      <c r="S164" s="537">
        <f t="shared" si="32"/>
        <v>293.75913074703311</v>
      </c>
      <c r="T164" s="537">
        <f t="shared" si="34"/>
        <v>310.69741265103079</v>
      </c>
      <c r="U164" s="537">
        <f t="shared" si="34"/>
        <v>552.97367348609589</v>
      </c>
      <c r="V164" s="305"/>
    </row>
    <row r="165" spans="1:22">
      <c r="A165">
        <v>159</v>
      </c>
      <c r="B165" s="305"/>
      <c r="C165" s="305"/>
      <c r="D165" s="305"/>
      <c r="E165" s="305"/>
      <c r="F165" s="305"/>
      <c r="G165" s="305"/>
      <c r="H165" s="305"/>
      <c r="I165" s="305"/>
      <c r="J165" s="305"/>
      <c r="K165" s="305"/>
      <c r="L165" s="305"/>
      <c r="M165" s="305"/>
      <c r="N165" s="305"/>
      <c r="O165" s="305"/>
      <c r="P165" s="305"/>
      <c r="Q165" s="305"/>
      <c r="R165" s="305"/>
      <c r="S165" s="537">
        <f t="shared" si="32"/>
        <v>293.75913074703311</v>
      </c>
      <c r="T165" s="537">
        <f t="shared" si="34"/>
        <v>310.69741265103079</v>
      </c>
      <c r="U165" s="537">
        <f t="shared" si="34"/>
        <v>552.97367348609589</v>
      </c>
      <c r="V165" s="305"/>
    </row>
    <row r="166" spans="1:22">
      <c r="A166">
        <v>160</v>
      </c>
      <c r="B166" s="305"/>
      <c r="C166" s="305"/>
      <c r="D166" s="305"/>
      <c r="E166" s="305"/>
      <c r="F166" s="305"/>
      <c r="G166" s="305"/>
      <c r="H166" s="305"/>
      <c r="I166" s="305"/>
      <c r="J166" s="305"/>
      <c r="K166" s="305"/>
      <c r="L166" s="305"/>
      <c r="M166" s="305"/>
      <c r="N166" s="305"/>
      <c r="O166" s="305"/>
      <c r="P166" s="305"/>
      <c r="Q166" s="305"/>
      <c r="R166" s="305"/>
      <c r="S166" s="537">
        <f t="shared" si="32"/>
        <v>293.75913074703311</v>
      </c>
      <c r="T166" s="537">
        <f t="shared" si="34"/>
        <v>310.69741265103079</v>
      </c>
      <c r="U166" s="537">
        <f t="shared" si="34"/>
        <v>552.97367348609589</v>
      </c>
      <c r="V166" s="305"/>
    </row>
  </sheetData>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9EC4-7E51-4BDB-B442-7C00BF46506B}">
  <dimension ref="A2:O13"/>
  <sheetViews>
    <sheetView workbookViewId="0"/>
  </sheetViews>
  <sheetFormatPr defaultRowHeight="14.4"/>
  <cols>
    <col min="2" max="2" width="6.6640625" bestFit="1" customWidth="1"/>
    <col min="3" max="3" width="5.77734375" bestFit="1" customWidth="1"/>
    <col min="4" max="4" width="4.6640625" bestFit="1" customWidth="1"/>
    <col min="5" max="5" width="4.88671875" bestFit="1" customWidth="1"/>
    <col min="7" max="10" width="7.109375" customWidth="1"/>
    <col min="11" max="11" width="14.21875" bestFit="1" customWidth="1"/>
    <col min="12" max="15" width="6.88671875" customWidth="1"/>
  </cols>
  <sheetData>
    <row r="2" spans="1:15">
      <c r="A2" t="s">
        <v>321</v>
      </c>
    </row>
    <row r="3" spans="1:15">
      <c r="G3" t="s">
        <v>276</v>
      </c>
      <c r="L3" t="s">
        <v>277</v>
      </c>
    </row>
    <row r="4" spans="1:15">
      <c r="A4" t="str">
        <f>'4.2 IRR_Calc'!A4</f>
        <v>Year</v>
      </c>
      <c r="B4" s="302" t="str">
        <f>'4.2 IRR_Calc'!B4</f>
        <v>Capital</v>
      </c>
      <c r="C4" s="302" t="str">
        <f>'4.2 IRR_Calc'!C4</f>
        <v>Social</v>
      </c>
      <c r="D4" s="302" t="str">
        <f>'4.2 IRR_Calc'!D4</f>
        <v>Full</v>
      </c>
      <c r="E4" s="302" t="str">
        <f>'4.2 IRR_Calc'!E4</f>
        <v>Joint</v>
      </c>
      <c r="G4" s="302" t="s">
        <v>141</v>
      </c>
      <c r="H4" s="302" t="s">
        <v>140</v>
      </c>
      <c r="I4" s="302" t="s">
        <v>201</v>
      </c>
      <c r="J4" s="302" t="s">
        <v>142</v>
      </c>
      <c r="L4" s="302" t="s">
        <v>141</v>
      </c>
      <c r="M4" s="302" t="s">
        <v>140</v>
      </c>
      <c r="N4" s="302" t="s">
        <v>201</v>
      </c>
      <c r="O4" s="302" t="s">
        <v>142</v>
      </c>
    </row>
    <row r="5" spans="1:15">
      <c r="A5">
        <f>'4.2 IRR_Calc'!A5</f>
        <v>0</v>
      </c>
      <c r="B5" s="305">
        <f>'4.2 IRR_Calc'!B5*1.05^2</f>
        <v>-531.44821860776517</v>
      </c>
      <c r="C5" s="305">
        <f>'4.2 IRR_Calc'!C5*1.05^2</f>
        <v>-289.60255756823165</v>
      </c>
      <c r="D5" s="305">
        <f>'4.2 IRR_Calc'!D5*1.05^2</f>
        <v>-643.58475339109123</v>
      </c>
      <c r="E5" s="305">
        <f>'4.2 IRR_Calc'!E5*1.05^2</f>
        <v>-488.21184318902937</v>
      </c>
      <c r="G5" s="305">
        <f>B5</f>
        <v>-531.44821860776517</v>
      </c>
      <c r="H5" s="305">
        <f t="shared" ref="H5:J5" si="0">C5</f>
        <v>-289.60255756823165</v>
      </c>
      <c r="I5" s="305">
        <f t="shared" si="0"/>
        <v>-643.58475339109123</v>
      </c>
      <c r="J5" s="305">
        <f t="shared" si="0"/>
        <v>-488.21184318902937</v>
      </c>
      <c r="K5" s="305"/>
      <c r="L5" s="464" t="str">
        <f>IF(G5&lt;0, "",1-G5/B5)</f>
        <v/>
      </c>
      <c r="M5" s="464" t="str">
        <f t="shared" ref="M5:O5" si="1">IF(H5&lt;0, "",1-H5/C5)</f>
        <v/>
      </c>
      <c r="N5" s="464" t="str">
        <f t="shared" si="1"/>
        <v/>
      </c>
      <c r="O5" s="464" t="str">
        <f t="shared" si="1"/>
        <v/>
      </c>
    </row>
    <row r="6" spans="1:15">
      <c r="A6">
        <f>'4.2 IRR_Calc'!A6</f>
        <v>1</v>
      </c>
      <c r="B6" s="305">
        <f>'4.2 IRR_Calc'!B6*1.05</f>
        <v>155.38623333489815</v>
      </c>
      <c r="C6" s="305">
        <f>'4.2 IRR_Calc'!C6*1.05</f>
        <v>89.625009273044157</v>
      </c>
      <c r="D6" s="305">
        <f>'4.2 IRR_Calc'!D6*1.05</f>
        <v>254.03795910708629</v>
      </c>
      <c r="E6" s="305">
        <f>'4.2 IRR_Calc'!E6*1.05</f>
        <v>166.51137944978066</v>
      </c>
      <c r="G6" s="305">
        <f>G5+B6</f>
        <v>-376.06198527286699</v>
      </c>
      <c r="H6" s="305">
        <f t="shared" ref="H6:J7" si="2">H5+C6</f>
        <v>-199.97754829518749</v>
      </c>
      <c r="I6" s="305">
        <f t="shared" si="2"/>
        <v>-389.54679428400493</v>
      </c>
      <c r="J6" s="305">
        <f t="shared" si="2"/>
        <v>-321.70046373924868</v>
      </c>
      <c r="L6" s="464" t="str">
        <f t="shared" ref="L6:L7" si="3">IF(G6&lt;0, "",1-G6/B6)</f>
        <v/>
      </c>
      <c r="M6" s="464" t="str">
        <f t="shared" ref="M6:M7" si="4">IF(H6&lt;0, "",1-H6/C6)</f>
        <v/>
      </c>
      <c r="N6" s="464" t="str">
        <f t="shared" ref="N6:N7" si="5">IF(I6&lt;0, "",1-I6/D6)</f>
        <v/>
      </c>
      <c r="O6" s="464" t="str">
        <f t="shared" ref="O6:O7" si="6">IF(J6&lt;0, "",1-J6/E6)</f>
        <v/>
      </c>
    </row>
    <row r="7" spans="1:15">
      <c r="A7">
        <f>'4.2 IRR_Calc'!A7</f>
        <v>2</v>
      </c>
      <c r="B7" s="305">
        <f>'4.2 IRR_Calc'!B7</f>
        <v>267.4364023031103</v>
      </c>
      <c r="C7" s="305">
        <f>'4.2 IRR_Calc'!C7</f>
        <v>405.30441911177871</v>
      </c>
      <c r="D7" s="305">
        <f>'4.2 IRR_Calc'!D7</f>
        <v>566.45236083784698</v>
      </c>
      <c r="E7" s="305">
        <f>'4.2 IRR_Calc'!E7</f>
        <v>409.69013267976254</v>
      </c>
      <c r="G7" s="305">
        <f>G6+B7</f>
        <v>-108.62558296975669</v>
      </c>
      <c r="H7" s="305">
        <f t="shared" si="2"/>
        <v>205.32687081659122</v>
      </c>
      <c r="I7" s="305">
        <f t="shared" si="2"/>
        <v>176.90556655384205</v>
      </c>
      <c r="J7" s="305">
        <f t="shared" si="2"/>
        <v>87.989668940513866</v>
      </c>
      <c r="L7" s="464" t="str">
        <f t="shared" si="3"/>
        <v/>
      </c>
      <c r="M7" s="464">
        <f t="shared" si="4"/>
        <v>0.49340085838056402</v>
      </c>
      <c r="N7" s="464">
        <f t="shared" si="5"/>
        <v>0.68769559669205238</v>
      </c>
      <c r="O7" s="464">
        <f t="shared" si="6"/>
        <v>0.78522873283528249</v>
      </c>
    </row>
    <row r="8" spans="1:15">
      <c r="B8" s="305">
        <f>B7</f>
        <v>267.4364023031103</v>
      </c>
      <c r="C8" s="305">
        <f t="shared" ref="C8:E10" si="7">C7</f>
        <v>405.30441911177871</v>
      </c>
      <c r="D8" s="305">
        <f t="shared" si="7"/>
        <v>566.45236083784698</v>
      </c>
      <c r="E8" s="305">
        <f t="shared" si="7"/>
        <v>409.69013267976254</v>
      </c>
      <c r="G8" s="305">
        <f t="shared" ref="G8:G10" si="8">G7+B8</f>
        <v>158.81081933335361</v>
      </c>
      <c r="H8" s="305">
        <f t="shared" ref="H8:H10" si="9">H7+C8</f>
        <v>610.63128992836994</v>
      </c>
      <c r="I8" s="305">
        <f t="shared" ref="I8:I10" si="10">I7+D8</f>
        <v>743.35792739168903</v>
      </c>
      <c r="J8" s="305">
        <f t="shared" ref="J8:J10" si="11">J7+E8</f>
        <v>497.67980162027641</v>
      </c>
      <c r="L8" s="464">
        <f t="shared" ref="L8:L10" si="12">IF(G8&lt;0, "",1-G8/B8)</f>
        <v>0.40617351278395275</v>
      </c>
      <c r="M8" s="464">
        <f t="shared" ref="M8:M10" si="13">IF(H8&lt;0, "",1-H8/C8)</f>
        <v>-0.50659914161943598</v>
      </c>
      <c r="N8" s="464">
        <f t="shared" ref="N8:N10" si="14">IF(I8&lt;0, "",1-I8/D8)</f>
        <v>-0.31230440330794762</v>
      </c>
      <c r="O8" s="464">
        <f t="shared" ref="O8:O10" si="15">IF(J8&lt;0, "",1-J8/E8)</f>
        <v>-0.21477126716471751</v>
      </c>
    </row>
    <row r="9" spans="1:15">
      <c r="B9" s="305">
        <f t="shared" ref="B9:B10" si="16">B8</f>
        <v>267.4364023031103</v>
      </c>
      <c r="C9" s="305">
        <f t="shared" si="7"/>
        <v>405.30441911177871</v>
      </c>
      <c r="D9" s="305">
        <f t="shared" si="7"/>
        <v>566.45236083784698</v>
      </c>
      <c r="E9" s="305">
        <f t="shared" si="7"/>
        <v>409.69013267976254</v>
      </c>
      <c r="G9" s="305">
        <f t="shared" si="8"/>
        <v>426.24722163646391</v>
      </c>
      <c r="H9" s="305">
        <f t="shared" si="9"/>
        <v>1015.9357090401486</v>
      </c>
      <c r="I9" s="305">
        <f t="shared" si="10"/>
        <v>1309.8102882295361</v>
      </c>
      <c r="J9" s="305">
        <f t="shared" si="11"/>
        <v>907.36993430003895</v>
      </c>
      <c r="L9" s="464">
        <f t="shared" si="12"/>
        <v>-0.59382648721604725</v>
      </c>
      <c r="M9" s="464">
        <f t="shared" si="13"/>
        <v>-1.5065991416194358</v>
      </c>
      <c r="N9" s="464">
        <f t="shared" si="14"/>
        <v>-1.3123044033079476</v>
      </c>
      <c r="O9" s="464">
        <f t="shared" si="15"/>
        <v>-1.2147712671647177</v>
      </c>
    </row>
    <row r="10" spans="1:15">
      <c r="B10" s="305">
        <f t="shared" si="16"/>
        <v>267.4364023031103</v>
      </c>
      <c r="C10" s="305">
        <f t="shared" si="7"/>
        <v>405.30441911177871</v>
      </c>
      <c r="D10" s="305">
        <f t="shared" si="7"/>
        <v>566.45236083784698</v>
      </c>
      <c r="E10" s="305">
        <f t="shared" si="7"/>
        <v>409.69013267976254</v>
      </c>
      <c r="G10" s="305">
        <f t="shared" si="8"/>
        <v>693.6836239395742</v>
      </c>
      <c r="H10" s="305">
        <f t="shared" si="9"/>
        <v>1421.2401281519274</v>
      </c>
      <c r="I10" s="305">
        <f t="shared" si="10"/>
        <v>1876.2626490673831</v>
      </c>
      <c r="J10" s="305">
        <f t="shared" si="11"/>
        <v>1317.0600669798014</v>
      </c>
      <c r="L10" s="464">
        <f t="shared" si="12"/>
        <v>-1.5938264872160475</v>
      </c>
      <c r="M10" s="464">
        <f t="shared" si="13"/>
        <v>-2.5065991416194362</v>
      </c>
      <c r="N10" s="464">
        <f t="shared" si="14"/>
        <v>-2.3123044033079476</v>
      </c>
      <c r="O10" s="464">
        <f t="shared" si="15"/>
        <v>-2.2147712671647173</v>
      </c>
    </row>
    <row r="13" spans="1:15">
      <c r="K13" s="517" t="s">
        <v>278</v>
      </c>
      <c r="L13" s="518" cm="1">
        <f t="array" ref="L13">IF(ISERROR(COUNTIF(G6:G10, "&lt;"&amp;0)+INDEX(L6:L10, COUNTIF(G6:G10, "&lt;"&amp;0)+1)), "N/A", COUNTIF(G6:G10, "&lt;"&amp;0)+INDEX(L6:L10, COUNTIF(G6:G10, "&lt;"&amp;0)+1))</f>
        <v>2.406173512783953</v>
      </c>
      <c r="M13" s="518" cm="1">
        <f t="array" ref="M13">IF(ISERROR(COUNTIF(H6:H10, "&lt;"&amp;0)+INDEX(M6:M10, COUNTIF(H6:H10, "&lt;"&amp;0)+1)), "N/A", COUNTIF(H6:H10, "&lt;"&amp;0)+INDEX(M6:M10, COUNTIF(H6:H10, "&lt;"&amp;0)+1))</f>
        <v>1.493400858380564</v>
      </c>
      <c r="N13" s="518" cm="1">
        <f t="array" ref="N13">IF(ISERROR(COUNTIF(I6:I10, "&lt;"&amp;0)+INDEX(N6:N10, COUNTIF(I6:I10, "&lt;"&amp;0)+1)), "N/A", COUNTIF(I6:I10, "&lt;"&amp;0)+INDEX(N6:N10, COUNTIF(I6:I10, "&lt;"&amp;0)+1))</f>
        <v>1.6876955966920524</v>
      </c>
      <c r="O13" s="518" cm="1">
        <f t="array" ref="O13">IF(ISERROR(COUNTIF(J6:J10, "&lt;"&amp;0)+INDEX(O6:O10, COUNTIF(J6:J10, "&lt;"&amp;0)+1)), "N/A", COUNTIF(J6:J10, "&lt;"&amp;0)+INDEX(O6:O10, COUNTIF(J6:J10, "&lt;"&amp;0)+1))</f>
        <v>1.7852287328352825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FC70-D7A1-4E55-BCEE-306B4D2A2025}">
  <dimension ref="A1:B5"/>
  <sheetViews>
    <sheetView workbookViewId="0"/>
  </sheetViews>
  <sheetFormatPr defaultColWidth="8.77734375" defaultRowHeight="14.4"/>
  <cols>
    <col min="1" max="1" width="18.44140625" bestFit="1" customWidth="1"/>
  </cols>
  <sheetData>
    <row r="1" spans="1:2">
      <c r="A1" t="s">
        <v>146</v>
      </c>
    </row>
    <row r="2" spans="1:2">
      <c r="B2" t="s">
        <v>139</v>
      </c>
    </row>
    <row r="3" spans="1:2">
      <c r="A3" t="s">
        <v>147</v>
      </c>
      <c r="B3">
        <v>0.05</v>
      </c>
    </row>
    <row r="4" spans="1:2">
      <c r="A4" t="s">
        <v>148</v>
      </c>
      <c r="B4">
        <v>7.0000000000000007E-2</v>
      </c>
    </row>
    <row r="5" spans="1:2">
      <c r="A5" t="s">
        <v>149</v>
      </c>
      <c r="B5">
        <v>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5AF6-1BC0-4238-B6BD-66F63E2F3E6F}">
  <dimension ref="B3:G24"/>
  <sheetViews>
    <sheetView zoomScale="115" zoomScaleNormal="115" workbookViewId="0">
      <selection activeCell="C12" sqref="C12"/>
    </sheetView>
  </sheetViews>
  <sheetFormatPr defaultRowHeight="14.4"/>
  <cols>
    <col min="2" max="2" width="3.21875" customWidth="1"/>
    <col min="3" max="3" width="48.21875" bestFit="1" customWidth="1"/>
    <col min="4" max="6" width="12.21875" customWidth="1"/>
    <col min="7" max="7" width="11.77734375" bestFit="1" customWidth="1"/>
  </cols>
  <sheetData>
    <row r="3" spans="2:7">
      <c r="B3" s="125" t="s">
        <v>406</v>
      </c>
      <c r="C3" s="185"/>
    </row>
    <row r="4" spans="2:7">
      <c r="B4" s="668" t="s">
        <v>407</v>
      </c>
      <c r="C4" s="668"/>
      <c r="D4" s="669" t="s">
        <v>141</v>
      </c>
      <c r="E4" s="669" t="s">
        <v>241</v>
      </c>
      <c r="F4" s="669" t="s">
        <v>201</v>
      </c>
    </row>
    <row r="5" spans="2:7">
      <c r="B5" s="185" t="s">
        <v>408</v>
      </c>
      <c r="C5" s="185"/>
      <c r="D5" s="675">
        <v>482.04</v>
      </c>
      <c r="E5" s="675">
        <v>262.68</v>
      </c>
      <c r="F5" s="675">
        <v>583.75</v>
      </c>
    </row>
    <row r="6" spans="2:7" ht="4.8" customHeight="1">
      <c r="B6" s="185"/>
      <c r="C6" s="185"/>
      <c r="D6" s="670"/>
      <c r="E6" s="670"/>
      <c r="F6" s="670"/>
    </row>
    <row r="7" spans="2:7">
      <c r="B7" s="185" t="s">
        <v>413</v>
      </c>
      <c r="C7" s="185"/>
      <c r="D7" s="670"/>
      <c r="E7" s="670"/>
      <c r="F7" s="670"/>
    </row>
    <row r="8" spans="2:7">
      <c r="B8" s="505"/>
      <c r="C8" s="185" t="s">
        <v>412</v>
      </c>
      <c r="D8" s="522">
        <v>25</v>
      </c>
      <c r="E8" s="522">
        <v>68</v>
      </c>
      <c r="F8" s="522">
        <v>87</v>
      </c>
    </row>
    <row r="9" spans="2:7">
      <c r="B9" s="505"/>
      <c r="C9" s="185" t="s">
        <v>417</v>
      </c>
      <c r="D9" s="675">
        <v>20681</v>
      </c>
      <c r="E9" s="675">
        <v>4027.66</v>
      </c>
      <c r="F9" s="675">
        <v>7421.53</v>
      </c>
    </row>
    <row r="10" spans="2:7" ht="4.8" customHeight="1">
      <c r="B10" s="505"/>
      <c r="C10" s="185"/>
      <c r="D10" s="675"/>
      <c r="E10" s="675"/>
      <c r="F10" s="675"/>
    </row>
    <row r="11" spans="2:7">
      <c r="B11" s="185" t="s">
        <v>414</v>
      </c>
      <c r="C11" s="185"/>
      <c r="D11" s="670"/>
      <c r="E11" s="670"/>
      <c r="F11" s="670"/>
    </row>
    <row r="12" spans="2:7">
      <c r="B12" s="505"/>
      <c r="C12" s="185" t="s">
        <v>409</v>
      </c>
      <c r="D12" s="464">
        <f>D8*0.145*0.5</f>
        <v>1.8124999999999998</v>
      </c>
      <c r="E12" s="464">
        <f>E8*0.145*0.5</f>
        <v>4.93</v>
      </c>
      <c r="F12" s="464">
        <f>F8*0.145*0.5</f>
        <v>6.3074999999999992</v>
      </c>
    </row>
    <row r="13" spans="2:7">
      <c r="B13" s="505"/>
      <c r="C13" s="185" t="s">
        <v>410</v>
      </c>
      <c r="D13" s="675">
        <v>292016.02328567498</v>
      </c>
      <c r="E13" s="675">
        <v>54879.999686362004</v>
      </c>
      <c r="F13" s="675">
        <v>100137.59355612</v>
      </c>
      <c r="G13" s="677"/>
    </row>
    <row r="14" spans="2:7" ht="4.8" customHeight="1">
      <c r="B14" s="505"/>
      <c r="C14" s="185"/>
      <c r="D14" s="675"/>
      <c r="E14" s="675"/>
      <c r="F14" s="675"/>
    </row>
    <row r="15" spans="2:7">
      <c r="B15" s="185" t="s">
        <v>416</v>
      </c>
      <c r="C15" s="185"/>
      <c r="D15" s="671"/>
      <c r="E15" s="671"/>
      <c r="F15" s="671"/>
    </row>
    <row r="16" spans="2:7">
      <c r="B16" s="505"/>
      <c r="C16" s="185" t="s">
        <v>415</v>
      </c>
      <c r="D16" s="307">
        <v>0.1069085</v>
      </c>
      <c r="E16" s="307">
        <v>0.14508670000000001</v>
      </c>
      <c r="F16" s="307">
        <v>0.2370698</v>
      </c>
    </row>
    <row r="17" spans="2:6">
      <c r="B17" s="672"/>
      <c r="C17" s="673" t="s">
        <v>411</v>
      </c>
      <c r="D17" s="676">
        <f>D5/D16*0.1</f>
        <v>450.89024726752314</v>
      </c>
      <c r="E17" s="676">
        <f t="shared" ref="E17:F17" si="0">E5/E16*0.1</f>
        <v>181.05036505758281</v>
      </c>
      <c r="F17" s="676">
        <f t="shared" si="0"/>
        <v>246.2354968874146</v>
      </c>
    </row>
    <row r="18" spans="2:6" ht="14.4" customHeight="1">
      <c r="B18" s="695" t="s">
        <v>418</v>
      </c>
      <c r="C18" s="695"/>
      <c r="D18" s="695"/>
      <c r="E18" s="695"/>
      <c r="F18" s="695"/>
    </row>
    <row r="19" spans="2:6">
      <c r="B19" s="696"/>
      <c r="C19" s="696"/>
      <c r="D19" s="696"/>
      <c r="E19" s="696"/>
      <c r="F19" s="696"/>
    </row>
    <row r="20" spans="2:6">
      <c r="B20" s="696"/>
      <c r="C20" s="696"/>
      <c r="D20" s="696"/>
      <c r="E20" s="696"/>
      <c r="F20" s="696"/>
    </row>
    <row r="21" spans="2:6">
      <c r="B21" s="696"/>
      <c r="C21" s="696"/>
      <c r="D21" s="696"/>
      <c r="E21" s="696"/>
      <c r="F21" s="696"/>
    </row>
    <row r="22" spans="2:6">
      <c r="B22" s="696"/>
      <c r="C22" s="696"/>
      <c r="D22" s="696"/>
      <c r="E22" s="696"/>
      <c r="F22" s="696"/>
    </row>
    <row r="23" spans="2:6">
      <c r="B23" s="696"/>
      <c r="C23" s="696"/>
      <c r="D23" s="696"/>
      <c r="E23" s="696"/>
      <c r="F23" s="696"/>
    </row>
    <row r="24" spans="2:6">
      <c r="D24" s="674"/>
      <c r="E24" s="674"/>
      <c r="F24" s="674"/>
    </row>
  </sheetData>
  <mergeCells count="1">
    <mergeCell ref="B18:F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FBF4-0031-4AA5-AB9D-E3A838DF0806}">
  <dimension ref="A1:H1247"/>
  <sheetViews>
    <sheetView workbookViewId="0">
      <selection sqref="A1:G1"/>
    </sheetView>
  </sheetViews>
  <sheetFormatPr defaultRowHeight="14.4"/>
  <cols>
    <col min="1" max="1" width="21.6640625" bestFit="1" customWidth="1"/>
  </cols>
  <sheetData>
    <row r="1" spans="1:7">
      <c r="A1" s="700" t="s">
        <v>332</v>
      </c>
      <c r="B1" s="700"/>
      <c r="C1" s="700"/>
      <c r="D1" s="700"/>
      <c r="E1" s="700"/>
      <c r="F1" s="700"/>
      <c r="G1" s="700"/>
    </row>
    <row r="2" spans="1:7">
      <c r="A2" s="554" t="s">
        <v>350</v>
      </c>
      <c r="B2" s="554"/>
      <c r="C2" s="554"/>
      <c r="D2" s="554"/>
      <c r="E2" s="554"/>
      <c r="F2" s="554"/>
      <c r="G2" s="554"/>
    </row>
    <row r="3" spans="1:7">
      <c r="A3" t="s">
        <v>349</v>
      </c>
    </row>
    <row r="4" spans="1:7" s="543" customFormat="1" ht="26.4">
      <c r="A4" s="542" t="s">
        <v>333</v>
      </c>
      <c r="B4" s="542" t="s">
        <v>334</v>
      </c>
      <c r="C4" s="543" t="s">
        <v>246</v>
      </c>
    </row>
    <row r="5" spans="1:7">
      <c r="A5" s="544">
        <v>42373</v>
      </c>
      <c r="B5" s="545">
        <v>1.0898000000000001</v>
      </c>
      <c r="C5">
        <f>YEAR(A5)</f>
        <v>2016</v>
      </c>
    </row>
    <row r="6" spans="1:7">
      <c r="A6" s="544">
        <v>42374</v>
      </c>
      <c r="B6" s="545">
        <v>1.0746</v>
      </c>
      <c r="C6">
        <f t="shared" ref="C6:C69" si="0">YEAR(A6)</f>
        <v>2016</v>
      </c>
    </row>
    <row r="7" spans="1:7">
      <c r="A7" s="544">
        <v>42375</v>
      </c>
      <c r="B7" s="545">
        <v>1.0742</v>
      </c>
      <c r="C7">
        <f t="shared" si="0"/>
        <v>2016</v>
      </c>
    </row>
    <row r="8" spans="1:7">
      <c r="A8" s="544">
        <v>42376</v>
      </c>
      <c r="B8" s="545">
        <v>1.0868</v>
      </c>
      <c r="C8">
        <f t="shared" si="0"/>
        <v>2016</v>
      </c>
    </row>
    <row r="9" spans="1:7">
      <c r="A9" s="544">
        <v>42377</v>
      </c>
      <c r="B9" s="545">
        <v>1.0861000000000001</v>
      </c>
      <c r="C9">
        <f t="shared" si="0"/>
        <v>2016</v>
      </c>
    </row>
    <row r="10" spans="1:7">
      <c r="A10" s="544">
        <v>42380</v>
      </c>
      <c r="B10" s="545">
        <v>1.0888</v>
      </c>
      <c r="C10">
        <f t="shared" si="0"/>
        <v>2016</v>
      </c>
    </row>
    <row r="11" spans="1:7">
      <c r="A11" s="544">
        <v>42381</v>
      </c>
      <c r="B11" s="545">
        <v>1.0835999999999999</v>
      </c>
      <c r="C11">
        <f t="shared" si="0"/>
        <v>2016</v>
      </c>
    </row>
    <row r="12" spans="1:7">
      <c r="A12" s="544">
        <v>42382</v>
      </c>
      <c r="B12" s="545">
        <v>1.0815999999999999</v>
      </c>
      <c r="C12">
        <f t="shared" si="0"/>
        <v>2016</v>
      </c>
    </row>
    <row r="13" spans="1:7">
      <c r="A13" s="544">
        <v>42383</v>
      </c>
      <c r="B13" s="545">
        <v>1.0892999999999999</v>
      </c>
      <c r="C13">
        <f t="shared" si="0"/>
        <v>2016</v>
      </c>
    </row>
    <row r="14" spans="1:7">
      <c r="A14" s="544">
        <v>42384</v>
      </c>
      <c r="B14" s="545">
        <v>1.0913999999999999</v>
      </c>
      <c r="C14">
        <f t="shared" si="0"/>
        <v>2016</v>
      </c>
    </row>
    <row r="15" spans="1:7">
      <c r="A15" s="544">
        <v>42388</v>
      </c>
      <c r="B15" s="545">
        <v>1.0868</v>
      </c>
      <c r="C15">
        <f t="shared" si="0"/>
        <v>2016</v>
      </c>
    </row>
    <row r="16" spans="1:7">
      <c r="A16" s="544">
        <v>42389</v>
      </c>
      <c r="B16" s="545">
        <v>1.0907</v>
      </c>
      <c r="C16">
        <f t="shared" si="0"/>
        <v>2016</v>
      </c>
    </row>
    <row r="17" spans="1:3">
      <c r="A17" s="544">
        <v>42390</v>
      </c>
      <c r="B17" s="545">
        <v>1.0892999999999999</v>
      </c>
      <c r="C17">
        <f t="shared" si="0"/>
        <v>2016</v>
      </c>
    </row>
    <row r="18" spans="1:3">
      <c r="A18" s="544">
        <v>42391</v>
      </c>
      <c r="B18" s="545">
        <v>1.0808</v>
      </c>
      <c r="C18">
        <f t="shared" si="0"/>
        <v>2016</v>
      </c>
    </row>
    <row r="19" spans="1:3">
      <c r="A19" s="544">
        <v>42394</v>
      </c>
      <c r="B19" s="545">
        <v>1.0814999999999999</v>
      </c>
      <c r="C19">
        <f t="shared" si="0"/>
        <v>2016</v>
      </c>
    </row>
    <row r="20" spans="1:3">
      <c r="A20" s="544">
        <v>42395</v>
      </c>
      <c r="B20" s="545">
        <v>1.0837000000000001</v>
      </c>
      <c r="C20">
        <f t="shared" si="0"/>
        <v>2016</v>
      </c>
    </row>
    <row r="21" spans="1:3">
      <c r="A21" s="544">
        <v>42396</v>
      </c>
      <c r="B21" s="545">
        <v>1.0888</v>
      </c>
      <c r="C21">
        <f t="shared" si="0"/>
        <v>2016</v>
      </c>
    </row>
    <row r="22" spans="1:3">
      <c r="A22" s="544">
        <v>42397</v>
      </c>
      <c r="B22" s="545">
        <v>1.0903</v>
      </c>
      <c r="C22">
        <f t="shared" si="0"/>
        <v>2016</v>
      </c>
    </row>
    <row r="23" spans="1:3">
      <c r="A23" s="544">
        <v>42398</v>
      </c>
      <c r="B23" s="545">
        <v>1.0920000000000001</v>
      </c>
      <c r="C23">
        <f t="shared" si="0"/>
        <v>2016</v>
      </c>
    </row>
    <row r="24" spans="1:3">
      <c r="A24" s="544">
        <v>42401</v>
      </c>
      <c r="B24" s="545">
        <v>1.0884</v>
      </c>
      <c r="C24">
        <f t="shared" si="0"/>
        <v>2016</v>
      </c>
    </row>
    <row r="25" spans="1:3">
      <c r="A25" s="544">
        <v>42402</v>
      </c>
      <c r="B25" s="545">
        <v>1.0919000000000001</v>
      </c>
      <c r="C25">
        <f t="shared" si="0"/>
        <v>2016</v>
      </c>
    </row>
    <row r="26" spans="1:3">
      <c r="A26" s="544">
        <v>42403</v>
      </c>
      <c r="B26" s="545">
        <v>1.0932999999999999</v>
      </c>
      <c r="C26">
        <f t="shared" si="0"/>
        <v>2016</v>
      </c>
    </row>
    <row r="27" spans="1:3">
      <c r="A27" s="544">
        <v>42404</v>
      </c>
      <c r="B27" s="545">
        <v>1.1206</v>
      </c>
      <c r="C27">
        <f t="shared" si="0"/>
        <v>2016</v>
      </c>
    </row>
    <row r="28" spans="1:3">
      <c r="A28" s="544">
        <v>42405</v>
      </c>
      <c r="B28" s="545">
        <v>1.1202000000000001</v>
      </c>
      <c r="C28">
        <f t="shared" si="0"/>
        <v>2016</v>
      </c>
    </row>
    <row r="29" spans="1:3">
      <c r="A29" s="544">
        <v>42408</v>
      </c>
      <c r="B29" s="545">
        <v>1.1101000000000001</v>
      </c>
      <c r="C29">
        <f t="shared" si="0"/>
        <v>2016</v>
      </c>
    </row>
    <row r="30" spans="1:3">
      <c r="A30" s="544">
        <v>42409</v>
      </c>
      <c r="B30" s="545">
        <v>1.1235999999999999</v>
      </c>
      <c r="C30">
        <f t="shared" si="0"/>
        <v>2016</v>
      </c>
    </row>
    <row r="31" spans="1:3">
      <c r="A31" s="544">
        <v>42410</v>
      </c>
      <c r="B31" s="545">
        <v>1.1256999999999999</v>
      </c>
      <c r="C31">
        <f t="shared" si="0"/>
        <v>2016</v>
      </c>
    </row>
    <row r="32" spans="1:3">
      <c r="A32" s="544">
        <v>42411</v>
      </c>
      <c r="B32" s="545">
        <v>1.1347</v>
      </c>
      <c r="C32">
        <f t="shared" si="0"/>
        <v>2016</v>
      </c>
    </row>
    <row r="33" spans="1:3">
      <c r="A33" s="544">
        <v>42412</v>
      </c>
      <c r="B33" s="545">
        <v>1.1274999999999999</v>
      </c>
      <c r="C33">
        <f t="shared" si="0"/>
        <v>2016</v>
      </c>
    </row>
    <row r="34" spans="1:3">
      <c r="A34" s="544">
        <v>42416</v>
      </c>
      <c r="B34" s="545">
        <v>1.1166</v>
      </c>
      <c r="C34">
        <f t="shared" si="0"/>
        <v>2016</v>
      </c>
    </row>
    <row r="35" spans="1:3">
      <c r="A35" s="544">
        <v>42417</v>
      </c>
      <c r="B35" s="545">
        <v>1.1135999999999999</v>
      </c>
      <c r="C35">
        <f t="shared" si="0"/>
        <v>2016</v>
      </c>
    </row>
    <row r="36" spans="1:3">
      <c r="A36" s="544">
        <v>42418</v>
      </c>
      <c r="B36" s="545">
        <v>1.1084000000000001</v>
      </c>
      <c r="C36">
        <f t="shared" si="0"/>
        <v>2016</v>
      </c>
    </row>
    <row r="37" spans="1:3">
      <c r="A37" s="544">
        <v>42419</v>
      </c>
      <c r="B37" s="545">
        <v>1.1095999999999999</v>
      </c>
      <c r="C37">
        <f t="shared" si="0"/>
        <v>2016</v>
      </c>
    </row>
    <row r="38" spans="1:3">
      <c r="A38" s="544">
        <v>42422</v>
      </c>
      <c r="B38" s="545">
        <v>1.1026</v>
      </c>
      <c r="C38">
        <f t="shared" si="0"/>
        <v>2016</v>
      </c>
    </row>
    <row r="39" spans="1:3">
      <c r="A39" s="544">
        <v>42423</v>
      </c>
      <c r="B39" s="545">
        <v>1.1002000000000001</v>
      </c>
      <c r="C39">
        <f t="shared" si="0"/>
        <v>2016</v>
      </c>
    </row>
    <row r="40" spans="1:3">
      <c r="A40" s="544">
        <v>42424</v>
      </c>
      <c r="B40" s="545">
        <v>1.0981000000000001</v>
      </c>
      <c r="C40">
        <f t="shared" si="0"/>
        <v>2016</v>
      </c>
    </row>
    <row r="41" spans="1:3">
      <c r="A41" s="544">
        <v>42425</v>
      </c>
      <c r="B41" s="545">
        <v>1.1027</v>
      </c>
      <c r="C41">
        <f t="shared" si="0"/>
        <v>2016</v>
      </c>
    </row>
    <row r="42" spans="1:3">
      <c r="A42" s="544">
        <v>42426</v>
      </c>
      <c r="B42" s="545">
        <v>1.1006</v>
      </c>
      <c r="C42">
        <f t="shared" si="0"/>
        <v>2016</v>
      </c>
    </row>
    <row r="43" spans="1:3">
      <c r="A43" s="544">
        <v>42429</v>
      </c>
      <c r="B43" s="545">
        <v>1.0888</v>
      </c>
      <c r="C43">
        <f t="shared" si="0"/>
        <v>2016</v>
      </c>
    </row>
    <row r="44" spans="1:3">
      <c r="A44" s="544">
        <v>42430</v>
      </c>
      <c r="B44" s="545">
        <v>1.0871999999999999</v>
      </c>
      <c r="C44">
        <f t="shared" si="0"/>
        <v>2016</v>
      </c>
    </row>
    <row r="45" spans="1:3">
      <c r="A45" s="544">
        <v>42431</v>
      </c>
      <c r="B45" s="545">
        <v>1.0855999999999999</v>
      </c>
      <c r="C45">
        <f t="shared" si="0"/>
        <v>2016</v>
      </c>
    </row>
    <row r="46" spans="1:3">
      <c r="A46" s="544">
        <v>42432</v>
      </c>
      <c r="B46" s="545">
        <v>1.0901000000000001</v>
      </c>
      <c r="C46">
        <f t="shared" si="0"/>
        <v>2016</v>
      </c>
    </row>
    <row r="47" spans="1:3">
      <c r="A47" s="544">
        <v>42433</v>
      </c>
      <c r="B47" s="545">
        <v>1.097</v>
      </c>
      <c r="C47">
        <f t="shared" si="0"/>
        <v>2016</v>
      </c>
    </row>
    <row r="48" spans="1:3">
      <c r="A48" s="544">
        <v>42436</v>
      </c>
      <c r="B48" s="545">
        <v>1.0952999999999999</v>
      </c>
      <c r="C48">
        <f t="shared" si="0"/>
        <v>2016</v>
      </c>
    </row>
    <row r="49" spans="1:3">
      <c r="A49" s="544">
        <v>42437</v>
      </c>
      <c r="B49" s="545">
        <v>1.1028</v>
      </c>
      <c r="C49">
        <f t="shared" si="0"/>
        <v>2016</v>
      </c>
    </row>
    <row r="50" spans="1:3">
      <c r="A50" s="544">
        <v>42438</v>
      </c>
      <c r="B50" s="545">
        <v>1.0972999999999999</v>
      </c>
      <c r="C50">
        <f t="shared" si="0"/>
        <v>2016</v>
      </c>
    </row>
    <row r="51" spans="1:3">
      <c r="A51" s="544">
        <v>42439</v>
      </c>
      <c r="B51" s="545">
        <v>1.0857000000000001</v>
      </c>
      <c r="C51">
        <f t="shared" si="0"/>
        <v>2016</v>
      </c>
    </row>
    <row r="52" spans="1:3">
      <c r="A52" s="544">
        <v>42440</v>
      </c>
      <c r="B52" s="545">
        <v>1.109</v>
      </c>
      <c r="C52">
        <f t="shared" si="0"/>
        <v>2016</v>
      </c>
    </row>
    <row r="53" spans="1:3">
      <c r="A53" s="544">
        <v>42443</v>
      </c>
      <c r="B53" s="545">
        <v>1.1119000000000001</v>
      </c>
      <c r="C53">
        <f t="shared" si="0"/>
        <v>2016</v>
      </c>
    </row>
    <row r="54" spans="1:3">
      <c r="A54" s="544">
        <v>42444</v>
      </c>
      <c r="B54" s="545">
        <v>1.1109</v>
      </c>
      <c r="C54">
        <f t="shared" si="0"/>
        <v>2016</v>
      </c>
    </row>
    <row r="55" spans="1:3">
      <c r="A55" s="544">
        <v>42445</v>
      </c>
      <c r="B55" s="545">
        <v>1.1064000000000001</v>
      </c>
      <c r="C55">
        <f t="shared" si="0"/>
        <v>2016</v>
      </c>
    </row>
    <row r="56" spans="1:3">
      <c r="A56" s="544">
        <v>42446</v>
      </c>
      <c r="B56" s="545">
        <v>1.1311</v>
      </c>
      <c r="C56">
        <f t="shared" si="0"/>
        <v>2016</v>
      </c>
    </row>
    <row r="57" spans="1:3">
      <c r="A57" s="544">
        <v>42447</v>
      </c>
      <c r="B57" s="545">
        <v>1.1278999999999999</v>
      </c>
      <c r="C57">
        <f t="shared" si="0"/>
        <v>2016</v>
      </c>
    </row>
    <row r="58" spans="1:3">
      <c r="A58" s="544">
        <v>42450</v>
      </c>
      <c r="B58" s="545">
        <v>1.1271</v>
      </c>
      <c r="C58">
        <f t="shared" si="0"/>
        <v>2016</v>
      </c>
    </row>
    <row r="59" spans="1:3">
      <c r="A59" s="544">
        <v>42451</v>
      </c>
      <c r="B59" s="545">
        <v>1.1212</v>
      </c>
      <c r="C59">
        <f t="shared" si="0"/>
        <v>2016</v>
      </c>
    </row>
    <row r="60" spans="1:3">
      <c r="A60" s="544">
        <v>42452</v>
      </c>
      <c r="B60" s="545">
        <v>1.1171</v>
      </c>
      <c r="C60">
        <f t="shared" si="0"/>
        <v>2016</v>
      </c>
    </row>
    <row r="61" spans="1:3">
      <c r="A61" s="544">
        <v>42453</v>
      </c>
      <c r="B61" s="545">
        <v>1.1153999999999999</v>
      </c>
      <c r="C61">
        <f t="shared" si="0"/>
        <v>2016</v>
      </c>
    </row>
    <row r="62" spans="1:3">
      <c r="A62" s="544">
        <v>42458</v>
      </c>
      <c r="B62" s="545">
        <v>1.1194</v>
      </c>
      <c r="C62">
        <f t="shared" si="0"/>
        <v>2016</v>
      </c>
    </row>
    <row r="63" spans="1:3">
      <c r="A63" s="544">
        <v>42459</v>
      </c>
      <c r="B63" s="545">
        <v>1.1324000000000001</v>
      </c>
      <c r="C63">
        <f t="shared" si="0"/>
        <v>2016</v>
      </c>
    </row>
    <row r="64" spans="1:3">
      <c r="A64" s="544">
        <v>42460</v>
      </c>
      <c r="B64" s="545">
        <v>1.1385000000000001</v>
      </c>
      <c r="C64">
        <f t="shared" si="0"/>
        <v>2016</v>
      </c>
    </row>
    <row r="65" spans="1:3">
      <c r="A65" s="544">
        <v>42461</v>
      </c>
      <c r="B65" s="545">
        <v>1.1432</v>
      </c>
      <c r="C65">
        <f t="shared" si="0"/>
        <v>2016</v>
      </c>
    </row>
    <row r="66" spans="1:3">
      <c r="A66" s="544">
        <v>42464</v>
      </c>
      <c r="B66" s="545">
        <v>1.1379999999999999</v>
      </c>
      <c r="C66">
        <f t="shared" si="0"/>
        <v>2016</v>
      </c>
    </row>
    <row r="67" spans="1:3">
      <c r="A67" s="544">
        <v>42465</v>
      </c>
      <c r="B67" s="545">
        <v>1.1367</v>
      </c>
      <c r="C67">
        <f t="shared" si="0"/>
        <v>2016</v>
      </c>
    </row>
    <row r="68" spans="1:3">
      <c r="A68" s="544">
        <v>42466</v>
      </c>
      <c r="B68" s="545">
        <v>1.1335999999999999</v>
      </c>
      <c r="C68">
        <f t="shared" si="0"/>
        <v>2016</v>
      </c>
    </row>
    <row r="69" spans="1:3">
      <c r="A69" s="544">
        <v>42467</v>
      </c>
      <c r="B69" s="545">
        <v>1.1364000000000001</v>
      </c>
      <c r="C69">
        <f t="shared" si="0"/>
        <v>2016</v>
      </c>
    </row>
    <row r="70" spans="1:3">
      <c r="A70" s="544">
        <v>42468</v>
      </c>
      <c r="B70" s="545">
        <v>1.1363000000000001</v>
      </c>
      <c r="C70">
        <f t="shared" ref="C70:C133" si="1">YEAR(A70)</f>
        <v>2016</v>
      </c>
    </row>
    <row r="71" spans="1:3">
      <c r="A71" s="544">
        <v>42471</v>
      </c>
      <c r="B71" s="545">
        <v>1.139</v>
      </c>
      <c r="C71">
        <f t="shared" si="1"/>
        <v>2016</v>
      </c>
    </row>
    <row r="72" spans="1:3">
      <c r="A72" s="544">
        <v>42472</v>
      </c>
      <c r="B72" s="545">
        <v>1.1395999999999999</v>
      </c>
      <c r="C72">
        <f t="shared" si="1"/>
        <v>2016</v>
      </c>
    </row>
    <row r="73" spans="1:3">
      <c r="A73" s="544">
        <v>42473</v>
      </c>
      <c r="B73" s="545">
        <v>1.1297999999999999</v>
      </c>
      <c r="C73">
        <f t="shared" si="1"/>
        <v>2016</v>
      </c>
    </row>
    <row r="74" spans="1:3">
      <c r="A74" s="544">
        <v>42474</v>
      </c>
      <c r="B74" s="545">
        <v>1.1252</v>
      </c>
      <c r="C74">
        <f t="shared" si="1"/>
        <v>2016</v>
      </c>
    </row>
    <row r="75" spans="1:3">
      <c r="A75" s="544">
        <v>42475</v>
      </c>
      <c r="B75" s="545">
        <v>1.1284000000000001</v>
      </c>
      <c r="C75">
        <f t="shared" si="1"/>
        <v>2016</v>
      </c>
    </row>
    <row r="76" spans="1:3">
      <c r="A76" s="544">
        <v>42478</v>
      </c>
      <c r="B76" s="545">
        <v>1.1306</v>
      </c>
      <c r="C76">
        <f t="shared" si="1"/>
        <v>2016</v>
      </c>
    </row>
    <row r="77" spans="1:3">
      <c r="A77" s="544">
        <v>42479</v>
      </c>
      <c r="B77" s="545">
        <v>1.1343000000000001</v>
      </c>
      <c r="C77">
        <f t="shared" si="1"/>
        <v>2016</v>
      </c>
    </row>
    <row r="78" spans="1:3">
      <c r="A78" s="544">
        <v>42480</v>
      </c>
      <c r="B78" s="545">
        <v>1.1378999999999999</v>
      </c>
      <c r="C78">
        <f t="shared" si="1"/>
        <v>2016</v>
      </c>
    </row>
    <row r="79" spans="1:3">
      <c r="A79" s="544">
        <v>42481</v>
      </c>
      <c r="B79" s="545">
        <v>1.1355</v>
      </c>
      <c r="C79">
        <f t="shared" si="1"/>
        <v>2016</v>
      </c>
    </row>
    <row r="80" spans="1:3">
      <c r="A80" s="544">
        <v>42482</v>
      </c>
      <c r="B80" s="545">
        <v>1.1263000000000001</v>
      </c>
      <c r="C80">
        <f t="shared" si="1"/>
        <v>2016</v>
      </c>
    </row>
    <row r="81" spans="1:3">
      <c r="A81" s="544">
        <v>42485</v>
      </c>
      <c r="B81" s="545">
        <v>1.1264000000000001</v>
      </c>
      <c r="C81">
        <f t="shared" si="1"/>
        <v>2016</v>
      </c>
    </row>
    <row r="82" spans="1:3">
      <c r="A82" s="544">
        <v>42486</v>
      </c>
      <c r="B82" s="545">
        <v>1.1287</v>
      </c>
      <c r="C82">
        <f t="shared" si="1"/>
        <v>2016</v>
      </c>
    </row>
    <row r="83" spans="1:3">
      <c r="A83" s="544">
        <v>42487</v>
      </c>
      <c r="B83" s="545">
        <v>1.1303000000000001</v>
      </c>
      <c r="C83">
        <f t="shared" si="1"/>
        <v>2016</v>
      </c>
    </row>
    <row r="84" spans="1:3">
      <c r="A84" s="544">
        <v>42488</v>
      </c>
      <c r="B84" s="545">
        <v>1.1357999999999999</v>
      </c>
      <c r="C84">
        <f t="shared" si="1"/>
        <v>2016</v>
      </c>
    </row>
    <row r="85" spans="1:3">
      <c r="A85" s="544">
        <v>42489</v>
      </c>
      <c r="B85" s="545">
        <v>1.1403000000000001</v>
      </c>
      <c r="C85">
        <f t="shared" si="1"/>
        <v>2016</v>
      </c>
    </row>
    <row r="86" spans="1:3">
      <c r="A86" s="544">
        <v>42492</v>
      </c>
      <c r="B86" s="545">
        <v>1.1493</v>
      </c>
      <c r="C86">
        <f t="shared" si="1"/>
        <v>2016</v>
      </c>
    </row>
    <row r="87" spans="1:3">
      <c r="A87" s="544">
        <v>42493</v>
      </c>
      <c r="B87" s="545">
        <v>1.1569</v>
      </c>
      <c r="C87">
        <f t="shared" si="1"/>
        <v>2016</v>
      </c>
    </row>
    <row r="88" spans="1:3">
      <c r="A88" s="544">
        <v>42494</v>
      </c>
      <c r="B88" s="545">
        <v>1.1505000000000001</v>
      </c>
      <c r="C88">
        <f t="shared" si="1"/>
        <v>2016</v>
      </c>
    </row>
    <row r="89" spans="1:3">
      <c r="A89" s="544">
        <v>42495</v>
      </c>
      <c r="B89" s="545">
        <v>1.1438999999999999</v>
      </c>
      <c r="C89">
        <f t="shared" si="1"/>
        <v>2016</v>
      </c>
    </row>
    <row r="90" spans="1:3">
      <c r="A90" s="544">
        <v>42496</v>
      </c>
      <c r="B90" s="545">
        <v>1.1427</v>
      </c>
      <c r="C90">
        <f t="shared" si="1"/>
        <v>2016</v>
      </c>
    </row>
    <row r="91" spans="1:3">
      <c r="A91" s="544">
        <v>42499</v>
      </c>
      <c r="B91" s="545">
        <v>1.1395</v>
      </c>
      <c r="C91">
        <f t="shared" si="1"/>
        <v>2016</v>
      </c>
    </row>
    <row r="92" spans="1:3">
      <c r="A92" s="544">
        <v>42500</v>
      </c>
      <c r="B92" s="545">
        <v>1.1375</v>
      </c>
      <c r="C92">
        <f t="shared" si="1"/>
        <v>2016</v>
      </c>
    </row>
    <row r="93" spans="1:3">
      <c r="A93" s="544">
        <v>42501</v>
      </c>
      <c r="B93" s="545">
        <v>1.1409</v>
      </c>
      <c r="C93">
        <f t="shared" si="1"/>
        <v>2016</v>
      </c>
    </row>
    <row r="94" spans="1:3">
      <c r="A94" s="544">
        <v>42502</v>
      </c>
      <c r="B94" s="545">
        <v>1.1389</v>
      </c>
      <c r="C94">
        <f t="shared" si="1"/>
        <v>2016</v>
      </c>
    </row>
    <row r="95" spans="1:3">
      <c r="A95" s="544">
        <v>42503</v>
      </c>
      <c r="B95" s="545">
        <v>1.1348</v>
      </c>
      <c r="C95">
        <f t="shared" si="1"/>
        <v>2016</v>
      </c>
    </row>
    <row r="96" spans="1:3">
      <c r="A96" s="544">
        <v>42506</v>
      </c>
      <c r="B96" s="545">
        <v>1.1324000000000001</v>
      </c>
      <c r="C96">
        <f t="shared" si="1"/>
        <v>2016</v>
      </c>
    </row>
    <row r="97" spans="1:3">
      <c r="A97" s="544">
        <v>42507</v>
      </c>
      <c r="B97" s="545">
        <v>1.1317999999999999</v>
      </c>
      <c r="C97">
        <f t="shared" si="1"/>
        <v>2016</v>
      </c>
    </row>
    <row r="98" spans="1:3">
      <c r="A98" s="544">
        <v>42508</v>
      </c>
      <c r="B98" s="545">
        <v>1.1278999999999999</v>
      </c>
      <c r="C98">
        <f t="shared" si="1"/>
        <v>2016</v>
      </c>
    </row>
    <row r="99" spans="1:3">
      <c r="A99" s="544">
        <v>42509</v>
      </c>
      <c r="B99" s="545">
        <v>1.1196999999999999</v>
      </c>
      <c r="C99">
        <f t="shared" si="1"/>
        <v>2016</v>
      </c>
    </row>
    <row r="100" spans="1:3">
      <c r="A100" s="544">
        <v>42510</v>
      </c>
      <c r="B100" s="545">
        <v>1.1218999999999999</v>
      </c>
      <c r="C100">
        <f t="shared" si="1"/>
        <v>2016</v>
      </c>
    </row>
    <row r="101" spans="1:3">
      <c r="A101" s="544">
        <v>42513</v>
      </c>
      <c r="B101" s="545">
        <v>1.1214999999999999</v>
      </c>
      <c r="C101">
        <f t="shared" si="1"/>
        <v>2016</v>
      </c>
    </row>
    <row r="102" spans="1:3">
      <c r="A102" s="544">
        <v>42514</v>
      </c>
      <c r="B102" s="545">
        <v>1.1168</v>
      </c>
      <c r="C102">
        <f t="shared" si="1"/>
        <v>2016</v>
      </c>
    </row>
    <row r="103" spans="1:3">
      <c r="A103" s="544">
        <v>42515</v>
      </c>
      <c r="B103" s="545">
        <v>1.1146</v>
      </c>
      <c r="C103">
        <f t="shared" si="1"/>
        <v>2016</v>
      </c>
    </row>
    <row r="104" spans="1:3">
      <c r="A104" s="544">
        <v>42516</v>
      </c>
      <c r="B104" s="545">
        <v>1.1168</v>
      </c>
      <c r="C104">
        <f t="shared" si="1"/>
        <v>2016</v>
      </c>
    </row>
    <row r="105" spans="1:3">
      <c r="A105" s="544">
        <v>42517</v>
      </c>
      <c r="B105" s="545">
        <v>1.1168</v>
      </c>
      <c r="C105">
        <f t="shared" si="1"/>
        <v>2016</v>
      </c>
    </row>
    <row r="106" spans="1:3">
      <c r="A106" s="544">
        <v>42521</v>
      </c>
      <c r="B106" s="545">
        <v>1.1153999999999999</v>
      </c>
      <c r="C106">
        <f t="shared" si="1"/>
        <v>2016</v>
      </c>
    </row>
    <row r="107" spans="1:3">
      <c r="A107" s="544">
        <v>42522</v>
      </c>
      <c r="B107" s="545">
        <v>1.1173999999999999</v>
      </c>
      <c r="C107">
        <f t="shared" si="1"/>
        <v>2016</v>
      </c>
    </row>
    <row r="108" spans="1:3">
      <c r="A108" s="544">
        <v>42523</v>
      </c>
      <c r="B108" s="545">
        <v>1.1188</v>
      </c>
      <c r="C108">
        <f t="shared" si="1"/>
        <v>2016</v>
      </c>
    </row>
    <row r="109" spans="1:3">
      <c r="A109" s="544">
        <v>42524</v>
      </c>
      <c r="B109" s="545">
        <v>1.1153999999999999</v>
      </c>
      <c r="C109">
        <f t="shared" si="1"/>
        <v>2016</v>
      </c>
    </row>
    <row r="110" spans="1:3">
      <c r="A110" s="544">
        <v>42527</v>
      </c>
      <c r="B110" s="545">
        <v>1.1349</v>
      </c>
      <c r="C110">
        <f t="shared" si="1"/>
        <v>2016</v>
      </c>
    </row>
    <row r="111" spans="1:3">
      <c r="A111" s="544">
        <v>42528</v>
      </c>
      <c r="B111" s="545">
        <v>1.1348</v>
      </c>
      <c r="C111">
        <f t="shared" si="1"/>
        <v>2016</v>
      </c>
    </row>
    <row r="112" spans="1:3">
      <c r="A112" s="544">
        <v>42529</v>
      </c>
      <c r="B112" s="545">
        <v>1.1377999999999999</v>
      </c>
      <c r="C112">
        <f t="shared" si="1"/>
        <v>2016</v>
      </c>
    </row>
    <row r="113" spans="1:3">
      <c r="A113" s="544">
        <v>42530</v>
      </c>
      <c r="B113" s="545">
        <v>1.1343000000000001</v>
      </c>
      <c r="C113">
        <f t="shared" si="1"/>
        <v>2016</v>
      </c>
    </row>
    <row r="114" spans="1:3">
      <c r="A114" s="544">
        <v>42531</v>
      </c>
      <c r="B114" s="545">
        <v>1.1304000000000001</v>
      </c>
      <c r="C114">
        <f t="shared" si="1"/>
        <v>2016</v>
      </c>
    </row>
    <row r="115" spans="1:3">
      <c r="A115" s="544">
        <v>42534</v>
      </c>
      <c r="B115" s="545">
        <v>1.1268</v>
      </c>
      <c r="C115">
        <f t="shared" si="1"/>
        <v>2016</v>
      </c>
    </row>
    <row r="116" spans="1:3">
      <c r="A116" s="544">
        <v>42535</v>
      </c>
      <c r="B116" s="545">
        <v>1.1225000000000001</v>
      </c>
      <c r="C116">
        <f t="shared" si="1"/>
        <v>2016</v>
      </c>
    </row>
    <row r="117" spans="1:3">
      <c r="A117" s="544">
        <v>42536</v>
      </c>
      <c r="B117" s="545">
        <v>1.123</v>
      </c>
      <c r="C117">
        <f t="shared" si="1"/>
        <v>2016</v>
      </c>
    </row>
    <row r="118" spans="1:3">
      <c r="A118" s="544">
        <v>42537</v>
      </c>
      <c r="B118" s="545">
        <v>1.1173999999999999</v>
      </c>
      <c r="C118">
        <f t="shared" si="1"/>
        <v>2016</v>
      </c>
    </row>
    <row r="119" spans="1:3">
      <c r="A119" s="544">
        <v>42538</v>
      </c>
      <c r="B119" s="545">
        <v>1.1254</v>
      </c>
      <c r="C119">
        <f t="shared" si="1"/>
        <v>2016</v>
      </c>
    </row>
    <row r="120" spans="1:3">
      <c r="A120" s="544">
        <v>42541</v>
      </c>
      <c r="B120" s="545">
        <v>1.1332</v>
      </c>
      <c r="C120">
        <f t="shared" si="1"/>
        <v>2016</v>
      </c>
    </row>
    <row r="121" spans="1:3">
      <c r="A121" s="544">
        <v>42542</v>
      </c>
      <c r="B121" s="545">
        <v>1.1314</v>
      </c>
      <c r="C121">
        <f t="shared" si="1"/>
        <v>2016</v>
      </c>
    </row>
    <row r="122" spans="1:3">
      <c r="A122" s="544">
        <v>42543</v>
      </c>
      <c r="B122" s="545">
        <v>1.1283000000000001</v>
      </c>
      <c r="C122">
        <f t="shared" si="1"/>
        <v>2016</v>
      </c>
    </row>
    <row r="123" spans="1:3">
      <c r="A123" s="544">
        <v>42544</v>
      </c>
      <c r="B123" s="545">
        <v>1.1389</v>
      </c>
      <c r="C123">
        <f t="shared" si="1"/>
        <v>2016</v>
      </c>
    </row>
    <row r="124" spans="1:3">
      <c r="A124" s="544">
        <v>42545</v>
      </c>
      <c r="B124" s="545">
        <v>1.1066</v>
      </c>
      <c r="C124">
        <f t="shared" si="1"/>
        <v>2016</v>
      </c>
    </row>
    <row r="125" spans="1:3">
      <c r="A125" s="544">
        <v>42548</v>
      </c>
      <c r="B125" s="545">
        <v>1.0998000000000001</v>
      </c>
      <c r="C125">
        <f t="shared" si="1"/>
        <v>2016</v>
      </c>
    </row>
    <row r="126" spans="1:3">
      <c r="A126" s="544">
        <v>42549</v>
      </c>
      <c r="B126" s="545">
        <v>1.1073</v>
      </c>
      <c r="C126">
        <f t="shared" si="1"/>
        <v>2016</v>
      </c>
    </row>
    <row r="127" spans="1:3">
      <c r="A127" s="544">
        <v>42550</v>
      </c>
      <c r="B127" s="545">
        <v>1.109</v>
      </c>
      <c r="C127">
        <f t="shared" si="1"/>
        <v>2016</v>
      </c>
    </row>
    <row r="128" spans="1:3">
      <c r="A128" s="544">
        <v>42551</v>
      </c>
      <c r="B128" s="545">
        <v>1.1102000000000001</v>
      </c>
      <c r="C128">
        <f t="shared" si="1"/>
        <v>2016</v>
      </c>
    </row>
    <row r="129" spans="1:3">
      <c r="A129" s="544">
        <v>42552</v>
      </c>
      <c r="B129" s="545">
        <v>1.1134999999999999</v>
      </c>
      <c r="C129">
        <f t="shared" si="1"/>
        <v>2016</v>
      </c>
    </row>
    <row r="130" spans="1:3">
      <c r="A130" s="544">
        <v>42556</v>
      </c>
      <c r="B130" s="545">
        <v>1.1146</v>
      </c>
      <c r="C130">
        <f t="shared" si="1"/>
        <v>2016</v>
      </c>
    </row>
    <row r="131" spans="1:3">
      <c r="A131" s="544">
        <v>42557</v>
      </c>
      <c r="B131" s="545">
        <v>1.1069</v>
      </c>
      <c r="C131">
        <f t="shared" si="1"/>
        <v>2016</v>
      </c>
    </row>
    <row r="132" spans="1:3">
      <c r="A132" s="544">
        <v>42558</v>
      </c>
      <c r="B132" s="545">
        <v>1.1080000000000001</v>
      </c>
      <c r="C132">
        <f t="shared" si="1"/>
        <v>2016</v>
      </c>
    </row>
    <row r="133" spans="1:3">
      <c r="A133" s="544">
        <v>42559</v>
      </c>
      <c r="B133" s="545">
        <v>1.107</v>
      </c>
      <c r="C133">
        <f t="shared" si="1"/>
        <v>2016</v>
      </c>
    </row>
    <row r="134" spans="1:3">
      <c r="A134" s="544">
        <v>42562</v>
      </c>
      <c r="B134" s="545">
        <v>1.1049</v>
      </c>
      <c r="C134">
        <f t="shared" ref="C134:C197" si="2">YEAR(A134)</f>
        <v>2016</v>
      </c>
    </row>
    <row r="135" spans="1:3">
      <c r="A135" s="544">
        <v>42563</v>
      </c>
      <c r="B135" s="545">
        <v>1.1092</v>
      </c>
      <c r="C135">
        <f t="shared" si="2"/>
        <v>2016</v>
      </c>
    </row>
    <row r="136" spans="1:3">
      <c r="A136" s="544">
        <v>42564</v>
      </c>
      <c r="B136" s="545">
        <v>1.1072</v>
      </c>
      <c r="C136">
        <f t="shared" si="2"/>
        <v>2016</v>
      </c>
    </row>
    <row r="137" spans="1:3">
      <c r="A137" s="544">
        <v>42565</v>
      </c>
      <c r="B137" s="545">
        <v>1.1156999999999999</v>
      </c>
      <c r="C137">
        <f t="shared" si="2"/>
        <v>2016</v>
      </c>
    </row>
    <row r="138" spans="1:3">
      <c r="A138" s="544">
        <v>42566</v>
      </c>
      <c r="B138" s="545">
        <v>1.1128</v>
      </c>
      <c r="C138">
        <f t="shared" si="2"/>
        <v>2016</v>
      </c>
    </row>
    <row r="139" spans="1:3">
      <c r="A139" s="544">
        <v>42569</v>
      </c>
      <c r="B139" s="545">
        <v>1.1052999999999999</v>
      </c>
      <c r="C139">
        <f t="shared" si="2"/>
        <v>2016</v>
      </c>
    </row>
    <row r="140" spans="1:3">
      <c r="A140" s="544">
        <v>42570</v>
      </c>
      <c r="B140" s="545">
        <v>1.1034999999999999</v>
      </c>
      <c r="C140">
        <f t="shared" si="2"/>
        <v>2016</v>
      </c>
    </row>
    <row r="141" spans="1:3">
      <c r="A141" s="544">
        <v>42571</v>
      </c>
      <c r="B141" s="545">
        <v>1.1012999999999999</v>
      </c>
      <c r="C141">
        <f t="shared" si="2"/>
        <v>2016</v>
      </c>
    </row>
    <row r="142" spans="1:3">
      <c r="A142" s="544">
        <v>42572</v>
      </c>
      <c r="B142" s="545">
        <v>1.1014999999999999</v>
      </c>
      <c r="C142">
        <f t="shared" si="2"/>
        <v>2016</v>
      </c>
    </row>
    <row r="143" spans="1:3">
      <c r="A143" s="544">
        <v>42573</v>
      </c>
      <c r="B143" s="545">
        <v>1.1013999999999999</v>
      </c>
      <c r="C143">
        <f t="shared" si="2"/>
        <v>2016</v>
      </c>
    </row>
    <row r="144" spans="1:3">
      <c r="A144" s="544">
        <v>42576</v>
      </c>
      <c r="B144" s="545">
        <v>1.0982000000000001</v>
      </c>
      <c r="C144">
        <f t="shared" si="2"/>
        <v>2016</v>
      </c>
    </row>
    <row r="145" spans="1:3">
      <c r="A145" s="544">
        <v>42577</v>
      </c>
      <c r="B145" s="545">
        <v>1.0996999999999999</v>
      </c>
      <c r="C145">
        <f t="shared" si="2"/>
        <v>2016</v>
      </c>
    </row>
    <row r="146" spans="1:3">
      <c r="A146" s="544">
        <v>42578</v>
      </c>
      <c r="B146" s="545">
        <v>1.0991</v>
      </c>
      <c r="C146">
        <f t="shared" si="2"/>
        <v>2016</v>
      </c>
    </row>
    <row r="147" spans="1:3">
      <c r="A147" s="544">
        <v>42579</v>
      </c>
      <c r="B147" s="545">
        <v>1.109</v>
      </c>
      <c r="C147">
        <f t="shared" si="2"/>
        <v>2016</v>
      </c>
    </row>
    <row r="148" spans="1:3">
      <c r="A148" s="544">
        <v>42580</v>
      </c>
      <c r="B148" s="545">
        <v>1.1113</v>
      </c>
      <c r="C148">
        <f t="shared" si="2"/>
        <v>2016</v>
      </c>
    </row>
    <row r="149" spans="1:3">
      <c r="A149" s="544">
        <v>42583</v>
      </c>
      <c r="B149" s="545">
        <v>1.1164000000000001</v>
      </c>
      <c r="C149">
        <f t="shared" si="2"/>
        <v>2016</v>
      </c>
    </row>
    <row r="150" spans="1:3">
      <c r="A150" s="544">
        <v>42584</v>
      </c>
      <c r="B150" s="545">
        <v>1.1193</v>
      </c>
      <c r="C150">
        <f t="shared" si="2"/>
        <v>2016</v>
      </c>
    </row>
    <row r="151" spans="1:3">
      <c r="A151" s="544">
        <v>42585</v>
      </c>
      <c r="B151" s="545">
        <v>1.1200000000000001</v>
      </c>
      <c r="C151">
        <f t="shared" si="2"/>
        <v>2016</v>
      </c>
    </row>
    <row r="152" spans="1:3">
      <c r="A152" s="544">
        <v>42586</v>
      </c>
      <c r="B152" s="545">
        <v>1.1135999999999999</v>
      </c>
      <c r="C152">
        <f t="shared" si="2"/>
        <v>2016</v>
      </c>
    </row>
    <row r="153" spans="1:3">
      <c r="A153" s="544">
        <v>42587</v>
      </c>
      <c r="B153" s="545">
        <v>1.1155999999999999</v>
      </c>
      <c r="C153">
        <f t="shared" si="2"/>
        <v>2016</v>
      </c>
    </row>
    <row r="154" spans="1:3">
      <c r="A154" s="544">
        <v>42590</v>
      </c>
      <c r="B154" s="545">
        <v>1.1087</v>
      </c>
      <c r="C154">
        <f t="shared" si="2"/>
        <v>2016</v>
      </c>
    </row>
    <row r="155" spans="1:3">
      <c r="A155" s="544">
        <v>42591</v>
      </c>
      <c r="B155" s="545">
        <v>1.1077999999999999</v>
      </c>
      <c r="C155">
        <f t="shared" si="2"/>
        <v>2016</v>
      </c>
    </row>
    <row r="156" spans="1:3">
      <c r="A156" s="544">
        <v>42592</v>
      </c>
      <c r="B156" s="545">
        <v>1.1184000000000001</v>
      </c>
      <c r="C156">
        <f t="shared" si="2"/>
        <v>2016</v>
      </c>
    </row>
    <row r="157" spans="1:3">
      <c r="A157" s="544">
        <v>42593</v>
      </c>
      <c r="B157" s="545">
        <v>1.1153</v>
      </c>
      <c r="C157">
        <f t="shared" si="2"/>
        <v>2016</v>
      </c>
    </row>
    <row r="158" spans="1:3">
      <c r="A158" s="544">
        <v>42594</v>
      </c>
      <c r="B158" s="545">
        <v>1.1157999999999999</v>
      </c>
      <c r="C158">
        <f t="shared" si="2"/>
        <v>2016</v>
      </c>
    </row>
    <row r="159" spans="1:3">
      <c r="A159" s="544">
        <v>42597</v>
      </c>
      <c r="B159" s="545">
        <v>1.1180000000000001</v>
      </c>
      <c r="C159">
        <f t="shared" si="2"/>
        <v>2016</v>
      </c>
    </row>
    <row r="160" spans="1:3">
      <c r="A160" s="544">
        <v>42598</v>
      </c>
      <c r="B160" s="545">
        <v>1.1294999999999999</v>
      </c>
      <c r="C160">
        <f t="shared" si="2"/>
        <v>2016</v>
      </c>
    </row>
    <row r="161" spans="1:3">
      <c r="A161" s="544">
        <v>42599</v>
      </c>
      <c r="B161" s="545">
        <v>1.1275999999999999</v>
      </c>
      <c r="C161">
        <f t="shared" si="2"/>
        <v>2016</v>
      </c>
    </row>
    <row r="162" spans="1:3">
      <c r="A162" s="544">
        <v>42600</v>
      </c>
      <c r="B162" s="545">
        <v>1.1321000000000001</v>
      </c>
      <c r="C162">
        <f t="shared" si="2"/>
        <v>2016</v>
      </c>
    </row>
    <row r="163" spans="1:3">
      <c r="A163" s="544">
        <v>42601</v>
      </c>
      <c r="B163" s="545">
        <v>1.1326000000000001</v>
      </c>
      <c r="C163">
        <f t="shared" si="2"/>
        <v>2016</v>
      </c>
    </row>
    <row r="164" spans="1:3">
      <c r="A164" s="544">
        <v>42604</v>
      </c>
      <c r="B164" s="545">
        <v>1.1306</v>
      </c>
      <c r="C164">
        <f t="shared" si="2"/>
        <v>2016</v>
      </c>
    </row>
    <row r="165" spans="1:3">
      <c r="A165" s="544">
        <v>42605</v>
      </c>
      <c r="B165" s="545">
        <v>1.1338999999999999</v>
      </c>
      <c r="C165">
        <f t="shared" si="2"/>
        <v>2016</v>
      </c>
    </row>
    <row r="166" spans="1:3">
      <c r="A166" s="544">
        <v>42606</v>
      </c>
      <c r="B166" s="545">
        <v>1.1268</v>
      </c>
      <c r="C166">
        <f t="shared" si="2"/>
        <v>2016</v>
      </c>
    </row>
    <row r="167" spans="1:3">
      <c r="A167" s="544">
        <v>42607</v>
      </c>
      <c r="B167" s="545">
        <v>1.129</v>
      </c>
      <c r="C167">
        <f t="shared" si="2"/>
        <v>2016</v>
      </c>
    </row>
    <row r="168" spans="1:3">
      <c r="A168" s="544">
        <v>42608</v>
      </c>
      <c r="B168" s="545">
        <v>1.129</v>
      </c>
      <c r="C168">
        <f t="shared" si="2"/>
        <v>2016</v>
      </c>
    </row>
    <row r="169" spans="1:3">
      <c r="A169" s="544">
        <v>42611</v>
      </c>
      <c r="B169" s="545">
        <v>1.117</v>
      </c>
      <c r="C169">
        <f t="shared" si="2"/>
        <v>2016</v>
      </c>
    </row>
    <row r="170" spans="1:3">
      <c r="A170" s="544">
        <v>42612</v>
      </c>
      <c r="B170" s="545">
        <v>1.1168</v>
      </c>
      <c r="C170">
        <f t="shared" si="2"/>
        <v>2016</v>
      </c>
    </row>
    <row r="171" spans="1:3">
      <c r="A171" s="544">
        <v>42613</v>
      </c>
      <c r="B171" s="545">
        <v>1.1132</v>
      </c>
      <c r="C171">
        <f t="shared" si="2"/>
        <v>2016</v>
      </c>
    </row>
    <row r="172" spans="1:3">
      <c r="A172" s="544">
        <v>42614</v>
      </c>
      <c r="B172" s="545">
        <v>1.1146</v>
      </c>
      <c r="C172">
        <f t="shared" si="2"/>
        <v>2016</v>
      </c>
    </row>
    <row r="173" spans="1:3">
      <c r="A173" s="544">
        <v>42615</v>
      </c>
      <c r="B173" s="545">
        <v>1.1193</v>
      </c>
      <c r="C173">
        <f t="shared" si="2"/>
        <v>2016</v>
      </c>
    </row>
    <row r="174" spans="1:3">
      <c r="A174" s="544">
        <v>42619</v>
      </c>
      <c r="B174" s="545">
        <v>1.1158999999999999</v>
      </c>
      <c r="C174">
        <f t="shared" si="2"/>
        <v>2016</v>
      </c>
    </row>
    <row r="175" spans="1:3">
      <c r="A175" s="544">
        <v>42620</v>
      </c>
      <c r="B175" s="545">
        <v>1.1236999999999999</v>
      </c>
      <c r="C175">
        <f t="shared" si="2"/>
        <v>2016</v>
      </c>
    </row>
    <row r="176" spans="1:3">
      <c r="A176" s="544">
        <v>42621</v>
      </c>
      <c r="B176" s="545">
        <v>1.1295999999999999</v>
      </c>
      <c r="C176">
        <f t="shared" si="2"/>
        <v>2016</v>
      </c>
    </row>
    <row r="177" spans="1:3">
      <c r="A177" s="544">
        <v>42622</v>
      </c>
      <c r="B177" s="545">
        <v>1.1268</v>
      </c>
      <c r="C177">
        <f t="shared" si="2"/>
        <v>2016</v>
      </c>
    </row>
    <row r="178" spans="1:3">
      <c r="A178" s="544">
        <v>42625</v>
      </c>
      <c r="B178" s="545">
        <v>1.1226</v>
      </c>
      <c r="C178">
        <f t="shared" si="2"/>
        <v>2016</v>
      </c>
    </row>
    <row r="179" spans="1:3">
      <c r="A179" s="544">
        <v>42626</v>
      </c>
      <c r="B179" s="545">
        <v>1.1247</v>
      </c>
      <c r="C179">
        <f t="shared" si="2"/>
        <v>2016</v>
      </c>
    </row>
    <row r="180" spans="1:3">
      <c r="A180" s="544">
        <v>42627</v>
      </c>
      <c r="B180" s="545">
        <v>1.1217999999999999</v>
      </c>
      <c r="C180">
        <f t="shared" si="2"/>
        <v>2016</v>
      </c>
    </row>
    <row r="181" spans="1:3">
      <c r="A181" s="544">
        <v>42628</v>
      </c>
      <c r="B181" s="545">
        <v>1.1254</v>
      </c>
      <c r="C181">
        <f t="shared" si="2"/>
        <v>2016</v>
      </c>
    </row>
    <row r="182" spans="1:3">
      <c r="A182" s="544">
        <v>42629</v>
      </c>
      <c r="B182" s="545">
        <v>1.1226</v>
      </c>
      <c r="C182">
        <f t="shared" si="2"/>
        <v>2016</v>
      </c>
    </row>
    <row r="183" spans="1:3">
      <c r="A183" s="544">
        <v>42632</v>
      </c>
      <c r="B183" s="545">
        <v>1.1165</v>
      </c>
      <c r="C183">
        <f t="shared" si="2"/>
        <v>2016</v>
      </c>
    </row>
    <row r="184" spans="1:3">
      <c r="A184" s="544">
        <v>42633</v>
      </c>
      <c r="B184" s="545">
        <v>1.1184000000000001</v>
      </c>
      <c r="C184">
        <f t="shared" si="2"/>
        <v>2016</v>
      </c>
    </row>
    <row r="185" spans="1:3">
      <c r="A185" s="544">
        <v>42634</v>
      </c>
      <c r="B185" s="545">
        <v>1.115</v>
      </c>
      <c r="C185">
        <f t="shared" si="2"/>
        <v>2016</v>
      </c>
    </row>
    <row r="186" spans="1:3">
      <c r="A186" s="544">
        <v>42635</v>
      </c>
      <c r="B186" s="545">
        <v>1.1237999999999999</v>
      </c>
      <c r="C186">
        <f t="shared" si="2"/>
        <v>2016</v>
      </c>
    </row>
    <row r="187" spans="1:3">
      <c r="A187" s="544">
        <v>42636</v>
      </c>
      <c r="B187" s="545">
        <v>1.1214</v>
      </c>
      <c r="C187">
        <f t="shared" si="2"/>
        <v>2016</v>
      </c>
    </row>
    <row r="188" spans="1:3">
      <c r="A188" s="544">
        <v>42639</v>
      </c>
      <c r="B188" s="545">
        <v>1.1262000000000001</v>
      </c>
      <c r="C188">
        <f t="shared" si="2"/>
        <v>2016</v>
      </c>
    </row>
    <row r="189" spans="1:3">
      <c r="A189" s="544">
        <v>42640</v>
      </c>
      <c r="B189" s="545">
        <v>1.1220000000000001</v>
      </c>
      <c r="C189">
        <f t="shared" si="2"/>
        <v>2016</v>
      </c>
    </row>
    <row r="190" spans="1:3">
      <c r="A190" s="544">
        <v>42641</v>
      </c>
      <c r="B190" s="545">
        <v>1.1225000000000001</v>
      </c>
      <c r="C190">
        <f t="shared" si="2"/>
        <v>2016</v>
      </c>
    </row>
    <row r="191" spans="1:3">
      <c r="A191" s="544">
        <v>42642</v>
      </c>
      <c r="B191" s="545">
        <v>1.1221000000000001</v>
      </c>
      <c r="C191">
        <f t="shared" si="2"/>
        <v>2016</v>
      </c>
    </row>
    <row r="192" spans="1:3">
      <c r="A192" s="544">
        <v>42643</v>
      </c>
      <c r="B192" s="545">
        <v>1.1161000000000001</v>
      </c>
      <c r="C192">
        <f t="shared" si="2"/>
        <v>2016</v>
      </c>
    </row>
    <row r="193" spans="1:3">
      <c r="A193" s="544">
        <v>42646</v>
      </c>
      <c r="B193" s="545">
        <v>1.1235999999999999</v>
      </c>
      <c r="C193">
        <f t="shared" si="2"/>
        <v>2016</v>
      </c>
    </row>
    <row r="194" spans="1:3">
      <c r="A194" s="544">
        <v>42647</v>
      </c>
      <c r="B194" s="545">
        <v>1.1161000000000001</v>
      </c>
      <c r="C194">
        <f t="shared" si="2"/>
        <v>2016</v>
      </c>
    </row>
    <row r="195" spans="1:3">
      <c r="A195" s="544">
        <v>42648</v>
      </c>
      <c r="B195" s="545">
        <v>1.1211</v>
      </c>
      <c r="C195">
        <f t="shared" si="2"/>
        <v>2016</v>
      </c>
    </row>
    <row r="196" spans="1:3">
      <c r="A196" s="544">
        <v>42649</v>
      </c>
      <c r="B196" s="545">
        <v>1.1185</v>
      </c>
      <c r="C196">
        <f t="shared" si="2"/>
        <v>2016</v>
      </c>
    </row>
    <row r="197" spans="1:3">
      <c r="A197" s="544">
        <v>42650</v>
      </c>
      <c r="B197" s="545">
        <v>1.1140000000000001</v>
      </c>
      <c r="C197">
        <f t="shared" si="2"/>
        <v>2016</v>
      </c>
    </row>
    <row r="198" spans="1:3">
      <c r="A198" s="544">
        <v>42654</v>
      </c>
      <c r="B198" s="545">
        <v>1.1079000000000001</v>
      </c>
      <c r="C198">
        <f t="shared" ref="C198:C261" si="3">YEAR(A198)</f>
        <v>2016</v>
      </c>
    </row>
    <row r="199" spans="1:3">
      <c r="A199" s="544">
        <v>42655</v>
      </c>
      <c r="B199" s="545">
        <v>1.1020000000000001</v>
      </c>
      <c r="C199">
        <f t="shared" si="3"/>
        <v>2016</v>
      </c>
    </row>
    <row r="200" spans="1:3">
      <c r="A200" s="544">
        <v>42656</v>
      </c>
      <c r="B200" s="545">
        <v>1.1037999999999999</v>
      </c>
      <c r="C200">
        <f t="shared" si="3"/>
        <v>2016</v>
      </c>
    </row>
    <row r="201" spans="1:3">
      <c r="A201" s="544">
        <v>42657</v>
      </c>
      <c r="B201" s="545">
        <v>1.1002000000000001</v>
      </c>
      <c r="C201">
        <f t="shared" si="3"/>
        <v>2016</v>
      </c>
    </row>
    <row r="202" spans="1:3">
      <c r="A202" s="544">
        <v>42660</v>
      </c>
      <c r="B202" s="545">
        <v>1.0993999999999999</v>
      </c>
      <c r="C202">
        <f t="shared" si="3"/>
        <v>2016</v>
      </c>
    </row>
    <row r="203" spans="1:3">
      <c r="A203" s="544">
        <v>42661</v>
      </c>
      <c r="B203" s="545">
        <v>1.0992999999999999</v>
      </c>
      <c r="C203">
        <f t="shared" si="3"/>
        <v>2016</v>
      </c>
    </row>
    <row r="204" spans="1:3">
      <c r="A204" s="544">
        <v>42662</v>
      </c>
      <c r="B204" s="545">
        <v>1.0979000000000001</v>
      </c>
      <c r="C204">
        <f t="shared" si="3"/>
        <v>2016</v>
      </c>
    </row>
    <row r="205" spans="1:3">
      <c r="A205" s="544">
        <v>42663</v>
      </c>
      <c r="B205" s="545">
        <v>1.0980000000000001</v>
      </c>
      <c r="C205">
        <f t="shared" si="3"/>
        <v>2016</v>
      </c>
    </row>
    <row r="206" spans="1:3">
      <c r="A206" s="544">
        <v>42664</v>
      </c>
      <c r="B206" s="545">
        <v>1.0886</v>
      </c>
      <c r="C206">
        <f t="shared" si="3"/>
        <v>2016</v>
      </c>
    </row>
    <row r="207" spans="1:3">
      <c r="A207" s="544">
        <v>42667</v>
      </c>
      <c r="B207" s="545">
        <v>1.0891</v>
      </c>
      <c r="C207">
        <f t="shared" si="3"/>
        <v>2016</v>
      </c>
    </row>
    <row r="208" spans="1:3">
      <c r="A208" s="544">
        <v>42668</v>
      </c>
      <c r="B208" s="545">
        <v>1.0871999999999999</v>
      </c>
      <c r="C208">
        <f t="shared" si="3"/>
        <v>2016</v>
      </c>
    </row>
    <row r="209" spans="1:3">
      <c r="A209" s="544">
        <v>42669</v>
      </c>
      <c r="B209" s="545">
        <v>1.0925</v>
      </c>
      <c r="C209">
        <f t="shared" si="3"/>
        <v>2016</v>
      </c>
    </row>
    <row r="210" spans="1:3">
      <c r="A210" s="544">
        <v>42670</v>
      </c>
      <c r="B210" s="545">
        <v>1.0927</v>
      </c>
      <c r="C210">
        <f t="shared" si="3"/>
        <v>2016</v>
      </c>
    </row>
    <row r="211" spans="1:3">
      <c r="A211" s="544">
        <v>42671</v>
      </c>
      <c r="B211" s="545">
        <v>1.0922000000000001</v>
      </c>
      <c r="C211">
        <f t="shared" si="3"/>
        <v>2016</v>
      </c>
    </row>
    <row r="212" spans="1:3">
      <c r="A212" s="544">
        <v>42674</v>
      </c>
      <c r="B212" s="545">
        <v>1.0946</v>
      </c>
      <c r="C212">
        <f t="shared" si="3"/>
        <v>2016</v>
      </c>
    </row>
    <row r="213" spans="1:3">
      <c r="A213" s="544">
        <v>42675</v>
      </c>
      <c r="B213" s="545">
        <v>1.1025</v>
      </c>
      <c r="C213">
        <f t="shared" si="3"/>
        <v>2016</v>
      </c>
    </row>
    <row r="214" spans="1:3">
      <c r="A214" s="544">
        <v>42676</v>
      </c>
      <c r="B214" s="545">
        <v>1.1094999999999999</v>
      </c>
      <c r="C214">
        <f t="shared" si="3"/>
        <v>2016</v>
      </c>
    </row>
    <row r="215" spans="1:3">
      <c r="A215" s="544">
        <v>42677</v>
      </c>
      <c r="B215" s="545">
        <v>1.1064000000000001</v>
      </c>
      <c r="C215">
        <f t="shared" si="3"/>
        <v>2016</v>
      </c>
    </row>
    <row r="216" spans="1:3">
      <c r="A216" s="544">
        <v>42678</v>
      </c>
      <c r="B216" s="545">
        <v>1.1093</v>
      </c>
      <c r="C216">
        <f t="shared" si="3"/>
        <v>2016</v>
      </c>
    </row>
    <row r="217" spans="1:3">
      <c r="A217" s="544">
        <v>42681</v>
      </c>
      <c r="B217" s="545">
        <v>1.1062000000000001</v>
      </c>
      <c r="C217">
        <f t="shared" si="3"/>
        <v>2016</v>
      </c>
    </row>
    <row r="218" spans="1:3">
      <c r="A218" s="544">
        <v>42682</v>
      </c>
      <c r="B218" s="545">
        <v>1.1037999999999999</v>
      </c>
      <c r="C218">
        <f t="shared" si="3"/>
        <v>2016</v>
      </c>
    </row>
    <row r="219" spans="1:3">
      <c r="A219" s="544">
        <v>42683</v>
      </c>
      <c r="B219" s="545">
        <v>1.1022000000000001</v>
      </c>
      <c r="C219">
        <f t="shared" si="3"/>
        <v>2016</v>
      </c>
    </row>
    <row r="220" spans="1:3">
      <c r="A220" s="544">
        <v>42684</v>
      </c>
      <c r="B220" s="545">
        <v>1.0894999999999999</v>
      </c>
      <c r="C220">
        <f t="shared" si="3"/>
        <v>2016</v>
      </c>
    </row>
    <row r="221" spans="1:3">
      <c r="A221" s="544">
        <v>42685</v>
      </c>
      <c r="B221" s="545">
        <v>1.0904</v>
      </c>
      <c r="C221">
        <f t="shared" si="3"/>
        <v>2016</v>
      </c>
    </row>
    <row r="222" spans="1:3">
      <c r="A222" s="544">
        <v>42688</v>
      </c>
      <c r="B222" s="545">
        <v>1.0777000000000001</v>
      </c>
      <c r="C222">
        <f t="shared" si="3"/>
        <v>2016</v>
      </c>
    </row>
    <row r="223" spans="1:3">
      <c r="A223" s="544">
        <v>42689</v>
      </c>
      <c r="B223" s="545">
        <v>1.0765</v>
      </c>
      <c r="C223">
        <f t="shared" si="3"/>
        <v>2016</v>
      </c>
    </row>
    <row r="224" spans="1:3">
      <c r="A224" s="544">
        <v>42690</v>
      </c>
      <c r="B224" s="545">
        <v>1.0702</v>
      </c>
      <c r="C224">
        <f t="shared" si="3"/>
        <v>2016</v>
      </c>
    </row>
    <row r="225" spans="1:3">
      <c r="A225" s="544">
        <v>42691</v>
      </c>
      <c r="B225" s="545">
        <v>1.0717000000000001</v>
      </c>
      <c r="C225">
        <f t="shared" si="3"/>
        <v>2016</v>
      </c>
    </row>
    <row r="226" spans="1:3">
      <c r="A226" s="544">
        <v>42692</v>
      </c>
      <c r="B226" s="545">
        <v>1.0629</v>
      </c>
      <c r="C226">
        <f t="shared" si="3"/>
        <v>2016</v>
      </c>
    </row>
    <row r="227" spans="1:3">
      <c r="A227" s="544">
        <v>42695</v>
      </c>
      <c r="B227" s="545">
        <v>1.0630999999999999</v>
      </c>
      <c r="C227">
        <f t="shared" si="3"/>
        <v>2016</v>
      </c>
    </row>
    <row r="228" spans="1:3">
      <c r="A228" s="544">
        <v>42696</v>
      </c>
      <c r="B228" s="545">
        <v>1.0617000000000001</v>
      </c>
      <c r="C228">
        <f t="shared" si="3"/>
        <v>2016</v>
      </c>
    </row>
    <row r="229" spans="1:3">
      <c r="A229" s="544">
        <v>42697</v>
      </c>
      <c r="B229" s="545">
        <v>1.0602</v>
      </c>
      <c r="C229">
        <f t="shared" si="3"/>
        <v>2016</v>
      </c>
    </row>
    <row r="230" spans="1:3">
      <c r="A230" s="544">
        <v>42702</v>
      </c>
      <c r="B230" s="545">
        <v>1.0588</v>
      </c>
      <c r="C230">
        <f t="shared" si="3"/>
        <v>2016</v>
      </c>
    </row>
    <row r="231" spans="1:3">
      <c r="A231" s="544">
        <v>42703</v>
      </c>
      <c r="B231" s="545">
        <v>1.0576000000000001</v>
      </c>
      <c r="C231">
        <f t="shared" si="3"/>
        <v>2016</v>
      </c>
    </row>
    <row r="232" spans="1:3">
      <c r="A232" s="544">
        <v>42704</v>
      </c>
      <c r="B232" s="545">
        <v>1.0634999999999999</v>
      </c>
      <c r="C232">
        <f t="shared" si="3"/>
        <v>2016</v>
      </c>
    </row>
    <row r="233" spans="1:3">
      <c r="A233" s="544">
        <v>42705</v>
      </c>
      <c r="B233" s="545">
        <v>1.0627</v>
      </c>
      <c r="C233">
        <f t="shared" si="3"/>
        <v>2016</v>
      </c>
    </row>
    <row r="234" spans="1:3">
      <c r="A234" s="544">
        <v>42706</v>
      </c>
      <c r="B234" s="545">
        <v>1.0642</v>
      </c>
      <c r="C234">
        <f t="shared" si="3"/>
        <v>2016</v>
      </c>
    </row>
    <row r="235" spans="1:3">
      <c r="A235" s="544">
        <v>42709</v>
      </c>
      <c r="B235" s="545">
        <v>1.0702</v>
      </c>
      <c r="C235">
        <f t="shared" si="3"/>
        <v>2016</v>
      </c>
    </row>
    <row r="236" spans="1:3">
      <c r="A236" s="544">
        <v>42710</v>
      </c>
      <c r="B236" s="545">
        <v>1.0733999999999999</v>
      </c>
      <c r="C236">
        <f t="shared" si="3"/>
        <v>2016</v>
      </c>
    </row>
    <row r="237" spans="1:3">
      <c r="A237" s="544">
        <v>42711</v>
      </c>
      <c r="B237" s="545">
        <v>1.073</v>
      </c>
      <c r="C237">
        <f t="shared" si="3"/>
        <v>2016</v>
      </c>
    </row>
    <row r="238" spans="1:3">
      <c r="A238" s="544">
        <v>42712</v>
      </c>
      <c r="B238" s="545">
        <v>1.0762</v>
      </c>
      <c r="C238">
        <f t="shared" si="3"/>
        <v>2016</v>
      </c>
    </row>
    <row r="239" spans="1:3">
      <c r="A239" s="544">
        <v>42713</v>
      </c>
      <c r="B239" s="545">
        <v>1.0559000000000001</v>
      </c>
      <c r="C239">
        <f t="shared" si="3"/>
        <v>2016</v>
      </c>
    </row>
    <row r="240" spans="1:3">
      <c r="A240" s="544">
        <v>42716</v>
      </c>
      <c r="B240" s="545">
        <v>1.0596000000000001</v>
      </c>
      <c r="C240">
        <f t="shared" si="3"/>
        <v>2016</v>
      </c>
    </row>
    <row r="241" spans="1:3">
      <c r="A241" s="544">
        <v>42717</v>
      </c>
      <c r="B241" s="545">
        <v>1.0609999999999999</v>
      </c>
      <c r="C241">
        <f t="shared" si="3"/>
        <v>2016</v>
      </c>
    </row>
    <row r="242" spans="1:3">
      <c r="A242" s="544">
        <v>42718</v>
      </c>
      <c r="B242" s="545">
        <v>1.0644</v>
      </c>
      <c r="C242">
        <f t="shared" si="3"/>
        <v>2016</v>
      </c>
    </row>
    <row r="243" spans="1:3">
      <c r="A243" s="544">
        <v>42719</v>
      </c>
      <c r="B243" s="545">
        <v>1.0419</v>
      </c>
      <c r="C243">
        <f t="shared" si="3"/>
        <v>2016</v>
      </c>
    </row>
    <row r="244" spans="1:3">
      <c r="A244" s="544">
        <v>42720</v>
      </c>
      <c r="B244" s="545">
        <v>1.0439000000000001</v>
      </c>
      <c r="C244">
        <f t="shared" si="3"/>
        <v>2016</v>
      </c>
    </row>
    <row r="245" spans="1:3">
      <c r="A245" s="544">
        <v>42723</v>
      </c>
      <c r="B245" s="545">
        <v>1.0422</v>
      </c>
      <c r="C245">
        <f t="shared" si="3"/>
        <v>2016</v>
      </c>
    </row>
    <row r="246" spans="1:3">
      <c r="A246" s="544">
        <v>42724</v>
      </c>
      <c r="B246" s="545">
        <v>1.0364</v>
      </c>
      <c r="C246">
        <f t="shared" si="3"/>
        <v>2016</v>
      </c>
    </row>
    <row r="247" spans="1:3">
      <c r="A247" s="544">
        <v>42725</v>
      </c>
      <c r="B247" s="545">
        <v>1.0421</v>
      </c>
      <c r="C247">
        <f t="shared" si="3"/>
        <v>2016</v>
      </c>
    </row>
    <row r="248" spans="1:3">
      <c r="A248" s="544">
        <v>42726</v>
      </c>
      <c r="B248" s="545">
        <v>1.0444</v>
      </c>
      <c r="C248">
        <f t="shared" si="3"/>
        <v>2016</v>
      </c>
    </row>
    <row r="249" spans="1:3">
      <c r="A249" s="544">
        <v>42727</v>
      </c>
      <c r="B249" s="545">
        <v>1.0446</v>
      </c>
      <c r="C249">
        <f t="shared" si="3"/>
        <v>2016</v>
      </c>
    </row>
    <row r="250" spans="1:3">
      <c r="A250" s="544">
        <v>42731</v>
      </c>
      <c r="B250" s="545">
        <v>1.0445</v>
      </c>
      <c r="C250">
        <f t="shared" si="3"/>
        <v>2016</v>
      </c>
    </row>
    <row r="251" spans="1:3">
      <c r="A251" s="544">
        <v>42732</v>
      </c>
      <c r="B251" s="545">
        <v>1.0401</v>
      </c>
      <c r="C251">
        <f t="shared" si="3"/>
        <v>2016</v>
      </c>
    </row>
    <row r="252" spans="1:3">
      <c r="A252" s="544">
        <v>42733</v>
      </c>
      <c r="B252" s="545">
        <v>1.0452999999999999</v>
      </c>
      <c r="C252">
        <f t="shared" si="3"/>
        <v>2016</v>
      </c>
    </row>
    <row r="253" spans="1:3">
      <c r="A253" s="544">
        <v>42734</v>
      </c>
      <c r="B253" s="545">
        <v>1.0541</v>
      </c>
      <c r="C253">
        <f t="shared" si="3"/>
        <v>2016</v>
      </c>
    </row>
    <row r="254" spans="1:3">
      <c r="A254" s="544">
        <v>42738</v>
      </c>
      <c r="B254" s="545">
        <v>1.0385</v>
      </c>
      <c r="C254">
        <f t="shared" si="3"/>
        <v>2017</v>
      </c>
    </row>
    <row r="255" spans="1:3">
      <c r="A255" s="544">
        <v>42739</v>
      </c>
      <c r="B255" s="545">
        <v>1.0437000000000001</v>
      </c>
      <c r="C255">
        <f t="shared" si="3"/>
        <v>2017</v>
      </c>
    </row>
    <row r="256" spans="1:3">
      <c r="A256" s="544">
        <v>42740</v>
      </c>
      <c r="B256" s="545">
        <v>1.0501</v>
      </c>
      <c r="C256">
        <f t="shared" si="3"/>
        <v>2017</v>
      </c>
    </row>
    <row r="257" spans="1:3">
      <c r="A257" s="544">
        <v>42741</v>
      </c>
      <c r="B257" s="545">
        <v>1.0589</v>
      </c>
      <c r="C257">
        <f t="shared" si="3"/>
        <v>2017</v>
      </c>
    </row>
    <row r="258" spans="1:3">
      <c r="A258" s="544">
        <v>42744</v>
      </c>
      <c r="B258" s="545">
        <v>1.0516000000000001</v>
      </c>
      <c r="C258">
        <f t="shared" si="3"/>
        <v>2017</v>
      </c>
    </row>
    <row r="259" spans="1:3">
      <c r="A259" s="544">
        <v>42745</v>
      </c>
      <c r="B259" s="545">
        <v>1.0567</v>
      </c>
      <c r="C259">
        <f t="shared" si="3"/>
        <v>2017</v>
      </c>
    </row>
    <row r="260" spans="1:3">
      <c r="A260" s="544">
        <v>42746</v>
      </c>
      <c r="B260" s="545">
        <v>1.0503</v>
      </c>
      <c r="C260">
        <f t="shared" si="3"/>
        <v>2017</v>
      </c>
    </row>
    <row r="261" spans="1:3">
      <c r="A261" s="544">
        <v>42747</v>
      </c>
      <c r="B261" s="545">
        <v>1.0679000000000001</v>
      </c>
      <c r="C261">
        <f t="shared" si="3"/>
        <v>2017</v>
      </c>
    </row>
    <row r="262" spans="1:3">
      <c r="A262" s="544">
        <v>42748</v>
      </c>
      <c r="B262" s="545">
        <v>1.0661</v>
      </c>
      <c r="C262">
        <f t="shared" ref="C262:C325" si="4">YEAR(A262)</f>
        <v>2017</v>
      </c>
    </row>
    <row r="263" spans="1:3">
      <c r="A263" s="544">
        <v>42752</v>
      </c>
      <c r="B263" s="545">
        <v>1.0684</v>
      </c>
      <c r="C263">
        <f t="shared" si="4"/>
        <v>2017</v>
      </c>
    </row>
    <row r="264" spans="1:3">
      <c r="A264" s="544">
        <v>42753</v>
      </c>
      <c r="B264" s="545">
        <v>1.0664</v>
      </c>
      <c r="C264">
        <f t="shared" si="4"/>
        <v>2017</v>
      </c>
    </row>
    <row r="265" spans="1:3">
      <c r="A265" s="544">
        <v>42754</v>
      </c>
      <c r="B265" s="545">
        <v>1.0668</v>
      </c>
      <c r="C265">
        <f t="shared" si="4"/>
        <v>2017</v>
      </c>
    </row>
    <row r="266" spans="1:3">
      <c r="A266" s="544">
        <v>42758</v>
      </c>
      <c r="B266" s="545">
        <v>1.0714999999999999</v>
      </c>
      <c r="C266">
        <f t="shared" si="4"/>
        <v>2017</v>
      </c>
    </row>
    <row r="267" spans="1:3">
      <c r="A267" s="544">
        <v>42759</v>
      </c>
      <c r="B267" s="545">
        <v>1.0748</v>
      </c>
      <c r="C267">
        <f t="shared" si="4"/>
        <v>2017</v>
      </c>
    </row>
    <row r="268" spans="1:3">
      <c r="A268" s="544">
        <v>42760</v>
      </c>
      <c r="B268" s="545">
        <v>1.0743</v>
      </c>
      <c r="C268">
        <f t="shared" si="4"/>
        <v>2017</v>
      </c>
    </row>
    <row r="269" spans="1:3">
      <c r="A269" s="544">
        <v>42761</v>
      </c>
      <c r="B269" s="545">
        <v>1.07</v>
      </c>
      <c r="C269">
        <f t="shared" si="4"/>
        <v>2017</v>
      </c>
    </row>
    <row r="270" spans="1:3">
      <c r="A270" s="544">
        <v>42762</v>
      </c>
      <c r="B270" s="545">
        <v>1.0681</v>
      </c>
      <c r="C270">
        <f t="shared" si="4"/>
        <v>2017</v>
      </c>
    </row>
    <row r="271" spans="1:3">
      <c r="A271" s="544">
        <v>42765</v>
      </c>
      <c r="B271" s="545">
        <v>1.0629999999999999</v>
      </c>
      <c r="C271">
        <f t="shared" si="4"/>
        <v>2017</v>
      </c>
    </row>
    <row r="272" spans="1:3">
      <c r="A272" s="544">
        <v>42766</v>
      </c>
      <c r="B272" s="545">
        <v>1.0754999999999999</v>
      </c>
      <c r="C272">
        <f t="shared" si="4"/>
        <v>2017</v>
      </c>
    </row>
    <row r="273" spans="1:3">
      <c r="A273" s="544">
        <v>42767</v>
      </c>
      <c r="B273" s="545">
        <v>1.079</v>
      </c>
      <c r="C273">
        <f t="shared" si="4"/>
        <v>2017</v>
      </c>
    </row>
    <row r="274" spans="1:3">
      <c r="A274" s="544">
        <v>42768</v>
      </c>
      <c r="B274" s="545">
        <v>1.0808</v>
      </c>
      <c r="C274">
        <f t="shared" si="4"/>
        <v>2017</v>
      </c>
    </row>
    <row r="275" spans="1:3">
      <c r="A275" s="544">
        <v>42769</v>
      </c>
      <c r="B275" s="545">
        <v>1.0741000000000001</v>
      </c>
      <c r="C275">
        <f t="shared" si="4"/>
        <v>2017</v>
      </c>
    </row>
    <row r="276" spans="1:3">
      <c r="A276" s="544">
        <v>42772</v>
      </c>
      <c r="B276" s="545">
        <v>1.0711999999999999</v>
      </c>
      <c r="C276">
        <f t="shared" si="4"/>
        <v>2017</v>
      </c>
    </row>
    <row r="277" spans="1:3">
      <c r="A277" s="544">
        <v>42773</v>
      </c>
      <c r="B277" s="545">
        <v>1.0674999999999999</v>
      </c>
      <c r="C277">
        <f t="shared" si="4"/>
        <v>2017</v>
      </c>
    </row>
    <row r="278" spans="1:3">
      <c r="A278" s="544">
        <v>42774</v>
      </c>
      <c r="B278" s="545">
        <v>1.0665</v>
      </c>
      <c r="C278">
        <f t="shared" si="4"/>
        <v>2017</v>
      </c>
    </row>
    <row r="279" spans="1:3">
      <c r="A279" s="544">
        <v>42775</v>
      </c>
      <c r="B279" s="545">
        <v>1.0691999999999999</v>
      </c>
      <c r="C279">
        <f t="shared" si="4"/>
        <v>2017</v>
      </c>
    </row>
    <row r="280" spans="1:3">
      <c r="A280" s="544">
        <v>42776</v>
      </c>
      <c r="B280" s="545">
        <v>1.0629</v>
      </c>
      <c r="C280">
        <f t="shared" si="4"/>
        <v>2017</v>
      </c>
    </row>
    <row r="281" spans="1:3">
      <c r="A281" s="544">
        <v>42779</v>
      </c>
      <c r="B281" s="545">
        <v>1.0629</v>
      </c>
      <c r="C281">
        <f t="shared" si="4"/>
        <v>2017</v>
      </c>
    </row>
    <row r="282" spans="1:3">
      <c r="A282" s="544">
        <v>42780</v>
      </c>
      <c r="B282" s="545">
        <v>1.0623</v>
      </c>
      <c r="C282">
        <f t="shared" si="4"/>
        <v>2017</v>
      </c>
    </row>
    <row r="283" spans="1:3">
      <c r="A283" s="544">
        <v>42781</v>
      </c>
      <c r="B283" s="545">
        <v>1.0555000000000001</v>
      </c>
      <c r="C283">
        <f t="shared" si="4"/>
        <v>2017</v>
      </c>
    </row>
    <row r="284" spans="1:3">
      <c r="A284" s="544">
        <v>42782</v>
      </c>
      <c r="B284" s="545">
        <v>1.0651999999999999</v>
      </c>
      <c r="C284">
        <f t="shared" si="4"/>
        <v>2017</v>
      </c>
    </row>
    <row r="285" spans="1:3">
      <c r="A285" s="544">
        <v>42783</v>
      </c>
      <c r="B285" s="545">
        <v>1.0649999999999999</v>
      </c>
      <c r="C285">
        <f t="shared" si="4"/>
        <v>2017</v>
      </c>
    </row>
    <row r="286" spans="1:3">
      <c r="A286" s="544">
        <v>42787</v>
      </c>
      <c r="B286" s="545">
        <v>1.0537000000000001</v>
      </c>
      <c r="C286">
        <f t="shared" si="4"/>
        <v>2017</v>
      </c>
    </row>
    <row r="287" spans="1:3">
      <c r="A287" s="544">
        <v>42788</v>
      </c>
      <c r="B287" s="545">
        <v>1.0512999999999999</v>
      </c>
      <c r="C287">
        <f t="shared" si="4"/>
        <v>2017</v>
      </c>
    </row>
    <row r="288" spans="1:3">
      <c r="A288" s="544">
        <v>42789</v>
      </c>
      <c r="B288" s="545">
        <v>1.0572999999999999</v>
      </c>
      <c r="C288">
        <f t="shared" si="4"/>
        <v>2017</v>
      </c>
    </row>
    <row r="289" spans="1:3">
      <c r="A289" s="544">
        <v>42790</v>
      </c>
      <c r="B289" s="545">
        <v>1.0609</v>
      </c>
      <c r="C289">
        <f t="shared" si="4"/>
        <v>2017</v>
      </c>
    </row>
    <row r="290" spans="1:3">
      <c r="A290" s="544">
        <v>42793</v>
      </c>
      <c r="B290" s="545">
        <v>1.0587</v>
      </c>
      <c r="C290">
        <f t="shared" si="4"/>
        <v>2017</v>
      </c>
    </row>
    <row r="291" spans="1:3">
      <c r="A291" s="544">
        <v>42794</v>
      </c>
      <c r="B291" s="545">
        <v>1.0597000000000001</v>
      </c>
      <c r="C291">
        <f t="shared" si="4"/>
        <v>2017</v>
      </c>
    </row>
    <row r="292" spans="1:3">
      <c r="A292" s="544">
        <v>42795</v>
      </c>
      <c r="B292" s="545">
        <v>1.0532999999999999</v>
      </c>
      <c r="C292">
        <f t="shared" si="4"/>
        <v>2017</v>
      </c>
    </row>
    <row r="293" spans="1:3">
      <c r="A293" s="544">
        <v>42796</v>
      </c>
      <c r="B293" s="545">
        <v>1.0513999999999999</v>
      </c>
      <c r="C293">
        <f t="shared" si="4"/>
        <v>2017</v>
      </c>
    </row>
    <row r="294" spans="1:3">
      <c r="A294" s="544">
        <v>42797</v>
      </c>
      <c r="B294" s="545">
        <v>1.0565</v>
      </c>
      <c r="C294">
        <f t="shared" si="4"/>
        <v>2017</v>
      </c>
    </row>
    <row r="295" spans="1:3">
      <c r="A295" s="544">
        <v>42800</v>
      </c>
      <c r="B295" s="545">
        <v>1.0591999999999999</v>
      </c>
      <c r="C295">
        <f t="shared" si="4"/>
        <v>2017</v>
      </c>
    </row>
    <row r="296" spans="1:3">
      <c r="A296" s="544">
        <v>42801</v>
      </c>
      <c r="B296" s="545">
        <v>1.0576000000000001</v>
      </c>
      <c r="C296">
        <f t="shared" si="4"/>
        <v>2017</v>
      </c>
    </row>
    <row r="297" spans="1:3">
      <c r="A297" s="544">
        <v>42802</v>
      </c>
      <c r="B297" s="545">
        <v>1.0556000000000001</v>
      </c>
      <c r="C297">
        <f t="shared" si="4"/>
        <v>2017</v>
      </c>
    </row>
    <row r="298" spans="1:3">
      <c r="A298" s="544">
        <v>42803</v>
      </c>
      <c r="B298" s="545">
        <v>1.0550999999999999</v>
      </c>
      <c r="C298">
        <f t="shared" si="4"/>
        <v>2017</v>
      </c>
    </row>
    <row r="299" spans="1:3">
      <c r="A299" s="544">
        <v>42804</v>
      </c>
      <c r="B299" s="545">
        <v>1.0606</v>
      </c>
      <c r="C299">
        <f t="shared" si="4"/>
        <v>2017</v>
      </c>
    </row>
    <row r="300" spans="1:3">
      <c r="A300" s="544">
        <v>42807</v>
      </c>
      <c r="B300" s="545">
        <v>1.0663</v>
      </c>
      <c r="C300">
        <f t="shared" si="4"/>
        <v>2017</v>
      </c>
    </row>
    <row r="301" spans="1:3">
      <c r="A301" s="544">
        <v>42808</v>
      </c>
      <c r="B301" s="545">
        <v>1.0630999999999999</v>
      </c>
      <c r="C301">
        <f t="shared" si="4"/>
        <v>2017</v>
      </c>
    </row>
    <row r="302" spans="1:3">
      <c r="A302" s="544">
        <v>42809</v>
      </c>
      <c r="B302" s="545">
        <v>1.0622</v>
      </c>
      <c r="C302">
        <f t="shared" si="4"/>
        <v>2017</v>
      </c>
    </row>
    <row r="303" spans="1:3">
      <c r="A303" s="544">
        <v>42810</v>
      </c>
      <c r="B303" s="545">
        <v>1.0726</v>
      </c>
      <c r="C303">
        <f t="shared" si="4"/>
        <v>2017</v>
      </c>
    </row>
    <row r="304" spans="1:3">
      <c r="A304" s="544">
        <v>42811</v>
      </c>
      <c r="B304" s="545">
        <v>1.0737000000000001</v>
      </c>
      <c r="C304">
        <f t="shared" si="4"/>
        <v>2017</v>
      </c>
    </row>
    <row r="305" spans="1:3">
      <c r="A305" s="544">
        <v>42814</v>
      </c>
      <c r="B305" s="545">
        <v>1.0751999999999999</v>
      </c>
      <c r="C305">
        <f t="shared" si="4"/>
        <v>2017</v>
      </c>
    </row>
    <row r="306" spans="1:3">
      <c r="A306" s="544">
        <v>42815</v>
      </c>
      <c r="B306" s="545">
        <v>1.0802</v>
      </c>
      <c r="C306">
        <f t="shared" si="4"/>
        <v>2017</v>
      </c>
    </row>
    <row r="307" spans="1:3">
      <c r="A307" s="544">
        <v>42816</v>
      </c>
      <c r="B307" s="545">
        <v>1.0807</v>
      </c>
      <c r="C307">
        <f t="shared" si="4"/>
        <v>2017</v>
      </c>
    </row>
    <row r="308" spans="1:3">
      <c r="A308" s="544">
        <v>42817</v>
      </c>
      <c r="B308" s="545">
        <v>1.0786</v>
      </c>
      <c r="C308">
        <f t="shared" si="4"/>
        <v>2017</v>
      </c>
    </row>
    <row r="309" spans="1:3">
      <c r="A309" s="544">
        <v>42818</v>
      </c>
      <c r="B309" s="545">
        <v>1.0805</v>
      </c>
      <c r="C309">
        <f t="shared" si="4"/>
        <v>2017</v>
      </c>
    </row>
    <row r="310" spans="1:3">
      <c r="A310" s="544">
        <v>42821</v>
      </c>
      <c r="B310" s="545">
        <v>1.0889</v>
      </c>
      <c r="C310">
        <f t="shared" si="4"/>
        <v>2017</v>
      </c>
    </row>
    <row r="311" spans="1:3">
      <c r="A311" s="544">
        <v>42822</v>
      </c>
      <c r="B311" s="545">
        <v>1.0859000000000001</v>
      </c>
      <c r="C311">
        <f t="shared" si="4"/>
        <v>2017</v>
      </c>
    </row>
    <row r="312" spans="1:3">
      <c r="A312" s="544">
        <v>42823</v>
      </c>
      <c r="B312" s="545">
        <v>1.0748</v>
      </c>
      <c r="C312">
        <f t="shared" si="4"/>
        <v>2017</v>
      </c>
    </row>
    <row r="313" spans="1:3">
      <c r="A313" s="544">
        <v>42824</v>
      </c>
      <c r="B313" s="545">
        <v>1.0737000000000001</v>
      </c>
      <c r="C313">
        <f t="shared" si="4"/>
        <v>2017</v>
      </c>
    </row>
    <row r="314" spans="1:3">
      <c r="A314" s="544">
        <v>42825</v>
      </c>
      <c r="B314" s="545">
        <v>1.0690999999999999</v>
      </c>
      <c r="C314">
        <f t="shared" si="4"/>
        <v>2017</v>
      </c>
    </row>
    <row r="315" spans="1:3">
      <c r="A315" s="544">
        <v>42828</v>
      </c>
      <c r="B315" s="545">
        <v>1.0661</v>
      </c>
      <c r="C315">
        <f t="shared" si="4"/>
        <v>2017</v>
      </c>
    </row>
    <row r="316" spans="1:3">
      <c r="A316" s="544">
        <v>42829</v>
      </c>
      <c r="B316" s="545">
        <v>1.0650999999999999</v>
      </c>
      <c r="C316">
        <f t="shared" si="4"/>
        <v>2017</v>
      </c>
    </row>
    <row r="317" spans="1:3">
      <c r="A317" s="544">
        <v>42830</v>
      </c>
      <c r="B317" s="545">
        <v>1.0678000000000001</v>
      </c>
      <c r="C317">
        <f t="shared" si="4"/>
        <v>2017</v>
      </c>
    </row>
    <row r="318" spans="1:3">
      <c r="A318" s="544">
        <v>42831</v>
      </c>
      <c r="B318" s="545">
        <v>1.0666</v>
      </c>
      <c r="C318">
        <f t="shared" si="4"/>
        <v>2017</v>
      </c>
    </row>
    <row r="319" spans="1:3">
      <c r="A319" s="544">
        <v>42832</v>
      </c>
      <c r="B319" s="545">
        <v>1.0629999999999999</v>
      </c>
      <c r="C319">
        <f t="shared" si="4"/>
        <v>2017</v>
      </c>
    </row>
    <row r="320" spans="1:3">
      <c r="A320" s="544">
        <v>42835</v>
      </c>
      <c r="B320" s="545">
        <v>1.0578000000000001</v>
      </c>
      <c r="C320">
        <f t="shared" si="4"/>
        <v>2017</v>
      </c>
    </row>
    <row r="321" spans="1:3">
      <c r="A321" s="544">
        <v>42836</v>
      </c>
      <c r="B321" s="545">
        <v>1.0616000000000001</v>
      </c>
      <c r="C321">
        <f t="shared" si="4"/>
        <v>2017</v>
      </c>
    </row>
    <row r="322" spans="1:3">
      <c r="A322" s="544">
        <v>42837</v>
      </c>
      <c r="B322" s="545">
        <v>1.0605</v>
      </c>
      <c r="C322">
        <f t="shared" si="4"/>
        <v>2017</v>
      </c>
    </row>
    <row r="323" spans="1:3">
      <c r="A323" s="544">
        <v>42838</v>
      </c>
      <c r="B323" s="545">
        <v>1.0629999999999999</v>
      </c>
      <c r="C323">
        <f t="shared" si="4"/>
        <v>2017</v>
      </c>
    </row>
    <row r="324" spans="1:3">
      <c r="A324" s="544">
        <v>42843</v>
      </c>
      <c r="B324" s="545">
        <v>1.0682</v>
      </c>
      <c r="C324">
        <f t="shared" si="4"/>
        <v>2017</v>
      </c>
    </row>
    <row r="325" spans="1:3">
      <c r="A325" s="544">
        <v>42844</v>
      </c>
      <c r="B325" s="545">
        <v>1.0725</v>
      </c>
      <c r="C325">
        <f t="shared" si="4"/>
        <v>2017</v>
      </c>
    </row>
    <row r="326" spans="1:3">
      <c r="A326" s="544">
        <v>42845</v>
      </c>
      <c r="B326" s="545">
        <v>1.0745</v>
      </c>
      <c r="C326">
        <f t="shared" ref="C326:C389" si="5">YEAR(A326)</f>
        <v>2017</v>
      </c>
    </row>
    <row r="327" spans="1:3">
      <c r="A327" s="544">
        <v>42846</v>
      </c>
      <c r="B327" s="545">
        <v>1.0698000000000001</v>
      </c>
      <c r="C327">
        <f t="shared" si="5"/>
        <v>2017</v>
      </c>
    </row>
    <row r="328" spans="1:3">
      <c r="A328" s="544">
        <v>42849</v>
      </c>
      <c r="B328" s="545">
        <v>1.0848</v>
      </c>
      <c r="C328">
        <f t="shared" si="5"/>
        <v>2017</v>
      </c>
    </row>
    <row r="329" spans="1:3">
      <c r="A329" s="544">
        <v>42850</v>
      </c>
      <c r="B329" s="545">
        <v>1.0891</v>
      </c>
      <c r="C329">
        <f t="shared" si="5"/>
        <v>2017</v>
      </c>
    </row>
    <row r="330" spans="1:3">
      <c r="A330" s="544">
        <v>42851</v>
      </c>
      <c r="B330" s="545">
        <v>1.0892999999999999</v>
      </c>
      <c r="C330">
        <f t="shared" si="5"/>
        <v>2017</v>
      </c>
    </row>
    <row r="331" spans="1:3">
      <c r="A331" s="544">
        <v>42852</v>
      </c>
      <c r="B331" s="545">
        <v>1.0881000000000001</v>
      </c>
      <c r="C331">
        <f t="shared" si="5"/>
        <v>2017</v>
      </c>
    </row>
    <row r="332" spans="1:3">
      <c r="A332" s="544">
        <v>42853</v>
      </c>
      <c r="B332" s="545">
        <v>1.093</v>
      </c>
      <c r="C332">
        <f t="shared" si="5"/>
        <v>2017</v>
      </c>
    </row>
    <row r="333" spans="1:3">
      <c r="A333" s="544">
        <v>42857</v>
      </c>
      <c r="B333" s="545">
        <v>1.0914999999999999</v>
      </c>
      <c r="C333">
        <f t="shared" si="5"/>
        <v>2017</v>
      </c>
    </row>
    <row r="334" spans="1:3">
      <c r="A334" s="544">
        <v>42858</v>
      </c>
      <c r="B334" s="545">
        <v>1.0919000000000001</v>
      </c>
      <c r="C334">
        <f t="shared" si="5"/>
        <v>2017</v>
      </c>
    </row>
    <row r="335" spans="1:3">
      <c r="A335" s="544">
        <v>42859</v>
      </c>
      <c r="B335" s="545">
        <v>1.0927</v>
      </c>
      <c r="C335">
        <f t="shared" si="5"/>
        <v>2017</v>
      </c>
    </row>
    <row r="336" spans="1:3">
      <c r="A336" s="544">
        <v>42860</v>
      </c>
      <c r="B336" s="545">
        <v>1.0961000000000001</v>
      </c>
      <c r="C336">
        <f t="shared" si="5"/>
        <v>2017</v>
      </c>
    </row>
    <row r="337" spans="1:3">
      <c r="A337" s="544">
        <v>42863</v>
      </c>
      <c r="B337" s="545">
        <v>1.0938000000000001</v>
      </c>
      <c r="C337">
        <f t="shared" si="5"/>
        <v>2017</v>
      </c>
    </row>
    <row r="338" spans="1:3">
      <c r="A338" s="544">
        <v>42864</v>
      </c>
      <c r="B338" s="545">
        <v>1.0888</v>
      </c>
      <c r="C338">
        <f t="shared" si="5"/>
        <v>2017</v>
      </c>
    </row>
    <row r="339" spans="1:3">
      <c r="A339" s="544">
        <v>42865</v>
      </c>
      <c r="B339" s="545">
        <v>1.0882000000000001</v>
      </c>
      <c r="C339">
        <f t="shared" si="5"/>
        <v>2017</v>
      </c>
    </row>
    <row r="340" spans="1:3">
      <c r="A340" s="544">
        <v>42866</v>
      </c>
      <c r="B340" s="545">
        <v>1.0860000000000001</v>
      </c>
      <c r="C340">
        <f t="shared" si="5"/>
        <v>2017</v>
      </c>
    </row>
    <row r="341" spans="1:3">
      <c r="A341" s="544">
        <v>42867</v>
      </c>
      <c r="B341" s="545">
        <v>1.0875999999999999</v>
      </c>
      <c r="C341">
        <f t="shared" si="5"/>
        <v>2017</v>
      </c>
    </row>
    <row r="342" spans="1:3">
      <c r="A342" s="544">
        <v>42870</v>
      </c>
      <c r="B342" s="545">
        <v>1.0972</v>
      </c>
      <c r="C342">
        <f t="shared" si="5"/>
        <v>2017</v>
      </c>
    </row>
    <row r="343" spans="1:3">
      <c r="A343" s="544">
        <v>42871</v>
      </c>
      <c r="B343" s="545">
        <v>1.1059000000000001</v>
      </c>
      <c r="C343">
        <f t="shared" si="5"/>
        <v>2017</v>
      </c>
    </row>
    <row r="344" spans="1:3">
      <c r="A344" s="544">
        <v>42872</v>
      </c>
      <c r="B344" s="545">
        <v>1.1116999999999999</v>
      </c>
      <c r="C344">
        <f t="shared" si="5"/>
        <v>2017</v>
      </c>
    </row>
    <row r="345" spans="1:3">
      <c r="A345" s="544">
        <v>42873</v>
      </c>
      <c r="B345" s="545">
        <v>1.1129</v>
      </c>
      <c r="C345">
        <f t="shared" si="5"/>
        <v>2017</v>
      </c>
    </row>
    <row r="346" spans="1:3">
      <c r="A346" s="544">
        <v>42874</v>
      </c>
      <c r="B346" s="545">
        <v>1.1178999999999999</v>
      </c>
      <c r="C346">
        <f t="shared" si="5"/>
        <v>2017</v>
      </c>
    </row>
    <row r="347" spans="1:3">
      <c r="A347" s="544">
        <v>42877</v>
      </c>
      <c r="B347" s="545">
        <v>1.1243000000000001</v>
      </c>
      <c r="C347">
        <f t="shared" si="5"/>
        <v>2017</v>
      </c>
    </row>
    <row r="348" spans="1:3">
      <c r="A348" s="544">
        <v>42878</v>
      </c>
      <c r="B348" s="545">
        <v>1.1214999999999999</v>
      </c>
      <c r="C348">
        <f t="shared" si="5"/>
        <v>2017</v>
      </c>
    </row>
    <row r="349" spans="1:3">
      <c r="A349" s="544">
        <v>42879</v>
      </c>
      <c r="B349" s="545">
        <v>1.1193</v>
      </c>
      <c r="C349">
        <f t="shared" si="5"/>
        <v>2017</v>
      </c>
    </row>
    <row r="350" spans="1:3">
      <c r="A350" s="544">
        <v>42880</v>
      </c>
      <c r="B350" s="545">
        <v>1.1214</v>
      </c>
      <c r="C350">
        <f t="shared" si="5"/>
        <v>2017</v>
      </c>
    </row>
    <row r="351" spans="1:3">
      <c r="A351" s="544">
        <v>42881</v>
      </c>
      <c r="B351" s="545">
        <v>1.1195999999999999</v>
      </c>
      <c r="C351">
        <f t="shared" si="5"/>
        <v>2017</v>
      </c>
    </row>
    <row r="352" spans="1:3">
      <c r="A352" s="544">
        <v>42885</v>
      </c>
      <c r="B352" s="545">
        <v>1.1173</v>
      </c>
      <c r="C352">
        <f t="shared" si="5"/>
        <v>2017</v>
      </c>
    </row>
    <row r="353" spans="1:3">
      <c r="A353" s="544">
        <v>42886</v>
      </c>
      <c r="B353" s="545">
        <v>1.1221000000000001</v>
      </c>
      <c r="C353">
        <f t="shared" si="5"/>
        <v>2017</v>
      </c>
    </row>
    <row r="354" spans="1:3">
      <c r="A354" s="544">
        <v>42887</v>
      </c>
      <c r="B354" s="545">
        <v>1.1218999999999999</v>
      </c>
      <c r="C354">
        <f t="shared" si="5"/>
        <v>2017</v>
      </c>
    </row>
    <row r="355" spans="1:3">
      <c r="A355" s="544">
        <v>42888</v>
      </c>
      <c r="B355" s="545">
        <v>1.1216999999999999</v>
      </c>
      <c r="C355">
        <f t="shared" si="5"/>
        <v>2017</v>
      </c>
    </row>
    <row r="356" spans="1:3">
      <c r="A356" s="544">
        <v>42891</v>
      </c>
      <c r="B356" s="545">
        <v>1.1249</v>
      </c>
      <c r="C356">
        <f t="shared" si="5"/>
        <v>2017</v>
      </c>
    </row>
    <row r="357" spans="1:3">
      <c r="A357" s="544">
        <v>42892</v>
      </c>
      <c r="B357" s="545">
        <v>1.1257999999999999</v>
      </c>
      <c r="C357">
        <f t="shared" si="5"/>
        <v>2017</v>
      </c>
    </row>
    <row r="358" spans="1:3">
      <c r="A358" s="544">
        <v>42893</v>
      </c>
      <c r="B358" s="545">
        <v>1.1216999999999999</v>
      </c>
      <c r="C358">
        <f t="shared" si="5"/>
        <v>2017</v>
      </c>
    </row>
    <row r="359" spans="1:3">
      <c r="A359" s="544">
        <v>42894</v>
      </c>
      <c r="B359" s="545">
        <v>1.1229</v>
      </c>
      <c r="C359">
        <f t="shared" si="5"/>
        <v>2017</v>
      </c>
    </row>
    <row r="360" spans="1:3">
      <c r="A360" s="544">
        <v>42895</v>
      </c>
      <c r="B360" s="545">
        <v>1.1175999999999999</v>
      </c>
      <c r="C360">
        <f t="shared" si="5"/>
        <v>2017</v>
      </c>
    </row>
    <row r="361" spans="1:3">
      <c r="A361" s="544">
        <v>42898</v>
      </c>
      <c r="B361" s="545">
        <v>1.1221000000000001</v>
      </c>
      <c r="C361">
        <f t="shared" si="5"/>
        <v>2017</v>
      </c>
    </row>
    <row r="362" spans="1:3">
      <c r="A362" s="544">
        <v>42899</v>
      </c>
      <c r="B362" s="545">
        <v>1.1216999999999999</v>
      </c>
      <c r="C362">
        <f t="shared" si="5"/>
        <v>2017</v>
      </c>
    </row>
    <row r="363" spans="1:3">
      <c r="A363" s="544">
        <v>42900</v>
      </c>
      <c r="B363" s="545">
        <v>1.1203000000000001</v>
      </c>
      <c r="C363">
        <f t="shared" si="5"/>
        <v>2017</v>
      </c>
    </row>
    <row r="364" spans="1:3">
      <c r="A364" s="544">
        <v>42901</v>
      </c>
      <c r="B364" s="545">
        <v>1.1166</v>
      </c>
      <c r="C364">
        <f t="shared" si="5"/>
        <v>2017</v>
      </c>
    </row>
    <row r="365" spans="1:3">
      <c r="A365" s="544">
        <v>42902</v>
      </c>
      <c r="B365" s="545">
        <v>1.1167</v>
      </c>
      <c r="C365">
        <f t="shared" si="5"/>
        <v>2017</v>
      </c>
    </row>
    <row r="366" spans="1:3">
      <c r="A366" s="544">
        <v>42905</v>
      </c>
      <c r="B366" s="545">
        <v>1.1198999999999999</v>
      </c>
      <c r="C366">
        <f t="shared" si="5"/>
        <v>2017</v>
      </c>
    </row>
    <row r="367" spans="1:3">
      <c r="A367" s="544">
        <v>42906</v>
      </c>
      <c r="B367" s="545">
        <v>1.1155999999999999</v>
      </c>
      <c r="C367">
        <f t="shared" si="5"/>
        <v>2017</v>
      </c>
    </row>
    <row r="368" spans="1:3">
      <c r="A368" s="544">
        <v>42907</v>
      </c>
      <c r="B368" s="545">
        <v>1.1147</v>
      </c>
      <c r="C368">
        <f t="shared" si="5"/>
        <v>2017</v>
      </c>
    </row>
    <row r="369" spans="1:3">
      <c r="A369" s="544">
        <v>42908</v>
      </c>
      <c r="B369" s="545">
        <v>1.1169</v>
      </c>
      <c r="C369">
        <f t="shared" si="5"/>
        <v>2017</v>
      </c>
    </row>
    <row r="370" spans="1:3">
      <c r="A370" s="544">
        <v>42909</v>
      </c>
      <c r="B370" s="545">
        <v>1.1173</v>
      </c>
      <c r="C370">
        <f t="shared" si="5"/>
        <v>2017</v>
      </c>
    </row>
    <row r="371" spans="1:3">
      <c r="A371" s="544">
        <v>42912</v>
      </c>
      <c r="B371" s="545">
        <v>1.1187</v>
      </c>
      <c r="C371">
        <f t="shared" si="5"/>
        <v>2017</v>
      </c>
    </row>
    <row r="372" spans="1:3">
      <c r="A372" s="544">
        <v>42913</v>
      </c>
      <c r="B372" s="545">
        <v>1.1277999999999999</v>
      </c>
      <c r="C372">
        <f t="shared" si="5"/>
        <v>2017</v>
      </c>
    </row>
    <row r="373" spans="1:3">
      <c r="A373" s="544">
        <v>42914</v>
      </c>
      <c r="B373" s="545">
        <v>1.1375</v>
      </c>
      <c r="C373">
        <f t="shared" si="5"/>
        <v>2017</v>
      </c>
    </row>
    <row r="374" spans="1:3">
      <c r="A374" s="544">
        <v>42915</v>
      </c>
      <c r="B374" s="545">
        <v>1.1413</v>
      </c>
      <c r="C374">
        <f t="shared" si="5"/>
        <v>2017</v>
      </c>
    </row>
    <row r="375" spans="1:3">
      <c r="A375" s="544">
        <v>42916</v>
      </c>
      <c r="B375" s="545">
        <v>1.1412</v>
      </c>
      <c r="C375">
        <f t="shared" si="5"/>
        <v>2017</v>
      </c>
    </row>
    <row r="376" spans="1:3">
      <c r="A376" s="544">
        <v>42919</v>
      </c>
      <c r="B376" s="545">
        <v>1.1369</v>
      </c>
      <c r="C376">
        <f t="shared" si="5"/>
        <v>2017</v>
      </c>
    </row>
    <row r="377" spans="1:3">
      <c r="A377" s="544">
        <v>42921</v>
      </c>
      <c r="B377" s="545">
        <v>1.1329</v>
      </c>
      <c r="C377">
        <f t="shared" si="5"/>
        <v>2017</v>
      </c>
    </row>
    <row r="378" spans="1:3">
      <c r="A378" s="544">
        <v>42922</v>
      </c>
      <c r="B378" s="545">
        <v>1.1385000000000001</v>
      </c>
      <c r="C378">
        <f t="shared" si="5"/>
        <v>2017</v>
      </c>
    </row>
    <row r="379" spans="1:3">
      <c r="A379" s="544">
        <v>42923</v>
      </c>
      <c r="B379" s="545">
        <v>1.1412</v>
      </c>
      <c r="C379">
        <f t="shared" si="5"/>
        <v>2017</v>
      </c>
    </row>
    <row r="380" spans="1:3">
      <c r="A380" s="544">
        <v>42926</v>
      </c>
      <c r="B380" s="545">
        <v>1.1387</v>
      </c>
      <c r="C380">
        <f t="shared" si="5"/>
        <v>2017</v>
      </c>
    </row>
    <row r="381" spans="1:3">
      <c r="A381" s="544">
        <v>42927</v>
      </c>
      <c r="B381" s="545">
        <v>1.1405000000000001</v>
      </c>
      <c r="C381">
        <f t="shared" si="5"/>
        <v>2017</v>
      </c>
    </row>
    <row r="382" spans="1:3">
      <c r="A382" s="544">
        <v>42928</v>
      </c>
      <c r="B382" s="545">
        <v>1.1449</v>
      </c>
      <c r="C382">
        <f t="shared" si="5"/>
        <v>2017</v>
      </c>
    </row>
    <row r="383" spans="1:3">
      <c r="A383" s="544">
        <v>42929</v>
      </c>
      <c r="B383" s="545">
        <v>1.1416999999999999</v>
      </c>
      <c r="C383">
        <f t="shared" si="5"/>
        <v>2017</v>
      </c>
    </row>
    <row r="384" spans="1:3">
      <c r="A384" s="544">
        <v>42930</v>
      </c>
      <c r="B384" s="545">
        <v>1.1415</v>
      </c>
      <c r="C384">
        <f t="shared" si="5"/>
        <v>2017</v>
      </c>
    </row>
    <row r="385" spans="1:3">
      <c r="A385" s="544">
        <v>42933</v>
      </c>
      <c r="B385" s="545">
        <v>1.1462000000000001</v>
      </c>
      <c r="C385">
        <f t="shared" si="5"/>
        <v>2017</v>
      </c>
    </row>
    <row r="386" spans="1:3">
      <c r="A386" s="544">
        <v>42934</v>
      </c>
      <c r="B386" s="545">
        <v>1.1555</v>
      </c>
      <c r="C386">
        <f t="shared" si="5"/>
        <v>2017</v>
      </c>
    </row>
    <row r="387" spans="1:3">
      <c r="A387" s="544">
        <v>42935</v>
      </c>
      <c r="B387" s="545">
        <v>1.1533</v>
      </c>
      <c r="C387">
        <f t="shared" si="5"/>
        <v>2017</v>
      </c>
    </row>
    <row r="388" spans="1:3">
      <c r="A388" s="544">
        <v>42936</v>
      </c>
      <c r="B388" s="545">
        <v>1.1485000000000001</v>
      </c>
      <c r="C388">
        <f t="shared" si="5"/>
        <v>2017</v>
      </c>
    </row>
    <row r="389" spans="1:3">
      <c r="A389" s="544">
        <v>42937</v>
      </c>
      <c r="B389" s="545">
        <v>1.1641999999999999</v>
      </c>
      <c r="C389">
        <f t="shared" si="5"/>
        <v>2017</v>
      </c>
    </row>
    <row r="390" spans="1:3">
      <c r="A390" s="544">
        <v>42940</v>
      </c>
      <c r="B390" s="545">
        <v>1.1648000000000001</v>
      </c>
      <c r="C390">
        <f t="shared" ref="C390:C453" si="6">YEAR(A390)</f>
        <v>2017</v>
      </c>
    </row>
    <row r="391" spans="1:3">
      <c r="A391" s="544">
        <v>42941</v>
      </c>
      <c r="B391" s="545">
        <v>1.1694</v>
      </c>
      <c r="C391">
        <f t="shared" si="6"/>
        <v>2017</v>
      </c>
    </row>
    <row r="392" spans="1:3">
      <c r="A392" s="544">
        <v>42942</v>
      </c>
      <c r="B392" s="545">
        <v>1.1644000000000001</v>
      </c>
      <c r="C392">
        <f t="shared" si="6"/>
        <v>2017</v>
      </c>
    </row>
    <row r="393" spans="1:3">
      <c r="A393" s="544">
        <v>42943</v>
      </c>
      <c r="B393" s="545">
        <v>1.1694</v>
      </c>
      <c r="C393">
        <f t="shared" si="6"/>
        <v>2017</v>
      </c>
    </row>
    <row r="394" spans="1:3">
      <c r="A394" s="544">
        <v>42944</v>
      </c>
      <c r="B394" s="545">
        <v>1.1729000000000001</v>
      </c>
      <c r="C394">
        <f t="shared" si="6"/>
        <v>2017</v>
      </c>
    </row>
    <row r="395" spans="1:3">
      <c r="A395" s="544">
        <v>42947</v>
      </c>
      <c r="B395" s="545">
        <v>1.1727000000000001</v>
      </c>
      <c r="C395">
        <f t="shared" si="6"/>
        <v>2017</v>
      </c>
    </row>
    <row r="396" spans="1:3">
      <c r="A396" s="544">
        <v>42948</v>
      </c>
      <c r="B396" s="545">
        <v>1.1812</v>
      </c>
      <c r="C396">
        <f t="shared" si="6"/>
        <v>2017</v>
      </c>
    </row>
    <row r="397" spans="1:3">
      <c r="A397" s="544">
        <v>42949</v>
      </c>
      <c r="B397" s="545">
        <v>1.1829000000000001</v>
      </c>
      <c r="C397">
        <f t="shared" si="6"/>
        <v>2017</v>
      </c>
    </row>
    <row r="398" spans="1:3">
      <c r="A398" s="544">
        <v>42950</v>
      </c>
      <c r="B398" s="545">
        <v>1.1859999999999999</v>
      </c>
      <c r="C398">
        <f t="shared" si="6"/>
        <v>2017</v>
      </c>
    </row>
    <row r="399" spans="1:3">
      <c r="A399" s="544">
        <v>42951</v>
      </c>
      <c r="B399" s="545">
        <v>1.1868000000000001</v>
      </c>
      <c r="C399">
        <f t="shared" si="6"/>
        <v>2017</v>
      </c>
    </row>
    <row r="400" spans="1:3">
      <c r="A400" s="544">
        <v>42954</v>
      </c>
      <c r="B400" s="545">
        <v>1.1797</v>
      </c>
      <c r="C400">
        <f t="shared" si="6"/>
        <v>2017</v>
      </c>
    </row>
    <row r="401" spans="1:3">
      <c r="A401" s="544">
        <v>42955</v>
      </c>
      <c r="B401" s="545">
        <v>1.1814</v>
      </c>
      <c r="C401">
        <f t="shared" si="6"/>
        <v>2017</v>
      </c>
    </row>
    <row r="402" spans="1:3">
      <c r="A402" s="544">
        <v>42956</v>
      </c>
      <c r="B402" s="545">
        <v>1.1731</v>
      </c>
      <c r="C402">
        <f t="shared" si="6"/>
        <v>2017</v>
      </c>
    </row>
    <row r="403" spans="1:3">
      <c r="A403" s="544">
        <v>42957</v>
      </c>
      <c r="B403" s="545">
        <v>1.1732</v>
      </c>
      <c r="C403">
        <f t="shared" si="6"/>
        <v>2017</v>
      </c>
    </row>
    <row r="404" spans="1:3">
      <c r="A404" s="544">
        <v>42958</v>
      </c>
      <c r="B404" s="545">
        <v>1.1765000000000001</v>
      </c>
      <c r="C404">
        <f t="shared" si="6"/>
        <v>2017</v>
      </c>
    </row>
    <row r="405" spans="1:3">
      <c r="A405" s="544">
        <v>42961</v>
      </c>
      <c r="B405" s="545">
        <v>1.1797</v>
      </c>
      <c r="C405">
        <f t="shared" si="6"/>
        <v>2017</v>
      </c>
    </row>
    <row r="406" spans="1:3">
      <c r="A406" s="544">
        <v>42962</v>
      </c>
      <c r="B406" s="545">
        <v>1.1744000000000001</v>
      </c>
      <c r="C406">
        <f t="shared" si="6"/>
        <v>2017</v>
      </c>
    </row>
    <row r="407" spans="1:3">
      <c r="A407" s="544">
        <v>42963</v>
      </c>
      <c r="B407" s="545">
        <v>1.171</v>
      </c>
      <c r="C407">
        <f t="shared" si="6"/>
        <v>2017</v>
      </c>
    </row>
    <row r="408" spans="1:3">
      <c r="A408" s="544">
        <v>42964</v>
      </c>
      <c r="B408" s="545">
        <v>1.1697</v>
      </c>
      <c r="C408">
        <f t="shared" si="6"/>
        <v>2017</v>
      </c>
    </row>
    <row r="409" spans="1:3">
      <c r="A409" s="544">
        <v>42965</v>
      </c>
      <c r="B409" s="545">
        <v>1.1739999999999999</v>
      </c>
      <c r="C409">
        <f t="shared" si="6"/>
        <v>2017</v>
      </c>
    </row>
    <row r="410" spans="1:3">
      <c r="A410" s="544">
        <v>42968</v>
      </c>
      <c r="B410" s="545">
        <v>1.1760999999999999</v>
      </c>
      <c r="C410">
        <f t="shared" si="6"/>
        <v>2017</v>
      </c>
    </row>
    <row r="411" spans="1:3">
      <c r="A411" s="544">
        <v>42969</v>
      </c>
      <c r="B411" s="545">
        <v>1.1771</v>
      </c>
      <c r="C411">
        <f t="shared" si="6"/>
        <v>2017</v>
      </c>
    </row>
    <row r="412" spans="1:3">
      <c r="A412" s="544">
        <v>42970</v>
      </c>
      <c r="B412" s="545">
        <v>1.1798999999999999</v>
      </c>
      <c r="C412">
        <f t="shared" si="6"/>
        <v>2017</v>
      </c>
    </row>
    <row r="413" spans="1:3">
      <c r="A413" s="544">
        <v>42971</v>
      </c>
      <c r="B413" s="545">
        <v>1.1806000000000001</v>
      </c>
      <c r="C413">
        <f t="shared" si="6"/>
        <v>2017</v>
      </c>
    </row>
    <row r="414" spans="1:3">
      <c r="A414" s="544">
        <v>42972</v>
      </c>
      <c r="B414" s="545">
        <v>1.1808000000000001</v>
      </c>
      <c r="C414">
        <f t="shared" si="6"/>
        <v>2017</v>
      </c>
    </row>
    <row r="415" spans="1:3">
      <c r="A415" s="544">
        <v>42975</v>
      </c>
      <c r="B415" s="545">
        <v>1.1924999999999999</v>
      </c>
      <c r="C415">
        <f t="shared" si="6"/>
        <v>2017</v>
      </c>
    </row>
    <row r="416" spans="1:3">
      <c r="A416" s="544">
        <v>42976</v>
      </c>
      <c r="B416" s="545">
        <v>1.2048000000000001</v>
      </c>
      <c r="C416">
        <f t="shared" si="6"/>
        <v>2017</v>
      </c>
    </row>
    <row r="417" spans="1:3">
      <c r="A417" s="544">
        <v>42977</v>
      </c>
      <c r="B417" s="545">
        <v>1.1916</v>
      </c>
      <c r="C417">
        <f t="shared" si="6"/>
        <v>2017</v>
      </c>
    </row>
    <row r="418" spans="1:3">
      <c r="A418" s="544">
        <v>42978</v>
      </c>
      <c r="B418" s="545">
        <v>1.1825000000000001</v>
      </c>
      <c r="C418">
        <f t="shared" si="6"/>
        <v>2017</v>
      </c>
    </row>
    <row r="419" spans="1:3">
      <c r="A419" s="544">
        <v>42979</v>
      </c>
      <c r="B419" s="545">
        <v>1.1919999999999999</v>
      </c>
      <c r="C419">
        <f t="shared" si="6"/>
        <v>2017</v>
      </c>
    </row>
    <row r="420" spans="1:3">
      <c r="A420" s="544">
        <v>42983</v>
      </c>
      <c r="B420" s="545">
        <v>1.1890000000000001</v>
      </c>
      <c r="C420">
        <f t="shared" si="6"/>
        <v>2017</v>
      </c>
    </row>
    <row r="421" spans="1:3">
      <c r="A421" s="544">
        <v>42984</v>
      </c>
      <c r="B421" s="545">
        <v>1.1931</v>
      </c>
      <c r="C421">
        <f t="shared" si="6"/>
        <v>2017</v>
      </c>
    </row>
    <row r="422" spans="1:3">
      <c r="A422" s="544">
        <v>42985</v>
      </c>
      <c r="B422" s="545">
        <v>1.1971000000000001</v>
      </c>
      <c r="C422">
        <f t="shared" si="6"/>
        <v>2017</v>
      </c>
    </row>
    <row r="423" spans="1:3">
      <c r="A423" s="544">
        <v>42986</v>
      </c>
      <c r="B423" s="545">
        <v>1.206</v>
      </c>
      <c r="C423">
        <f t="shared" si="6"/>
        <v>2017</v>
      </c>
    </row>
    <row r="424" spans="1:3">
      <c r="A424" s="544">
        <v>42989</v>
      </c>
      <c r="B424" s="545">
        <v>1.1997</v>
      </c>
      <c r="C424">
        <f t="shared" si="6"/>
        <v>2017</v>
      </c>
    </row>
    <row r="425" spans="1:3">
      <c r="A425" s="544">
        <v>42990</v>
      </c>
      <c r="B425" s="545">
        <v>1.1933</v>
      </c>
      <c r="C425">
        <f t="shared" si="6"/>
        <v>2017</v>
      </c>
    </row>
    <row r="426" spans="1:3">
      <c r="A426" s="544">
        <v>42991</v>
      </c>
      <c r="B426" s="545">
        <v>1.1979</v>
      </c>
      <c r="C426">
        <f t="shared" si="6"/>
        <v>2017</v>
      </c>
    </row>
    <row r="427" spans="1:3">
      <c r="A427" s="544">
        <v>42992</v>
      </c>
      <c r="B427" s="545">
        <v>1.1884999999999999</v>
      </c>
      <c r="C427">
        <f t="shared" si="6"/>
        <v>2017</v>
      </c>
    </row>
    <row r="428" spans="1:3">
      <c r="A428" s="544">
        <v>42993</v>
      </c>
      <c r="B428" s="545">
        <v>1.1962999999999999</v>
      </c>
      <c r="C428">
        <f t="shared" si="6"/>
        <v>2017</v>
      </c>
    </row>
    <row r="429" spans="1:3">
      <c r="A429" s="544">
        <v>42996</v>
      </c>
      <c r="B429" s="545">
        <v>1.1948000000000001</v>
      </c>
      <c r="C429">
        <f t="shared" si="6"/>
        <v>2017</v>
      </c>
    </row>
    <row r="430" spans="1:3">
      <c r="A430" s="544">
        <v>42997</v>
      </c>
      <c r="B430" s="545">
        <v>1.1972</v>
      </c>
      <c r="C430">
        <f t="shared" si="6"/>
        <v>2017</v>
      </c>
    </row>
    <row r="431" spans="1:3">
      <c r="A431" s="544">
        <v>42998</v>
      </c>
      <c r="B431" s="545">
        <v>1.2007000000000001</v>
      </c>
      <c r="C431">
        <f t="shared" si="6"/>
        <v>2017</v>
      </c>
    </row>
    <row r="432" spans="1:3">
      <c r="A432" s="544">
        <v>42999</v>
      </c>
      <c r="B432" s="545">
        <v>1.1904999999999999</v>
      </c>
      <c r="C432">
        <f t="shared" si="6"/>
        <v>2017</v>
      </c>
    </row>
    <row r="433" spans="1:3">
      <c r="A433" s="544">
        <v>43000</v>
      </c>
      <c r="B433" s="545">
        <v>1.1960999999999999</v>
      </c>
      <c r="C433">
        <f t="shared" si="6"/>
        <v>2017</v>
      </c>
    </row>
    <row r="434" spans="1:3">
      <c r="A434" s="544">
        <v>43003</v>
      </c>
      <c r="B434" s="545">
        <v>1.1867000000000001</v>
      </c>
      <c r="C434">
        <f t="shared" si="6"/>
        <v>2017</v>
      </c>
    </row>
    <row r="435" spans="1:3">
      <c r="A435" s="544">
        <v>43004</v>
      </c>
      <c r="B435" s="545">
        <v>1.1787000000000001</v>
      </c>
      <c r="C435">
        <f t="shared" si="6"/>
        <v>2017</v>
      </c>
    </row>
    <row r="436" spans="1:3">
      <c r="A436" s="544">
        <v>43005</v>
      </c>
      <c r="B436" s="545">
        <v>1.1740999999999999</v>
      </c>
      <c r="C436">
        <f t="shared" si="6"/>
        <v>2017</v>
      </c>
    </row>
    <row r="437" spans="1:3">
      <c r="A437" s="544">
        <v>43006</v>
      </c>
      <c r="B437" s="545">
        <v>1.1778</v>
      </c>
      <c r="C437">
        <f t="shared" si="6"/>
        <v>2017</v>
      </c>
    </row>
    <row r="438" spans="1:3">
      <c r="A438" s="544">
        <v>43007</v>
      </c>
      <c r="B438" s="545">
        <v>1.1806000000000001</v>
      </c>
      <c r="C438">
        <f t="shared" si="6"/>
        <v>2017</v>
      </c>
    </row>
    <row r="439" spans="1:3">
      <c r="A439" s="544">
        <v>43010</v>
      </c>
      <c r="B439" s="545">
        <v>1.1744000000000001</v>
      </c>
      <c r="C439">
        <f t="shared" si="6"/>
        <v>2017</v>
      </c>
    </row>
    <row r="440" spans="1:3">
      <c r="A440" s="544">
        <v>43011</v>
      </c>
      <c r="B440" s="545">
        <v>1.1753</v>
      </c>
      <c r="C440">
        <f t="shared" si="6"/>
        <v>2017</v>
      </c>
    </row>
    <row r="441" spans="1:3">
      <c r="A441" s="544">
        <v>43012</v>
      </c>
      <c r="B441" s="545">
        <v>1.1787000000000001</v>
      </c>
      <c r="C441">
        <f t="shared" si="6"/>
        <v>2017</v>
      </c>
    </row>
    <row r="442" spans="1:3">
      <c r="A442" s="544">
        <v>43013</v>
      </c>
      <c r="B442" s="545">
        <v>1.1741999999999999</v>
      </c>
      <c r="C442">
        <f t="shared" si="6"/>
        <v>2017</v>
      </c>
    </row>
    <row r="443" spans="1:3">
      <c r="A443" s="544">
        <v>43014</v>
      </c>
      <c r="B443" s="545">
        <v>1.1707000000000001</v>
      </c>
      <c r="C443">
        <f t="shared" si="6"/>
        <v>2017</v>
      </c>
    </row>
    <row r="444" spans="1:3">
      <c r="A444" s="544">
        <v>43018</v>
      </c>
      <c r="B444" s="545">
        <v>1.1797</v>
      </c>
      <c r="C444">
        <f t="shared" si="6"/>
        <v>2017</v>
      </c>
    </row>
    <row r="445" spans="1:3">
      <c r="A445" s="544">
        <v>43019</v>
      </c>
      <c r="B445" s="545">
        <v>1.1830000000000001</v>
      </c>
      <c r="C445">
        <f t="shared" si="6"/>
        <v>2017</v>
      </c>
    </row>
    <row r="446" spans="1:3">
      <c r="A446" s="544">
        <v>43020</v>
      </c>
      <c r="B446" s="545">
        <v>1.1856</v>
      </c>
      <c r="C446">
        <f t="shared" si="6"/>
        <v>2017</v>
      </c>
    </row>
    <row r="447" spans="1:3">
      <c r="A447" s="544">
        <v>43021</v>
      </c>
      <c r="B447" s="545">
        <v>1.181</v>
      </c>
      <c r="C447">
        <f t="shared" si="6"/>
        <v>2017</v>
      </c>
    </row>
    <row r="448" spans="1:3">
      <c r="A448" s="544">
        <v>43024</v>
      </c>
      <c r="B448" s="545">
        <v>1.1802999999999999</v>
      </c>
      <c r="C448">
        <f t="shared" si="6"/>
        <v>2017</v>
      </c>
    </row>
    <row r="449" spans="1:3">
      <c r="A449" s="544">
        <v>43025</v>
      </c>
      <c r="B449" s="545">
        <v>1.1758999999999999</v>
      </c>
      <c r="C449">
        <f t="shared" si="6"/>
        <v>2017</v>
      </c>
    </row>
    <row r="450" spans="1:3">
      <c r="A450" s="544">
        <v>43026</v>
      </c>
      <c r="B450" s="545">
        <v>1.1749000000000001</v>
      </c>
      <c r="C450">
        <f t="shared" si="6"/>
        <v>2017</v>
      </c>
    </row>
    <row r="451" spans="1:3">
      <c r="A451" s="544">
        <v>43027</v>
      </c>
      <c r="B451" s="545">
        <v>1.1834</v>
      </c>
      <c r="C451">
        <f t="shared" si="6"/>
        <v>2017</v>
      </c>
    </row>
    <row r="452" spans="1:3">
      <c r="A452" s="544">
        <v>43028</v>
      </c>
      <c r="B452" s="545">
        <v>1.1818</v>
      </c>
      <c r="C452">
        <f t="shared" si="6"/>
        <v>2017</v>
      </c>
    </row>
    <row r="453" spans="1:3">
      <c r="A453" s="544">
        <v>43031</v>
      </c>
      <c r="B453" s="545">
        <v>1.1739999999999999</v>
      </c>
      <c r="C453">
        <f t="shared" si="6"/>
        <v>2017</v>
      </c>
    </row>
    <row r="454" spans="1:3">
      <c r="A454" s="544">
        <v>43032</v>
      </c>
      <c r="B454" s="545">
        <v>1.1760999999999999</v>
      </c>
      <c r="C454">
        <f t="shared" ref="C454:C517" si="7">YEAR(A454)</f>
        <v>2017</v>
      </c>
    </row>
    <row r="455" spans="1:3">
      <c r="A455" s="544">
        <v>43033</v>
      </c>
      <c r="B455" s="545">
        <v>1.1785000000000001</v>
      </c>
      <c r="C455">
        <f t="shared" si="7"/>
        <v>2017</v>
      </c>
    </row>
    <row r="456" spans="1:3">
      <c r="A456" s="544">
        <v>43034</v>
      </c>
      <c r="B456" s="545">
        <v>1.1753</v>
      </c>
      <c r="C456">
        <f t="shared" si="7"/>
        <v>2017</v>
      </c>
    </row>
    <row r="457" spans="1:3">
      <c r="A457" s="544">
        <v>43035</v>
      </c>
      <c r="B457" s="545">
        <v>1.1605000000000001</v>
      </c>
      <c r="C457">
        <f t="shared" si="7"/>
        <v>2017</v>
      </c>
    </row>
    <row r="458" spans="1:3">
      <c r="A458" s="544">
        <v>43038</v>
      </c>
      <c r="B458" s="545">
        <v>1.1612</v>
      </c>
      <c r="C458">
        <f t="shared" si="7"/>
        <v>2017</v>
      </c>
    </row>
    <row r="459" spans="1:3">
      <c r="A459" s="544">
        <v>43039</v>
      </c>
      <c r="B459" s="545">
        <v>1.1637999999999999</v>
      </c>
      <c r="C459">
        <f t="shared" si="7"/>
        <v>2017</v>
      </c>
    </row>
    <row r="460" spans="1:3">
      <c r="A460" s="544">
        <v>43040</v>
      </c>
      <c r="B460" s="545">
        <v>1.1612</v>
      </c>
      <c r="C460">
        <f t="shared" si="7"/>
        <v>2017</v>
      </c>
    </row>
    <row r="461" spans="1:3">
      <c r="A461" s="544">
        <v>43041</v>
      </c>
      <c r="B461" s="545">
        <v>1.1645000000000001</v>
      </c>
      <c r="C461">
        <f t="shared" si="7"/>
        <v>2017</v>
      </c>
    </row>
    <row r="462" spans="1:3">
      <c r="A462" s="544">
        <v>43042</v>
      </c>
      <c r="B462" s="545">
        <v>1.1657</v>
      </c>
      <c r="C462">
        <f t="shared" si="7"/>
        <v>2017</v>
      </c>
    </row>
    <row r="463" spans="1:3">
      <c r="A463" s="544">
        <v>43045</v>
      </c>
      <c r="B463" s="545">
        <v>1.159</v>
      </c>
      <c r="C463">
        <f t="shared" si="7"/>
        <v>2017</v>
      </c>
    </row>
    <row r="464" spans="1:3">
      <c r="A464" s="544">
        <v>43046</v>
      </c>
      <c r="B464" s="545">
        <v>1.1561999999999999</v>
      </c>
      <c r="C464">
        <f t="shared" si="7"/>
        <v>2017</v>
      </c>
    </row>
    <row r="465" spans="1:3">
      <c r="A465" s="544">
        <v>43047</v>
      </c>
      <c r="B465" s="545">
        <v>1.159</v>
      </c>
      <c r="C465">
        <f t="shared" si="7"/>
        <v>2017</v>
      </c>
    </row>
    <row r="466" spans="1:3">
      <c r="A466" s="544">
        <v>43048</v>
      </c>
      <c r="B466" s="545">
        <v>1.163</v>
      </c>
      <c r="C466">
        <f t="shared" si="7"/>
        <v>2017</v>
      </c>
    </row>
    <row r="467" spans="1:3">
      <c r="A467" s="544">
        <v>43049</v>
      </c>
      <c r="B467" s="545">
        <v>1.1654</v>
      </c>
      <c r="C467">
        <f t="shared" si="7"/>
        <v>2017</v>
      </c>
    </row>
    <row r="468" spans="1:3">
      <c r="A468" s="544">
        <v>43052</v>
      </c>
      <c r="B468" s="545">
        <v>1.1656</v>
      </c>
      <c r="C468">
        <f t="shared" si="7"/>
        <v>2017</v>
      </c>
    </row>
    <row r="469" spans="1:3">
      <c r="A469" s="544">
        <v>43053</v>
      </c>
      <c r="B469" s="545">
        <v>1.1745000000000001</v>
      </c>
      <c r="C469">
        <f t="shared" si="7"/>
        <v>2017</v>
      </c>
    </row>
    <row r="470" spans="1:3">
      <c r="A470" s="544">
        <v>43054</v>
      </c>
      <c r="B470" s="545">
        <v>1.1839999999999999</v>
      </c>
      <c r="C470">
        <f t="shared" si="7"/>
        <v>2017</v>
      </c>
    </row>
    <row r="471" spans="1:3">
      <c r="A471" s="544">
        <v>43055</v>
      </c>
      <c r="B471" s="545">
        <v>1.1771</v>
      </c>
      <c r="C471">
        <f t="shared" si="7"/>
        <v>2017</v>
      </c>
    </row>
    <row r="472" spans="1:3">
      <c r="A472" s="544">
        <v>43056</v>
      </c>
      <c r="B472" s="545">
        <v>1.1795</v>
      </c>
      <c r="C472">
        <f t="shared" si="7"/>
        <v>2017</v>
      </c>
    </row>
    <row r="473" spans="1:3">
      <c r="A473" s="544">
        <v>43059</v>
      </c>
      <c r="B473" s="545">
        <v>1.1780999999999999</v>
      </c>
      <c r="C473">
        <f t="shared" si="7"/>
        <v>2017</v>
      </c>
    </row>
    <row r="474" spans="1:3">
      <c r="A474" s="544">
        <v>43060</v>
      </c>
      <c r="B474" s="545">
        <v>1.1718</v>
      </c>
      <c r="C474">
        <f t="shared" si="7"/>
        <v>2017</v>
      </c>
    </row>
    <row r="475" spans="1:3">
      <c r="A475" s="544">
        <v>43061</v>
      </c>
      <c r="B475" s="545">
        <v>1.1749000000000001</v>
      </c>
      <c r="C475">
        <f t="shared" si="7"/>
        <v>2017</v>
      </c>
    </row>
    <row r="476" spans="1:3">
      <c r="A476" s="544">
        <v>43066</v>
      </c>
      <c r="B476" s="545">
        <v>1.1952</v>
      </c>
      <c r="C476">
        <f t="shared" si="7"/>
        <v>2017</v>
      </c>
    </row>
    <row r="477" spans="1:3">
      <c r="A477" s="544">
        <v>43067</v>
      </c>
      <c r="B477" s="545">
        <v>1.1888000000000001</v>
      </c>
      <c r="C477">
        <f t="shared" si="7"/>
        <v>2017</v>
      </c>
    </row>
    <row r="478" spans="1:3">
      <c r="A478" s="544">
        <v>43068</v>
      </c>
      <c r="B478" s="545">
        <v>1.1827000000000001</v>
      </c>
      <c r="C478">
        <f t="shared" si="7"/>
        <v>2017</v>
      </c>
    </row>
    <row r="479" spans="1:3">
      <c r="A479" s="544">
        <v>43069</v>
      </c>
      <c r="B479" s="545">
        <v>1.1849000000000001</v>
      </c>
      <c r="C479">
        <f t="shared" si="7"/>
        <v>2017</v>
      </c>
    </row>
    <row r="480" spans="1:3">
      <c r="A480" s="544">
        <v>43070</v>
      </c>
      <c r="B480" s="545">
        <v>1.1884999999999999</v>
      </c>
      <c r="C480">
        <f t="shared" si="7"/>
        <v>2017</v>
      </c>
    </row>
    <row r="481" spans="1:3">
      <c r="A481" s="544">
        <v>43073</v>
      </c>
      <c r="B481" s="545">
        <v>1.1865000000000001</v>
      </c>
      <c r="C481">
        <f t="shared" si="7"/>
        <v>2017</v>
      </c>
    </row>
    <row r="482" spans="1:3">
      <c r="A482" s="544">
        <v>43074</v>
      </c>
      <c r="B482" s="545">
        <v>1.1847000000000001</v>
      </c>
      <c r="C482">
        <f t="shared" si="7"/>
        <v>2017</v>
      </c>
    </row>
    <row r="483" spans="1:3">
      <c r="A483" s="544">
        <v>43075</v>
      </c>
      <c r="B483" s="545">
        <v>1.1817</v>
      </c>
      <c r="C483">
        <f t="shared" si="7"/>
        <v>2017</v>
      </c>
    </row>
    <row r="484" spans="1:3">
      <c r="A484" s="544">
        <v>43076</v>
      </c>
      <c r="B484" s="545">
        <v>1.1786000000000001</v>
      </c>
      <c r="C484">
        <f t="shared" si="7"/>
        <v>2017</v>
      </c>
    </row>
    <row r="485" spans="1:3">
      <c r="A485" s="544">
        <v>43077</v>
      </c>
      <c r="B485" s="545">
        <v>1.1741999999999999</v>
      </c>
      <c r="C485">
        <f t="shared" si="7"/>
        <v>2017</v>
      </c>
    </row>
    <row r="486" spans="1:3">
      <c r="A486" s="544">
        <v>43080</v>
      </c>
      <c r="B486" s="545">
        <v>1.1796</v>
      </c>
      <c r="C486">
        <f t="shared" si="7"/>
        <v>2017</v>
      </c>
    </row>
    <row r="487" spans="1:3">
      <c r="A487" s="544">
        <v>43081</v>
      </c>
      <c r="B487" s="545">
        <v>1.1766000000000001</v>
      </c>
      <c r="C487">
        <f t="shared" si="7"/>
        <v>2017</v>
      </c>
    </row>
    <row r="488" spans="1:3">
      <c r="A488" s="544">
        <v>43082</v>
      </c>
      <c r="B488" s="545">
        <v>1.1736</v>
      </c>
      <c r="C488">
        <f t="shared" si="7"/>
        <v>2017</v>
      </c>
    </row>
    <row r="489" spans="1:3">
      <c r="A489" s="544">
        <v>43083</v>
      </c>
      <c r="B489" s="545">
        <v>1.1845000000000001</v>
      </c>
      <c r="C489">
        <f t="shared" si="7"/>
        <v>2017</v>
      </c>
    </row>
    <row r="490" spans="1:3">
      <c r="A490" s="544">
        <v>43084</v>
      </c>
      <c r="B490" s="545">
        <v>1.1806000000000001</v>
      </c>
      <c r="C490">
        <f t="shared" si="7"/>
        <v>2017</v>
      </c>
    </row>
    <row r="491" spans="1:3">
      <c r="A491" s="544">
        <v>43087</v>
      </c>
      <c r="B491" s="545">
        <v>1.1795</v>
      </c>
      <c r="C491">
        <f t="shared" si="7"/>
        <v>2017</v>
      </c>
    </row>
    <row r="492" spans="1:3">
      <c r="A492" s="544">
        <v>43088</v>
      </c>
      <c r="B492" s="545">
        <v>1.1822999999999999</v>
      </c>
      <c r="C492">
        <f t="shared" si="7"/>
        <v>2017</v>
      </c>
    </row>
    <row r="493" spans="1:3">
      <c r="A493" s="544">
        <v>43089</v>
      </c>
      <c r="B493" s="545">
        <v>1.1845000000000001</v>
      </c>
      <c r="C493">
        <f t="shared" si="7"/>
        <v>2017</v>
      </c>
    </row>
    <row r="494" spans="1:3">
      <c r="A494" s="544">
        <v>43090</v>
      </c>
      <c r="B494" s="545">
        <v>1.1859</v>
      </c>
      <c r="C494">
        <f t="shared" si="7"/>
        <v>2017</v>
      </c>
    </row>
    <row r="495" spans="1:3">
      <c r="A495" s="544">
        <v>43091</v>
      </c>
      <c r="B495" s="545">
        <v>1.1853</v>
      </c>
      <c r="C495">
        <f t="shared" si="7"/>
        <v>2017</v>
      </c>
    </row>
    <row r="496" spans="1:3">
      <c r="A496" s="544">
        <v>43096</v>
      </c>
      <c r="B496" s="545">
        <v>1.1895</v>
      </c>
      <c r="C496">
        <f t="shared" si="7"/>
        <v>2017</v>
      </c>
    </row>
    <row r="497" spans="1:3">
      <c r="A497" s="544">
        <v>43097</v>
      </c>
      <c r="B497" s="545">
        <v>1.1934</v>
      </c>
      <c r="C497">
        <f t="shared" si="7"/>
        <v>2017</v>
      </c>
    </row>
    <row r="498" spans="1:3">
      <c r="A498" s="544">
        <v>43098</v>
      </c>
      <c r="B498" s="545">
        <v>1.1993</v>
      </c>
      <c r="C498">
        <f t="shared" si="7"/>
        <v>2017</v>
      </c>
    </row>
    <row r="499" spans="1:3">
      <c r="A499" s="544">
        <v>43102</v>
      </c>
      <c r="B499" s="545">
        <v>1.2064999999999999</v>
      </c>
      <c r="C499">
        <f t="shared" si="7"/>
        <v>2018</v>
      </c>
    </row>
    <row r="500" spans="1:3">
      <c r="A500" s="544">
        <v>43103</v>
      </c>
      <c r="B500" s="545">
        <v>1.2022999999999999</v>
      </c>
      <c r="C500">
        <f t="shared" si="7"/>
        <v>2018</v>
      </c>
    </row>
    <row r="501" spans="1:3">
      <c r="A501" s="544">
        <v>43104</v>
      </c>
      <c r="B501" s="545">
        <v>1.2064999999999999</v>
      </c>
      <c r="C501">
        <f t="shared" si="7"/>
        <v>2018</v>
      </c>
    </row>
    <row r="502" spans="1:3">
      <c r="A502" s="544">
        <v>43105</v>
      </c>
      <c r="B502" s="545">
        <v>1.2044999999999999</v>
      </c>
      <c r="C502">
        <f t="shared" si="7"/>
        <v>2018</v>
      </c>
    </row>
    <row r="503" spans="1:3">
      <c r="A503" s="544">
        <v>43108</v>
      </c>
      <c r="B503" s="545">
        <v>1.1973</v>
      </c>
      <c r="C503">
        <f t="shared" si="7"/>
        <v>2018</v>
      </c>
    </row>
    <row r="504" spans="1:3">
      <c r="A504" s="544">
        <v>43109</v>
      </c>
      <c r="B504" s="545">
        <v>1.1932</v>
      </c>
      <c r="C504">
        <f t="shared" si="7"/>
        <v>2018</v>
      </c>
    </row>
    <row r="505" spans="1:3">
      <c r="A505" s="544">
        <v>43110</v>
      </c>
      <c r="B505" s="545">
        <v>1.1992</v>
      </c>
      <c r="C505">
        <f t="shared" si="7"/>
        <v>2018</v>
      </c>
    </row>
    <row r="506" spans="1:3">
      <c r="A506" s="544">
        <v>43111</v>
      </c>
      <c r="B506" s="545">
        <v>1.2017</v>
      </c>
      <c r="C506">
        <f t="shared" si="7"/>
        <v>2018</v>
      </c>
    </row>
    <row r="507" spans="1:3">
      <c r="A507" s="544">
        <v>43112</v>
      </c>
      <c r="B507" s="545">
        <v>1.2137</v>
      </c>
      <c r="C507">
        <f t="shared" si="7"/>
        <v>2018</v>
      </c>
    </row>
    <row r="508" spans="1:3">
      <c r="A508" s="544">
        <v>43116</v>
      </c>
      <c r="B508" s="545">
        <v>1.2230000000000001</v>
      </c>
      <c r="C508">
        <f t="shared" si="7"/>
        <v>2018</v>
      </c>
    </row>
    <row r="509" spans="1:3">
      <c r="A509" s="544">
        <v>43117</v>
      </c>
      <c r="B509" s="545">
        <v>1.2202999999999999</v>
      </c>
      <c r="C509">
        <f t="shared" si="7"/>
        <v>2018</v>
      </c>
    </row>
    <row r="510" spans="1:3">
      <c r="A510" s="544">
        <v>43118</v>
      </c>
      <c r="B510" s="545">
        <v>1.2235</v>
      </c>
      <c r="C510">
        <f t="shared" si="7"/>
        <v>2018</v>
      </c>
    </row>
    <row r="511" spans="1:3">
      <c r="A511" s="544">
        <v>43119</v>
      </c>
      <c r="B511" s="545">
        <v>1.2255</v>
      </c>
      <c r="C511">
        <f t="shared" si="7"/>
        <v>2018</v>
      </c>
    </row>
    <row r="512" spans="1:3">
      <c r="A512" s="544">
        <v>43122</v>
      </c>
      <c r="B512" s="545">
        <v>1.2239</v>
      </c>
      <c r="C512">
        <f t="shared" si="7"/>
        <v>2018</v>
      </c>
    </row>
    <row r="513" spans="1:3">
      <c r="A513" s="544">
        <v>43123</v>
      </c>
      <c r="B513" s="545">
        <v>1.2249000000000001</v>
      </c>
      <c r="C513">
        <f t="shared" si="7"/>
        <v>2018</v>
      </c>
    </row>
    <row r="514" spans="1:3">
      <c r="A514" s="544">
        <v>43124</v>
      </c>
      <c r="B514" s="545">
        <v>1.2352000000000001</v>
      </c>
      <c r="C514">
        <f t="shared" si="7"/>
        <v>2018</v>
      </c>
    </row>
    <row r="515" spans="1:3">
      <c r="A515" s="544">
        <v>43125</v>
      </c>
      <c r="B515" s="545">
        <v>1.2406999999999999</v>
      </c>
      <c r="C515">
        <f t="shared" si="7"/>
        <v>2018</v>
      </c>
    </row>
    <row r="516" spans="1:3">
      <c r="A516" s="544">
        <v>43126</v>
      </c>
      <c r="B516" s="545">
        <v>1.2436</v>
      </c>
      <c r="C516">
        <f t="shared" si="7"/>
        <v>2018</v>
      </c>
    </row>
    <row r="517" spans="1:3">
      <c r="A517" s="544">
        <v>43129</v>
      </c>
      <c r="B517" s="545">
        <v>1.2379</v>
      </c>
      <c r="C517">
        <f t="shared" si="7"/>
        <v>2018</v>
      </c>
    </row>
    <row r="518" spans="1:3">
      <c r="A518" s="544">
        <v>43130</v>
      </c>
      <c r="B518" s="545">
        <v>1.2421</v>
      </c>
      <c r="C518">
        <f t="shared" ref="C518:C581" si="8">YEAR(A518)</f>
        <v>2018</v>
      </c>
    </row>
    <row r="519" spans="1:3">
      <c r="A519" s="544">
        <v>43131</v>
      </c>
      <c r="B519" s="545">
        <v>1.2457</v>
      </c>
      <c r="C519">
        <f t="shared" si="8"/>
        <v>2018</v>
      </c>
    </row>
    <row r="520" spans="1:3">
      <c r="A520" s="544">
        <v>43132</v>
      </c>
      <c r="B520" s="545">
        <v>1.2459</v>
      </c>
      <c r="C520">
        <f t="shared" si="8"/>
        <v>2018</v>
      </c>
    </row>
    <row r="521" spans="1:3">
      <c r="A521" s="544">
        <v>43133</v>
      </c>
      <c r="B521" s="545">
        <v>1.2492000000000001</v>
      </c>
      <c r="C521">
        <f t="shared" si="8"/>
        <v>2018</v>
      </c>
    </row>
    <row r="522" spans="1:3">
      <c r="A522" s="544">
        <v>43136</v>
      </c>
      <c r="B522" s="545">
        <v>1.244</v>
      </c>
      <c r="C522">
        <f t="shared" si="8"/>
        <v>2018</v>
      </c>
    </row>
    <row r="523" spans="1:3">
      <c r="A523" s="544">
        <v>43137</v>
      </c>
      <c r="B523" s="545">
        <v>1.2329000000000001</v>
      </c>
      <c r="C523">
        <f t="shared" si="8"/>
        <v>2018</v>
      </c>
    </row>
    <row r="524" spans="1:3">
      <c r="A524" s="544">
        <v>43138</v>
      </c>
      <c r="B524" s="545">
        <v>1.2338</v>
      </c>
      <c r="C524">
        <f t="shared" si="8"/>
        <v>2018</v>
      </c>
    </row>
    <row r="525" spans="1:3">
      <c r="A525" s="544">
        <v>43139</v>
      </c>
      <c r="B525" s="545">
        <v>1.2252000000000001</v>
      </c>
      <c r="C525">
        <f t="shared" si="8"/>
        <v>2018</v>
      </c>
    </row>
    <row r="526" spans="1:3">
      <c r="A526" s="544">
        <v>43140</v>
      </c>
      <c r="B526" s="545">
        <v>1.2273000000000001</v>
      </c>
      <c r="C526">
        <f t="shared" si="8"/>
        <v>2018</v>
      </c>
    </row>
    <row r="527" spans="1:3">
      <c r="A527" s="544">
        <v>43143</v>
      </c>
      <c r="B527" s="545">
        <v>1.2262999999999999</v>
      </c>
      <c r="C527">
        <f t="shared" si="8"/>
        <v>2018</v>
      </c>
    </row>
    <row r="528" spans="1:3">
      <c r="A528" s="544">
        <v>43144</v>
      </c>
      <c r="B528" s="545">
        <v>1.2333000000000001</v>
      </c>
      <c r="C528">
        <f t="shared" si="8"/>
        <v>2018</v>
      </c>
    </row>
    <row r="529" spans="1:3">
      <c r="A529" s="544">
        <v>43145</v>
      </c>
      <c r="B529" s="545">
        <v>1.2347999999999999</v>
      </c>
      <c r="C529">
        <f t="shared" si="8"/>
        <v>2018</v>
      </c>
    </row>
    <row r="530" spans="1:3">
      <c r="A530" s="544">
        <v>43146</v>
      </c>
      <c r="B530" s="545">
        <v>1.2493000000000001</v>
      </c>
      <c r="C530">
        <f t="shared" si="8"/>
        <v>2018</v>
      </c>
    </row>
    <row r="531" spans="1:3">
      <c r="A531" s="544">
        <v>43147</v>
      </c>
      <c r="B531" s="545">
        <v>1.2464</v>
      </c>
      <c r="C531">
        <f t="shared" si="8"/>
        <v>2018</v>
      </c>
    </row>
    <row r="532" spans="1:3">
      <c r="A532" s="544">
        <v>43151</v>
      </c>
      <c r="B532" s="545">
        <v>1.234</v>
      </c>
      <c r="C532">
        <f t="shared" si="8"/>
        <v>2018</v>
      </c>
    </row>
    <row r="533" spans="1:3">
      <c r="A533" s="544">
        <v>43152</v>
      </c>
      <c r="B533" s="545">
        <v>1.2312000000000001</v>
      </c>
      <c r="C533">
        <f t="shared" si="8"/>
        <v>2018</v>
      </c>
    </row>
    <row r="534" spans="1:3">
      <c r="A534" s="544">
        <v>43153</v>
      </c>
      <c r="B534" s="545">
        <v>1.2276</v>
      </c>
      <c r="C534">
        <f t="shared" si="8"/>
        <v>2018</v>
      </c>
    </row>
    <row r="535" spans="1:3">
      <c r="A535" s="544">
        <v>43154</v>
      </c>
      <c r="B535" s="545">
        <v>1.2299</v>
      </c>
      <c r="C535">
        <f t="shared" si="8"/>
        <v>2018</v>
      </c>
    </row>
    <row r="536" spans="1:3">
      <c r="A536" s="544">
        <v>43157</v>
      </c>
      <c r="B536" s="545">
        <v>1.232</v>
      </c>
      <c r="C536">
        <f t="shared" si="8"/>
        <v>2018</v>
      </c>
    </row>
    <row r="537" spans="1:3">
      <c r="A537" s="544">
        <v>43158</v>
      </c>
      <c r="B537" s="545">
        <v>1.2301</v>
      </c>
      <c r="C537">
        <f t="shared" si="8"/>
        <v>2018</v>
      </c>
    </row>
    <row r="538" spans="1:3">
      <c r="A538" s="544">
        <v>43159</v>
      </c>
      <c r="B538" s="545">
        <v>1.2214</v>
      </c>
      <c r="C538">
        <f t="shared" si="8"/>
        <v>2018</v>
      </c>
    </row>
    <row r="539" spans="1:3">
      <c r="A539" s="544">
        <v>43160</v>
      </c>
      <c r="B539" s="545">
        <v>1.2171000000000001</v>
      </c>
      <c r="C539">
        <f t="shared" si="8"/>
        <v>2018</v>
      </c>
    </row>
    <row r="540" spans="1:3">
      <c r="A540" s="544">
        <v>43161</v>
      </c>
      <c r="B540" s="545">
        <v>1.2312000000000001</v>
      </c>
      <c r="C540">
        <f t="shared" si="8"/>
        <v>2018</v>
      </c>
    </row>
    <row r="541" spans="1:3">
      <c r="A541" s="544">
        <v>43164</v>
      </c>
      <c r="B541" s="545">
        <v>1.2306999999999999</v>
      </c>
      <c r="C541">
        <f t="shared" si="8"/>
        <v>2018</v>
      </c>
    </row>
    <row r="542" spans="1:3">
      <c r="A542" s="544">
        <v>43165</v>
      </c>
      <c r="B542" s="545">
        <v>1.2411000000000001</v>
      </c>
      <c r="C542">
        <f t="shared" si="8"/>
        <v>2018</v>
      </c>
    </row>
    <row r="543" spans="1:3">
      <c r="A543" s="544">
        <v>43166</v>
      </c>
      <c r="B543" s="545">
        <v>1.2417</v>
      </c>
      <c r="C543">
        <f t="shared" si="8"/>
        <v>2018</v>
      </c>
    </row>
    <row r="544" spans="1:3">
      <c r="A544" s="544">
        <v>43167</v>
      </c>
      <c r="B544" s="545">
        <v>1.2421</v>
      </c>
      <c r="C544">
        <f t="shared" si="8"/>
        <v>2018</v>
      </c>
    </row>
    <row r="545" spans="1:3">
      <c r="A545" s="544">
        <v>43168</v>
      </c>
      <c r="B545" s="545">
        <v>1.2291000000000001</v>
      </c>
      <c r="C545">
        <f t="shared" si="8"/>
        <v>2018</v>
      </c>
    </row>
    <row r="546" spans="1:3">
      <c r="A546" s="544">
        <v>43171</v>
      </c>
      <c r="B546" s="545">
        <v>1.2302</v>
      </c>
      <c r="C546">
        <f t="shared" si="8"/>
        <v>2018</v>
      </c>
    </row>
    <row r="547" spans="1:3">
      <c r="A547" s="544">
        <v>43172</v>
      </c>
      <c r="B547" s="545">
        <v>1.2378</v>
      </c>
      <c r="C547">
        <f t="shared" si="8"/>
        <v>2018</v>
      </c>
    </row>
    <row r="548" spans="1:3">
      <c r="A548" s="544">
        <v>43173</v>
      </c>
      <c r="B548" s="545">
        <v>1.2369000000000001</v>
      </c>
      <c r="C548">
        <f t="shared" si="8"/>
        <v>2018</v>
      </c>
    </row>
    <row r="549" spans="1:3">
      <c r="A549" s="544">
        <v>43174</v>
      </c>
      <c r="B549" s="545">
        <v>1.2341</v>
      </c>
      <c r="C549">
        <f t="shared" si="8"/>
        <v>2018</v>
      </c>
    </row>
    <row r="550" spans="1:3">
      <c r="A550" s="544">
        <v>43175</v>
      </c>
      <c r="B550" s="545">
        <v>1.2301</v>
      </c>
      <c r="C550">
        <f t="shared" si="8"/>
        <v>2018</v>
      </c>
    </row>
    <row r="551" spans="1:3">
      <c r="A551" s="544">
        <v>43178</v>
      </c>
      <c r="B551" s="545">
        <v>1.2309000000000001</v>
      </c>
      <c r="C551">
        <f t="shared" si="8"/>
        <v>2018</v>
      </c>
    </row>
    <row r="552" spans="1:3">
      <c r="A552" s="544">
        <v>43179</v>
      </c>
      <c r="B552" s="545">
        <v>1.2276</v>
      </c>
      <c r="C552">
        <f t="shared" si="8"/>
        <v>2018</v>
      </c>
    </row>
    <row r="553" spans="1:3">
      <c r="A553" s="544">
        <v>43180</v>
      </c>
      <c r="B553" s="545">
        <v>1.2285999999999999</v>
      </c>
      <c r="C553">
        <f t="shared" si="8"/>
        <v>2018</v>
      </c>
    </row>
    <row r="554" spans="1:3">
      <c r="A554" s="544">
        <v>43181</v>
      </c>
      <c r="B554" s="545">
        <v>1.2316</v>
      </c>
      <c r="C554">
        <f t="shared" si="8"/>
        <v>2018</v>
      </c>
    </row>
    <row r="555" spans="1:3">
      <c r="A555" s="544">
        <v>43182</v>
      </c>
      <c r="B555" s="545">
        <v>1.2345999999999999</v>
      </c>
      <c r="C555">
        <f t="shared" si="8"/>
        <v>2018</v>
      </c>
    </row>
    <row r="556" spans="1:3">
      <c r="A556" s="544">
        <v>43185</v>
      </c>
      <c r="B556" s="545">
        <v>1.2411000000000001</v>
      </c>
      <c r="C556">
        <f t="shared" si="8"/>
        <v>2018</v>
      </c>
    </row>
    <row r="557" spans="1:3">
      <c r="A557" s="544">
        <v>43186</v>
      </c>
      <c r="B557" s="545">
        <v>1.2376</v>
      </c>
      <c r="C557">
        <f t="shared" si="8"/>
        <v>2018</v>
      </c>
    </row>
    <row r="558" spans="1:3">
      <c r="A558" s="544">
        <v>43187</v>
      </c>
      <c r="B558" s="545">
        <v>1.2398</v>
      </c>
      <c r="C558">
        <f t="shared" si="8"/>
        <v>2018</v>
      </c>
    </row>
    <row r="559" spans="1:3">
      <c r="A559" s="544">
        <v>43188</v>
      </c>
      <c r="B559" s="545">
        <v>1.2321</v>
      </c>
      <c r="C559">
        <f t="shared" si="8"/>
        <v>2018</v>
      </c>
    </row>
    <row r="560" spans="1:3">
      <c r="A560" s="544">
        <v>43193</v>
      </c>
      <c r="B560" s="545">
        <v>1.2307999999999999</v>
      </c>
      <c r="C560">
        <f t="shared" si="8"/>
        <v>2018</v>
      </c>
    </row>
    <row r="561" spans="1:3">
      <c r="A561" s="544">
        <v>43194</v>
      </c>
      <c r="B561" s="545">
        <v>1.2276</v>
      </c>
      <c r="C561">
        <f t="shared" si="8"/>
        <v>2018</v>
      </c>
    </row>
    <row r="562" spans="1:3">
      <c r="A562" s="544">
        <v>43195</v>
      </c>
      <c r="B562" s="545">
        <v>1.226</v>
      </c>
      <c r="C562">
        <f t="shared" si="8"/>
        <v>2018</v>
      </c>
    </row>
    <row r="563" spans="1:3">
      <c r="A563" s="544">
        <v>43196</v>
      </c>
      <c r="B563" s="545">
        <v>1.2234</v>
      </c>
      <c r="C563">
        <f t="shared" si="8"/>
        <v>2018</v>
      </c>
    </row>
    <row r="564" spans="1:3">
      <c r="A564" s="544">
        <v>43199</v>
      </c>
      <c r="B564" s="545">
        <v>1.2303999999999999</v>
      </c>
      <c r="C564">
        <f t="shared" si="8"/>
        <v>2018</v>
      </c>
    </row>
    <row r="565" spans="1:3">
      <c r="A565" s="544">
        <v>43200</v>
      </c>
      <c r="B565" s="545">
        <v>1.2361</v>
      </c>
      <c r="C565">
        <f t="shared" si="8"/>
        <v>2018</v>
      </c>
    </row>
    <row r="566" spans="1:3">
      <c r="A566" s="544">
        <v>43201</v>
      </c>
      <c r="B566" s="545">
        <v>1.2383999999999999</v>
      </c>
      <c r="C566">
        <f t="shared" si="8"/>
        <v>2018</v>
      </c>
    </row>
    <row r="567" spans="1:3">
      <c r="A567" s="544">
        <v>43202</v>
      </c>
      <c r="B567" s="545">
        <v>1.2323</v>
      </c>
      <c r="C567">
        <f t="shared" si="8"/>
        <v>2018</v>
      </c>
    </row>
    <row r="568" spans="1:3">
      <c r="A568" s="544">
        <v>43203</v>
      </c>
      <c r="B568" s="545">
        <v>1.2317</v>
      </c>
      <c r="C568">
        <f t="shared" si="8"/>
        <v>2018</v>
      </c>
    </row>
    <row r="569" spans="1:3">
      <c r="A569" s="544">
        <v>43206</v>
      </c>
      <c r="B569" s="545">
        <v>1.2370000000000001</v>
      </c>
      <c r="C569">
        <f t="shared" si="8"/>
        <v>2018</v>
      </c>
    </row>
    <row r="570" spans="1:3">
      <c r="A570" s="544">
        <v>43207</v>
      </c>
      <c r="B570" s="545">
        <v>1.2357</v>
      </c>
      <c r="C570">
        <f t="shared" si="8"/>
        <v>2018</v>
      </c>
    </row>
    <row r="571" spans="1:3">
      <c r="A571" s="544">
        <v>43208</v>
      </c>
      <c r="B571" s="545">
        <v>1.2387999999999999</v>
      </c>
      <c r="C571">
        <f t="shared" si="8"/>
        <v>2018</v>
      </c>
    </row>
    <row r="572" spans="1:3">
      <c r="A572" s="544">
        <v>43209</v>
      </c>
      <c r="B572" s="545">
        <v>1.2382</v>
      </c>
      <c r="C572">
        <f t="shared" si="8"/>
        <v>2018</v>
      </c>
    </row>
    <row r="573" spans="1:3">
      <c r="A573" s="544">
        <v>43210</v>
      </c>
      <c r="B573" s="545">
        <v>1.2309000000000001</v>
      </c>
      <c r="C573">
        <f t="shared" si="8"/>
        <v>2018</v>
      </c>
    </row>
    <row r="574" spans="1:3">
      <c r="A574" s="544">
        <v>43213</v>
      </c>
      <c r="B574" s="545">
        <v>1.2238</v>
      </c>
      <c r="C574">
        <f t="shared" si="8"/>
        <v>2018</v>
      </c>
    </row>
    <row r="575" spans="1:3">
      <c r="A575" s="544">
        <v>43214</v>
      </c>
      <c r="B575" s="545">
        <v>1.2213000000000001</v>
      </c>
      <c r="C575">
        <f t="shared" si="8"/>
        <v>2018</v>
      </c>
    </row>
    <row r="576" spans="1:3">
      <c r="A576" s="544">
        <v>43215</v>
      </c>
      <c r="B576" s="545">
        <v>1.2184999999999999</v>
      </c>
      <c r="C576">
        <f t="shared" si="8"/>
        <v>2018</v>
      </c>
    </row>
    <row r="577" spans="1:3">
      <c r="A577" s="544">
        <v>43216</v>
      </c>
      <c r="B577" s="545">
        <v>1.2168000000000001</v>
      </c>
      <c r="C577">
        <f t="shared" si="8"/>
        <v>2018</v>
      </c>
    </row>
    <row r="578" spans="1:3">
      <c r="A578" s="544">
        <v>43217</v>
      </c>
      <c r="B578" s="545">
        <v>1.2070000000000001</v>
      </c>
      <c r="C578">
        <f t="shared" si="8"/>
        <v>2018</v>
      </c>
    </row>
    <row r="579" spans="1:3">
      <c r="A579" s="544">
        <v>43220</v>
      </c>
      <c r="B579" s="545">
        <v>1.2079</v>
      </c>
      <c r="C579">
        <f t="shared" si="8"/>
        <v>2018</v>
      </c>
    </row>
    <row r="580" spans="1:3">
      <c r="A580" s="544">
        <v>43222</v>
      </c>
      <c r="B580" s="545">
        <v>1.2007000000000001</v>
      </c>
      <c r="C580">
        <f t="shared" si="8"/>
        <v>2018</v>
      </c>
    </row>
    <row r="581" spans="1:3">
      <c r="A581" s="544">
        <v>43223</v>
      </c>
      <c r="B581" s="545">
        <v>1.1992</v>
      </c>
      <c r="C581">
        <f t="shared" si="8"/>
        <v>2018</v>
      </c>
    </row>
    <row r="582" spans="1:3">
      <c r="A582" s="544">
        <v>43224</v>
      </c>
      <c r="B582" s="545">
        <v>1.1969000000000001</v>
      </c>
      <c r="C582">
        <f t="shared" ref="C582:C645" si="9">YEAR(A582)</f>
        <v>2018</v>
      </c>
    </row>
    <row r="583" spans="1:3">
      <c r="A583" s="544">
        <v>43227</v>
      </c>
      <c r="B583" s="545">
        <v>1.1901999999999999</v>
      </c>
      <c r="C583">
        <f t="shared" si="9"/>
        <v>2018</v>
      </c>
    </row>
    <row r="584" spans="1:3">
      <c r="A584" s="544">
        <v>43228</v>
      </c>
      <c r="B584" s="545">
        <v>1.1870000000000001</v>
      </c>
      <c r="C584">
        <f t="shared" si="9"/>
        <v>2018</v>
      </c>
    </row>
    <row r="585" spans="1:3">
      <c r="A585" s="544">
        <v>43229</v>
      </c>
      <c r="B585" s="545">
        <v>1.1879</v>
      </c>
      <c r="C585">
        <f t="shared" si="9"/>
        <v>2018</v>
      </c>
    </row>
    <row r="586" spans="1:3">
      <c r="A586" s="544">
        <v>43230</v>
      </c>
      <c r="B586" s="545">
        <v>1.1878</v>
      </c>
      <c r="C586">
        <f t="shared" si="9"/>
        <v>2018</v>
      </c>
    </row>
    <row r="587" spans="1:3">
      <c r="A587" s="544">
        <v>43231</v>
      </c>
      <c r="B587" s="545">
        <v>1.1934</v>
      </c>
      <c r="C587">
        <f t="shared" si="9"/>
        <v>2018</v>
      </c>
    </row>
    <row r="588" spans="1:3">
      <c r="A588" s="544">
        <v>43234</v>
      </c>
      <c r="B588" s="545">
        <v>1.1988000000000001</v>
      </c>
      <c r="C588">
        <f t="shared" si="9"/>
        <v>2018</v>
      </c>
    </row>
    <row r="589" spans="1:3">
      <c r="A589" s="544">
        <v>43235</v>
      </c>
      <c r="B589" s="545">
        <v>1.1882999999999999</v>
      </c>
      <c r="C589">
        <f t="shared" si="9"/>
        <v>2018</v>
      </c>
    </row>
    <row r="590" spans="1:3">
      <c r="A590" s="544">
        <v>43236</v>
      </c>
      <c r="B590" s="545">
        <v>1.1783999999999999</v>
      </c>
      <c r="C590">
        <f t="shared" si="9"/>
        <v>2018</v>
      </c>
    </row>
    <row r="591" spans="1:3">
      <c r="A591" s="544">
        <v>43237</v>
      </c>
      <c r="B591" s="545">
        <v>1.1805000000000001</v>
      </c>
      <c r="C591">
        <f t="shared" si="9"/>
        <v>2018</v>
      </c>
    </row>
    <row r="592" spans="1:3">
      <c r="A592" s="544">
        <v>43238</v>
      </c>
      <c r="B592" s="545">
        <v>1.1780999999999999</v>
      </c>
      <c r="C592">
        <f t="shared" si="9"/>
        <v>2018</v>
      </c>
    </row>
    <row r="593" spans="1:3">
      <c r="A593" s="544">
        <v>43241</v>
      </c>
      <c r="B593" s="545">
        <v>1.1758999999999999</v>
      </c>
      <c r="C593">
        <f t="shared" si="9"/>
        <v>2018</v>
      </c>
    </row>
    <row r="594" spans="1:3">
      <c r="A594" s="544">
        <v>43242</v>
      </c>
      <c r="B594" s="545">
        <v>1.1794</v>
      </c>
      <c r="C594">
        <f t="shared" si="9"/>
        <v>2018</v>
      </c>
    </row>
    <row r="595" spans="1:3">
      <c r="A595" s="544">
        <v>43243</v>
      </c>
      <c r="B595" s="545">
        <v>1.1708000000000001</v>
      </c>
      <c r="C595">
        <f t="shared" si="9"/>
        <v>2018</v>
      </c>
    </row>
    <row r="596" spans="1:3">
      <c r="A596" s="544">
        <v>43244</v>
      </c>
      <c r="B596" s="545">
        <v>1.1728000000000001</v>
      </c>
      <c r="C596">
        <f t="shared" si="9"/>
        <v>2018</v>
      </c>
    </row>
    <row r="597" spans="1:3">
      <c r="A597" s="544">
        <v>43245</v>
      </c>
      <c r="B597" s="545">
        <v>1.1675</v>
      </c>
      <c r="C597">
        <f t="shared" si="9"/>
        <v>2018</v>
      </c>
    </row>
    <row r="598" spans="1:3">
      <c r="A598" s="544">
        <v>43249</v>
      </c>
      <c r="B598" s="545">
        <v>1.1557999999999999</v>
      </c>
      <c r="C598">
        <f t="shared" si="9"/>
        <v>2018</v>
      </c>
    </row>
    <row r="599" spans="1:3">
      <c r="A599" s="544">
        <v>43250</v>
      </c>
      <c r="B599" s="545">
        <v>1.1632</v>
      </c>
      <c r="C599">
        <f t="shared" si="9"/>
        <v>2018</v>
      </c>
    </row>
    <row r="600" spans="1:3">
      <c r="A600" s="544">
        <v>43251</v>
      </c>
      <c r="B600" s="545">
        <v>1.1698999999999999</v>
      </c>
      <c r="C600">
        <f t="shared" si="9"/>
        <v>2018</v>
      </c>
    </row>
    <row r="601" spans="1:3">
      <c r="A601" s="544">
        <v>43252</v>
      </c>
      <c r="B601" s="545">
        <v>1.1669</v>
      </c>
      <c r="C601">
        <f t="shared" si="9"/>
        <v>2018</v>
      </c>
    </row>
    <row r="602" spans="1:3">
      <c r="A602" s="544">
        <v>43255</v>
      </c>
      <c r="B602" s="545">
        <v>1.1737</v>
      </c>
      <c r="C602">
        <f t="shared" si="9"/>
        <v>2018</v>
      </c>
    </row>
    <row r="603" spans="1:3">
      <c r="A603" s="544">
        <v>43256</v>
      </c>
      <c r="B603" s="545">
        <v>1.1675</v>
      </c>
      <c r="C603">
        <f t="shared" si="9"/>
        <v>2018</v>
      </c>
    </row>
    <row r="604" spans="1:3">
      <c r="A604" s="544">
        <v>43257</v>
      </c>
      <c r="B604" s="545">
        <v>1.1765000000000001</v>
      </c>
      <c r="C604">
        <f t="shared" si="9"/>
        <v>2018</v>
      </c>
    </row>
    <row r="605" spans="1:3">
      <c r="A605" s="544">
        <v>43258</v>
      </c>
      <c r="B605" s="545">
        <v>1.1836</v>
      </c>
      <c r="C605">
        <f t="shared" si="9"/>
        <v>2018</v>
      </c>
    </row>
    <row r="606" spans="1:3">
      <c r="A606" s="544">
        <v>43259</v>
      </c>
      <c r="B606" s="545">
        <v>1.1754</v>
      </c>
      <c r="C606">
        <f t="shared" si="9"/>
        <v>2018</v>
      </c>
    </row>
    <row r="607" spans="1:3">
      <c r="A607" s="544">
        <v>43262</v>
      </c>
      <c r="B607" s="545">
        <v>1.179</v>
      </c>
      <c r="C607">
        <f t="shared" si="9"/>
        <v>2018</v>
      </c>
    </row>
    <row r="608" spans="1:3">
      <c r="A608" s="544">
        <v>43263</v>
      </c>
      <c r="B608" s="545">
        <v>1.1788000000000001</v>
      </c>
      <c r="C608">
        <f t="shared" si="9"/>
        <v>2018</v>
      </c>
    </row>
    <row r="609" spans="1:3">
      <c r="A609" s="544">
        <v>43264</v>
      </c>
      <c r="B609" s="545">
        <v>1.1763999999999999</v>
      </c>
      <c r="C609">
        <f t="shared" si="9"/>
        <v>2018</v>
      </c>
    </row>
    <row r="610" spans="1:3">
      <c r="A610" s="544">
        <v>43265</v>
      </c>
      <c r="B610" s="545">
        <v>1.173</v>
      </c>
      <c r="C610">
        <f t="shared" si="9"/>
        <v>2018</v>
      </c>
    </row>
    <row r="611" spans="1:3">
      <c r="A611" s="544">
        <v>43266</v>
      </c>
      <c r="B611" s="545">
        <v>1.1596</v>
      </c>
      <c r="C611">
        <f t="shared" si="9"/>
        <v>2018</v>
      </c>
    </row>
    <row r="612" spans="1:3">
      <c r="A612" s="544">
        <v>43269</v>
      </c>
      <c r="B612" s="545">
        <v>1.1613</v>
      </c>
      <c r="C612">
        <f t="shared" si="9"/>
        <v>2018</v>
      </c>
    </row>
    <row r="613" spans="1:3">
      <c r="A613" s="544">
        <v>43270</v>
      </c>
      <c r="B613" s="545">
        <v>1.1534</v>
      </c>
      <c r="C613">
        <f t="shared" si="9"/>
        <v>2018</v>
      </c>
    </row>
    <row r="614" spans="1:3">
      <c r="A614" s="544">
        <v>43271</v>
      </c>
      <c r="B614" s="545">
        <v>1.1577999999999999</v>
      </c>
      <c r="C614">
        <f t="shared" si="9"/>
        <v>2018</v>
      </c>
    </row>
    <row r="615" spans="1:3">
      <c r="A615" s="544">
        <v>43272</v>
      </c>
      <c r="B615" s="545">
        <v>1.1537999999999999</v>
      </c>
      <c r="C615">
        <f t="shared" si="9"/>
        <v>2018</v>
      </c>
    </row>
    <row r="616" spans="1:3">
      <c r="A616" s="544">
        <v>43273</v>
      </c>
      <c r="B616" s="545">
        <v>1.1648000000000001</v>
      </c>
      <c r="C616">
        <f t="shared" si="9"/>
        <v>2018</v>
      </c>
    </row>
    <row r="617" spans="1:3">
      <c r="A617" s="544">
        <v>43276</v>
      </c>
      <c r="B617" s="545">
        <v>1.17</v>
      </c>
      <c r="C617">
        <f t="shared" si="9"/>
        <v>2018</v>
      </c>
    </row>
    <row r="618" spans="1:3">
      <c r="A618" s="544">
        <v>43277</v>
      </c>
      <c r="B618" s="545">
        <v>1.1672</v>
      </c>
      <c r="C618">
        <f t="shared" si="9"/>
        <v>2018</v>
      </c>
    </row>
    <row r="619" spans="1:3">
      <c r="A619" s="544">
        <v>43278</v>
      </c>
      <c r="B619" s="545">
        <v>1.1616</v>
      </c>
      <c r="C619">
        <f t="shared" si="9"/>
        <v>2018</v>
      </c>
    </row>
    <row r="620" spans="1:3">
      <c r="A620" s="544">
        <v>43279</v>
      </c>
      <c r="B620" s="545">
        <v>1.1583000000000001</v>
      </c>
      <c r="C620">
        <f t="shared" si="9"/>
        <v>2018</v>
      </c>
    </row>
    <row r="621" spans="1:3">
      <c r="A621" s="544">
        <v>43280</v>
      </c>
      <c r="B621" s="545">
        <v>1.1657999999999999</v>
      </c>
      <c r="C621">
        <f t="shared" si="9"/>
        <v>2018</v>
      </c>
    </row>
    <row r="622" spans="1:3">
      <c r="A622" s="544">
        <v>43283</v>
      </c>
      <c r="B622" s="545">
        <v>1.1638999999999999</v>
      </c>
      <c r="C622">
        <f t="shared" si="9"/>
        <v>2018</v>
      </c>
    </row>
    <row r="623" spans="1:3">
      <c r="A623" s="544">
        <v>43284</v>
      </c>
      <c r="B623" s="545">
        <v>1.1665000000000001</v>
      </c>
      <c r="C623">
        <f t="shared" si="9"/>
        <v>2018</v>
      </c>
    </row>
    <row r="624" spans="1:3">
      <c r="A624" s="544">
        <v>43286</v>
      </c>
      <c r="B624" s="545">
        <v>1.1709000000000001</v>
      </c>
      <c r="C624">
        <f t="shared" si="9"/>
        <v>2018</v>
      </c>
    </row>
    <row r="625" spans="1:3">
      <c r="A625" s="544">
        <v>43287</v>
      </c>
      <c r="B625" s="545">
        <v>1.1724000000000001</v>
      </c>
      <c r="C625">
        <f t="shared" si="9"/>
        <v>2018</v>
      </c>
    </row>
    <row r="626" spans="1:3">
      <c r="A626" s="544">
        <v>43290</v>
      </c>
      <c r="B626" s="545">
        <v>1.1789000000000001</v>
      </c>
      <c r="C626">
        <f t="shared" si="9"/>
        <v>2018</v>
      </c>
    </row>
    <row r="627" spans="1:3">
      <c r="A627" s="544">
        <v>43291</v>
      </c>
      <c r="B627" s="545">
        <v>1.1713</v>
      </c>
      <c r="C627">
        <f t="shared" si="9"/>
        <v>2018</v>
      </c>
    </row>
    <row r="628" spans="1:3">
      <c r="A628" s="544">
        <v>43292</v>
      </c>
      <c r="B628" s="545">
        <v>1.1735</v>
      </c>
      <c r="C628">
        <f t="shared" si="9"/>
        <v>2018</v>
      </c>
    </row>
    <row r="629" spans="1:3">
      <c r="A629" s="544">
        <v>43293</v>
      </c>
      <c r="B629" s="545">
        <v>1.1657999999999999</v>
      </c>
      <c r="C629">
        <f t="shared" si="9"/>
        <v>2018</v>
      </c>
    </row>
    <row r="630" spans="1:3">
      <c r="A630" s="544">
        <v>43294</v>
      </c>
      <c r="B630" s="545">
        <v>1.1642999999999999</v>
      </c>
      <c r="C630">
        <f t="shared" si="9"/>
        <v>2018</v>
      </c>
    </row>
    <row r="631" spans="1:3">
      <c r="A631" s="544">
        <v>43297</v>
      </c>
      <c r="B631" s="545">
        <v>1.1719999999999999</v>
      </c>
      <c r="C631">
        <f t="shared" si="9"/>
        <v>2018</v>
      </c>
    </row>
    <row r="632" spans="1:3">
      <c r="A632" s="544">
        <v>43298</v>
      </c>
      <c r="B632" s="545">
        <v>1.1707000000000001</v>
      </c>
      <c r="C632">
        <f t="shared" si="9"/>
        <v>2018</v>
      </c>
    </row>
    <row r="633" spans="1:3">
      <c r="A633" s="544">
        <v>43299</v>
      </c>
      <c r="B633" s="545">
        <v>1.1611</v>
      </c>
      <c r="C633">
        <f t="shared" si="9"/>
        <v>2018</v>
      </c>
    </row>
    <row r="634" spans="1:3">
      <c r="A634" s="544">
        <v>43300</v>
      </c>
      <c r="B634" s="545">
        <v>1.1588000000000001</v>
      </c>
      <c r="C634">
        <f t="shared" si="9"/>
        <v>2018</v>
      </c>
    </row>
    <row r="635" spans="1:3">
      <c r="A635" s="544">
        <v>43301</v>
      </c>
      <c r="B635" s="545">
        <v>1.167</v>
      </c>
      <c r="C635">
        <f t="shared" si="9"/>
        <v>2018</v>
      </c>
    </row>
    <row r="636" spans="1:3">
      <c r="A636" s="544">
        <v>43304</v>
      </c>
      <c r="B636" s="545">
        <v>1.1716</v>
      </c>
      <c r="C636">
        <f t="shared" si="9"/>
        <v>2018</v>
      </c>
    </row>
    <row r="637" spans="1:3">
      <c r="A637" s="544">
        <v>43305</v>
      </c>
      <c r="B637" s="545">
        <v>1.1706000000000001</v>
      </c>
      <c r="C637">
        <f t="shared" si="9"/>
        <v>2018</v>
      </c>
    </row>
    <row r="638" spans="1:3">
      <c r="A638" s="544">
        <v>43306</v>
      </c>
      <c r="B638" s="545">
        <v>1.169</v>
      </c>
      <c r="C638">
        <f t="shared" si="9"/>
        <v>2018</v>
      </c>
    </row>
    <row r="639" spans="1:3">
      <c r="A639" s="544">
        <v>43307</v>
      </c>
      <c r="B639" s="545">
        <v>1.1716</v>
      </c>
      <c r="C639">
        <f t="shared" si="9"/>
        <v>2018</v>
      </c>
    </row>
    <row r="640" spans="1:3">
      <c r="A640" s="544">
        <v>43308</v>
      </c>
      <c r="B640" s="545">
        <v>1.1625000000000001</v>
      </c>
      <c r="C640">
        <f t="shared" si="9"/>
        <v>2018</v>
      </c>
    </row>
    <row r="641" spans="1:3">
      <c r="A641" s="544">
        <v>43311</v>
      </c>
      <c r="B641" s="545">
        <v>1.1684000000000001</v>
      </c>
      <c r="C641">
        <f t="shared" si="9"/>
        <v>2018</v>
      </c>
    </row>
    <row r="642" spans="1:3">
      <c r="A642" s="544">
        <v>43312</v>
      </c>
      <c r="B642" s="545">
        <v>1.1736</v>
      </c>
      <c r="C642">
        <f t="shared" si="9"/>
        <v>2018</v>
      </c>
    </row>
    <row r="643" spans="1:3">
      <c r="A643" s="544">
        <v>43313</v>
      </c>
      <c r="B643" s="545">
        <v>1.1696</v>
      </c>
      <c r="C643">
        <f t="shared" si="9"/>
        <v>2018</v>
      </c>
    </row>
    <row r="644" spans="1:3">
      <c r="A644" s="544">
        <v>43314</v>
      </c>
      <c r="B644" s="545">
        <v>1.1617</v>
      </c>
      <c r="C644">
        <f t="shared" si="9"/>
        <v>2018</v>
      </c>
    </row>
    <row r="645" spans="1:3">
      <c r="A645" s="544">
        <v>43315</v>
      </c>
      <c r="B645" s="545">
        <v>1.1588000000000001</v>
      </c>
      <c r="C645">
        <f t="shared" si="9"/>
        <v>2018</v>
      </c>
    </row>
    <row r="646" spans="1:3">
      <c r="A646" s="544">
        <v>43318</v>
      </c>
      <c r="B646" s="545">
        <v>1.1543000000000001</v>
      </c>
      <c r="C646">
        <f t="shared" ref="C646:C709" si="10">YEAR(A646)</f>
        <v>2018</v>
      </c>
    </row>
    <row r="647" spans="1:3">
      <c r="A647" s="544">
        <v>43319</v>
      </c>
      <c r="B647" s="545">
        <v>1.1601999999999999</v>
      </c>
      <c r="C647">
        <f t="shared" si="10"/>
        <v>2018</v>
      </c>
    </row>
    <row r="648" spans="1:3">
      <c r="A648" s="544">
        <v>43320</v>
      </c>
      <c r="B648" s="545">
        <v>1.1589</v>
      </c>
      <c r="C648">
        <f t="shared" si="10"/>
        <v>2018</v>
      </c>
    </row>
    <row r="649" spans="1:3">
      <c r="A649" s="544">
        <v>43321</v>
      </c>
      <c r="B649" s="545">
        <v>1.1593</v>
      </c>
      <c r="C649">
        <f t="shared" si="10"/>
        <v>2018</v>
      </c>
    </row>
    <row r="650" spans="1:3">
      <c r="A650" s="544">
        <v>43322</v>
      </c>
      <c r="B650" s="545">
        <v>1.1456</v>
      </c>
      <c r="C650">
        <f t="shared" si="10"/>
        <v>2018</v>
      </c>
    </row>
    <row r="651" spans="1:3">
      <c r="A651" s="544">
        <v>43325</v>
      </c>
      <c r="B651" s="545">
        <v>1.1403000000000001</v>
      </c>
      <c r="C651">
        <f t="shared" si="10"/>
        <v>2018</v>
      </c>
    </row>
    <row r="652" spans="1:3">
      <c r="A652" s="544">
        <v>43326</v>
      </c>
      <c r="B652" s="545">
        <v>1.1406000000000001</v>
      </c>
      <c r="C652">
        <f t="shared" si="10"/>
        <v>2018</v>
      </c>
    </row>
    <row r="653" spans="1:3">
      <c r="A653" s="544">
        <v>43327</v>
      </c>
      <c r="B653" s="545">
        <v>1.1321000000000001</v>
      </c>
      <c r="C653">
        <f t="shared" si="10"/>
        <v>2018</v>
      </c>
    </row>
    <row r="654" spans="1:3">
      <c r="A654" s="544">
        <v>43328</v>
      </c>
      <c r="B654" s="545">
        <v>1.137</v>
      </c>
      <c r="C654">
        <f t="shared" si="10"/>
        <v>2018</v>
      </c>
    </row>
    <row r="655" spans="1:3">
      <c r="A655" s="544">
        <v>43329</v>
      </c>
      <c r="B655" s="545">
        <v>1.1391</v>
      </c>
      <c r="C655">
        <f t="shared" si="10"/>
        <v>2018</v>
      </c>
    </row>
    <row r="656" spans="1:3">
      <c r="A656" s="544">
        <v>43332</v>
      </c>
      <c r="B656" s="545">
        <v>1.1419999999999999</v>
      </c>
      <c r="C656">
        <f t="shared" si="10"/>
        <v>2018</v>
      </c>
    </row>
    <row r="657" spans="1:3">
      <c r="A657" s="544">
        <v>43333</v>
      </c>
      <c r="B657" s="545">
        <v>1.1501999999999999</v>
      </c>
      <c r="C657">
        <f t="shared" si="10"/>
        <v>2018</v>
      </c>
    </row>
    <row r="658" spans="1:3">
      <c r="A658" s="544">
        <v>43334</v>
      </c>
      <c r="B658" s="545">
        <v>1.1616</v>
      </c>
      <c r="C658">
        <f t="shared" si="10"/>
        <v>2018</v>
      </c>
    </row>
    <row r="659" spans="1:3">
      <c r="A659" s="544">
        <v>43335</v>
      </c>
      <c r="B659" s="545">
        <v>1.1578999999999999</v>
      </c>
      <c r="C659">
        <f t="shared" si="10"/>
        <v>2018</v>
      </c>
    </row>
    <row r="660" spans="1:3">
      <c r="A660" s="544">
        <v>43336</v>
      </c>
      <c r="B660" s="545">
        <v>1.1588000000000001</v>
      </c>
      <c r="C660">
        <f t="shared" si="10"/>
        <v>2018</v>
      </c>
    </row>
    <row r="661" spans="1:3">
      <c r="A661" s="544">
        <v>43339</v>
      </c>
      <c r="B661" s="545">
        <v>1.1633</v>
      </c>
      <c r="C661">
        <f t="shared" si="10"/>
        <v>2018</v>
      </c>
    </row>
    <row r="662" spans="1:3">
      <c r="A662" s="544">
        <v>43340</v>
      </c>
      <c r="B662" s="545">
        <v>1.171</v>
      </c>
      <c r="C662">
        <f t="shared" si="10"/>
        <v>2018</v>
      </c>
    </row>
    <row r="663" spans="1:3">
      <c r="A663" s="544">
        <v>43341</v>
      </c>
      <c r="B663" s="545">
        <v>1.1659999999999999</v>
      </c>
      <c r="C663">
        <f t="shared" si="10"/>
        <v>2018</v>
      </c>
    </row>
    <row r="664" spans="1:3">
      <c r="A664" s="544">
        <v>43342</v>
      </c>
      <c r="B664" s="545">
        <v>1.1692</v>
      </c>
      <c r="C664">
        <f t="shared" si="10"/>
        <v>2018</v>
      </c>
    </row>
    <row r="665" spans="1:3">
      <c r="A665" s="544">
        <v>43343</v>
      </c>
      <c r="B665" s="545">
        <v>1.1651</v>
      </c>
      <c r="C665">
        <f t="shared" si="10"/>
        <v>2018</v>
      </c>
    </row>
    <row r="666" spans="1:3">
      <c r="A666" s="544">
        <v>43347</v>
      </c>
      <c r="B666" s="545">
        <v>1.1561999999999999</v>
      </c>
      <c r="C666">
        <f t="shared" si="10"/>
        <v>2018</v>
      </c>
    </row>
    <row r="667" spans="1:3">
      <c r="A667" s="544">
        <v>43348</v>
      </c>
      <c r="B667" s="545">
        <v>1.1581999999999999</v>
      </c>
      <c r="C667">
        <f t="shared" si="10"/>
        <v>2018</v>
      </c>
    </row>
    <row r="668" spans="1:3">
      <c r="A668" s="544">
        <v>43349</v>
      </c>
      <c r="B668" s="545">
        <v>1.1634</v>
      </c>
      <c r="C668">
        <f t="shared" si="10"/>
        <v>2018</v>
      </c>
    </row>
    <row r="669" spans="1:3">
      <c r="A669" s="544">
        <v>43350</v>
      </c>
      <c r="B669" s="545">
        <v>1.1615</v>
      </c>
      <c r="C669">
        <f t="shared" si="10"/>
        <v>2018</v>
      </c>
    </row>
    <row r="670" spans="1:3">
      <c r="A670" s="544">
        <v>43353</v>
      </c>
      <c r="B670" s="545">
        <v>1.1571</v>
      </c>
      <c r="C670">
        <f t="shared" si="10"/>
        <v>2018</v>
      </c>
    </row>
    <row r="671" spans="1:3">
      <c r="A671" s="544">
        <v>43354</v>
      </c>
      <c r="B671" s="545">
        <v>1.1574</v>
      </c>
      <c r="C671">
        <f t="shared" si="10"/>
        <v>2018</v>
      </c>
    </row>
    <row r="672" spans="1:3">
      <c r="A672" s="544">
        <v>43355</v>
      </c>
      <c r="B672" s="545">
        <v>1.1585000000000001</v>
      </c>
      <c r="C672">
        <f t="shared" si="10"/>
        <v>2018</v>
      </c>
    </row>
    <row r="673" spans="1:3">
      <c r="A673" s="544">
        <v>43356</v>
      </c>
      <c r="B673" s="545">
        <v>1.1619999999999999</v>
      </c>
      <c r="C673">
        <f t="shared" si="10"/>
        <v>2018</v>
      </c>
    </row>
    <row r="674" spans="1:3">
      <c r="A674" s="544">
        <v>43357</v>
      </c>
      <c r="B674" s="545">
        <v>1.1689000000000001</v>
      </c>
      <c r="C674">
        <f t="shared" si="10"/>
        <v>2018</v>
      </c>
    </row>
    <row r="675" spans="1:3">
      <c r="A675" s="544">
        <v>43360</v>
      </c>
      <c r="B675" s="545">
        <v>1.1671</v>
      </c>
      <c r="C675">
        <f t="shared" si="10"/>
        <v>2018</v>
      </c>
    </row>
    <row r="676" spans="1:3">
      <c r="A676" s="544">
        <v>43361</v>
      </c>
      <c r="B676" s="545">
        <v>1.1697</v>
      </c>
      <c r="C676">
        <f t="shared" si="10"/>
        <v>2018</v>
      </c>
    </row>
    <row r="677" spans="1:3">
      <c r="A677" s="544">
        <v>43362</v>
      </c>
      <c r="B677" s="545">
        <v>1.1667000000000001</v>
      </c>
      <c r="C677">
        <f t="shared" si="10"/>
        <v>2018</v>
      </c>
    </row>
    <row r="678" spans="1:3">
      <c r="A678" s="544">
        <v>43363</v>
      </c>
      <c r="B678" s="545">
        <v>1.1769000000000001</v>
      </c>
      <c r="C678">
        <f t="shared" si="10"/>
        <v>2018</v>
      </c>
    </row>
    <row r="679" spans="1:3">
      <c r="A679" s="544">
        <v>43364</v>
      </c>
      <c r="B679" s="545">
        <v>1.1758999999999999</v>
      </c>
      <c r="C679">
        <f t="shared" si="10"/>
        <v>2018</v>
      </c>
    </row>
    <row r="680" spans="1:3">
      <c r="A680" s="544">
        <v>43367</v>
      </c>
      <c r="B680" s="545">
        <v>1.1773</v>
      </c>
      <c r="C680">
        <f t="shared" si="10"/>
        <v>2018</v>
      </c>
    </row>
    <row r="681" spans="1:3">
      <c r="A681" s="544">
        <v>43368</v>
      </c>
      <c r="B681" s="545">
        <v>1.1777</v>
      </c>
      <c r="C681">
        <f t="shared" si="10"/>
        <v>2018</v>
      </c>
    </row>
    <row r="682" spans="1:3">
      <c r="A682" s="544">
        <v>43369</v>
      </c>
      <c r="B682" s="545">
        <v>1.1737</v>
      </c>
      <c r="C682">
        <f t="shared" si="10"/>
        <v>2018</v>
      </c>
    </row>
    <row r="683" spans="1:3">
      <c r="A683" s="544">
        <v>43370</v>
      </c>
      <c r="B683" s="545">
        <v>1.1707000000000001</v>
      </c>
      <c r="C683">
        <f t="shared" si="10"/>
        <v>2018</v>
      </c>
    </row>
    <row r="684" spans="1:3">
      <c r="A684" s="544">
        <v>43371</v>
      </c>
      <c r="B684" s="545">
        <v>1.1576</v>
      </c>
      <c r="C684">
        <f t="shared" si="10"/>
        <v>2018</v>
      </c>
    </row>
    <row r="685" spans="1:3">
      <c r="A685" s="544">
        <v>43374</v>
      </c>
      <c r="B685" s="545">
        <v>1.1606000000000001</v>
      </c>
      <c r="C685">
        <f t="shared" si="10"/>
        <v>2018</v>
      </c>
    </row>
    <row r="686" spans="1:3">
      <c r="A686" s="544">
        <v>43375</v>
      </c>
      <c r="B686" s="545">
        <v>1.1543000000000001</v>
      </c>
      <c r="C686">
        <f t="shared" si="10"/>
        <v>2018</v>
      </c>
    </row>
    <row r="687" spans="1:3">
      <c r="A687" s="544">
        <v>43376</v>
      </c>
      <c r="B687" s="545">
        <v>1.1548</v>
      </c>
      <c r="C687">
        <f t="shared" si="10"/>
        <v>2018</v>
      </c>
    </row>
    <row r="688" spans="1:3">
      <c r="A688" s="544">
        <v>43377</v>
      </c>
      <c r="B688" s="545">
        <v>1.1501999999999999</v>
      </c>
      <c r="C688">
        <f t="shared" si="10"/>
        <v>2018</v>
      </c>
    </row>
    <row r="689" spans="1:3">
      <c r="A689" s="544">
        <v>43378</v>
      </c>
      <c r="B689" s="545">
        <v>1.1506000000000001</v>
      </c>
      <c r="C689">
        <f t="shared" si="10"/>
        <v>2018</v>
      </c>
    </row>
    <row r="690" spans="1:3">
      <c r="A690" s="544">
        <v>43382</v>
      </c>
      <c r="B690" s="545">
        <v>1.1435</v>
      </c>
      <c r="C690">
        <f t="shared" si="10"/>
        <v>2018</v>
      </c>
    </row>
    <row r="691" spans="1:3">
      <c r="A691" s="544">
        <v>43383</v>
      </c>
      <c r="B691" s="545">
        <v>1.1499999999999999</v>
      </c>
      <c r="C691">
        <f t="shared" si="10"/>
        <v>2018</v>
      </c>
    </row>
    <row r="692" spans="1:3">
      <c r="A692" s="544">
        <v>43384</v>
      </c>
      <c r="B692" s="545">
        <v>1.1575</v>
      </c>
      <c r="C692">
        <f t="shared" si="10"/>
        <v>2018</v>
      </c>
    </row>
    <row r="693" spans="1:3">
      <c r="A693" s="544">
        <v>43385</v>
      </c>
      <c r="B693" s="545">
        <v>1.1574</v>
      </c>
      <c r="C693">
        <f t="shared" si="10"/>
        <v>2018</v>
      </c>
    </row>
    <row r="694" spans="1:3">
      <c r="A694" s="544">
        <v>43388</v>
      </c>
      <c r="B694" s="545">
        <v>1.1580999999999999</v>
      </c>
      <c r="C694">
        <f t="shared" si="10"/>
        <v>2018</v>
      </c>
    </row>
    <row r="695" spans="1:3">
      <c r="A695" s="544">
        <v>43389</v>
      </c>
      <c r="B695" s="545">
        <v>1.1587000000000001</v>
      </c>
      <c r="C695">
        <f t="shared" si="10"/>
        <v>2018</v>
      </c>
    </row>
    <row r="696" spans="1:3">
      <c r="A696" s="544">
        <v>43390</v>
      </c>
      <c r="B696" s="545">
        <v>1.153</v>
      </c>
      <c r="C696">
        <f t="shared" si="10"/>
        <v>2018</v>
      </c>
    </row>
    <row r="697" spans="1:3">
      <c r="A697" s="544">
        <v>43391</v>
      </c>
      <c r="B697" s="545">
        <v>1.1505000000000001</v>
      </c>
      <c r="C697">
        <f t="shared" si="10"/>
        <v>2018</v>
      </c>
    </row>
    <row r="698" spans="1:3">
      <c r="A698" s="544">
        <v>43392</v>
      </c>
      <c r="B698" s="545">
        <v>1.147</v>
      </c>
      <c r="C698">
        <f t="shared" si="10"/>
        <v>2018</v>
      </c>
    </row>
    <row r="699" spans="1:3">
      <c r="A699" s="544">
        <v>43395</v>
      </c>
      <c r="B699" s="545">
        <v>1.1494</v>
      </c>
      <c r="C699">
        <f t="shared" si="10"/>
        <v>2018</v>
      </c>
    </row>
    <row r="700" spans="1:3">
      <c r="A700" s="544">
        <v>43396</v>
      </c>
      <c r="B700" s="545">
        <v>1.1477999999999999</v>
      </c>
      <c r="C700">
        <f t="shared" si="10"/>
        <v>2018</v>
      </c>
    </row>
    <row r="701" spans="1:3">
      <c r="A701" s="544">
        <v>43397</v>
      </c>
      <c r="B701" s="545">
        <v>1.1389</v>
      </c>
      <c r="C701">
        <f t="shared" si="10"/>
        <v>2018</v>
      </c>
    </row>
    <row r="702" spans="1:3">
      <c r="A702" s="544">
        <v>43398</v>
      </c>
      <c r="B702" s="545">
        <v>1.1415999999999999</v>
      </c>
      <c r="C702">
        <f t="shared" si="10"/>
        <v>2018</v>
      </c>
    </row>
    <row r="703" spans="1:3">
      <c r="A703" s="544">
        <v>43399</v>
      </c>
      <c r="B703" s="545">
        <v>1.1345000000000001</v>
      </c>
      <c r="C703">
        <f t="shared" si="10"/>
        <v>2018</v>
      </c>
    </row>
    <row r="704" spans="1:3">
      <c r="A704" s="544">
        <v>43402</v>
      </c>
      <c r="B704" s="545">
        <v>1.1380999999999999</v>
      </c>
      <c r="C704">
        <f t="shared" si="10"/>
        <v>2018</v>
      </c>
    </row>
    <row r="705" spans="1:3">
      <c r="A705" s="544">
        <v>43403</v>
      </c>
      <c r="B705" s="545">
        <v>1.1372</v>
      </c>
      <c r="C705">
        <f t="shared" si="10"/>
        <v>2018</v>
      </c>
    </row>
    <row r="706" spans="1:3">
      <c r="A706" s="544">
        <v>43404</v>
      </c>
      <c r="B706" s="545">
        <v>1.1317999999999999</v>
      </c>
      <c r="C706">
        <f t="shared" si="10"/>
        <v>2018</v>
      </c>
    </row>
    <row r="707" spans="1:3">
      <c r="A707" s="544">
        <v>43405</v>
      </c>
      <c r="B707" s="545">
        <v>1.1393</v>
      </c>
      <c r="C707">
        <f t="shared" si="10"/>
        <v>2018</v>
      </c>
    </row>
    <row r="708" spans="1:3">
      <c r="A708" s="544">
        <v>43406</v>
      </c>
      <c r="B708" s="545">
        <v>1.1416999999999999</v>
      </c>
      <c r="C708">
        <f t="shared" si="10"/>
        <v>2018</v>
      </c>
    </row>
    <row r="709" spans="1:3">
      <c r="A709" s="544">
        <v>43409</v>
      </c>
      <c r="B709" s="545">
        <v>1.137</v>
      </c>
      <c r="C709">
        <f t="shared" si="10"/>
        <v>2018</v>
      </c>
    </row>
    <row r="710" spans="1:3">
      <c r="A710" s="544">
        <v>43410</v>
      </c>
      <c r="B710" s="545">
        <v>1.1428</v>
      </c>
      <c r="C710">
        <f t="shared" ref="C710:C773" si="11">YEAR(A710)</f>
        <v>2018</v>
      </c>
    </row>
    <row r="711" spans="1:3">
      <c r="A711" s="544">
        <v>43411</v>
      </c>
      <c r="B711" s="545">
        <v>1.1487000000000001</v>
      </c>
      <c r="C711">
        <f t="shared" si="11"/>
        <v>2018</v>
      </c>
    </row>
    <row r="712" spans="1:3">
      <c r="A712" s="544">
        <v>43412</v>
      </c>
      <c r="B712" s="545">
        <v>1.1424000000000001</v>
      </c>
      <c r="C712">
        <f t="shared" si="11"/>
        <v>2018</v>
      </c>
    </row>
    <row r="713" spans="1:3">
      <c r="A713" s="544">
        <v>43413</v>
      </c>
      <c r="B713" s="545">
        <v>1.1346000000000001</v>
      </c>
      <c r="C713">
        <f t="shared" si="11"/>
        <v>2018</v>
      </c>
    </row>
    <row r="714" spans="1:3">
      <c r="A714" s="544">
        <v>43416</v>
      </c>
      <c r="B714" s="545">
        <v>1.1265000000000001</v>
      </c>
      <c r="C714">
        <f t="shared" si="11"/>
        <v>2018</v>
      </c>
    </row>
    <row r="715" spans="1:3">
      <c r="A715" s="544">
        <v>43417</v>
      </c>
      <c r="B715" s="545">
        <v>1.1261000000000001</v>
      </c>
      <c r="C715">
        <f t="shared" si="11"/>
        <v>2018</v>
      </c>
    </row>
    <row r="716" spans="1:3">
      <c r="A716" s="544">
        <v>43418</v>
      </c>
      <c r="B716" s="545">
        <v>1.1295999999999999</v>
      </c>
      <c r="C716">
        <f t="shared" si="11"/>
        <v>2018</v>
      </c>
    </row>
    <row r="717" spans="1:3">
      <c r="A717" s="544">
        <v>43419</v>
      </c>
      <c r="B717" s="545">
        <v>1.1305000000000001</v>
      </c>
      <c r="C717">
        <f t="shared" si="11"/>
        <v>2018</v>
      </c>
    </row>
    <row r="718" spans="1:3">
      <c r="A718" s="544">
        <v>43420</v>
      </c>
      <c r="B718" s="545">
        <v>1.1346000000000001</v>
      </c>
      <c r="C718">
        <f t="shared" si="11"/>
        <v>2018</v>
      </c>
    </row>
    <row r="719" spans="1:3">
      <c r="A719" s="544">
        <v>43423</v>
      </c>
      <c r="B719" s="545">
        <v>1.1427</v>
      </c>
      <c r="C719">
        <f t="shared" si="11"/>
        <v>2018</v>
      </c>
    </row>
    <row r="720" spans="1:3">
      <c r="A720" s="544">
        <v>43424</v>
      </c>
      <c r="B720" s="545">
        <v>1.1420999999999999</v>
      </c>
      <c r="C720">
        <f t="shared" si="11"/>
        <v>2018</v>
      </c>
    </row>
    <row r="721" spans="1:3">
      <c r="A721" s="544">
        <v>43425</v>
      </c>
      <c r="B721" s="545">
        <v>1.1409</v>
      </c>
      <c r="C721">
        <f t="shared" si="11"/>
        <v>2018</v>
      </c>
    </row>
    <row r="722" spans="1:3">
      <c r="A722" s="544">
        <v>43430</v>
      </c>
      <c r="B722" s="545">
        <v>1.1363000000000001</v>
      </c>
      <c r="C722">
        <f t="shared" si="11"/>
        <v>2018</v>
      </c>
    </row>
    <row r="723" spans="1:3">
      <c r="A723" s="544">
        <v>43431</v>
      </c>
      <c r="B723" s="545">
        <v>1.1328</v>
      </c>
      <c r="C723">
        <f t="shared" si="11"/>
        <v>2018</v>
      </c>
    </row>
    <row r="724" spans="1:3">
      <c r="A724" s="544">
        <v>43432</v>
      </c>
      <c r="B724" s="545">
        <v>1.1284000000000001</v>
      </c>
      <c r="C724">
        <f t="shared" si="11"/>
        <v>2018</v>
      </c>
    </row>
    <row r="725" spans="1:3">
      <c r="A725" s="544">
        <v>43433</v>
      </c>
      <c r="B725" s="545">
        <v>1.1387</v>
      </c>
      <c r="C725">
        <f t="shared" si="11"/>
        <v>2018</v>
      </c>
    </row>
    <row r="726" spans="1:3">
      <c r="A726" s="544">
        <v>43434</v>
      </c>
      <c r="B726" s="545">
        <v>1.1358999999999999</v>
      </c>
      <c r="C726">
        <f t="shared" si="11"/>
        <v>2018</v>
      </c>
    </row>
    <row r="727" spans="1:3">
      <c r="A727" s="544">
        <v>43437</v>
      </c>
      <c r="B727" s="545">
        <v>1.1332</v>
      </c>
      <c r="C727">
        <f t="shared" si="11"/>
        <v>2018</v>
      </c>
    </row>
    <row r="728" spans="1:3">
      <c r="A728" s="544">
        <v>43438</v>
      </c>
      <c r="B728" s="545">
        <v>1.1409</v>
      </c>
      <c r="C728">
        <f t="shared" si="11"/>
        <v>2018</v>
      </c>
    </row>
    <row r="729" spans="1:3">
      <c r="A729" s="544">
        <v>43439</v>
      </c>
      <c r="B729" s="545">
        <v>1.1354</v>
      </c>
      <c r="C729">
        <f t="shared" si="11"/>
        <v>2018</v>
      </c>
    </row>
    <row r="730" spans="1:3">
      <c r="A730" s="544">
        <v>43440</v>
      </c>
      <c r="B730" s="545">
        <v>1.1351</v>
      </c>
      <c r="C730">
        <f t="shared" si="11"/>
        <v>2018</v>
      </c>
    </row>
    <row r="731" spans="1:3">
      <c r="A731" s="544">
        <v>43441</v>
      </c>
      <c r="B731" s="545">
        <v>1.1371</v>
      </c>
      <c r="C731">
        <f t="shared" si="11"/>
        <v>2018</v>
      </c>
    </row>
    <row r="732" spans="1:3">
      <c r="A732" s="544">
        <v>43444</v>
      </c>
      <c r="B732" s="545">
        <v>1.1425000000000001</v>
      </c>
      <c r="C732">
        <f t="shared" si="11"/>
        <v>2018</v>
      </c>
    </row>
    <row r="733" spans="1:3">
      <c r="A733" s="544">
        <v>43445</v>
      </c>
      <c r="B733" s="545">
        <v>1.1378999999999999</v>
      </c>
      <c r="C733">
        <f t="shared" si="11"/>
        <v>2018</v>
      </c>
    </row>
    <row r="734" spans="1:3">
      <c r="A734" s="544">
        <v>43446</v>
      </c>
      <c r="B734" s="545">
        <v>1.1346000000000001</v>
      </c>
      <c r="C734">
        <f t="shared" si="11"/>
        <v>2018</v>
      </c>
    </row>
    <row r="735" spans="1:3">
      <c r="A735" s="544">
        <v>43447</v>
      </c>
      <c r="B735" s="545">
        <v>1.1371</v>
      </c>
      <c r="C735">
        <f t="shared" si="11"/>
        <v>2018</v>
      </c>
    </row>
    <row r="736" spans="1:3">
      <c r="A736" s="544">
        <v>43448</v>
      </c>
      <c r="B736" s="545">
        <v>1.1285000000000001</v>
      </c>
      <c r="C736">
        <f t="shared" si="11"/>
        <v>2018</v>
      </c>
    </row>
    <row r="737" spans="1:3">
      <c r="A737" s="544">
        <v>43451</v>
      </c>
      <c r="B737" s="545">
        <v>1.1341000000000001</v>
      </c>
      <c r="C737">
        <f t="shared" si="11"/>
        <v>2018</v>
      </c>
    </row>
    <row r="738" spans="1:3">
      <c r="A738" s="544">
        <v>43452</v>
      </c>
      <c r="B738" s="545">
        <v>1.1376999999999999</v>
      </c>
      <c r="C738">
        <f t="shared" si="11"/>
        <v>2018</v>
      </c>
    </row>
    <row r="739" spans="1:3">
      <c r="A739" s="544">
        <v>43453</v>
      </c>
      <c r="B739" s="545">
        <v>1.1405000000000001</v>
      </c>
      <c r="C739">
        <f t="shared" si="11"/>
        <v>2018</v>
      </c>
    </row>
    <row r="740" spans="1:3">
      <c r="A740" s="544">
        <v>43454</v>
      </c>
      <c r="B740" s="545">
        <v>1.1451</v>
      </c>
      <c r="C740">
        <f t="shared" si="11"/>
        <v>2018</v>
      </c>
    </row>
    <row r="741" spans="1:3">
      <c r="A741" s="544">
        <v>43455</v>
      </c>
      <c r="B741" s="545">
        <v>1.1414</v>
      </c>
      <c r="C741">
        <f t="shared" si="11"/>
        <v>2018</v>
      </c>
    </row>
    <row r="742" spans="1:3">
      <c r="A742" s="544">
        <v>43461</v>
      </c>
      <c r="B742" s="545">
        <v>1.1376999999999999</v>
      </c>
      <c r="C742">
        <f t="shared" si="11"/>
        <v>2018</v>
      </c>
    </row>
    <row r="743" spans="1:3">
      <c r="A743" s="544">
        <v>43462</v>
      </c>
      <c r="B743" s="545">
        <v>1.1454</v>
      </c>
      <c r="C743">
        <f t="shared" si="11"/>
        <v>2018</v>
      </c>
    </row>
    <row r="744" spans="1:3">
      <c r="A744" s="544">
        <v>43467</v>
      </c>
      <c r="B744" s="545">
        <v>1.1396999999999999</v>
      </c>
      <c r="C744">
        <f t="shared" si="11"/>
        <v>2019</v>
      </c>
    </row>
    <row r="745" spans="1:3">
      <c r="A745" s="544">
        <v>43468</v>
      </c>
      <c r="B745" s="545">
        <v>1.1348</v>
      </c>
      <c r="C745">
        <f t="shared" si="11"/>
        <v>2019</v>
      </c>
    </row>
    <row r="746" spans="1:3">
      <c r="A746" s="544">
        <v>43469</v>
      </c>
      <c r="B746" s="545">
        <v>1.1403000000000001</v>
      </c>
      <c r="C746">
        <f t="shared" si="11"/>
        <v>2019</v>
      </c>
    </row>
    <row r="747" spans="1:3">
      <c r="A747" s="544">
        <v>43472</v>
      </c>
      <c r="B747" s="545">
        <v>1.1445000000000001</v>
      </c>
      <c r="C747">
        <f t="shared" si="11"/>
        <v>2019</v>
      </c>
    </row>
    <row r="748" spans="1:3">
      <c r="A748" s="544">
        <v>43473</v>
      </c>
      <c r="B748" s="545">
        <v>1.1439999999999999</v>
      </c>
      <c r="C748">
        <f t="shared" si="11"/>
        <v>2019</v>
      </c>
    </row>
    <row r="749" spans="1:3">
      <c r="A749" s="544">
        <v>43474</v>
      </c>
      <c r="B749" s="545">
        <v>1.1455</v>
      </c>
      <c r="C749">
        <f t="shared" si="11"/>
        <v>2019</v>
      </c>
    </row>
    <row r="750" spans="1:3">
      <c r="A750" s="544">
        <v>43475</v>
      </c>
      <c r="B750" s="545">
        <v>1.1535</v>
      </c>
      <c r="C750">
        <f t="shared" si="11"/>
        <v>2019</v>
      </c>
    </row>
    <row r="751" spans="1:3">
      <c r="A751" s="544">
        <v>43476</v>
      </c>
      <c r="B751" s="545">
        <v>1.1533</v>
      </c>
      <c r="C751">
        <f t="shared" si="11"/>
        <v>2019</v>
      </c>
    </row>
    <row r="752" spans="1:3">
      <c r="A752" s="544">
        <v>43479</v>
      </c>
      <c r="B752" s="545">
        <v>1.1467000000000001</v>
      </c>
      <c r="C752">
        <f t="shared" si="11"/>
        <v>2019</v>
      </c>
    </row>
    <row r="753" spans="1:3">
      <c r="A753" s="544">
        <v>43480</v>
      </c>
      <c r="B753" s="545">
        <v>1.1424000000000001</v>
      </c>
      <c r="C753">
        <f t="shared" si="11"/>
        <v>2019</v>
      </c>
    </row>
    <row r="754" spans="1:3">
      <c r="A754" s="544">
        <v>43481</v>
      </c>
      <c r="B754" s="545">
        <v>1.1389</v>
      </c>
      <c r="C754">
        <f t="shared" si="11"/>
        <v>2019</v>
      </c>
    </row>
    <row r="755" spans="1:3">
      <c r="A755" s="544">
        <v>43482</v>
      </c>
      <c r="B755" s="545">
        <v>1.1395999999999999</v>
      </c>
      <c r="C755">
        <f t="shared" si="11"/>
        <v>2019</v>
      </c>
    </row>
    <row r="756" spans="1:3">
      <c r="A756" s="544">
        <v>43483</v>
      </c>
      <c r="B756" s="545">
        <v>1.1402000000000001</v>
      </c>
      <c r="C756">
        <f t="shared" si="11"/>
        <v>2019</v>
      </c>
    </row>
    <row r="757" spans="1:3">
      <c r="A757" s="544">
        <v>43487</v>
      </c>
      <c r="B757" s="545">
        <v>1.1354</v>
      </c>
      <c r="C757">
        <f t="shared" si="11"/>
        <v>2019</v>
      </c>
    </row>
    <row r="758" spans="1:3">
      <c r="A758" s="544">
        <v>43488</v>
      </c>
      <c r="B758" s="545">
        <v>1.1367</v>
      </c>
      <c r="C758">
        <f t="shared" si="11"/>
        <v>2019</v>
      </c>
    </row>
    <row r="759" spans="1:3">
      <c r="A759" s="544">
        <v>43489</v>
      </c>
      <c r="B759" s="545">
        <v>1.1341000000000001</v>
      </c>
      <c r="C759">
        <f t="shared" si="11"/>
        <v>2019</v>
      </c>
    </row>
    <row r="760" spans="1:3">
      <c r="A760" s="544">
        <v>43490</v>
      </c>
      <c r="B760" s="545">
        <v>1.1346000000000001</v>
      </c>
      <c r="C760">
        <f t="shared" si="11"/>
        <v>2019</v>
      </c>
    </row>
    <row r="761" spans="1:3">
      <c r="A761" s="544">
        <v>43493</v>
      </c>
      <c r="B761" s="545">
        <v>1.1417999999999999</v>
      </c>
      <c r="C761">
        <f t="shared" si="11"/>
        <v>2019</v>
      </c>
    </row>
    <row r="762" spans="1:3">
      <c r="A762" s="544">
        <v>43494</v>
      </c>
      <c r="B762" s="545">
        <v>1.1422000000000001</v>
      </c>
      <c r="C762">
        <f t="shared" si="11"/>
        <v>2019</v>
      </c>
    </row>
    <row r="763" spans="1:3">
      <c r="A763" s="544">
        <v>43495</v>
      </c>
      <c r="B763" s="545">
        <v>1.1429</v>
      </c>
      <c r="C763">
        <f t="shared" si="11"/>
        <v>2019</v>
      </c>
    </row>
    <row r="764" spans="1:3">
      <c r="A764" s="544">
        <v>43496</v>
      </c>
      <c r="B764" s="545">
        <v>1.1488</v>
      </c>
      <c r="C764">
        <f t="shared" si="11"/>
        <v>2019</v>
      </c>
    </row>
    <row r="765" spans="1:3">
      <c r="A765" s="544">
        <v>43497</v>
      </c>
      <c r="B765" s="545">
        <v>1.1471</v>
      </c>
      <c r="C765">
        <f t="shared" si="11"/>
        <v>2019</v>
      </c>
    </row>
    <row r="766" spans="1:3">
      <c r="A766" s="544">
        <v>43500</v>
      </c>
      <c r="B766" s="545">
        <v>1.1445000000000001</v>
      </c>
      <c r="C766">
        <f t="shared" si="11"/>
        <v>2019</v>
      </c>
    </row>
    <row r="767" spans="1:3">
      <c r="A767" s="544">
        <v>43501</v>
      </c>
      <c r="B767" s="545">
        <v>1.1423000000000001</v>
      </c>
      <c r="C767">
        <f t="shared" si="11"/>
        <v>2019</v>
      </c>
    </row>
    <row r="768" spans="1:3">
      <c r="A768" s="544">
        <v>43502</v>
      </c>
      <c r="B768" s="545">
        <v>1.1394</v>
      </c>
      <c r="C768">
        <f t="shared" si="11"/>
        <v>2019</v>
      </c>
    </row>
    <row r="769" spans="1:3">
      <c r="A769" s="544">
        <v>43503</v>
      </c>
      <c r="B769" s="545">
        <v>1.1345000000000001</v>
      </c>
      <c r="C769">
        <f t="shared" si="11"/>
        <v>2019</v>
      </c>
    </row>
    <row r="770" spans="1:3">
      <c r="A770" s="544">
        <v>43504</v>
      </c>
      <c r="B770" s="545">
        <v>1.1346000000000001</v>
      </c>
      <c r="C770">
        <f t="shared" si="11"/>
        <v>2019</v>
      </c>
    </row>
    <row r="771" spans="1:3">
      <c r="A771" s="544">
        <v>43507</v>
      </c>
      <c r="B771" s="545">
        <v>1.1309</v>
      </c>
      <c r="C771">
        <f t="shared" si="11"/>
        <v>2019</v>
      </c>
    </row>
    <row r="772" spans="1:3">
      <c r="A772" s="544">
        <v>43508</v>
      </c>
      <c r="B772" s="545">
        <v>1.1295999999999999</v>
      </c>
      <c r="C772">
        <f t="shared" si="11"/>
        <v>2019</v>
      </c>
    </row>
    <row r="773" spans="1:3">
      <c r="A773" s="544">
        <v>43509</v>
      </c>
      <c r="B773" s="545">
        <v>1.1305000000000001</v>
      </c>
      <c r="C773">
        <f t="shared" si="11"/>
        <v>2019</v>
      </c>
    </row>
    <row r="774" spans="1:3">
      <c r="A774" s="544">
        <v>43510</v>
      </c>
      <c r="B774" s="545">
        <v>1.1268</v>
      </c>
      <c r="C774">
        <f t="shared" ref="C774:C837" si="12">YEAR(A774)</f>
        <v>2019</v>
      </c>
    </row>
    <row r="775" spans="1:3">
      <c r="A775" s="544">
        <v>43511</v>
      </c>
      <c r="B775" s="545">
        <v>1.1259999999999999</v>
      </c>
      <c r="C775">
        <f t="shared" si="12"/>
        <v>2019</v>
      </c>
    </row>
    <row r="776" spans="1:3">
      <c r="A776" s="544">
        <v>43515</v>
      </c>
      <c r="B776" s="545">
        <v>1.1294</v>
      </c>
      <c r="C776">
        <f t="shared" si="12"/>
        <v>2019</v>
      </c>
    </row>
    <row r="777" spans="1:3">
      <c r="A777" s="544">
        <v>43516</v>
      </c>
      <c r="B777" s="545">
        <v>1.1342000000000001</v>
      </c>
      <c r="C777">
        <f t="shared" si="12"/>
        <v>2019</v>
      </c>
    </row>
    <row r="778" spans="1:3">
      <c r="A778" s="544">
        <v>43517</v>
      </c>
      <c r="B778" s="545">
        <v>1.1354</v>
      </c>
      <c r="C778">
        <f t="shared" si="12"/>
        <v>2019</v>
      </c>
    </row>
    <row r="779" spans="1:3">
      <c r="A779" s="544">
        <v>43518</v>
      </c>
      <c r="B779" s="545">
        <v>1.1325000000000001</v>
      </c>
      <c r="C779">
        <f t="shared" si="12"/>
        <v>2019</v>
      </c>
    </row>
    <row r="780" spans="1:3">
      <c r="A780" s="544">
        <v>43521</v>
      </c>
      <c r="B780" s="545">
        <v>1.1355</v>
      </c>
      <c r="C780">
        <f t="shared" si="12"/>
        <v>2019</v>
      </c>
    </row>
    <row r="781" spans="1:3">
      <c r="A781" s="544">
        <v>43522</v>
      </c>
      <c r="B781" s="545">
        <v>1.1361000000000001</v>
      </c>
      <c r="C781">
        <f t="shared" si="12"/>
        <v>2019</v>
      </c>
    </row>
    <row r="782" spans="1:3">
      <c r="A782" s="544">
        <v>43523</v>
      </c>
      <c r="B782" s="545">
        <v>1.1386000000000001</v>
      </c>
      <c r="C782">
        <f t="shared" si="12"/>
        <v>2019</v>
      </c>
    </row>
    <row r="783" spans="1:3">
      <c r="A783" s="544">
        <v>43524</v>
      </c>
      <c r="B783" s="545">
        <v>1.1415999999999999</v>
      </c>
      <c r="C783">
        <f t="shared" si="12"/>
        <v>2019</v>
      </c>
    </row>
    <row r="784" spans="1:3">
      <c r="A784" s="544">
        <v>43525</v>
      </c>
      <c r="B784" s="545">
        <v>1.1383000000000001</v>
      </c>
      <c r="C784">
        <f t="shared" si="12"/>
        <v>2019</v>
      </c>
    </row>
    <row r="785" spans="1:3">
      <c r="A785" s="544">
        <v>43528</v>
      </c>
      <c r="B785" s="545">
        <v>1.1336999999999999</v>
      </c>
      <c r="C785">
        <f t="shared" si="12"/>
        <v>2019</v>
      </c>
    </row>
    <row r="786" spans="1:3">
      <c r="A786" s="544">
        <v>43529</v>
      </c>
      <c r="B786" s="545">
        <v>1.1329</v>
      </c>
      <c r="C786">
        <f t="shared" si="12"/>
        <v>2019</v>
      </c>
    </row>
    <row r="787" spans="1:3">
      <c r="A787" s="544">
        <v>43530</v>
      </c>
      <c r="B787" s="545">
        <v>1.1305000000000001</v>
      </c>
      <c r="C787">
        <f t="shared" si="12"/>
        <v>2019</v>
      </c>
    </row>
    <row r="788" spans="1:3">
      <c r="A788" s="544">
        <v>43531</v>
      </c>
      <c r="B788" s="545">
        <v>1.1271</v>
      </c>
      <c r="C788">
        <f t="shared" si="12"/>
        <v>2019</v>
      </c>
    </row>
    <row r="789" spans="1:3">
      <c r="A789" s="544">
        <v>43532</v>
      </c>
      <c r="B789" s="545">
        <v>1.1222000000000001</v>
      </c>
      <c r="C789">
        <f t="shared" si="12"/>
        <v>2019</v>
      </c>
    </row>
    <row r="790" spans="1:3">
      <c r="A790" s="544">
        <v>43535</v>
      </c>
      <c r="B790" s="545">
        <v>1.1244000000000001</v>
      </c>
      <c r="C790">
        <f t="shared" si="12"/>
        <v>2019</v>
      </c>
    </row>
    <row r="791" spans="1:3">
      <c r="A791" s="544">
        <v>43536</v>
      </c>
      <c r="B791" s="545">
        <v>1.1274999999999999</v>
      </c>
      <c r="C791">
        <f t="shared" si="12"/>
        <v>2019</v>
      </c>
    </row>
    <row r="792" spans="1:3">
      <c r="A792" s="544">
        <v>43537</v>
      </c>
      <c r="B792" s="545">
        <v>1.1303000000000001</v>
      </c>
      <c r="C792">
        <f t="shared" si="12"/>
        <v>2019</v>
      </c>
    </row>
    <row r="793" spans="1:3">
      <c r="A793" s="544">
        <v>43538</v>
      </c>
      <c r="B793" s="545">
        <v>1.1294999999999999</v>
      </c>
      <c r="C793">
        <f t="shared" si="12"/>
        <v>2019</v>
      </c>
    </row>
    <row r="794" spans="1:3">
      <c r="A794" s="544">
        <v>43539</v>
      </c>
      <c r="B794" s="545">
        <v>1.1308</v>
      </c>
      <c r="C794">
        <f t="shared" si="12"/>
        <v>2019</v>
      </c>
    </row>
    <row r="795" spans="1:3">
      <c r="A795" s="544">
        <v>43542</v>
      </c>
      <c r="B795" s="545">
        <v>1.1349</v>
      </c>
      <c r="C795">
        <f t="shared" si="12"/>
        <v>2019</v>
      </c>
    </row>
    <row r="796" spans="1:3">
      <c r="A796" s="544">
        <v>43543</v>
      </c>
      <c r="B796" s="545">
        <v>1.1357999999999999</v>
      </c>
      <c r="C796">
        <f t="shared" si="12"/>
        <v>2019</v>
      </c>
    </row>
    <row r="797" spans="1:3">
      <c r="A797" s="544">
        <v>43544</v>
      </c>
      <c r="B797" s="545">
        <v>1.1354</v>
      </c>
      <c r="C797">
        <f t="shared" si="12"/>
        <v>2019</v>
      </c>
    </row>
    <row r="798" spans="1:3">
      <c r="A798" s="544">
        <v>43545</v>
      </c>
      <c r="B798" s="545">
        <v>1.1387</v>
      </c>
      <c r="C798">
        <f t="shared" si="12"/>
        <v>2019</v>
      </c>
    </row>
    <row r="799" spans="1:3">
      <c r="A799" s="544">
        <v>43546</v>
      </c>
      <c r="B799" s="545">
        <v>1.1302000000000001</v>
      </c>
      <c r="C799">
        <f t="shared" si="12"/>
        <v>2019</v>
      </c>
    </row>
    <row r="800" spans="1:3">
      <c r="A800" s="544">
        <v>43549</v>
      </c>
      <c r="B800" s="545">
        <v>1.1325000000000001</v>
      </c>
      <c r="C800">
        <f t="shared" si="12"/>
        <v>2019</v>
      </c>
    </row>
    <row r="801" spans="1:3">
      <c r="A801" s="544">
        <v>43550</v>
      </c>
      <c r="B801" s="545">
        <v>1.1291</v>
      </c>
      <c r="C801">
        <f t="shared" si="12"/>
        <v>2019</v>
      </c>
    </row>
    <row r="802" spans="1:3">
      <c r="A802" s="544">
        <v>43551</v>
      </c>
      <c r="B802" s="545">
        <v>1.1261000000000001</v>
      </c>
      <c r="C802">
        <f t="shared" si="12"/>
        <v>2019</v>
      </c>
    </row>
    <row r="803" spans="1:3">
      <c r="A803" s="544">
        <v>43552</v>
      </c>
      <c r="B803" s="545">
        <v>1.1217999999999999</v>
      </c>
      <c r="C803">
        <f t="shared" si="12"/>
        <v>2019</v>
      </c>
    </row>
    <row r="804" spans="1:3">
      <c r="A804" s="544">
        <v>43553</v>
      </c>
      <c r="B804" s="545">
        <v>1.1234999999999999</v>
      </c>
      <c r="C804">
        <f t="shared" si="12"/>
        <v>2019</v>
      </c>
    </row>
    <row r="805" spans="1:3">
      <c r="A805" s="544">
        <v>43556</v>
      </c>
      <c r="B805" s="545">
        <v>1.1235999999999999</v>
      </c>
      <c r="C805">
        <f t="shared" si="12"/>
        <v>2019</v>
      </c>
    </row>
    <row r="806" spans="1:3">
      <c r="A806" s="544">
        <v>43557</v>
      </c>
      <c r="B806" s="545">
        <v>1.1200000000000001</v>
      </c>
      <c r="C806">
        <f t="shared" si="12"/>
        <v>2019</v>
      </c>
    </row>
    <row r="807" spans="1:3">
      <c r="A807" s="544">
        <v>43558</v>
      </c>
      <c r="B807" s="545">
        <v>1.1243000000000001</v>
      </c>
      <c r="C807">
        <f t="shared" si="12"/>
        <v>2019</v>
      </c>
    </row>
    <row r="808" spans="1:3">
      <c r="A808" s="544">
        <v>43559</v>
      </c>
      <c r="B808" s="545">
        <v>1.1218999999999999</v>
      </c>
      <c r="C808">
        <f t="shared" si="12"/>
        <v>2019</v>
      </c>
    </row>
    <row r="809" spans="1:3">
      <c r="A809" s="544">
        <v>43560</v>
      </c>
      <c r="B809" s="545">
        <v>1.1233</v>
      </c>
      <c r="C809">
        <f t="shared" si="12"/>
        <v>2019</v>
      </c>
    </row>
    <row r="810" spans="1:3">
      <c r="A810" s="544">
        <v>43563</v>
      </c>
      <c r="B810" s="545">
        <v>1.1246</v>
      </c>
      <c r="C810">
        <f t="shared" si="12"/>
        <v>2019</v>
      </c>
    </row>
    <row r="811" spans="1:3">
      <c r="A811" s="544">
        <v>43564</v>
      </c>
      <c r="B811" s="545">
        <v>1.1276999999999999</v>
      </c>
      <c r="C811">
        <f t="shared" si="12"/>
        <v>2019</v>
      </c>
    </row>
    <row r="812" spans="1:3">
      <c r="A812" s="544">
        <v>43565</v>
      </c>
      <c r="B812" s="545">
        <v>1.1278999999999999</v>
      </c>
      <c r="C812">
        <f t="shared" si="12"/>
        <v>2019</v>
      </c>
    </row>
    <row r="813" spans="1:3">
      <c r="A813" s="544">
        <v>43566</v>
      </c>
      <c r="B813" s="545">
        <v>1.1264000000000001</v>
      </c>
      <c r="C813">
        <f t="shared" si="12"/>
        <v>2019</v>
      </c>
    </row>
    <row r="814" spans="1:3">
      <c r="A814" s="544">
        <v>43567</v>
      </c>
      <c r="B814" s="545">
        <v>1.1321000000000001</v>
      </c>
      <c r="C814">
        <f t="shared" si="12"/>
        <v>2019</v>
      </c>
    </row>
    <row r="815" spans="1:3">
      <c r="A815" s="544">
        <v>43570</v>
      </c>
      <c r="B815" s="545">
        <v>1.1313</v>
      </c>
      <c r="C815">
        <f t="shared" si="12"/>
        <v>2019</v>
      </c>
    </row>
    <row r="816" spans="1:3">
      <c r="A816" s="544">
        <v>43571</v>
      </c>
      <c r="B816" s="545">
        <v>1.1305000000000001</v>
      </c>
      <c r="C816">
        <f t="shared" si="12"/>
        <v>2019</v>
      </c>
    </row>
    <row r="817" spans="1:3">
      <c r="A817" s="544">
        <v>43572</v>
      </c>
      <c r="B817" s="545">
        <v>1.1301000000000001</v>
      </c>
      <c r="C817">
        <f t="shared" si="12"/>
        <v>2019</v>
      </c>
    </row>
    <row r="818" spans="1:3">
      <c r="A818" s="544">
        <v>43573</v>
      </c>
      <c r="B818" s="545">
        <v>1.125</v>
      </c>
      <c r="C818">
        <f t="shared" si="12"/>
        <v>2019</v>
      </c>
    </row>
    <row r="819" spans="1:3">
      <c r="A819" s="544">
        <v>43578</v>
      </c>
      <c r="B819" s="545">
        <v>1.1245000000000001</v>
      </c>
      <c r="C819">
        <f t="shared" si="12"/>
        <v>2019</v>
      </c>
    </row>
    <row r="820" spans="1:3">
      <c r="A820" s="544">
        <v>43579</v>
      </c>
      <c r="B820" s="545">
        <v>1.1209</v>
      </c>
      <c r="C820">
        <f t="shared" si="12"/>
        <v>2019</v>
      </c>
    </row>
    <row r="821" spans="1:3">
      <c r="A821" s="544">
        <v>43580</v>
      </c>
      <c r="B821" s="545">
        <v>1.1123000000000001</v>
      </c>
      <c r="C821">
        <f t="shared" si="12"/>
        <v>2019</v>
      </c>
    </row>
    <row r="822" spans="1:3">
      <c r="A822" s="544">
        <v>43581</v>
      </c>
      <c r="B822" s="545">
        <v>1.1133</v>
      </c>
      <c r="C822">
        <f t="shared" si="12"/>
        <v>2019</v>
      </c>
    </row>
    <row r="823" spans="1:3">
      <c r="A823" s="544">
        <v>43584</v>
      </c>
      <c r="B823" s="545">
        <v>1.115</v>
      </c>
      <c r="C823">
        <f t="shared" si="12"/>
        <v>2019</v>
      </c>
    </row>
    <row r="824" spans="1:3">
      <c r="A824" s="544">
        <v>43585</v>
      </c>
      <c r="B824" s="545">
        <v>1.1217999999999999</v>
      </c>
      <c r="C824">
        <f t="shared" si="12"/>
        <v>2019</v>
      </c>
    </row>
    <row r="825" spans="1:3">
      <c r="A825" s="544">
        <v>43587</v>
      </c>
      <c r="B825" s="545">
        <v>1.1212</v>
      </c>
      <c r="C825">
        <f t="shared" si="12"/>
        <v>2019</v>
      </c>
    </row>
    <row r="826" spans="1:3">
      <c r="A826" s="544">
        <v>43588</v>
      </c>
      <c r="B826" s="545">
        <v>1.1154999999999999</v>
      </c>
      <c r="C826">
        <f t="shared" si="12"/>
        <v>2019</v>
      </c>
    </row>
    <row r="827" spans="1:3">
      <c r="A827" s="544">
        <v>43591</v>
      </c>
      <c r="B827" s="545">
        <v>1.1198999999999999</v>
      </c>
      <c r="C827">
        <f t="shared" si="12"/>
        <v>2019</v>
      </c>
    </row>
    <row r="828" spans="1:3">
      <c r="A828" s="544">
        <v>43592</v>
      </c>
      <c r="B828" s="545">
        <v>1.1185</v>
      </c>
      <c r="C828">
        <f t="shared" si="12"/>
        <v>2019</v>
      </c>
    </row>
    <row r="829" spans="1:3">
      <c r="A829" s="544">
        <v>43593</v>
      </c>
      <c r="B829" s="545">
        <v>1.1202000000000001</v>
      </c>
      <c r="C829">
        <f t="shared" si="12"/>
        <v>2019</v>
      </c>
    </row>
    <row r="830" spans="1:3">
      <c r="A830" s="544">
        <v>43594</v>
      </c>
      <c r="B830" s="545">
        <v>1.1193</v>
      </c>
      <c r="C830">
        <f t="shared" si="12"/>
        <v>2019</v>
      </c>
    </row>
    <row r="831" spans="1:3">
      <c r="A831" s="544">
        <v>43595</v>
      </c>
      <c r="B831" s="545">
        <v>1.123</v>
      </c>
      <c r="C831">
        <f t="shared" si="12"/>
        <v>2019</v>
      </c>
    </row>
    <row r="832" spans="1:3">
      <c r="A832" s="544">
        <v>43598</v>
      </c>
      <c r="B832" s="545">
        <v>1.1245000000000001</v>
      </c>
      <c r="C832">
        <f t="shared" si="12"/>
        <v>2019</v>
      </c>
    </row>
    <row r="833" spans="1:3">
      <c r="A833" s="544">
        <v>43599</v>
      </c>
      <c r="B833" s="545">
        <v>1.1226</v>
      </c>
      <c r="C833">
        <f t="shared" si="12"/>
        <v>2019</v>
      </c>
    </row>
    <row r="834" spans="1:3">
      <c r="A834" s="544">
        <v>43600</v>
      </c>
      <c r="B834" s="545">
        <v>1.1183000000000001</v>
      </c>
      <c r="C834">
        <f t="shared" si="12"/>
        <v>2019</v>
      </c>
    </row>
    <row r="835" spans="1:3">
      <c r="A835" s="544">
        <v>43601</v>
      </c>
      <c r="B835" s="545">
        <v>1.1203000000000001</v>
      </c>
      <c r="C835">
        <f t="shared" si="12"/>
        <v>2019</v>
      </c>
    </row>
    <row r="836" spans="1:3">
      <c r="A836" s="544">
        <v>43602</v>
      </c>
      <c r="B836" s="545">
        <v>1.1172</v>
      </c>
      <c r="C836">
        <f t="shared" si="12"/>
        <v>2019</v>
      </c>
    </row>
    <row r="837" spans="1:3">
      <c r="A837" s="544">
        <v>43605</v>
      </c>
      <c r="B837" s="545">
        <v>1.1167</v>
      </c>
      <c r="C837">
        <f t="shared" si="12"/>
        <v>2019</v>
      </c>
    </row>
    <row r="838" spans="1:3">
      <c r="A838" s="544">
        <v>43606</v>
      </c>
      <c r="B838" s="545">
        <v>1.1161000000000001</v>
      </c>
      <c r="C838">
        <f t="shared" ref="C838:C901" si="13">YEAR(A838)</f>
        <v>2019</v>
      </c>
    </row>
    <row r="839" spans="1:3">
      <c r="A839" s="544">
        <v>43607</v>
      </c>
      <c r="B839" s="545">
        <v>1.1171</v>
      </c>
      <c r="C839">
        <f t="shared" si="13"/>
        <v>2019</v>
      </c>
    </row>
    <row r="840" spans="1:3">
      <c r="A840" s="544">
        <v>43608</v>
      </c>
      <c r="B840" s="545">
        <v>1.1138999999999999</v>
      </c>
      <c r="C840">
        <f t="shared" si="13"/>
        <v>2019</v>
      </c>
    </row>
    <row r="841" spans="1:3">
      <c r="A841" s="544">
        <v>43609</v>
      </c>
      <c r="B841" s="545">
        <v>1.1187</v>
      </c>
      <c r="C841">
        <f t="shared" si="13"/>
        <v>2019</v>
      </c>
    </row>
    <row r="842" spans="1:3">
      <c r="A842" s="544">
        <v>43613</v>
      </c>
      <c r="B842" s="545">
        <v>1.1192</v>
      </c>
      <c r="C842">
        <f t="shared" si="13"/>
        <v>2019</v>
      </c>
    </row>
    <row r="843" spans="1:3">
      <c r="A843" s="544">
        <v>43614</v>
      </c>
      <c r="B843" s="545">
        <v>1.1155999999999999</v>
      </c>
      <c r="C843">
        <f t="shared" si="13"/>
        <v>2019</v>
      </c>
    </row>
    <row r="844" spans="1:3">
      <c r="A844" s="544">
        <v>43615</v>
      </c>
      <c r="B844" s="545">
        <v>1.1133999999999999</v>
      </c>
      <c r="C844">
        <f t="shared" si="13"/>
        <v>2019</v>
      </c>
    </row>
    <row r="845" spans="1:3">
      <c r="A845" s="544">
        <v>43616</v>
      </c>
      <c r="B845" s="545">
        <v>1.1151</v>
      </c>
      <c r="C845">
        <f t="shared" si="13"/>
        <v>2019</v>
      </c>
    </row>
    <row r="846" spans="1:3">
      <c r="A846" s="544">
        <v>43619</v>
      </c>
      <c r="B846" s="545">
        <v>1.1185</v>
      </c>
      <c r="C846">
        <f t="shared" si="13"/>
        <v>2019</v>
      </c>
    </row>
    <row r="847" spans="1:3">
      <c r="A847" s="544">
        <v>43620</v>
      </c>
      <c r="B847" s="545">
        <v>1.1244000000000001</v>
      </c>
      <c r="C847">
        <f t="shared" si="13"/>
        <v>2019</v>
      </c>
    </row>
    <row r="848" spans="1:3">
      <c r="A848" s="544">
        <v>43621</v>
      </c>
      <c r="B848" s="545">
        <v>1.1256999999999999</v>
      </c>
      <c r="C848">
        <f t="shared" si="13"/>
        <v>2019</v>
      </c>
    </row>
    <row r="849" spans="1:3">
      <c r="A849" s="544">
        <v>43622</v>
      </c>
      <c r="B849" s="545">
        <v>1.1266</v>
      </c>
      <c r="C849">
        <f t="shared" si="13"/>
        <v>2019</v>
      </c>
    </row>
    <row r="850" spans="1:3">
      <c r="A850" s="544">
        <v>43623</v>
      </c>
      <c r="B850" s="545">
        <v>1.1273</v>
      </c>
      <c r="C850">
        <f t="shared" si="13"/>
        <v>2019</v>
      </c>
    </row>
    <row r="851" spans="1:3">
      <c r="A851" s="544">
        <v>43626</v>
      </c>
      <c r="B851" s="545">
        <v>1.1301000000000001</v>
      </c>
      <c r="C851">
        <f t="shared" si="13"/>
        <v>2019</v>
      </c>
    </row>
    <row r="852" spans="1:3">
      <c r="A852" s="544">
        <v>43627</v>
      </c>
      <c r="B852" s="545">
        <v>1.1319999999999999</v>
      </c>
      <c r="C852">
        <f t="shared" si="13"/>
        <v>2019</v>
      </c>
    </row>
    <row r="853" spans="1:3">
      <c r="A853" s="544">
        <v>43628</v>
      </c>
      <c r="B853" s="545">
        <v>1.1323000000000001</v>
      </c>
      <c r="C853">
        <f t="shared" si="13"/>
        <v>2019</v>
      </c>
    </row>
    <row r="854" spans="1:3">
      <c r="A854" s="544">
        <v>43629</v>
      </c>
      <c r="B854" s="545">
        <v>1.1289</v>
      </c>
      <c r="C854">
        <f t="shared" si="13"/>
        <v>2019</v>
      </c>
    </row>
    <row r="855" spans="1:3">
      <c r="A855" s="544">
        <v>43630</v>
      </c>
      <c r="B855" s="545">
        <v>1.1265000000000001</v>
      </c>
      <c r="C855">
        <f t="shared" si="13"/>
        <v>2019</v>
      </c>
    </row>
    <row r="856" spans="1:3">
      <c r="A856" s="544">
        <v>43633</v>
      </c>
      <c r="B856" s="545">
        <v>1.1234</v>
      </c>
      <c r="C856">
        <f t="shared" si="13"/>
        <v>2019</v>
      </c>
    </row>
    <row r="857" spans="1:3">
      <c r="A857" s="544">
        <v>43634</v>
      </c>
      <c r="B857" s="545">
        <v>1.1187</v>
      </c>
      <c r="C857">
        <f t="shared" si="13"/>
        <v>2019</v>
      </c>
    </row>
    <row r="858" spans="1:3">
      <c r="A858" s="544">
        <v>43635</v>
      </c>
      <c r="B858" s="545">
        <v>1.1207</v>
      </c>
      <c r="C858">
        <f t="shared" si="13"/>
        <v>2019</v>
      </c>
    </row>
    <row r="859" spans="1:3">
      <c r="A859" s="544">
        <v>43636</v>
      </c>
      <c r="B859" s="545">
        <v>1.1307</v>
      </c>
      <c r="C859">
        <f t="shared" si="13"/>
        <v>2019</v>
      </c>
    </row>
    <row r="860" spans="1:3">
      <c r="A860" s="544">
        <v>43637</v>
      </c>
      <c r="B860" s="545">
        <v>1.1315999999999999</v>
      </c>
      <c r="C860">
        <f t="shared" si="13"/>
        <v>2019</v>
      </c>
    </row>
    <row r="861" spans="1:3">
      <c r="A861" s="544">
        <v>43640</v>
      </c>
      <c r="B861" s="545">
        <v>1.1394</v>
      </c>
      <c r="C861">
        <f t="shared" si="13"/>
        <v>2019</v>
      </c>
    </row>
    <row r="862" spans="1:3">
      <c r="A862" s="544">
        <v>43641</v>
      </c>
      <c r="B862" s="545">
        <v>1.1388</v>
      </c>
      <c r="C862">
        <f t="shared" si="13"/>
        <v>2019</v>
      </c>
    </row>
    <row r="863" spans="1:3">
      <c r="A863" s="544">
        <v>43642</v>
      </c>
      <c r="B863" s="545">
        <v>1.1362000000000001</v>
      </c>
      <c r="C863">
        <f t="shared" si="13"/>
        <v>2019</v>
      </c>
    </row>
    <row r="864" spans="1:3">
      <c r="A864" s="544">
        <v>43643</v>
      </c>
      <c r="B864" s="545">
        <v>1.137</v>
      </c>
      <c r="C864">
        <f t="shared" si="13"/>
        <v>2019</v>
      </c>
    </row>
    <row r="865" spans="1:3">
      <c r="A865" s="544">
        <v>43644</v>
      </c>
      <c r="B865" s="545">
        <v>1.1379999999999999</v>
      </c>
      <c r="C865">
        <f t="shared" si="13"/>
        <v>2019</v>
      </c>
    </row>
    <row r="866" spans="1:3">
      <c r="A866" s="544">
        <v>43647</v>
      </c>
      <c r="B866" s="545">
        <v>1.1349</v>
      </c>
      <c r="C866">
        <f t="shared" si="13"/>
        <v>2019</v>
      </c>
    </row>
    <row r="867" spans="1:3">
      <c r="A867" s="544">
        <v>43648</v>
      </c>
      <c r="B867" s="545">
        <v>1.1301000000000001</v>
      </c>
      <c r="C867">
        <f t="shared" si="13"/>
        <v>2019</v>
      </c>
    </row>
    <row r="868" spans="1:3">
      <c r="A868" s="544">
        <v>43649</v>
      </c>
      <c r="B868" s="545">
        <v>1.1293</v>
      </c>
      <c r="C868">
        <f t="shared" si="13"/>
        <v>2019</v>
      </c>
    </row>
    <row r="869" spans="1:3">
      <c r="A869" s="544">
        <v>43651</v>
      </c>
      <c r="B869" s="545">
        <v>1.1259999999999999</v>
      </c>
      <c r="C869">
        <f t="shared" si="13"/>
        <v>2019</v>
      </c>
    </row>
    <row r="870" spans="1:3">
      <c r="A870" s="544">
        <v>43654</v>
      </c>
      <c r="B870" s="545">
        <v>1.1214999999999999</v>
      </c>
      <c r="C870">
        <f t="shared" si="13"/>
        <v>2019</v>
      </c>
    </row>
    <row r="871" spans="1:3">
      <c r="A871" s="544">
        <v>43655</v>
      </c>
      <c r="B871" s="545">
        <v>1.1205000000000001</v>
      </c>
      <c r="C871">
        <f t="shared" si="13"/>
        <v>2019</v>
      </c>
    </row>
    <row r="872" spans="1:3">
      <c r="A872" s="544">
        <v>43656</v>
      </c>
      <c r="B872" s="545">
        <v>1.1220000000000001</v>
      </c>
      <c r="C872">
        <f t="shared" si="13"/>
        <v>2019</v>
      </c>
    </row>
    <row r="873" spans="1:3">
      <c r="A873" s="544">
        <v>43657</v>
      </c>
      <c r="B873" s="545">
        <v>1.1285000000000001</v>
      </c>
      <c r="C873">
        <f t="shared" si="13"/>
        <v>2019</v>
      </c>
    </row>
    <row r="874" spans="1:3">
      <c r="A874" s="544">
        <v>43658</v>
      </c>
      <c r="B874" s="545">
        <v>1.1253</v>
      </c>
      <c r="C874">
        <f t="shared" si="13"/>
        <v>2019</v>
      </c>
    </row>
    <row r="875" spans="1:3">
      <c r="A875" s="544">
        <v>43661</v>
      </c>
      <c r="B875" s="545">
        <v>1.1269</v>
      </c>
      <c r="C875">
        <f t="shared" si="13"/>
        <v>2019</v>
      </c>
    </row>
    <row r="876" spans="1:3">
      <c r="A876" s="544">
        <v>43662</v>
      </c>
      <c r="B876" s="545">
        <v>1.1223000000000001</v>
      </c>
      <c r="C876">
        <f t="shared" si="13"/>
        <v>2019</v>
      </c>
    </row>
    <row r="877" spans="1:3">
      <c r="A877" s="544">
        <v>43663</v>
      </c>
      <c r="B877" s="545">
        <v>1.1214999999999999</v>
      </c>
      <c r="C877">
        <f t="shared" si="13"/>
        <v>2019</v>
      </c>
    </row>
    <row r="878" spans="1:3">
      <c r="A878" s="544">
        <v>43664</v>
      </c>
      <c r="B878" s="545">
        <v>1.1215999999999999</v>
      </c>
      <c r="C878">
        <f t="shared" si="13"/>
        <v>2019</v>
      </c>
    </row>
    <row r="879" spans="1:3">
      <c r="A879" s="544">
        <v>43665</v>
      </c>
      <c r="B879" s="545">
        <v>1.1226</v>
      </c>
      <c r="C879">
        <f t="shared" si="13"/>
        <v>2019</v>
      </c>
    </row>
    <row r="880" spans="1:3">
      <c r="A880" s="544">
        <v>43668</v>
      </c>
      <c r="B880" s="545">
        <v>1.1214999999999999</v>
      </c>
      <c r="C880">
        <f t="shared" si="13"/>
        <v>2019</v>
      </c>
    </row>
    <row r="881" spans="1:3">
      <c r="A881" s="544">
        <v>43669</v>
      </c>
      <c r="B881" s="545">
        <v>1.1173</v>
      </c>
      <c r="C881">
        <f t="shared" si="13"/>
        <v>2019</v>
      </c>
    </row>
    <row r="882" spans="1:3">
      <c r="A882" s="544">
        <v>43670</v>
      </c>
      <c r="B882" s="545">
        <v>1.1140000000000001</v>
      </c>
      <c r="C882">
        <f t="shared" si="13"/>
        <v>2019</v>
      </c>
    </row>
    <row r="883" spans="1:3">
      <c r="A883" s="544">
        <v>43671</v>
      </c>
      <c r="B883" s="545">
        <v>1.1114999999999999</v>
      </c>
      <c r="C883">
        <f t="shared" si="13"/>
        <v>2019</v>
      </c>
    </row>
    <row r="884" spans="1:3">
      <c r="A884" s="544">
        <v>43672</v>
      </c>
      <c r="B884" s="545">
        <v>1.1137999999999999</v>
      </c>
      <c r="C884">
        <f t="shared" si="13"/>
        <v>2019</v>
      </c>
    </row>
    <row r="885" spans="1:3">
      <c r="A885" s="544">
        <v>43675</v>
      </c>
      <c r="B885" s="545">
        <v>1.1119000000000001</v>
      </c>
      <c r="C885">
        <f t="shared" si="13"/>
        <v>2019</v>
      </c>
    </row>
    <row r="886" spans="1:3">
      <c r="A886" s="544">
        <v>43676</v>
      </c>
      <c r="B886" s="545">
        <v>1.1153999999999999</v>
      </c>
      <c r="C886">
        <f t="shared" si="13"/>
        <v>2019</v>
      </c>
    </row>
    <row r="887" spans="1:3">
      <c r="A887" s="544">
        <v>43677</v>
      </c>
      <c r="B887" s="545">
        <v>1.1151</v>
      </c>
      <c r="C887">
        <f t="shared" si="13"/>
        <v>2019</v>
      </c>
    </row>
    <row r="888" spans="1:3">
      <c r="A888" s="544">
        <v>43678</v>
      </c>
      <c r="B888" s="545">
        <v>1.1036999999999999</v>
      </c>
      <c r="C888">
        <f t="shared" si="13"/>
        <v>2019</v>
      </c>
    </row>
    <row r="889" spans="1:3">
      <c r="A889" s="544">
        <v>43679</v>
      </c>
      <c r="B889" s="545">
        <v>1.1106</v>
      </c>
      <c r="C889">
        <f t="shared" si="13"/>
        <v>2019</v>
      </c>
    </row>
    <row r="890" spans="1:3">
      <c r="A890" s="544">
        <v>43682</v>
      </c>
      <c r="B890" s="545">
        <v>1.1182000000000001</v>
      </c>
      <c r="C890">
        <f t="shared" si="13"/>
        <v>2019</v>
      </c>
    </row>
    <row r="891" spans="1:3">
      <c r="A891" s="544">
        <v>43683</v>
      </c>
      <c r="B891" s="545">
        <v>1.1187</v>
      </c>
      <c r="C891">
        <f t="shared" si="13"/>
        <v>2019</v>
      </c>
    </row>
    <row r="892" spans="1:3">
      <c r="A892" s="544">
        <v>43684</v>
      </c>
      <c r="B892" s="545">
        <v>1.1202000000000001</v>
      </c>
      <c r="C892">
        <f t="shared" si="13"/>
        <v>2019</v>
      </c>
    </row>
    <row r="893" spans="1:3">
      <c r="A893" s="544">
        <v>43685</v>
      </c>
      <c r="B893" s="545">
        <v>1.1193</v>
      </c>
      <c r="C893">
        <f t="shared" si="13"/>
        <v>2019</v>
      </c>
    </row>
    <row r="894" spans="1:3">
      <c r="A894" s="544">
        <v>43686</v>
      </c>
      <c r="B894" s="545">
        <v>1.1197999999999999</v>
      </c>
      <c r="C894">
        <f t="shared" si="13"/>
        <v>2019</v>
      </c>
    </row>
    <row r="895" spans="1:3">
      <c r="A895" s="544">
        <v>43689</v>
      </c>
      <c r="B895" s="545">
        <v>1.1194</v>
      </c>
      <c r="C895">
        <f t="shared" si="13"/>
        <v>2019</v>
      </c>
    </row>
    <row r="896" spans="1:3">
      <c r="A896" s="544">
        <v>43690</v>
      </c>
      <c r="B896" s="545">
        <v>1.1222000000000001</v>
      </c>
      <c r="C896">
        <f t="shared" si="13"/>
        <v>2019</v>
      </c>
    </row>
    <row r="897" spans="1:3">
      <c r="A897" s="544">
        <v>43691</v>
      </c>
      <c r="B897" s="545">
        <v>1.1188</v>
      </c>
      <c r="C897">
        <f t="shared" si="13"/>
        <v>2019</v>
      </c>
    </row>
    <row r="898" spans="1:3">
      <c r="A898" s="544">
        <v>43692</v>
      </c>
      <c r="B898" s="545">
        <v>1.115</v>
      </c>
      <c r="C898">
        <f t="shared" si="13"/>
        <v>2019</v>
      </c>
    </row>
    <row r="899" spans="1:3">
      <c r="A899" s="544">
        <v>43693</v>
      </c>
      <c r="B899" s="545">
        <v>1.1075999999999999</v>
      </c>
      <c r="C899">
        <f t="shared" si="13"/>
        <v>2019</v>
      </c>
    </row>
    <row r="900" spans="1:3">
      <c r="A900" s="544">
        <v>43696</v>
      </c>
      <c r="B900" s="545">
        <v>1.1103000000000001</v>
      </c>
      <c r="C900">
        <f t="shared" si="13"/>
        <v>2019</v>
      </c>
    </row>
    <row r="901" spans="1:3">
      <c r="A901" s="544">
        <v>43697</v>
      </c>
      <c r="B901" s="545">
        <v>1.1075999999999999</v>
      </c>
      <c r="C901">
        <f t="shared" si="13"/>
        <v>2019</v>
      </c>
    </row>
    <row r="902" spans="1:3">
      <c r="A902" s="544">
        <v>43698</v>
      </c>
      <c r="B902" s="545">
        <v>1.1104000000000001</v>
      </c>
      <c r="C902">
        <f t="shared" ref="C902:C965" si="14">YEAR(A902)</f>
        <v>2019</v>
      </c>
    </row>
    <row r="903" spans="1:3">
      <c r="A903" s="544">
        <v>43699</v>
      </c>
      <c r="B903" s="545">
        <v>1.1083000000000001</v>
      </c>
      <c r="C903">
        <f t="shared" si="14"/>
        <v>2019</v>
      </c>
    </row>
    <row r="904" spans="1:3">
      <c r="A904" s="544">
        <v>43700</v>
      </c>
      <c r="B904" s="545">
        <v>1.1065</v>
      </c>
      <c r="C904">
        <f t="shared" si="14"/>
        <v>2019</v>
      </c>
    </row>
    <row r="905" spans="1:3">
      <c r="A905" s="544">
        <v>43703</v>
      </c>
      <c r="B905" s="545">
        <v>1.1115999999999999</v>
      </c>
      <c r="C905">
        <f t="shared" si="14"/>
        <v>2019</v>
      </c>
    </row>
    <row r="906" spans="1:3">
      <c r="A906" s="544">
        <v>43704</v>
      </c>
      <c r="B906" s="545">
        <v>1.1104000000000001</v>
      </c>
      <c r="C906">
        <f t="shared" si="14"/>
        <v>2019</v>
      </c>
    </row>
    <row r="907" spans="1:3">
      <c r="A907" s="544">
        <v>43705</v>
      </c>
      <c r="B907" s="545">
        <v>1.1083000000000001</v>
      </c>
      <c r="C907">
        <f t="shared" si="14"/>
        <v>2019</v>
      </c>
    </row>
    <row r="908" spans="1:3">
      <c r="A908" s="544">
        <v>43706</v>
      </c>
      <c r="B908" s="545">
        <v>1.1072</v>
      </c>
      <c r="C908">
        <f t="shared" si="14"/>
        <v>2019</v>
      </c>
    </row>
    <row r="909" spans="1:3">
      <c r="A909" s="544">
        <v>43707</v>
      </c>
      <c r="B909" s="545">
        <v>1.1035999999999999</v>
      </c>
      <c r="C909">
        <f t="shared" si="14"/>
        <v>2019</v>
      </c>
    </row>
    <row r="910" spans="1:3">
      <c r="A910" s="544">
        <v>43711</v>
      </c>
      <c r="B910" s="545">
        <v>1.0936999999999999</v>
      </c>
      <c r="C910">
        <f t="shared" si="14"/>
        <v>2019</v>
      </c>
    </row>
    <row r="911" spans="1:3">
      <c r="A911" s="544">
        <v>43712</v>
      </c>
      <c r="B911" s="545">
        <v>1.1017999999999999</v>
      </c>
      <c r="C911">
        <f t="shared" si="14"/>
        <v>2019</v>
      </c>
    </row>
    <row r="912" spans="1:3">
      <c r="A912" s="544">
        <v>43713</v>
      </c>
      <c r="B912" s="545">
        <v>1.1057999999999999</v>
      </c>
      <c r="C912">
        <f t="shared" si="14"/>
        <v>2019</v>
      </c>
    </row>
    <row r="913" spans="1:3">
      <c r="A913" s="544">
        <v>43714</v>
      </c>
      <c r="B913" s="545">
        <v>1.1027</v>
      </c>
      <c r="C913">
        <f t="shared" si="14"/>
        <v>2019</v>
      </c>
    </row>
    <row r="914" spans="1:3">
      <c r="A914" s="544">
        <v>43717</v>
      </c>
      <c r="B914" s="545">
        <v>1.1032999999999999</v>
      </c>
      <c r="C914">
        <f t="shared" si="14"/>
        <v>2019</v>
      </c>
    </row>
    <row r="915" spans="1:3">
      <c r="A915" s="544">
        <v>43718</v>
      </c>
      <c r="B915" s="545">
        <v>1.1040000000000001</v>
      </c>
      <c r="C915">
        <f t="shared" si="14"/>
        <v>2019</v>
      </c>
    </row>
    <row r="916" spans="1:3">
      <c r="A916" s="544">
        <v>43719</v>
      </c>
      <c r="B916" s="545">
        <v>1.1003000000000001</v>
      </c>
      <c r="C916">
        <f t="shared" si="14"/>
        <v>2019</v>
      </c>
    </row>
    <row r="917" spans="1:3">
      <c r="A917" s="544">
        <v>43720</v>
      </c>
      <c r="B917" s="545">
        <v>1.0963000000000001</v>
      </c>
      <c r="C917">
        <f t="shared" si="14"/>
        <v>2019</v>
      </c>
    </row>
    <row r="918" spans="1:3">
      <c r="A918" s="544">
        <v>43721</v>
      </c>
      <c r="B918" s="545">
        <v>1.1095999999999999</v>
      </c>
      <c r="C918">
        <f t="shared" si="14"/>
        <v>2019</v>
      </c>
    </row>
    <row r="919" spans="1:3">
      <c r="A919" s="544">
        <v>43724</v>
      </c>
      <c r="B919" s="545">
        <v>1.1031</v>
      </c>
      <c r="C919">
        <f t="shared" si="14"/>
        <v>2019</v>
      </c>
    </row>
    <row r="920" spans="1:3">
      <c r="A920" s="544">
        <v>43725</v>
      </c>
      <c r="B920" s="545">
        <v>1.1026</v>
      </c>
      <c r="C920">
        <f t="shared" si="14"/>
        <v>2019</v>
      </c>
    </row>
    <row r="921" spans="1:3">
      <c r="A921" s="544">
        <v>43726</v>
      </c>
      <c r="B921" s="545">
        <v>1.1052999999999999</v>
      </c>
      <c r="C921">
        <f t="shared" si="14"/>
        <v>2019</v>
      </c>
    </row>
    <row r="922" spans="1:3">
      <c r="A922" s="544">
        <v>43727</v>
      </c>
      <c r="B922" s="545">
        <v>1.1067</v>
      </c>
      <c r="C922">
        <f t="shared" si="14"/>
        <v>2019</v>
      </c>
    </row>
    <row r="923" spans="1:3">
      <c r="A923" s="544">
        <v>43728</v>
      </c>
      <c r="B923" s="545">
        <v>1.103</v>
      </c>
      <c r="C923">
        <f t="shared" si="14"/>
        <v>2019</v>
      </c>
    </row>
    <row r="924" spans="1:3">
      <c r="A924" s="544">
        <v>43731</v>
      </c>
      <c r="B924" s="545">
        <v>1.0985</v>
      </c>
      <c r="C924">
        <f t="shared" si="14"/>
        <v>2019</v>
      </c>
    </row>
    <row r="925" spans="1:3">
      <c r="A925" s="544">
        <v>43732</v>
      </c>
      <c r="B925" s="545">
        <v>1.1003000000000001</v>
      </c>
      <c r="C925">
        <f t="shared" si="14"/>
        <v>2019</v>
      </c>
    </row>
    <row r="926" spans="1:3">
      <c r="A926" s="544">
        <v>43733</v>
      </c>
      <c r="B926" s="545">
        <v>1.0982000000000001</v>
      </c>
      <c r="C926">
        <f t="shared" si="14"/>
        <v>2019</v>
      </c>
    </row>
    <row r="927" spans="1:3">
      <c r="A927" s="544">
        <v>43734</v>
      </c>
      <c r="B927" s="545">
        <v>1.0938000000000001</v>
      </c>
      <c r="C927">
        <f t="shared" si="14"/>
        <v>2019</v>
      </c>
    </row>
    <row r="928" spans="1:3">
      <c r="A928" s="544">
        <v>43735</v>
      </c>
      <c r="B928" s="545">
        <v>1.0934999999999999</v>
      </c>
      <c r="C928">
        <f t="shared" si="14"/>
        <v>2019</v>
      </c>
    </row>
    <row r="929" spans="1:3">
      <c r="A929" s="544">
        <v>43738</v>
      </c>
      <c r="B929" s="545">
        <v>1.0889</v>
      </c>
      <c r="C929">
        <f t="shared" si="14"/>
        <v>2019</v>
      </c>
    </row>
    <row r="930" spans="1:3">
      <c r="A930" s="544">
        <v>43739</v>
      </c>
      <c r="B930" s="545">
        <v>1.0898000000000001</v>
      </c>
      <c r="C930">
        <f t="shared" si="14"/>
        <v>2019</v>
      </c>
    </row>
    <row r="931" spans="1:3">
      <c r="A931" s="544">
        <v>43740</v>
      </c>
      <c r="B931" s="545">
        <v>1.0925</v>
      </c>
      <c r="C931">
        <f t="shared" si="14"/>
        <v>2019</v>
      </c>
    </row>
    <row r="932" spans="1:3">
      <c r="A932" s="544">
        <v>43741</v>
      </c>
      <c r="B932" s="545">
        <v>1.0951</v>
      </c>
      <c r="C932">
        <f t="shared" si="14"/>
        <v>2019</v>
      </c>
    </row>
    <row r="933" spans="1:3">
      <c r="A933" s="544">
        <v>43742</v>
      </c>
      <c r="B933" s="545">
        <v>1.0979000000000001</v>
      </c>
      <c r="C933">
        <f t="shared" si="14"/>
        <v>2019</v>
      </c>
    </row>
    <row r="934" spans="1:3">
      <c r="A934" s="544">
        <v>43745</v>
      </c>
      <c r="B934" s="545">
        <v>1.0992999999999999</v>
      </c>
      <c r="C934">
        <f t="shared" si="14"/>
        <v>2019</v>
      </c>
    </row>
    <row r="935" spans="1:3">
      <c r="A935" s="544">
        <v>43746</v>
      </c>
      <c r="B935" s="545">
        <v>1.0986</v>
      </c>
      <c r="C935">
        <f t="shared" si="14"/>
        <v>2019</v>
      </c>
    </row>
    <row r="936" spans="1:3">
      <c r="A936" s="544">
        <v>43747</v>
      </c>
      <c r="B936" s="545">
        <v>1.0981000000000001</v>
      </c>
      <c r="C936">
        <f t="shared" si="14"/>
        <v>2019</v>
      </c>
    </row>
    <row r="937" spans="1:3">
      <c r="A937" s="544">
        <v>43748</v>
      </c>
      <c r="B937" s="545">
        <v>1.103</v>
      </c>
      <c r="C937">
        <f t="shared" si="14"/>
        <v>2019</v>
      </c>
    </row>
    <row r="938" spans="1:3">
      <c r="A938" s="544">
        <v>43749</v>
      </c>
      <c r="B938" s="545">
        <v>1.1043000000000001</v>
      </c>
      <c r="C938">
        <f t="shared" si="14"/>
        <v>2019</v>
      </c>
    </row>
    <row r="939" spans="1:3">
      <c r="A939" s="544">
        <v>43753</v>
      </c>
      <c r="B939" s="545">
        <v>1.1007</v>
      </c>
      <c r="C939">
        <f t="shared" si="14"/>
        <v>2019</v>
      </c>
    </row>
    <row r="940" spans="1:3">
      <c r="A940" s="544">
        <v>43754</v>
      </c>
      <c r="B940" s="545">
        <v>1.1025</v>
      </c>
      <c r="C940">
        <f t="shared" si="14"/>
        <v>2019</v>
      </c>
    </row>
    <row r="941" spans="1:3">
      <c r="A941" s="544">
        <v>43755</v>
      </c>
      <c r="B941" s="545">
        <v>1.1113</v>
      </c>
      <c r="C941">
        <f t="shared" si="14"/>
        <v>2019</v>
      </c>
    </row>
    <row r="942" spans="1:3">
      <c r="A942" s="544">
        <v>43756</v>
      </c>
      <c r="B942" s="545">
        <v>1.1144000000000001</v>
      </c>
      <c r="C942">
        <f t="shared" si="14"/>
        <v>2019</v>
      </c>
    </row>
    <row r="943" spans="1:3">
      <c r="A943" s="544">
        <v>43759</v>
      </c>
      <c r="B943" s="545">
        <v>1.1173</v>
      </c>
      <c r="C943">
        <f t="shared" si="14"/>
        <v>2019</v>
      </c>
    </row>
    <row r="944" spans="1:3">
      <c r="A944" s="544">
        <v>43760</v>
      </c>
      <c r="B944" s="545">
        <v>1.113</v>
      </c>
      <c r="C944">
        <f t="shared" si="14"/>
        <v>2019</v>
      </c>
    </row>
    <row r="945" spans="1:3">
      <c r="A945" s="544">
        <v>43761</v>
      </c>
      <c r="B945" s="545">
        <v>1.1123000000000001</v>
      </c>
      <c r="C945">
        <f t="shared" si="14"/>
        <v>2019</v>
      </c>
    </row>
    <row r="946" spans="1:3">
      <c r="A946" s="544">
        <v>43762</v>
      </c>
      <c r="B946" s="545">
        <v>1.1128</v>
      </c>
      <c r="C946">
        <f t="shared" si="14"/>
        <v>2019</v>
      </c>
    </row>
    <row r="947" spans="1:3">
      <c r="A947" s="544">
        <v>43763</v>
      </c>
      <c r="B947" s="545">
        <v>1.1107</v>
      </c>
      <c r="C947">
        <f t="shared" si="14"/>
        <v>2019</v>
      </c>
    </row>
    <row r="948" spans="1:3">
      <c r="A948" s="544">
        <v>43766</v>
      </c>
      <c r="B948" s="545">
        <v>1.1087</v>
      </c>
      <c r="C948">
        <f t="shared" si="14"/>
        <v>2019</v>
      </c>
    </row>
    <row r="949" spans="1:3">
      <c r="A949" s="544">
        <v>43767</v>
      </c>
      <c r="B949" s="545">
        <v>1.1094999999999999</v>
      </c>
      <c r="C949">
        <f t="shared" si="14"/>
        <v>2019</v>
      </c>
    </row>
    <row r="950" spans="1:3">
      <c r="A950" s="544">
        <v>43768</v>
      </c>
      <c r="B950" s="545">
        <v>1.1106</v>
      </c>
      <c r="C950">
        <f t="shared" si="14"/>
        <v>2019</v>
      </c>
    </row>
    <row r="951" spans="1:3">
      <c r="A951" s="544">
        <v>43769</v>
      </c>
      <c r="B951" s="545">
        <v>1.1153999999999999</v>
      </c>
      <c r="C951">
        <f t="shared" si="14"/>
        <v>2019</v>
      </c>
    </row>
    <row r="952" spans="1:3">
      <c r="A952" s="544">
        <v>43770</v>
      </c>
      <c r="B952" s="545">
        <v>1.1138999999999999</v>
      </c>
      <c r="C952">
        <f t="shared" si="14"/>
        <v>2019</v>
      </c>
    </row>
    <row r="953" spans="1:3">
      <c r="A953" s="544">
        <v>43773</v>
      </c>
      <c r="B953" s="545">
        <v>1.1157999999999999</v>
      </c>
      <c r="C953">
        <f t="shared" si="14"/>
        <v>2019</v>
      </c>
    </row>
    <row r="954" spans="1:3">
      <c r="A954" s="544">
        <v>43774</v>
      </c>
      <c r="B954" s="545">
        <v>1.1109</v>
      </c>
      <c r="C954">
        <f t="shared" si="14"/>
        <v>2019</v>
      </c>
    </row>
    <row r="955" spans="1:3">
      <c r="A955" s="544">
        <v>43775</v>
      </c>
      <c r="B955" s="545">
        <v>1.109</v>
      </c>
      <c r="C955">
        <f t="shared" si="14"/>
        <v>2019</v>
      </c>
    </row>
    <row r="956" spans="1:3">
      <c r="A956" s="544">
        <v>43776</v>
      </c>
      <c r="B956" s="545">
        <v>1.1076999999999999</v>
      </c>
      <c r="C956">
        <f t="shared" si="14"/>
        <v>2019</v>
      </c>
    </row>
    <row r="957" spans="1:3">
      <c r="A957" s="544">
        <v>43777</v>
      </c>
      <c r="B957" s="545">
        <v>1.1033999999999999</v>
      </c>
      <c r="C957">
        <f t="shared" si="14"/>
        <v>2019</v>
      </c>
    </row>
    <row r="958" spans="1:3">
      <c r="A958" s="544">
        <v>43780</v>
      </c>
      <c r="B958" s="545">
        <v>1.1041000000000001</v>
      </c>
      <c r="C958">
        <f t="shared" si="14"/>
        <v>2019</v>
      </c>
    </row>
    <row r="959" spans="1:3">
      <c r="A959" s="544">
        <v>43781</v>
      </c>
      <c r="B959" s="545">
        <v>1.1014999999999999</v>
      </c>
      <c r="C959">
        <f t="shared" si="14"/>
        <v>2019</v>
      </c>
    </row>
    <row r="960" spans="1:3">
      <c r="A960" s="544">
        <v>43782</v>
      </c>
      <c r="B960" s="545">
        <v>1.1006</v>
      </c>
      <c r="C960">
        <f t="shared" si="14"/>
        <v>2019</v>
      </c>
    </row>
    <row r="961" spans="1:3">
      <c r="A961" s="544">
        <v>43783</v>
      </c>
      <c r="B961" s="545">
        <v>1.0996999999999999</v>
      </c>
      <c r="C961">
        <f t="shared" si="14"/>
        <v>2019</v>
      </c>
    </row>
    <row r="962" spans="1:3">
      <c r="A962" s="544">
        <v>43784</v>
      </c>
      <c r="B962" s="545">
        <v>1.1033999999999999</v>
      </c>
      <c r="C962">
        <f t="shared" si="14"/>
        <v>2019</v>
      </c>
    </row>
    <row r="963" spans="1:3">
      <c r="A963" s="544">
        <v>43787</v>
      </c>
      <c r="B963" s="545">
        <v>1.1061000000000001</v>
      </c>
      <c r="C963">
        <f t="shared" si="14"/>
        <v>2019</v>
      </c>
    </row>
    <row r="964" spans="1:3">
      <c r="A964" s="544">
        <v>43788</v>
      </c>
      <c r="B964" s="545">
        <v>1.1076999999999999</v>
      </c>
      <c r="C964">
        <f t="shared" si="14"/>
        <v>2019</v>
      </c>
    </row>
    <row r="965" spans="1:3">
      <c r="A965" s="544">
        <v>43789</v>
      </c>
      <c r="B965" s="545">
        <v>1.1059000000000001</v>
      </c>
      <c r="C965">
        <f t="shared" si="14"/>
        <v>2019</v>
      </c>
    </row>
    <row r="966" spans="1:3">
      <c r="A966" s="544">
        <v>43790</v>
      </c>
      <c r="B966" s="545">
        <v>1.1091</v>
      </c>
      <c r="C966">
        <f t="shared" ref="C966:C1029" si="15">YEAR(A966)</f>
        <v>2019</v>
      </c>
    </row>
    <row r="967" spans="1:3">
      <c r="A967" s="544">
        <v>43791</v>
      </c>
      <c r="B967" s="545">
        <v>1.1057999999999999</v>
      </c>
      <c r="C967">
        <f t="shared" si="15"/>
        <v>2019</v>
      </c>
    </row>
    <row r="968" spans="1:3">
      <c r="A968" s="544">
        <v>43794</v>
      </c>
      <c r="B968" s="545">
        <v>1.1008</v>
      </c>
      <c r="C968">
        <f t="shared" si="15"/>
        <v>2019</v>
      </c>
    </row>
    <row r="969" spans="1:3">
      <c r="A969" s="544">
        <v>43795</v>
      </c>
      <c r="B969" s="545">
        <v>1.1020000000000001</v>
      </c>
      <c r="C969">
        <f t="shared" si="15"/>
        <v>2019</v>
      </c>
    </row>
    <row r="970" spans="1:3">
      <c r="A970" s="544">
        <v>43796</v>
      </c>
      <c r="B970" s="545">
        <v>1.1009</v>
      </c>
      <c r="C970">
        <f t="shared" si="15"/>
        <v>2019</v>
      </c>
    </row>
    <row r="971" spans="1:3">
      <c r="A971" s="544">
        <v>43801</v>
      </c>
      <c r="B971" s="545">
        <v>1.1023000000000001</v>
      </c>
      <c r="C971">
        <f t="shared" si="15"/>
        <v>2019</v>
      </c>
    </row>
    <row r="972" spans="1:3">
      <c r="A972" s="544">
        <v>43802</v>
      </c>
      <c r="B972" s="545">
        <v>1.1071</v>
      </c>
      <c r="C972">
        <f t="shared" si="15"/>
        <v>2019</v>
      </c>
    </row>
    <row r="973" spans="1:3">
      <c r="A973" s="544">
        <v>43803</v>
      </c>
      <c r="B973" s="545">
        <v>1.1081000000000001</v>
      </c>
      <c r="C973">
        <f t="shared" si="15"/>
        <v>2019</v>
      </c>
    </row>
    <row r="974" spans="1:3">
      <c r="A974" s="544">
        <v>43804</v>
      </c>
      <c r="B974" s="545">
        <v>1.1093999999999999</v>
      </c>
      <c r="C974">
        <f t="shared" si="15"/>
        <v>2019</v>
      </c>
    </row>
    <row r="975" spans="1:3">
      <c r="A975" s="544">
        <v>43805</v>
      </c>
      <c r="B975" s="545">
        <v>1.1093999999999999</v>
      </c>
      <c r="C975">
        <f t="shared" si="15"/>
        <v>2019</v>
      </c>
    </row>
    <row r="976" spans="1:3">
      <c r="A976" s="544">
        <v>43808</v>
      </c>
      <c r="B976" s="545">
        <v>1.1074999999999999</v>
      </c>
      <c r="C976">
        <f t="shared" si="15"/>
        <v>2019</v>
      </c>
    </row>
    <row r="977" spans="1:3">
      <c r="A977" s="544">
        <v>43809</v>
      </c>
      <c r="B977" s="545">
        <v>1.1076999999999999</v>
      </c>
      <c r="C977">
        <f t="shared" si="15"/>
        <v>2019</v>
      </c>
    </row>
    <row r="978" spans="1:3">
      <c r="A978" s="544">
        <v>43810</v>
      </c>
      <c r="B978" s="545">
        <v>1.1074999999999999</v>
      </c>
      <c r="C978">
        <f t="shared" si="15"/>
        <v>2019</v>
      </c>
    </row>
    <row r="979" spans="1:3">
      <c r="A979" s="544">
        <v>43811</v>
      </c>
      <c r="B979" s="545">
        <v>1.1136999999999999</v>
      </c>
      <c r="C979">
        <f t="shared" si="15"/>
        <v>2019</v>
      </c>
    </row>
    <row r="980" spans="1:3">
      <c r="A980" s="544">
        <v>43812</v>
      </c>
      <c r="B980" s="545">
        <v>1.1173999999999999</v>
      </c>
      <c r="C980">
        <f t="shared" si="15"/>
        <v>2019</v>
      </c>
    </row>
    <row r="981" spans="1:3">
      <c r="A981" s="544">
        <v>43815</v>
      </c>
      <c r="B981" s="545">
        <v>1.1146</v>
      </c>
      <c r="C981">
        <f t="shared" si="15"/>
        <v>2019</v>
      </c>
    </row>
    <row r="982" spans="1:3">
      <c r="A982" s="544">
        <v>43816</v>
      </c>
      <c r="B982" s="545">
        <v>1.1162000000000001</v>
      </c>
      <c r="C982">
        <f t="shared" si="15"/>
        <v>2019</v>
      </c>
    </row>
    <row r="983" spans="1:3">
      <c r="A983" s="544">
        <v>43817</v>
      </c>
      <c r="B983" s="545">
        <v>1.1114999999999999</v>
      </c>
      <c r="C983">
        <f t="shared" si="15"/>
        <v>2019</v>
      </c>
    </row>
    <row r="984" spans="1:3">
      <c r="A984" s="544">
        <v>43818</v>
      </c>
      <c r="B984" s="545">
        <v>1.1116999999999999</v>
      </c>
      <c r="C984">
        <f t="shared" si="15"/>
        <v>2019</v>
      </c>
    </row>
    <row r="985" spans="1:3">
      <c r="A985" s="544">
        <v>43819</v>
      </c>
      <c r="B985" s="545">
        <v>1.1096999999999999</v>
      </c>
      <c r="C985">
        <f t="shared" si="15"/>
        <v>2019</v>
      </c>
    </row>
    <row r="986" spans="1:3">
      <c r="A986" s="544">
        <v>43822</v>
      </c>
      <c r="B986" s="545">
        <v>1.1074999999999999</v>
      </c>
      <c r="C986">
        <f t="shared" si="15"/>
        <v>2019</v>
      </c>
    </row>
    <row r="987" spans="1:3">
      <c r="A987" s="544">
        <v>43826</v>
      </c>
      <c r="B987" s="545">
        <v>1.1153</v>
      </c>
      <c r="C987">
        <f t="shared" si="15"/>
        <v>2019</v>
      </c>
    </row>
    <row r="988" spans="1:3">
      <c r="A988" s="544">
        <v>43829</v>
      </c>
      <c r="B988" s="545">
        <v>1.1189</v>
      </c>
      <c r="C988">
        <f t="shared" si="15"/>
        <v>2019</v>
      </c>
    </row>
    <row r="989" spans="1:3">
      <c r="A989" s="544">
        <v>43832</v>
      </c>
      <c r="B989" s="545">
        <v>1.1193</v>
      </c>
      <c r="C989">
        <f t="shared" si="15"/>
        <v>2020</v>
      </c>
    </row>
    <row r="990" spans="1:3">
      <c r="A990" s="544">
        <v>43833</v>
      </c>
      <c r="B990" s="545">
        <v>1.1147</v>
      </c>
      <c r="C990">
        <f t="shared" si="15"/>
        <v>2020</v>
      </c>
    </row>
    <row r="991" spans="1:3">
      <c r="A991" s="544">
        <v>43836</v>
      </c>
      <c r="B991" s="545">
        <v>1.1194</v>
      </c>
      <c r="C991">
        <f t="shared" si="15"/>
        <v>2020</v>
      </c>
    </row>
    <row r="992" spans="1:3">
      <c r="A992" s="544">
        <v>43837</v>
      </c>
      <c r="B992" s="545">
        <v>1.1172</v>
      </c>
      <c r="C992">
        <f t="shared" si="15"/>
        <v>2020</v>
      </c>
    </row>
    <row r="993" spans="1:3">
      <c r="A993" s="544">
        <v>43838</v>
      </c>
      <c r="B993" s="545">
        <v>1.1114999999999999</v>
      </c>
      <c r="C993">
        <f t="shared" si="15"/>
        <v>2020</v>
      </c>
    </row>
    <row r="994" spans="1:3">
      <c r="A994" s="544">
        <v>43839</v>
      </c>
      <c r="B994" s="545">
        <v>1.111</v>
      </c>
      <c r="C994">
        <f t="shared" si="15"/>
        <v>2020</v>
      </c>
    </row>
    <row r="995" spans="1:3">
      <c r="A995" s="544">
        <v>43840</v>
      </c>
      <c r="B995" s="545">
        <v>1.1091</v>
      </c>
      <c r="C995">
        <f t="shared" si="15"/>
        <v>2020</v>
      </c>
    </row>
    <row r="996" spans="1:3">
      <c r="A996" s="544">
        <v>43843</v>
      </c>
      <c r="B996" s="545">
        <v>1.1126</v>
      </c>
      <c r="C996">
        <f t="shared" si="15"/>
        <v>2020</v>
      </c>
    </row>
    <row r="997" spans="1:3">
      <c r="A997" s="544">
        <v>43844</v>
      </c>
      <c r="B997" s="545">
        <v>1.1114999999999999</v>
      </c>
      <c r="C997">
        <f t="shared" si="15"/>
        <v>2020</v>
      </c>
    </row>
    <row r="998" spans="1:3">
      <c r="A998" s="544">
        <v>43845</v>
      </c>
      <c r="B998" s="545">
        <v>1.1142000000000001</v>
      </c>
      <c r="C998">
        <f t="shared" si="15"/>
        <v>2020</v>
      </c>
    </row>
    <row r="999" spans="1:3">
      <c r="A999" s="544">
        <v>43846</v>
      </c>
      <c r="B999" s="545">
        <v>1.1169</v>
      </c>
      <c r="C999">
        <f t="shared" si="15"/>
        <v>2020</v>
      </c>
    </row>
    <row r="1000" spans="1:3">
      <c r="A1000" s="544">
        <v>43847</v>
      </c>
      <c r="B1000" s="545">
        <v>1.1108</v>
      </c>
      <c r="C1000">
        <f t="shared" si="15"/>
        <v>2020</v>
      </c>
    </row>
    <row r="1001" spans="1:3">
      <c r="A1001" s="544">
        <v>43851</v>
      </c>
      <c r="B1001" s="545">
        <v>1.1114999999999999</v>
      </c>
      <c r="C1001">
        <f t="shared" si="15"/>
        <v>2020</v>
      </c>
    </row>
    <row r="1002" spans="1:3">
      <c r="A1002" s="544">
        <v>43852</v>
      </c>
      <c r="B1002" s="545">
        <v>1.1088</v>
      </c>
      <c r="C1002">
        <f t="shared" si="15"/>
        <v>2020</v>
      </c>
    </row>
    <row r="1003" spans="1:3">
      <c r="A1003" s="544">
        <v>43853</v>
      </c>
      <c r="B1003" s="545">
        <v>1.1091</v>
      </c>
      <c r="C1003">
        <f t="shared" si="15"/>
        <v>2020</v>
      </c>
    </row>
    <row r="1004" spans="1:3">
      <c r="A1004" s="544">
        <v>43854</v>
      </c>
      <c r="B1004" s="545">
        <v>1.1034999999999999</v>
      </c>
      <c r="C1004">
        <f t="shared" si="15"/>
        <v>2020</v>
      </c>
    </row>
    <row r="1005" spans="1:3">
      <c r="A1005" s="544">
        <v>43857</v>
      </c>
      <c r="B1005" s="545">
        <v>1.1025</v>
      </c>
      <c r="C1005">
        <f t="shared" si="15"/>
        <v>2020</v>
      </c>
    </row>
    <row r="1006" spans="1:3">
      <c r="A1006" s="544">
        <v>43858</v>
      </c>
      <c r="B1006" s="545">
        <v>1.1005</v>
      </c>
      <c r="C1006">
        <f t="shared" si="15"/>
        <v>2020</v>
      </c>
    </row>
    <row r="1007" spans="1:3">
      <c r="A1007" s="544">
        <v>43859</v>
      </c>
      <c r="B1007" s="545">
        <v>1.1001000000000001</v>
      </c>
      <c r="C1007">
        <f t="shared" si="15"/>
        <v>2020</v>
      </c>
    </row>
    <row r="1008" spans="1:3">
      <c r="A1008" s="544">
        <v>43860</v>
      </c>
      <c r="B1008" s="545">
        <v>1.1029</v>
      </c>
      <c r="C1008">
        <f t="shared" si="15"/>
        <v>2020</v>
      </c>
    </row>
    <row r="1009" spans="1:3">
      <c r="A1009" s="544">
        <v>43861</v>
      </c>
      <c r="B1009" s="545">
        <v>1.1052</v>
      </c>
      <c r="C1009">
        <f t="shared" si="15"/>
        <v>2020</v>
      </c>
    </row>
    <row r="1010" spans="1:3">
      <c r="A1010" s="544">
        <v>43864</v>
      </c>
      <c r="B1010" s="545">
        <v>1.1066</v>
      </c>
      <c r="C1010">
        <f t="shared" si="15"/>
        <v>2020</v>
      </c>
    </row>
    <row r="1011" spans="1:3">
      <c r="A1011" s="544">
        <v>43865</v>
      </c>
      <c r="B1011" s="545">
        <v>1.1048</v>
      </c>
      <c r="C1011">
        <f t="shared" si="15"/>
        <v>2020</v>
      </c>
    </row>
    <row r="1012" spans="1:3">
      <c r="A1012" s="544">
        <v>43866</v>
      </c>
      <c r="B1012" s="545">
        <v>1.1023000000000001</v>
      </c>
      <c r="C1012">
        <f t="shared" si="15"/>
        <v>2020</v>
      </c>
    </row>
    <row r="1013" spans="1:3">
      <c r="A1013" s="544">
        <v>43867</v>
      </c>
      <c r="B1013" s="545">
        <v>1.1003000000000001</v>
      </c>
      <c r="C1013">
        <f t="shared" si="15"/>
        <v>2020</v>
      </c>
    </row>
    <row r="1014" spans="1:3">
      <c r="A1014" s="544">
        <v>43868</v>
      </c>
      <c r="B1014" s="545">
        <v>1.0969</v>
      </c>
      <c r="C1014">
        <f t="shared" si="15"/>
        <v>2020</v>
      </c>
    </row>
    <row r="1015" spans="1:3">
      <c r="A1015" s="544">
        <v>43871</v>
      </c>
      <c r="B1015" s="545">
        <v>1.0951</v>
      </c>
      <c r="C1015">
        <f t="shared" si="15"/>
        <v>2020</v>
      </c>
    </row>
    <row r="1016" spans="1:3">
      <c r="A1016" s="544">
        <v>43872</v>
      </c>
      <c r="B1016" s="545">
        <v>1.0901000000000001</v>
      </c>
      <c r="C1016">
        <f t="shared" si="15"/>
        <v>2020</v>
      </c>
    </row>
    <row r="1017" spans="1:3">
      <c r="A1017" s="544">
        <v>43873</v>
      </c>
      <c r="B1017" s="545">
        <v>1.0913999999999999</v>
      </c>
      <c r="C1017">
        <f t="shared" si="15"/>
        <v>2020</v>
      </c>
    </row>
    <row r="1018" spans="1:3">
      <c r="A1018" s="544">
        <v>43874</v>
      </c>
      <c r="B1018" s="545">
        <v>1.0867</v>
      </c>
      <c r="C1018">
        <f t="shared" si="15"/>
        <v>2020</v>
      </c>
    </row>
    <row r="1019" spans="1:3">
      <c r="A1019" s="544">
        <v>43875</v>
      </c>
      <c r="B1019" s="545">
        <v>1.0842000000000001</v>
      </c>
      <c r="C1019">
        <f t="shared" si="15"/>
        <v>2020</v>
      </c>
    </row>
    <row r="1020" spans="1:3">
      <c r="A1020" s="544">
        <v>43879</v>
      </c>
      <c r="B1020" s="545">
        <v>1.0815999999999999</v>
      </c>
      <c r="C1020">
        <f t="shared" si="15"/>
        <v>2020</v>
      </c>
    </row>
    <row r="1021" spans="1:3">
      <c r="A1021" s="544">
        <v>43880</v>
      </c>
      <c r="B1021" s="545">
        <v>1.08</v>
      </c>
      <c r="C1021">
        <f t="shared" si="15"/>
        <v>2020</v>
      </c>
    </row>
    <row r="1022" spans="1:3">
      <c r="A1022" s="544">
        <v>43881</v>
      </c>
      <c r="B1022" s="545">
        <v>1.079</v>
      </c>
      <c r="C1022">
        <f t="shared" si="15"/>
        <v>2020</v>
      </c>
    </row>
    <row r="1023" spans="1:3">
      <c r="A1023" s="544">
        <v>43882</v>
      </c>
      <c r="B1023" s="545">
        <v>1.0801000000000001</v>
      </c>
      <c r="C1023">
        <f t="shared" si="15"/>
        <v>2020</v>
      </c>
    </row>
    <row r="1024" spans="1:3">
      <c r="A1024" s="544">
        <v>43885</v>
      </c>
      <c r="B1024" s="545">
        <v>1.0818000000000001</v>
      </c>
      <c r="C1024">
        <f t="shared" si="15"/>
        <v>2020</v>
      </c>
    </row>
    <row r="1025" spans="1:3">
      <c r="A1025" s="544">
        <v>43886</v>
      </c>
      <c r="B1025" s="545">
        <v>1.0840000000000001</v>
      </c>
      <c r="C1025">
        <f t="shared" si="15"/>
        <v>2020</v>
      </c>
    </row>
    <row r="1026" spans="1:3">
      <c r="A1026" s="544">
        <v>43887</v>
      </c>
      <c r="B1026" s="545">
        <v>1.0874999999999999</v>
      </c>
      <c r="C1026">
        <f t="shared" si="15"/>
        <v>2020</v>
      </c>
    </row>
    <row r="1027" spans="1:3">
      <c r="A1027" s="544">
        <v>43888</v>
      </c>
      <c r="B1027" s="545">
        <v>1.0964</v>
      </c>
      <c r="C1027">
        <f t="shared" si="15"/>
        <v>2020</v>
      </c>
    </row>
    <row r="1028" spans="1:3">
      <c r="A1028" s="544">
        <v>43889</v>
      </c>
      <c r="B1028" s="545">
        <v>1.0976999999999999</v>
      </c>
      <c r="C1028">
        <f t="shared" si="15"/>
        <v>2020</v>
      </c>
    </row>
    <row r="1029" spans="1:3">
      <c r="A1029" s="544">
        <v>43892</v>
      </c>
      <c r="B1029" s="545">
        <v>1.1122000000000001</v>
      </c>
      <c r="C1029">
        <f t="shared" si="15"/>
        <v>2020</v>
      </c>
    </row>
    <row r="1030" spans="1:3">
      <c r="A1030" s="544">
        <v>43893</v>
      </c>
      <c r="B1030" s="545">
        <v>1.1116999999999999</v>
      </c>
      <c r="C1030">
        <f t="shared" ref="C1030:C1093" si="16">YEAR(A1030)</f>
        <v>2020</v>
      </c>
    </row>
    <row r="1031" spans="1:3">
      <c r="A1031" s="544">
        <v>43894</v>
      </c>
      <c r="B1031" s="545">
        <v>1.1125</v>
      </c>
      <c r="C1031">
        <f t="shared" si="16"/>
        <v>2020</v>
      </c>
    </row>
    <row r="1032" spans="1:3">
      <c r="A1032" s="544">
        <v>43895</v>
      </c>
      <c r="B1032" s="545">
        <v>1.1187</v>
      </c>
      <c r="C1032">
        <f t="shared" si="16"/>
        <v>2020</v>
      </c>
    </row>
    <row r="1033" spans="1:3">
      <c r="A1033" s="544">
        <v>43896</v>
      </c>
      <c r="B1033" s="545">
        <v>1.1335999999999999</v>
      </c>
      <c r="C1033">
        <f t="shared" si="16"/>
        <v>2020</v>
      </c>
    </row>
    <row r="1034" spans="1:3">
      <c r="A1034" s="544">
        <v>43899</v>
      </c>
      <c r="B1034" s="545">
        <v>1.1456</v>
      </c>
      <c r="C1034">
        <f t="shared" si="16"/>
        <v>2020</v>
      </c>
    </row>
    <row r="1035" spans="1:3">
      <c r="A1035" s="544">
        <v>43900</v>
      </c>
      <c r="B1035" s="545">
        <v>1.139</v>
      </c>
      <c r="C1035">
        <f t="shared" si="16"/>
        <v>2020</v>
      </c>
    </row>
    <row r="1036" spans="1:3">
      <c r="A1036" s="544">
        <v>43901</v>
      </c>
      <c r="B1036" s="545">
        <v>1.1335999999999999</v>
      </c>
      <c r="C1036">
        <f t="shared" si="16"/>
        <v>2020</v>
      </c>
    </row>
    <row r="1037" spans="1:3">
      <c r="A1037" s="544">
        <v>43902</v>
      </c>
      <c r="B1037" s="545">
        <v>1.1240000000000001</v>
      </c>
      <c r="C1037">
        <f t="shared" si="16"/>
        <v>2020</v>
      </c>
    </row>
    <row r="1038" spans="1:3">
      <c r="A1038" s="544">
        <v>43903</v>
      </c>
      <c r="B1038" s="545">
        <v>1.1104000000000001</v>
      </c>
      <c r="C1038">
        <f t="shared" si="16"/>
        <v>2020</v>
      </c>
    </row>
    <row r="1039" spans="1:3">
      <c r="A1039" s="544">
        <v>43906</v>
      </c>
      <c r="B1039" s="545">
        <v>1.1156999999999999</v>
      </c>
      <c r="C1039">
        <f t="shared" si="16"/>
        <v>2020</v>
      </c>
    </row>
    <row r="1040" spans="1:3">
      <c r="A1040" s="544">
        <v>43907</v>
      </c>
      <c r="B1040" s="545">
        <v>1.0982000000000001</v>
      </c>
      <c r="C1040">
        <f t="shared" si="16"/>
        <v>2020</v>
      </c>
    </row>
    <row r="1041" spans="1:3">
      <c r="A1041" s="544">
        <v>43908</v>
      </c>
      <c r="B1041" s="545">
        <v>1.0933999999999999</v>
      </c>
      <c r="C1041">
        <f t="shared" si="16"/>
        <v>2020</v>
      </c>
    </row>
    <row r="1042" spans="1:3">
      <c r="A1042" s="544">
        <v>43909</v>
      </c>
      <c r="B1042" s="545">
        <v>1.0801000000000001</v>
      </c>
      <c r="C1042">
        <f t="shared" si="16"/>
        <v>2020</v>
      </c>
    </row>
    <row r="1043" spans="1:3">
      <c r="A1043" s="544">
        <v>43910</v>
      </c>
      <c r="B1043" s="545">
        <v>1.0707</v>
      </c>
      <c r="C1043">
        <f t="shared" si="16"/>
        <v>2020</v>
      </c>
    </row>
    <row r="1044" spans="1:3">
      <c r="A1044" s="544">
        <v>43913</v>
      </c>
      <c r="B1044" s="545">
        <v>1.0783</v>
      </c>
      <c r="C1044">
        <f t="shared" si="16"/>
        <v>2020</v>
      </c>
    </row>
    <row r="1045" spans="1:3">
      <c r="A1045" s="544">
        <v>43914</v>
      </c>
      <c r="B1045" s="545">
        <v>1.0843</v>
      </c>
      <c r="C1045">
        <f t="shared" si="16"/>
        <v>2020</v>
      </c>
    </row>
    <row r="1046" spans="1:3">
      <c r="A1046" s="544">
        <v>43915</v>
      </c>
      <c r="B1046" s="545">
        <v>1.0827</v>
      </c>
      <c r="C1046">
        <f t="shared" si="16"/>
        <v>2020</v>
      </c>
    </row>
    <row r="1047" spans="1:3">
      <c r="A1047" s="544">
        <v>43916</v>
      </c>
      <c r="B1047" s="545">
        <v>1.0981000000000001</v>
      </c>
      <c r="C1047">
        <f t="shared" si="16"/>
        <v>2020</v>
      </c>
    </row>
    <row r="1048" spans="1:3">
      <c r="A1048" s="544">
        <v>43917</v>
      </c>
      <c r="B1048" s="545">
        <v>1.0976999999999999</v>
      </c>
      <c r="C1048">
        <f t="shared" si="16"/>
        <v>2020</v>
      </c>
    </row>
    <row r="1049" spans="1:3">
      <c r="A1049" s="544">
        <v>43920</v>
      </c>
      <c r="B1049" s="545">
        <v>1.1033999999999999</v>
      </c>
      <c r="C1049">
        <f t="shared" si="16"/>
        <v>2020</v>
      </c>
    </row>
    <row r="1050" spans="1:3">
      <c r="A1050" s="544">
        <v>43921</v>
      </c>
      <c r="B1050" s="545">
        <v>1.0955999999999999</v>
      </c>
      <c r="C1050">
        <f t="shared" si="16"/>
        <v>2020</v>
      </c>
    </row>
    <row r="1051" spans="1:3">
      <c r="A1051" s="544">
        <v>43922</v>
      </c>
      <c r="B1051" s="545">
        <v>1.0935999999999999</v>
      </c>
      <c r="C1051">
        <f t="shared" si="16"/>
        <v>2020</v>
      </c>
    </row>
    <row r="1052" spans="1:3">
      <c r="A1052" s="544">
        <v>43923</v>
      </c>
      <c r="B1052" s="545">
        <v>1.0906</v>
      </c>
      <c r="C1052">
        <f t="shared" si="16"/>
        <v>2020</v>
      </c>
    </row>
    <row r="1053" spans="1:3">
      <c r="A1053" s="544">
        <v>43927</v>
      </c>
      <c r="B1053" s="545">
        <v>1.0790999999999999</v>
      </c>
      <c r="C1053">
        <f t="shared" si="16"/>
        <v>2020</v>
      </c>
    </row>
    <row r="1054" spans="1:3">
      <c r="A1054" s="544">
        <v>43928</v>
      </c>
      <c r="B1054" s="545">
        <v>1.0885</v>
      </c>
      <c r="C1054">
        <f t="shared" si="16"/>
        <v>2020</v>
      </c>
    </row>
    <row r="1055" spans="1:3">
      <c r="A1055" s="544">
        <v>43929</v>
      </c>
      <c r="B1055" s="545">
        <v>1.0871</v>
      </c>
      <c r="C1055">
        <f t="shared" si="16"/>
        <v>2020</v>
      </c>
    </row>
    <row r="1056" spans="1:3">
      <c r="A1056" s="544">
        <v>43930</v>
      </c>
      <c r="B1056" s="545">
        <v>1.0867</v>
      </c>
      <c r="C1056">
        <f t="shared" si="16"/>
        <v>2020</v>
      </c>
    </row>
    <row r="1057" spans="1:3">
      <c r="A1057" s="544">
        <v>43931</v>
      </c>
      <c r="B1057" s="545">
        <v>1.0867</v>
      </c>
      <c r="C1057">
        <f t="shared" si="16"/>
        <v>2020</v>
      </c>
    </row>
    <row r="1058" spans="1:3">
      <c r="A1058" s="544">
        <v>43935</v>
      </c>
      <c r="B1058" s="545">
        <v>1.0963000000000001</v>
      </c>
      <c r="C1058">
        <f t="shared" si="16"/>
        <v>2020</v>
      </c>
    </row>
    <row r="1059" spans="1:3">
      <c r="A1059" s="544">
        <v>43936</v>
      </c>
      <c r="B1059" s="545">
        <v>1.0903</v>
      </c>
      <c r="C1059">
        <f t="shared" si="16"/>
        <v>2020</v>
      </c>
    </row>
    <row r="1060" spans="1:3">
      <c r="A1060" s="544">
        <v>43937</v>
      </c>
      <c r="B1060" s="545">
        <v>1.0888</v>
      </c>
      <c r="C1060">
        <f t="shared" si="16"/>
        <v>2020</v>
      </c>
    </row>
    <row r="1061" spans="1:3">
      <c r="A1061" s="544">
        <v>43938</v>
      </c>
      <c r="B1061" s="545">
        <v>1.0860000000000001</v>
      </c>
      <c r="C1061">
        <f t="shared" si="16"/>
        <v>2020</v>
      </c>
    </row>
    <row r="1062" spans="1:3">
      <c r="A1062" s="544">
        <v>43941</v>
      </c>
      <c r="B1062" s="545">
        <v>1.0860000000000001</v>
      </c>
      <c r="C1062">
        <f t="shared" si="16"/>
        <v>2020</v>
      </c>
    </row>
    <row r="1063" spans="1:3">
      <c r="A1063" s="544">
        <v>43942</v>
      </c>
      <c r="B1063" s="545">
        <v>1.0837000000000001</v>
      </c>
      <c r="C1063">
        <f t="shared" si="16"/>
        <v>2020</v>
      </c>
    </row>
    <row r="1064" spans="1:3">
      <c r="A1064" s="544">
        <v>43943</v>
      </c>
      <c r="B1064" s="545">
        <v>1.0867</v>
      </c>
      <c r="C1064">
        <f t="shared" si="16"/>
        <v>2020</v>
      </c>
    </row>
    <row r="1065" spans="1:3">
      <c r="A1065" s="544">
        <v>43944</v>
      </c>
      <c r="B1065" s="545">
        <v>1.0771999999999999</v>
      </c>
      <c r="C1065">
        <f t="shared" si="16"/>
        <v>2020</v>
      </c>
    </row>
    <row r="1066" spans="1:3">
      <c r="A1066" s="544">
        <v>43945</v>
      </c>
      <c r="B1066" s="545">
        <v>1.08</v>
      </c>
      <c r="C1066">
        <f t="shared" si="16"/>
        <v>2020</v>
      </c>
    </row>
    <row r="1067" spans="1:3">
      <c r="A1067" s="544">
        <v>43948</v>
      </c>
      <c r="B1067" s="545">
        <v>1.0851999999999999</v>
      </c>
      <c r="C1067">
        <f t="shared" si="16"/>
        <v>2020</v>
      </c>
    </row>
    <row r="1068" spans="1:3">
      <c r="A1068" s="544">
        <v>43949</v>
      </c>
      <c r="B1068" s="545">
        <v>1.0876999999999999</v>
      </c>
      <c r="C1068">
        <f t="shared" si="16"/>
        <v>2020</v>
      </c>
    </row>
    <row r="1069" spans="1:3">
      <c r="A1069" s="544">
        <v>43950</v>
      </c>
      <c r="B1069" s="545">
        <v>1.0842000000000001</v>
      </c>
      <c r="C1069">
        <f t="shared" si="16"/>
        <v>2020</v>
      </c>
    </row>
    <row r="1070" spans="1:3">
      <c r="A1070" s="544">
        <v>43951</v>
      </c>
      <c r="B1070" s="545">
        <v>1.0875999999999999</v>
      </c>
      <c r="C1070">
        <f t="shared" si="16"/>
        <v>2020</v>
      </c>
    </row>
    <row r="1071" spans="1:3">
      <c r="A1071" s="544">
        <v>43955</v>
      </c>
      <c r="B1071" s="545">
        <v>1.0942000000000001</v>
      </c>
      <c r="C1071">
        <f t="shared" si="16"/>
        <v>2020</v>
      </c>
    </row>
    <row r="1072" spans="1:3">
      <c r="A1072" s="544">
        <v>43956</v>
      </c>
      <c r="B1072" s="545">
        <v>1.0843</v>
      </c>
      <c r="C1072">
        <f t="shared" si="16"/>
        <v>2020</v>
      </c>
    </row>
    <row r="1073" spans="1:3">
      <c r="A1073" s="544">
        <v>43957</v>
      </c>
      <c r="B1073" s="545">
        <v>1.0807</v>
      </c>
      <c r="C1073">
        <f t="shared" si="16"/>
        <v>2020</v>
      </c>
    </row>
    <row r="1074" spans="1:3">
      <c r="A1074" s="544">
        <v>43958</v>
      </c>
      <c r="B1074" s="545">
        <v>1.0783</v>
      </c>
      <c r="C1074">
        <f t="shared" si="16"/>
        <v>2020</v>
      </c>
    </row>
    <row r="1075" spans="1:3">
      <c r="A1075" s="544">
        <v>43959</v>
      </c>
      <c r="B1075" s="545">
        <v>1.0843</v>
      </c>
      <c r="C1075">
        <f t="shared" si="16"/>
        <v>2020</v>
      </c>
    </row>
    <row r="1076" spans="1:3">
      <c r="A1076" s="544">
        <v>43962</v>
      </c>
      <c r="B1076" s="545">
        <v>1.0824</v>
      </c>
      <c r="C1076">
        <f t="shared" si="16"/>
        <v>2020</v>
      </c>
    </row>
    <row r="1077" spans="1:3">
      <c r="A1077" s="544">
        <v>43963</v>
      </c>
      <c r="B1077" s="545">
        <v>1.0858000000000001</v>
      </c>
      <c r="C1077">
        <f t="shared" si="16"/>
        <v>2020</v>
      </c>
    </row>
    <row r="1078" spans="1:3">
      <c r="A1078" s="544">
        <v>43964</v>
      </c>
      <c r="B1078" s="545">
        <v>1.0874999999999999</v>
      </c>
      <c r="C1078">
        <f t="shared" si="16"/>
        <v>2020</v>
      </c>
    </row>
    <row r="1079" spans="1:3">
      <c r="A1079" s="544">
        <v>43965</v>
      </c>
      <c r="B1079" s="545">
        <v>1.0791999999999999</v>
      </c>
      <c r="C1079">
        <f t="shared" si="16"/>
        <v>2020</v>
      </c>
    </row>
    <row r="1080" spans="1:3">
      <c r="A1080" s="544">
        <v>43966</v>
      </c>
      <c r="B1080" s="545">
        <v>1.0798000000000001</v>
      </c>
      <c r="C1080">
        <f t="shared" si="16"/>
        <v>2020</v>
      </c>
    </row>
    <row r="1081" spans="1:3">
      <c r="A1081" s="544">
        <v>43969</v>
      </c>
      <c r="B1081" s="545">
        <v>1.0831999999999999</v>
      </c>
      <c r="C1081">
        <f t="shared" si="16"/>
        <v>2020</v>
      </c>
    </row>
    <row r="1082" spans="1:3">
      <c r="A1082" s="544">
        <v>43970</v>
      </c>
      <c r="B1082" s="545">
        <v>1.095</v>
      </c>
      <c r="C1082">
        <f t="shared" si="16"/>
        <v>2020</v>
      </c>
    </row>
    <row r="1083" spans="1:3">
      <c r="A1083" s="544">
        <v>43971</v>
      </c>
      <c r="B1083" s="545">
        <v>1.0958000000000001</v>
      </c>
      <c r="C1083">
        <f t="shared" si="16"/>
        <v>2020</v>
      </c>
    </row>
    <row r="1084" spans="1:3">
      <c r="A1084" s="544">
        <v>43972</v>
      </c>
      <c r="B1084" s="545">
        <v>1.1000000000000001</v>
      </c>
      <c r="C1084">
        <f t="shared" si="16"/>
        <v>2020</v>
      </c>
    </row>
    <row r="1085" spans="1:3">
      <c r="A1085" s="544">
        <v>43973</v>
      </c>
      <c r="B1085" s="545">
        <v>1.0904</v>
      </c>
      <c r="C1085">
        <f t="shared" si="16"/>
        <v>2020</v>
      </c>
    </row>
    <row r="1086" spans="1:3">
      <c r="A1086" s="544">
        <v>43977</v>
      </c>
      <c r="B1086" s="545">
        <v>1.0974999999999999</v>
      </c>
      <c r="C1086">
        <f t="shared" si="16"/>
        <v>2020</v>
      </c>
    </row>
    <row r="1087" spans="1:3">
      <c r="A1087" s="544">
        <v>43978</v>
      </c>
      <c r="B1087" s="545">
        <v>1.0991</v>
      </c>
      <c r="C1087">
        <f t="shared" si="16"/>
        <v>2020</v>
      </c>
    </row>
    <row r="1088" spans="1:3">
      <c r="A1088" s="544">
        <v>43979</v>
      </c>
      <c r="B1088" s="545">
        <v>1.1015999999999999</v>
      </c>
      <c r="C1088">
        <f t="shared" si="16"/>
        <v>2020</v>
      </c>
    </row>
    <row r="1089" spans="1:3">
      <c r="A1089" s="544">
        <v>43980</v>
      </c>
      <c r="B1089" s="545">
        <v>1.1135999999999999</v>
      </c>
      <c r="C1089">
        <f t="shared" si="16"/>
        <v>2020</v>
      </c>
    </row>
    <row r="1090" spans="1:3">
      <c r="A1090" s="544">
        <v>43983</v>
      </c>
      <c r="B1090" s="545">
        <v>1.1115999999999999</v>
      </c>
      <c r="C1090">
        <f t="shared" si="16"/>
        <v>2020</v>
      </c>
    </row>
    <row r="1091" spans="1:3">
      <c r="A1091" s="544">
        <v>43984</v>
      </c>
      <c r="B1091" s="545">
        <v>1.1173999999999999</v>
      </c>
      <c r="C1091">
        <f t="shared" si="16"/>
        <v>2020</v>
      </c>
    </row>
    <row r="1092" spans="1:3">
      <c r="A1092" s="544">
        <v>43985</v>
      </c>
      <c r="B1092" s="545">
        <v>1.1194</v>
      </c>
      <c r="C1092">
        <f t="shared" si="16"/>
        <v>2020</v>
      </c>
    </row>
    <row r="1093" spans="1:3">
      <c r="A1093" s="544">
        <v>43986</v>
      </c>
      <c r="B1093" s="545">
        <v>1.125</v>
      </c>
      <c r="C1093">
        <f t="shared" si="16"/>
        <v>2020</v>
      </c>
    </row>
    <row r="1094" spans="1:3">
      <c r="A1094" s="544">
        <v>43987</v>
      </c>
      <c r="B1094" s="545">
        <v>1.133</v>
      </c>
      <c r="C1094">
        <f t="shared" ref="C1094:C1157" si="17">YEAR(A1094)</f>
        <v>2020</v>
      </c>
    </row>
    <row r="1095" spans="1:3">
      <c r="A1095" s="544">
        <v>43990</v>
      </c>
      <c r="B1095" s="545">
        <v>1.1285000000000001</v>
      </c>
      <c r="C1095">
        <f t="shared" si="17"/>
        <v>2020</v>
      </c>
    </row>
    <row r="1096" spans="1:3">
      <c r="A1096" s="544">
        <v>43991</v>
      </c>
      <c r="B1096" s="545">
        <v>1.1294</v>
      </c>
      <c r="C1096">
        <f t="shared" si="17"/>
        <v>2020</v>
      </c>
    </row>
    <row r="1097" spans="1:3">
      <c r="A1097" s="544">
        <v>43992</v>
      </c>
      <c r="B1097" s="545">
        <v>1.1375</v>
      </c>
      <c r="C1097">
        <f t="shared" si="17"/>
        <v>2020</v>
      </c>
    </row>
    <row r="1098" spans="1:3">
      <c r="A1098" s="544">
        <v>43993</v>
      </c>
      <c r="B1098" s="545">
        <v>1.1348</v>
      </c>
      <c r="C1098">
        <f t="shared" si="17"/>
        <v>2020</v>
      </c>
    </row>
    <row r="1099" spans="1:3">
      <c r="A1099" s="544">
        <v>43994</v>
      </c>
      <c r="B1099" s="545">
        <v>1.1304000000000001</v>
      </c>
      <c r="C1099">
        <f t="shared" si="17"/>
        <v>2020</v>
      </c>
    </row>
    <row r="1100" spans="1:3">
      <c r="A1100" s="544">
        <v>43997</v>
      </c>
      <c r="B1100" s="545">
        <v>1.1253</v>
      </c>
      <c r="C1100">
        <f t="shared" si="17"/>
        <v>2020</v>
      </c>
    </row>
    <row r="1101" spans="1:3">
      <c r="A1101" s="544">
        <v>43998</v>
      </c>
      <c r="B1101" s="545">
        <v>1.1308</v>
      </c>
      <c r="C1101">
        <f t="shared" si="17"/>
        <v>2020</v>
      </c>
    </row>
    <row r="1102" spans="1:3">
      <c r="A1102" s="544">
        <v>43999</v>
      </c>
      <c r="B1102" s="545">
        <v>1.1232</v>
      </c>
      <c r="C1102">
        <f t="shared" si="17"/>
        <v>2020</v>
      </c>
    </row>
    <row r="1103" spans="1:3">
      <c r="A1103" s="544">
        <v>44000</v>
      </c>
      <c r="B1103" s="545">
        <v>1.1222000000000001</v>
      </c>
      <c r="C1103">
        <f t="shared" si="17"/>
        <v>2020</v>
      </c>
    </row>
    <row r="1104" spans="1:3">
      <c r="A1104" s="544">
        <v>44001</v>
      </c>
      <c r="B1104" s="545">
        <v>1.121</v>
      </c>
      <c r="C1104">
        <f t="shared" si="17"/>
        <v>2020</v>
      </c>
    </row>
    <row r="1105" spans="1:3">
      <c r="A1105" s="544">
        <v>44004</v>
      </c>
      <c r="B1105" s="545">
        <v>1.1213</v>
      </c>
      <c r="C1105">
        <f t="shared" si="17"/>
        <v>2020</v>
      </c>
    </row>
    <row r="1106" spans="1:3">
      <c r="A1106" s="544">
        <v>44005</v>
      </c>
      <c r="B1106" s="545">
        <v>1.1317999999999999</v>
      </c>
      <c r="C1106">
        <f t="shared" si="17"/>
        <v>2020</v>
      </c>
    </row>
    <row r="1107" spans="1:3">
      <c r="A1107" s="544">
        <v>44006</v>
      </c>
      <c r="B1107" s="545">
        <v>1.1279999999999999</v>
      </c>
      <c r="C1107">
        <f t="shared" si="17"/>
        <v>2020</v>
      </c>
    </row>
    <row r="1108" spans="1:3">
      <c r="A1108" s="544">
        <v>44007</v>
      </c>
      <c r="B1108" s="545">
        <v>1.1200000000000001</v>
      </c>
      <c r="C1108">
        <f t="shared" si="17"/>
        <v>2020</v>
      </c>
    </row>
    <row r="1109" spans="1:3">
      <c r="A1109" s="544">
        <v>44008</v>
      </c>
      <c r="B1109" s="545">
        <v>1.1213</v>
      </c>
      <c r="C1109">
        <f t="shared" si="17"/>
        <v>2020</v>
      </c>
    </row>
    <row r="1110" spans="1:3">
      <c r="A1110" s="544">
        <v>44011</v>
      </c>
      <c r="B1110" s="545">
        <v>1.1284000000000001</v>
      </c>
      <c r="C1110">
        <f t="shared" si="17"/>
        <v>2020</v>
      </c>
    </row>
    <row r="1111" spans="1:3">
      <c r="A1111" s="544">
        <v>44012</v>
      </c>
      <c r="B1111" s="545">
        <v>1.1197999999999999</v>
      </c>
      <c r="C1111">
        <f t="shared" si="17"/>
        <v>2020</v>
      </c>
    </row>
    <row r="1112" spans="1:3">
      <c r="A1112" s="544">
        <v>44013</v>
      </c>
      <c r="B1112" s="545">
        <v>1.1200000000000001</v>
      </c>
      <c r="C1112">
        <f t="shared" si="17"/>
        <v>2020</v>
      </c>
    </row>
    <row r="1113" spans="1:3">
      <c r="A1113" s="544">
        <v>44014</v>
      </c>
      <c r="B1113" s="545">
        <v>1.1286</v>
      </c>
      <c r="C1113">
        <f t="shared" si="17"/>
        <v>2020</v>
      </c>
    </row>
    <row r="1114" spans="1:3">
      <c r="A1114" s="544">
        <v>44019</v>
      </c>
      <c r="B1114" s="545">
        <v>1.129</v>
      </c>
      <c r="C1114">
        <f t="shared" si="17"/>
        <v>2020</v>
      </c>
    </row>
    <row r="1115" spans="1:3">
      <c r="A1115" s="544">
        <v>44020</v>
      </c>
      <c r="B1115" s="545">
        <v>1.1286</v>
      </c>
      <c r="C1115">
        <f t="shared" si="17"/>
        <v>2020</v>
      </c>
    </row>
    <row r="1116" spans="1:3">
      <c r="A1116" s="544">
        <v>44021</v>
      </c>
      <c r="B1116" s="545">
        <v>1.1342000000000001</v>
      </c>
      <c r="C1116">
        <f t="shared" si="17"/>
        <v>2020</v>
      </c>
    </row>
    <row r="1117" spans="1:3">
      <c r="A1117" s="544">
        <v>44022</v>
      </c>
      <c r="B1117" s="545">
        <v>1.1275999999999999</v>
      </c>
      <c r="C1117">
        <f t="shared" si="17"/>
        <v>2020</v>
      </c>
    </row>
    <row r="1118" spans="1:3">
      <c r="A1118" s="544">
        <v>44025</v>
      </c>
      <c r="B1118" s="545">
        <v>1.1329</v>
      </c>
      <c r="C1118">
        <f t="shared" si="17"/>
        <v>2020</v>
      </c>
    </row>
    <row r="1119" spans="1:3">
      <c r="A1119" s="544">
        <v>44026</v>
      </c>
      <c r="B1119" s="545">
        <v>1.1375</v>
      </c>
      <c r="C1119">
        <f t="shared" si="17"/>
        <v>2020</v>
      </c>
    </row>
    <row r="1120" spans="1:3">
      <c r="A1120" s="544">
        <v>44027</v>
      </c>
      <c r="B1120" s="545">
        <v>1.1444000000000001</v>
      </c>
      <c r="C1120">
        <f t="shared" si="17"/>
        <v>2020</v>
      </c>
    </row>
    <row r="1121" spans="1:3">
      <c r="A1121" s="544">
        <v>44028</v>
      </c>
      <c r="B1121" s="545">
        <v>1.1414</v>
      </c>
      <c r="C1121">
        <f t="shared" si="17"/>
        <v>2020</v>
      </c>
    </row>
    <row r="1122" spans="1:3">
      <c r="A1122" s="544">
        <v>44029</v>
      </c>
      <c r="B1122" s="545">
        <v>1.1428</v>
      </c>
      <c r="C1122">
        <f t="shared" si="17"/>
        <v>2020</v>
      </c>
    </row>
    <row r="1123" spans="1:3">
      <c r="A1123" s="544">
        <v>44032</v>
      </c>
      <c r="B1123" s="545">
        <v>1.1448</v>
      </c>
      <c r="C1123">
        <f t="shared" si="17"/>
        <v>2020</v>
      </c>
    </row>
    <row r="1124" spans="1:3">
      <c r="A1124" s="544">
        <v>44033</v>
      </c>
      <c r="B1124" s="545">
        <v>1.1443000000000001</v>
      </c>
      <c r="C1124">
        <f t="shared" si="17"/>
        <v>2020</v>
      </c>
    </row>
    <row r="1125" spans="1:3">
      <c r="A1125" s="544">
        <v>44034</v>
      </c>
      <c r="B1125" s="545">
        <v>1.1577999999999999</v>
      </c>
      <c r="C1125">
        <f t="shared" si="17"/>
        <v>2020</v>
      </c>
    </row>
    <row r="1126" spans="1:3">
      <c r="A1126" s="544">
        <v>44035</v>
      </c>
      <c r="B1126" s="545">
        <v>1.1569</v>
      </c>
      <c r="C1126">
        <f t="shared" si="17"/>
        <v>2020</v>
      </c>
    </row>
    <row r="1127" spans="1:3">
      <c r="A1127" s="544">
        <v>44036</v>
      </c>
      <c r="B1127" s="545">
        <v>1.1608000000000001</v>
      </c>
      <c r="C1127">
        <f t="shared" si="17"/>
        <v>2020</v>
      </c>
    </row>
    <row r="1128" spans="1:3">
      <c r="A1128" s="544">
        <v>44039</v>
      </c>
      <c r="B1128" s="545">
        <v>1.1759999999999999</v>
      </c>
      <c r="C1128">
        <f t="shared" si="17"/>
        <v>2020</v>
      </c>
    </row>
    <row r="1129" spans="1:3">
      <c r="A1129" s="544">
        <v>44040</v>
      </c>
      <c r="B1129" s="545">
        <v>1.1717</v>
      </c>
      <c r="C1129">
        <f t="shared" si="17"/>
        <v>2020</v>
      </c>
    </row>
    <row r="1130" spans="1:3">
      <c r="A1130" s="544">
        <v>44041</v>
      </c>
      <c r="B1130" s="545">
        <v>1.1725000000000001</v>
      </c>
      <c r="C1130">
        <f t="shared" si="17"/>
        <v>2020</v>
      </c>
    </row>
    <row r="1131" spans="1:3">
      <c r="A1131" s="544">
        <v>44042</v>
      </c>
      <c r="B1131" s="545">
        <v>1.1742999999999999</v>
      </c>
      <c r="C1131">
        <f t="shared" si="17"/>
        <v>2020</v>
      </c>
    </row>
    <row r="1132" spans="1:3">
      <c r="A1132" s="544">
        <v>44043</v>
      </c>
      <c r="B1132" s="545">
        <v>1.1848000000000001</v>
      </c>
      <c r="C1132">
        <f t="shared" si="17"/>
        <v>2020</v>
      </c>
    </row>
    <row r="1133" spans="1:3">
      <c r="A1133" s="544">
        <v>44046</v>
      </c>
      <c r="B1133" s="545">
        <v>1.1726000000000001</v>
      </c>
      <c r="C1133">
        <f t="shared" si="17"/>
        <v>2020</v>
      </c>
    </row>
    <row r="1134" spans="1:3">
      <c r="A1134" s="544">
        <v>44047</v>
      </c>
      <c r="B1134" s="545">
        <v>1.1765000000000001</v>
      </c>
      <c r="C1134">
        <f t="shared" si="17"/>
        <v>2020</v>
      </c>
    </row>
    <row r="1135" spans="1:3">
      <c r="A1135" s="544">
        <v>44048</v>
      </c>
      <c r="B1135" s="545">
        <v>1.1854</v>
      </c>
      <c r="C1135">
        <f t="shared" si="17"/>
        <v>2020</v>
      </c>
    </row>
    <row r="1136" spans="1:3">
      <c r="A1136" s="544">
        <v>44049</v>
      </c>
      <c r="B1136" s="545">
        <v>1.1842999999999999</v>
      </c>
      <c r="C1136">
        <f t="shared" si="17"/>
        <v>2020</v>
      </c>
    </row>
    <row r="1137" spans="1:3">
      <c r="A1137" s="544">
        <v>44050</v>
      </c>
      <c r="B1137" s="545">
        <v>1.1817</v>
      </c>
      <c r="C1137">
        <f t="shared" si="17"/>
        <v>2020</v>
      </c>
    </row>
    <row r="1138" spans="1:3">
      <c r="A1138" s="544">
        <v>44053</v>
      </c>
      <c r="B1138" s="545">
        <v>1.1762999999999999</v>
      </c>
      <c r="C1138">
        <f t="shared" si="17"/>
        <v>2020</v>
      </c>
    </row>
    <row r="1139" spans="1:3">
      <c r="A1139" s="544">
        <v>44054</v>
      </c>
      <c r="B1139" s="545">
        <v>1.1782999999999999</v>
      </c>
      <c r="C1139">
        <f t="shared" si="17"/>
        <v>2020</v>
      </c>
    </row>
    <row r="1140" spans="1:3">
      <c r="A1140" s="544">
        <v>44055</v>
      </c>
      <c r="B1140" s="545">
        <v>1.1771</v>
      </c>
      <c r="C1140">
        <f t="shared" si="17"/>
        <v>2020</v>
      </c>
    </row>
    <row r="1141" spans="1:3">
      <c r="A1141" s="544">
        <v>44056</v>
      </c>
      <c r="B1141" s="545">
        <v>1.1833</v>
      </c>
      <c r="C1141">
        <f t="shared" si="17"/>
        <v>2020</v>
      </c>
    </row>
    <row r="1142" spans="1:3">
      <c r="A1142" s="544">
        <v>44057</v>
      </c>
      <c r="B1142" s="545">
        <v>1.1813</v>
      </c>
      <c r="C1142">
        <f t="shared" si="17"/>
        <v>2020</v>
      </c>
    </row>
    <row r="1143" spans="1:3">
      <c r="A1143" s="544">
        <v>44060</v>
      </c>
      <c r="B1143" s="545">
        <v>1.1853</v>
      </c>
      <c r="C1143">
        <f t="shared" si="17"/>
        <v>2020</v>
      </c>
    </row>
    <row r="1144" spans="1:3">
      <c r="A1144" s="544">
        <v>44061</v>
      </c>
      <c r="B1144" s="545">
        <v>1.1906000000000001</v>
      </c>
      <c r="C1144">
        <f t="shared" si="17"/>
        <v>2020</v>
      </c>
    </row>
    <row r="1145" spans="1:3">
      <c r="A1145" s="544">
        <v>44062</v>
      </c>
      <c r="B1145" s="545">
        <v>1.1933</v>
      </c>
      <c r="C1145">
        <f t="shared" si="17"/>
        <v>2020</v>
      </c>
    </row>
    <row r="1146" spans="1:3">
      <c r="A1146" s="544">
        <v>44063</v>
      </c>
      <c r="B1146" s="545">
        <v>1.1850000000000001</v>
      </c>
      <c r="C1146">
        <f t="shared" si="17"/>
        <v>2020</v>
      </c>
    </row>
    <row r="1147" spans="1:3">
      <c r="A1147" s="544">
        <v>44064</v>
      </c>
      <c r="B1147" s="545">
        <v>1.1769000000000001</v>
      </c>
      <c r="C1147">
        <f t="shared" si="17"/>
        <v>2020</v>
      </c>
    </row>
    <row r="1148" spans="1:3">
      <c r="A1148" s="544">
        <v>44067</v>
      </c>
      <c r="B1148" s="545">
        <v>1.1847000000000001</v>
      </c>
      <c r="C1148">
        <f t="shared" si="17"/>
        <v>2020</v>
      </c>
    </row>
    <row r="1149" spans="1:3">
      <c r="A1149" s="544">
        <v>44068</v>
      </c>
      <c r="B1149" s="545">
        <v>1.1814</v>
      </c>
      <c r="C1149">
        <f t="shared" si="17"/>
        <v>2020</v>
      </c>
    </row>
    <row r="1150" spans="1:3">
      <c r="A1150" s="544">
        <v>44069</v>
      </c>
      <c r="B1150" s="545">
        <v>1.1789000000000001</v>
      </c>
      <c r="C1150">
        <f t="shared" si="17"/>
        <v>2020</v>
      </c>
    </row>
    <row r="1151" spans="1:3">
      <c r="A1151" s="544">
        <v>44070</v>
      </c>
      <c r="B1151" s="545">
        <v>1.1806000000000001</v>
      </c>
      <c r="C1151">
        <f t="shared" si="17"/>
        <v>2020</v>
      </c>
    </row>
    <row r="1152" spans="1:3">
      <c r="A1152" s="544">
        <v>44071</v>
      </c>
      <c r="B1152" s="545">
        <v>1.1915</v>
      </c>
      <c r="C1152">
        <f t="shared" si="17"/>
        <v>2020</v>
      </c>
    </row>
    <row r="1153" spans="1:3">
      <c r="A1153" s="544">
        <v>44074</v>
      </c>
      <c r="B1153" s="545">
        <v>1.194</v>
      </c>
      <c r="C1153">
        <f t="shared" si="17"/>
        <v>2020</v>
      </c>
    </row>
    <row r="1154" spans="1:3">
      <c r="A1154" s="544">
        <v>44075</v>
      </c>
      <c r="B1154" s="545">
        <v>1.1987000000000001</v>
      </c>
      <c r="C1154">
        <f t="shared" si="17"/>
        <v>2020</v>
      </c>
    </row>
    <row r="1155" spans="1:3">
      <c r="A1155" s="544">
        <v>44076</v>
      </c>
      <c r="B1155" s="545">
        <v>1.1860999999999999</v>
      </c>
      <c r="C1155">
        <f t="shared" si="17"/>
        <v>2020</v>
      </c>
    </row>
    <row r="1156" spans="1:3">
      <c r="A1156" s="544">
        <v>44077</v>
      </c>
      <c r="B1156" s="545">
        <v>1.1813</v>
      </c>
      <c r="C1156">
        <f t="shared" si="17"/>
        <v>2020</v>
      </c>
    </row>
    <row r="1157" spans="1:3">
      <c r="A1157" s="544">
        <v>44082</v>
      </c>
      <c r="B1157" s="545">
        <v>1.1785000000000001</v>
      </c>
      <c r="C1157">
        <f t="shared" si="17"/>
        <v>2020</v>
      </c>
    </row>
    <row r="1158" spans="1:3">
      <c r="A1158" s="544">
        <v>44083</v>
      </c>
      <c r="B1158" s="545">
        <v>1.1773</v>
      </c>
      <c r="C1158">
        <f t="shared" ref="C1158:C1221" si="18">YEAR(A1158)</f>
        <v>2020</v>
      </c>
    </row>
    <row r="1159" spans="1:3">
      <c r="A1159" s="544">
        <v>44084</v>
      </c>
      <c r="B1159" s="545">
        <v>1.1849000000000001</v>
      </c>
      <c r="C1159">
        <f t="shared" si="18"/>
        <v>2020</v>
      </c>
    </row>
    <row r="1160" spans="1:3">
      <c r="A1160" s="544">
        <v>44085</v>
      </c>
      <c r="B1160" s="545">
        <v>1.1854</v>
      </c>
      <c r="C1160">
        <f t="shared" si="18"/>
        <v>2020</v>
      </c>
    </row>
    <row r="1161" spans="1:3">
      <c r="A1161" s="544">
        <v>44088</v>
      </c>
      <c r="B1161" s="545">
        <v>1.1876</v>
      </c>
      <c r="C1161">
        <f t="shared" si="18"/>
        <v>2020</v>
      </c>
    </row>
    <row r="1162" spans="1:3">
      <c r="A1162" s="544">
        <v>44089</v>
      </c>
      <c r="B1162" s="545">
        <v>1.1892</v>
      </c>
      <c r="C1162">
        <f t="shared" si="18"/>
        <v>2020</v>
      </c>
    </row>
    <row r="1163" spans="1:3">
      <c r="A1163" s="544">
        <v>44090</v>
      </c>
      <c r="B1163" s="545">
        <v>1.1869000000000001</v>
      </c>
      <c r="C1163">
        <f t="shared" si="18"/>
        <v>2020</v>
      </c>
    </row>
    <row r="1164" spans="1:3">
      <c r="A1164" s="544">
        <v>44091</v>
      </c>
      <c r="B1164" s="545">
        <v>1.1797</v>
      </c>
      <c r="C1164">
        <f t="shared" si="18"/>
        <v>2020</v>
      </c>
    </row>
    <row r="1165" spans="1:3">
      <c r="A1165" s="544">
        <v>44092</v>
      </c>
      <c r="B1165" s="545">
        <v>1.1833</v>
      </c>
      <c r="C1165">
        <f t="shared" si="18"/>
        <v>2020</v>
      </c>
    </row>
    <row r="1166" spans="1:3">
      <c r="A1166" s="544">
        <v>44095</v>
      </c>
      <c r="B1166" s="545">
        <v>1.1787000000000001</v>
      </c>
      <c r="C1166">
        <f t="shared" si="18"/>
        <v>2020</v>
      </c>
    </row>
    <row r="1167" spans="1:3">
      <c r="A1167" s="544">
        <v>44096</v>
      </c>
      <c r="B1167" s="545">
        <v>1.1739999999999999</v>
      </c>
      <c r="C1167">
        <f t="shared" si="18"/>
        <v>2020</v>
      </c>
    </row>
    <row r="1168" spans="1:3">
      <c r="A1168" s="544">
        <v>44097</v>
      </c>
      <c r="B1168" s="545">
        <v>1.1692</v>
      </c>
      <c r="C1168">
        <f t="shared" si="18"/>
        <v>2020</v>
      </c>
    </row>
    <row r="1169" spans="1:3">
      <c r="A1169" s="544">
        <v>44098</v>
      </c>
      <c r="B1169" s="545">
        <v>1.1645000000000001</v>
      </c>
      <c r="C1169">
        <f t="shared" si="18"/>
        <v>2020</v>
      </c>
    </row>
    <row r="1170" spans="1:3">
      <c r="A1170" s="544">
        <v>44099</v>
      </c>
      <c r="B1170" s="545">
        <v>1.1634</v>
      </c>
      <c r="C1170">
        <f t="shared" si="18"/>
        <v>2020</v>
      </c>
    </row>
    <row r="1171" spans="1:3">
      <c r="A1171" s="544">
        <v>44102</v>
      </c>
      <c r="B1171" s="545">
        <v>1.167</v>
      </c>
      <c r="C1171">
        <f t="shared" si="18"/>
        <v>2020</v>
      </c>
    </row>
    <row r="1172" spans="1:3">
      <c r="A1172" s="544">
        <v>44103</v>
      </c>
      <c r="B1172" s="545">
        <v>1.1701999999999999</v>
      </c>
      <c r="C1172">
        <f t="shared" si="18"/>
        <v>2020</v>
      </c>
    </row>
    <row r="1173" spans="1:3">
      <c r="A1173" s="544">
        <v>44104</v>
      </c>
      <c r="B1173" s="545">
        <v>1.1708000000000001</v>
      </c>
      <c r="C1173">
        <f t="shared" si="18"/>
        <v>2020</v>
      </c>
    </row>
    <row r="1174" spans="1:3">
      <c r="A1174" s="544">
        <v>44105</v>
      </c>
      <c r="B1174" s="545">
        <v>1.1752</v>
      </c>
      <c r="C1174">
        <f t="shared" si="18"/>
        <v>2020</v>
      </c>
    </row>
    <row r="1175" spans="1:3">
      <c r="A1175" s="544">
        <v>44106</v>
      </c>
      <c r="B1175" s="545">
        <v>1.173</v>
      </c>
      <c r="C1175">
        <f t="shared" si="18"/>
        <v>2020</v>
      </c>
    </row>
    <row r="1176" spans="1:3">
      <c r="A1176" s="544">
        <v>44109</v>
      </c>
      <c r="B1176" s="545">
        <v>1.1768000000000001</v>
      </c>
      <c r="C1176">
        <f t="shared" si="18"/>
        <v>2020</v>
      </c>
    </row>
    <row r="1177" spans="1:3">
      <c r="A1177" s="544">
        <v>44110</v>
      </c>
      <c r="B1177" s="545">
        <v>1.1795</v>
      </c>
      <c r="C1177">
        <f t="shared" si="18"/>
        <v>2020</v>
      </c>
    </row>
    <row r="1178" spans="1:3">
      <c r="A1178" s="544">
        <v>44111</v>
      </c>
      <c r="B1178" s="545">
        <v>1.177</v>
      </c>
      <c r="C1178">
        <f t="shared" si="18"/>
        <v>2020</v>
      </c>
    </row>
    <row r="1179" spans="1:3">
      <c r="A1179" s="544">
        <v>44112</v>
      </c>
      <c r="B1179" s="545">
        <v>1.1765000000000001</v>
      </c>
      <c r="C1179">
        <f t="shared" si="18"/>
        <v>2020</v>
      </c>
    </row>
    <row r="1180" spans="1:3">
      <c r="A1180" s="544">
        <v>44113</v>
      </c>
      <c r="B1180" s="545">
        <v>1.1795</v>
      </c>
      <c r="C1180">
        <f t="shared" si="18"/>
        <v>2020</v>
      </c>
    </row>
    <row r="1181" spans="1:3">
      <c r="A1181" s="544">
        <v>44117</v>
      </c>
      <c r="B1181" s="545">
        <v>1.1787000000000001</v>
      </c>
      <c r="C1181">
        <f t="shared" si="18"/>
        <v>2020</v>
      </c>
    </row>
    <row r="1182" spans="1:3">
      <c r="A1182" s="544">
        <v>44118</v>
      </c>
      <c r="B1182" s="545">
        <v>1.175</v>
      </c>
      <c r="C1182">
        <f t="shared" si="18"/>
        <v>2020</v>
      </c>
    </row>
    <row r="1183" spans="1:3">
      <c r="A1183" s="544">
        <v>44119</v>
      </c>
      <c r="B1183" s="545">
        <v>1.1698</v>
      </c>
      <c r="C1183">
        <f t="shared" si="18"/>
        <v>2020</v>
      </c>
    </row>
    <row r="1184" spans="1:3">
      <c r="A1184" s="544">
        <v>44120</v>
      </c>
      <c r="B1184" s="545">
        <v>1.1740999999999999</v>
      </c>
      <c r="C1184">
        <f t="shared" si="18"/>
        <v>2020</v>
      </c>
    </row>
    <row r="1185" spans="1:3">
      <c r="A1185" s="544">
        <v>44123</v>
      </c>
      <c r="B1185" s="545">
        <v>1.1785000000000001</v>
      </c>
      <c r="C1185">
        <f t="shared" si="18"/>
        <v>2020</v>
      </c>
    </row>
    <row r="1186" spans="1:3">
      <c r="A1186" s="544">
        <v>44124</v>
      </c>
      <c r="B1186" s="545">
        <v>1.181</v>
      </c>
      <c r="C1186">
        <f t="shared" si="18"/>
        <v>2020</v>
      </c>
    </row>
    <row r="1187" spans="1:3">
      <c r="A1187" s="544">
        <v>44125</v>
      </c>
      <c r="B1187" s="545">
        <v>1.1852</v>
      </c>
      <c r="C1187">
        <f t="shared" si="18"/>
        <v>2020</v>
      </c>
    </row>
    <row r="1188" spans="1:3">
      <c r="A1188" s="544">
        <v>44126</v>
      </c>
      <c r="B1188" s="545">
        <v>1.1820999999999999</v>
      </c>
      <c r="C1188">
        <f t="shared" si="18"/>
        <v>2020</v>
      </c>
    </row>
    <row r="1189" spans="1:3">
      <c r="A1189" s="544">
        <v>44127</v>
      </c>
      <c r="B1189" s="545">
        <v>1.1856</v>
      </c>
      <c r="C1189">
        <f t="shared" si="18"/>
        <v>2020</v>
      </c>
    </row>
    <row r="1190" spans="1:3">
      <c r="A1190" s="544">
        <v>44130</v>
      </c>
      <c r="B1190" s="545">
        <v>1.1819</v>
      </c>
      <c r="C1190">
        <f t="shared" si="18"/>
        <v>2020</v>
      </c>
    </row>
    <row r="1191" spans="1:3">
      <c r="A1191" s="544">
        <v>44131</v>
      </c>
      <c r="B1191" s="545">
        <v>1.1832</v>
      </c>
      <c r="C1191">
        <f t="shared" si="18"/>
        <v>2020</v>
      </c>
    </row>
    <row r="1192" spans="1:3">
      <c r="A1192" s="544">
        <v>44132</v>
      </c>
      <c r="B1192" s="545">
        <v>1.1727000000000001</v>
      </c>
      <c r="C1192">
        <f t="shared" si="18"/>
        <v>2020</v>
      </c>
    </row>
    <row r="1193" spans="1:3">
      <c r="A1193" s="544">
        <v>44133</v>
      </c>
      <c r="B1193" s="545">
        <v>1.1704000000000001</v>
      </c>
      <c r="C1193">
        <f t="shared" si="18"/>
        <v>2020</v>
      </c>
    </row>
    <row r="1194" spans="1:3">
      <c r="A1194" s="544">
        <v>44134</v>
      </c>
      <c r="B1194" s="545">
        <v>1.1698</v>
      </c>
      <c r="C1194">
        <f t="shared" si="18"/>
        <v>2020</v>
      </c>
    </row>
    <row r="1195" spans="1:3">
      <c r="A1195" s="544">
        <v>44137</v>
      </c>
      <c r="B1195" s="545">
        <v>1.1652</v>
      </c>
      <c r="C1195">
        <f t="shared" si="18"/>
        <v>2020</v>
      </c>
    </row>
    <row r="1196" spans="1:3">
      <c r="A1196" s="544">
        <v>44138</v>
      </c>
      <c r="B1196" s="545">
        <v>1.1701999999999999</v>
      </c>
      <c r="C1196">
        <f t="shared" si="18"/>
        <v>2020</v>
      </c>
    </row>
    <row r="1197" spans="1:3">
      <c r="A1197" s="544">
        <v>44139</v>
      </c>
      <c r="B1197" s="545">
        <v>1.1720999999999999</v>
      </c>
      <c r="C1197">
        <f t="shared" si="18"/>
        <v>2020</v>
      </c>
    </row>
    <row r="1198" spans="1:3">
      <c r="A1198" s="544">
        <v>44140</v>
      </c>
      <c r="B1198" s="545">
        <v>1.1855</v>
      </c>
      <c r="C1198">
        <f t="shared" si="18"/>
        <v>2020</v>
      </c>
    </row>
    <row r="1199" spans="1:3">
      <c r="A1199" s="544">
        <v>44141</v>
      </c>
      <c r="B1199" s="545">
        <v>1.1870000000000001</v>
      </c>
      <c r="C1199">
        <f t="shared" si="18"/>
        <v>2020</v>
      </c>
    </row>
    <row r="1200" spans="1:3">
      <c r="A1200" s="544">
        <v>44144</v>
      </c>
      <c r="B1200" s="545">
        <v>1.1882999999999999</v>
      </c>
      <c r="C1200">
        <f t="shared" si="18"/>
        <v>2020</v>
      </c>
    </row>
    <row r="1201" spans="1:3">
      <c r="A1201" s="544">
        <v>44145</v>
      </c>
      <c r="B1201" s="545">
        <v>1.1808000000000001</v>
      </c>
      <c r="C1201">
        <f t="shared" si="18"/>
        <v>2020</v>
      </c>
    </row>
    <row r="1202" spans="1:3">
      <c r="A1202" s="544">
        <v>44146</v>
      </c>
      <c r="B1202" s="545">
        <v>1.1766000000000001</v>
      </c>
      <c r="C1202">
        <f t="shared" si="18"/>
        <v>2020</v>
      </c>
    </row>
    <row r="1203" spans="1:3">
      <c r="A1203" s="544">
        <v>44147</v>
      </c>
      <c r="B1203" s="545">
        <v>1.1791</v>
      </c>
      <c r="C1203">
        <f t="shared" si="18"/>
        <v>2020</v>
      </c>
    </row>
    <row r="1204" spans="1:3">
      <c r="A1204" s="544">
        <v>44148</v>
      </c>
      <c r="B1204" s="545">
        <v>1.1815</v>
      </c>
      <c r="C1204">
        <f t="shared" si="18"/>
        <v>2020</v>
      </c>
    </row>
    <row r="1205" spans="1:3">
      <c r="A1205" s="544">
        <v>44151</v>
      </c>
      <c r="B1205" s="545">
        <v>1.1830000000000001</v>
      </c>
      <c r="C1205">
        <f t="shared" si="18"/>
        <v>2020</v>
      </c>
    </row>
    <row r="1206" spans="1:3">
      <c r="A1206" s="544">
        <v>44152</v>
      </c>
      <c r="B1206" s="545">
        <v>1.1881999999999999</v>
      </c>
      <c r="C1206">
        <f t="shared" si="18"/>
        <v>2020</v>
      </c>
    </row>
    <row r="1207" spans="1:3">
      <c r="A1207" s="544">
        <v>44153</v>
      </c>
      <c r="B1207" s="545">
        <v>1.1868000000000001</v>
      </c>
      <c r="C1207">
        <f t="shared" si="18"/>
        <v>2020</v>
      </c>
    </row>
    <row r="1208" spans="1:3">
      <c r="A1208" s="544">
        <v>44154</v>
      </c>
      <c r="B1208" s="545">
        <v>1.1832</v>
      </c>
      <c r="C1208">
        <f t="shared" si="18"/>
        <v>2020</v>
      </c>
    </row>
    <row r="1209" spans="1:3">
      <c r="A1209" s="544">
        <v>44155</v>
      </c>
      <c r="B1209" s="545">
        <v>1.1862999999999999</v>
      </c>
      <c r="C1209">
        <f t="shared" si="18"/>
        <v>2020</v>
      </c>
    </row>
    <row r="1210" spans="1:3">
      <c r="A1210" s="544">
        <v>44158</v>
      </c>
      <c r="B1210" s="545">
        <v>1.1900999999999999</v>
      </c>
      <c r="C1210">
        <f t="shared" si="18"/>
        <v>2020</v>
      </c>
    </row>
    <row r="1211" spans="1:3">
      <c r="A1211" s="544">
        <v>44159</v>
      </c>
      <c r="B1211" s="545">
        <v>1.1865000000000001</v>
      </c>
      <c r="C1211">
        <f t="shared" si="18"/>
        <v>2020</v>
      </c>
    </row>
    <row r="1212" spans="1:3">
      <c r="A1212" s="544">
        <v>44160</v>
      </c>
      <c r="B1212" s="545">
        <v>1.1890000000000001</v>
      </c>
      <c r="C1212">
        <f t="shared" si="18"/>
        <v>2020</v>
      </c>
    </row>
    <row r="1213" spans="1:3">
      <c r="A1213" s="544">
        <v>44165</v>
      </c>
      <c r="B1213" s="545">
        <v>1.198</v>
      </c>
      <c r="C1213">
        <f t="shared" si="18"/>
        <v>2020</v>
      </c>
    </row>
    <row r="1214" spans="1:3">
      <c r="A1214" s="544">
        <v>44166</v>
      </c>
      <c r="B1214" s="545">
        <v>1.1968000000000001</v>
      </c>
      <c r="C1214">
        <f t="shared" si="18"/>
        <v>2020</v>
      </c>
    </row>
    <row r="1215" spans="1:3">
      <c r="A1215" s="544">
        <v>44167</v>
      </c>
      <c r="B1215" s="545">
        <v>1.2065999999999999</v>
      </c>
      <c r="C1215">
        <f t="shared" si="18"/>
        <v>2020</v>
      </c>
    </row>
    <row r="1216" spans="1:3">
      <c r="A1216" s="544">
        <v>44168</v>
      </c>
      <c r="B1216" s="545">
        <v>1.2151000000000001</v>
      </c>
      <c r="C1216">
        <f t="shared" si="18"/>
        <v>2020</v>
      </c>
    </row>
    <row r="1217" spans="1:7">
      <c r="A1217" s="544">
        <v>44169</v>
      </c>
      <c r="B1217" s="545">
        <v>1.2159</v>
      </c>
      <c r="C1217">
        <f t="shared" si="18"/>
        <v>2020</v>
      </c>
    </row>
    <row r="1218" spans="1:7">
      <c r="A1218" s="544">
        <v>44172</v>
      </c>
      <c r="B1218" s="545">
        <v>1.2128000000000001</v>
      </c>
      <c r="C1218">
        <f t="shared" si="18"/>
        <v>2020</v>
      </c>
    </row>
    <row r="1219" spans="1:7">
      <c r="A1219" s="544">
        <v>44173</v>
      </c>
      <c r="B1219" s="545">
        <v>1.2114</v>
      </c>
      <c r="C1219">
        <f t="shared" si="18"/>
        <v>2020</v>
      </c>
    </row>
    <row r="1220" spans="1:7">
      <c r="A1220" s="544">
        <v>44174</v>
      </c>
      <c r="B1220" s="545">
        <v>1.2109000000000001</v>
      </c>
      <c r="C1220">
        <f t="shared" si="18"/>
        <v>2020</v>
      </c>
    </row>
    <row r="1221" spans="1:7">
      <c r="A1221" s="544">
        <v>44175</v>
      </c>
      <c r="B1221" s="545">
        <v>1.2115</v>
      </c>
      <c r="C1221">
        <f t="shared" si="18"/>
        <v>2020</v>
      </c>
    </row>
    <row r="1222" spans="1:7">
      <c r="A1222" s="544">
        <v>44176</v>
      </c>
      <c r="B1222" s="545">
        <v>1.2126999999999999</v>
      </c>
      <c r="C1222">
        <f t="shared" ref="C1222:C1230" si="19">YEAR(A1222)</f>
        <v>2020</v>
      </c>
    </row>
    <row r="1223" spans="1:7">
      <c r="A1223" s="544">
        <v>44179</v>
      </c>
      <c r="B1223" s="545">
        <v>1.2161999999999999</v>
      </c>
      <c r="C1223">
        <f t="shared" si="19"/>
        <v>2020</v>
      </c>
    </row>
    <row r="1224" spans="1:7">
      <c r="A1224" s="544">
        <v>44180</v>
      </c>
      <c r="B1224" s="545">
        <v>1.214</v>
      </c>
      <c r="C1224">
        <f t="shared" si="19"/>
        <v>2020</v>
      </c>
    </row>
    <row r="1225" spans="1:7">
      <c r="A1225" s="544">
        <v>44181</v>
      </c>
      <c r="B1225" s="545">
        <v>1.2189000000000001</v>
      </c>
      <c r="C1225">
        <f t="shared" si="19"/>
        <v>2020</v>
      </c>
    </row>
    <row r="1226" spans="1:7">
      <c r="A1226" s="544">
        <v>44182</v>
      </c>
      <c r="B1226" s="545">
        <v>1.2245999999999999</v>
      </c>
      <c r="C1226">
        <f t="shared" si="19"/>
        <v>2020</v>
      </c>
    </row>
    <row r="1227" spans="1:7">
      <c r="A1227" s="544">
        <v>44183</v>
      </c>
      <c r="B1227" s="545">
        <v>1.2259</v>
      </c>
      <c r="C1227">
        <f t="shared" si="19"/>
        <v>2020</v>
      </c>
    </row>
    <row r="1228" spans="1:7">
      <c r="A1228" s="544">
        <v>44186</v>
      </c>
      <c r="B1228" s="545">
        <v>1.2173</v>
      </c>
      <c r="C1228">
        <f t="shared" si="19"/>
        <v>2020</v>
      </c>
    </row>
    <row r="1229" spans="1:7">
      <c r="A1229" s="544">
        <v>44187</v>
      </c>
      <c r="B1229" s="545">
        <v>1.2239</v>
      </c>
      <c r="C1229">
        <f t="shared" si="19"/>
        <v>2020</v>
      </c>
    </row>
    <row r="1230" spans="1:7">
      <c r="A1230" s="544">
        <v>44188</v>
      </c>
      <c r="B1230" s="545">
        <v>1.2165999999999999</v>
      </c>
      <c r="C1230">
        <f t="shared" si="19"/>
        <v>2020</v>
      </c>
    </row>
    <row r="1232" spans="1:7" s="543" customFormat="1" ht="13.2">
      <c r="A1232" s="546" t="s">
        <v>335</v>
      </c>
      <c r="B1232" s="547"/>
      <c r="C1232" s="547"/>
      <c r="D1232" s="547"/>
      <c r="E1232" s="547"/>
      <c r="F1232" s="547"/>
      <c r="G1232" s="548"/>
    </row>
    <row r="1233" spans="1:8">
      <c r="A1233" s="549"/>
      <c r="H1233" s="549"/>
    </row>
    <row r="1234" spans="1:8">
      <c r="A1234" s="550" t="s">
        <v>336</v>
      </c>
      <c r="B1234" t="s">
        <v>337</v>
      </c>
      <c r="H1234" s="549"/>
    </row>
    <row r="1235" spans="1:8">
      <c r="A1235" s="550" t="s">
        <v>338</v>
      </c>
      <c r="B1235" t="s">
        <v>339</v>
      </c>
      <c r="H1235" s="549"/>
    </row>
    <row r="1236" spans="1:8">
      <c r="A1236" s="550" t="s">
        <v>340</v>
      </c>
      <c r="B1236" t="s">
        <v>341</v>
      </c>
      <c r="H1236" s="549"/>
    </row>
    <row r="1237" spans="1:8">
      <c r="A1237" s="550" t="s">
        <v>342</v>
      </c>
      <c r="H1237" s="549"/>
    </row>
    <row r="1238" spans="1:8">
      <c r="A1238" s="549"/>
      <c r="B1238" s="701" t="s">
        <v>343</v>
      </c>
      <c r="C1238" s="701"/>
      <c r="D1238" s="701"/>
      <c r="E1238" s="701"/>
      <c r="F1238" s="701"/>
      <c r="G1238" s="701"/>
    </row>
    <row r="1239" spans="1:8">
      <c r="A1239" s="551"/>
      <c r="B1239" s="552"/>
      <c r="C1239" s="552"/>
      <c r="D1239" s="552"/>
      <c r="E1239" s="552"/>
      <c r="F1239" s="552"/>
      <c r="G1239" s="553"/>
    </row>
    <row r="1242" spans="1:8" s="543" customFormat="1" ht="13.2">
      <c r="A1242" s="546" t="s">
        <v>344</v>
      </c>
      <c r="B1242" s="547"/>
      <c r="C1242" s="547"/>
      <c r="D1242" s="547"/>
      <c r="E1242" s="547"/>
      <c r="F1242" s="547"/>
      <c r="G1242" s="548"/>
    </row>
    <row r="1243" spans="1:8">
      <c r="A1243" s="697" t="s">
        <v>345</v>
      </c>
      <c r="B1243" s="698"/>
      <c r="C1243" s="698"/>
      <c r="D1243" s="698"/>
      <c r="E1243" s="698"/>
      <c r="F1243" s="698"/>
      <c r="G1243" s="699"/>
    </row>
    <row r="1244" spans="1:8">
      <c r="A1244" s="697" t="s">
        <v>346</v>
      </c>
      <c r="B1244" s="698"/>
      <c r="C1244" s="698"/>
      <c r="D1244" s="698"/>
      <c r="E1244" s="698"/>
      <c r="F1244" s="698"/>
      <c r="G1244" s="699"/>
    </row>
    <row r="1245" spans="1:8">
      <c r="A1245" s="697" t="s">
        <v>347</v>
      </c>
      <c r="B1245" s="698"/>
      <c r="C1245" s="698"/>
      <c r="D1245" s="698"/>
      <c r="E1245" s="698"/>
      <c r="F1245" s="698"/>
      <c r="G1245" s="699"/>
    </row>
    <row r="1246" spans="1:8">
      <c r="A1246" s="697" t="s">
        <v>348</v>
      </c>
      <c r="B1246" s="698"/>
      <c r="C1246" s="698"/>
      <c r="D1246" s="698"/>
      <c r="E1246" s="698"/>
      <c r="F1246" s="698"/>
      <c r="G1246" s="699"/>
    </row>
    <row r="1247" spans="1:8">
      <c r="A1247" s="551"/>
      <c r="B1247" s="552"/>
      <c r="C1247" s="552"/>
      <c r="D1247" s="552"/>
      <c r="E1247" s="552"/>
      <c r="F1247" s="552"/>
      <c r="G1247" s="553"/>
    </row>
  </sheetData>
  <mergeCells count="6">
    <mergeCell ref="A1246:G1246"/>
    <mergeCell ref="A1:G1"/>
    <mergeCell ref="B1238:G1238"/>
    <mergeCell ref="A1243:G1243"/>
    <mergeCell ref="A1244:G1244"/>
    <mergeCell ref="A1245:G12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87EA3DE823DC489E44BF4CD2C2AF9F" ma:contentTypeVersion="13" ma:contentTypeDescription="Create a new document." ma:contentTypeScope="" ma:versionID="e879b984efb7d8845ac76bb982758eb6">
  <xsd:schema xmlns:xsd="http://www.w3.org/2001/XMLSchema" xmlns:xs="http://www.w3.org/2001/XMLSchema" xmlns:p="http://schemas.microsoft.com/office/2006/metadata/properties" xmlns:ns3="2834bc84-a818-4cb9-8b4d-5179cfe104eb" xmlns:ns4="543abfbf-1b39-4535-8b1b-c72a4cdaa484" targetNamespace="http://schemas.microsoft.com/office/2006/metadata/properties" ma:root="true" ma:fieldsID="909ff0caaff800a1b0f0de6526a8ae1d" ns3:_="" ns4:_="">
    <xsd:import namespace="2834bc84-a818-4cb9-8b4d-5179cfe104eb"/>
    <xsd:import namespace="543abfbf-1b39-4535-8b1b-c72a4cdaa48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34bc84-a818-4cb9-8b4d-5179cfe104e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43abfbf-1b39-4535-8b1b-c72a4cdaa484"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7DEB81-0817-4402-9072-02328D3680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34bc84-a818-4cb9-8b4d-5179cfe104eb"/>
    <ds:schemaRef ds:uri="543abfbf-1b39-4535-8b1b-c72a4cdaa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FF8167-D5EC-4A2B-880D-ED09D0F2BD71}">
  <ds:schemaRefs>
    <ds:schemaRef ds:uri="http://schemas.microsoft.com/sharepoint/v3/contenttype/forms"/>
  </ds:schemaRefs>
</ds:datastoreItem>
</file>

<file path=customXml/itemProps3.xml><?xml version="1.0" encoding="utf-8"?>
<ds:datastoreItem xmlns:ds="http://schemas.openxmlformats.org/officeDocument/2006/customXml" ds:itemID="{46A430DA-602E-4B07-AA2A-7CF66FE278E2}">
  <ds:schemaRefs>
    <ds:schemaRef ds:uri="http://purl.org/dc/elements/1.1/"/>
    <ds:schemaRef ds:uri="http://schemas.microsoft.com/office/2006/metadata/properties"/>
    <ds:schemaRef ds:uri="http://purl.org/dc/terms/"/>
    <ds:schemaRef ds:uri="http://schemas.openxmlformats.org/package/2006/metadata/core-properties"/>
    <ds:schemaRef ds:uri="2834bc84-a818-4cb9-8b4d-5179cfe104eb"/>
    <ds:schemaRef ds:uri="http://schemas.microsoft.com/office/2006/documentManagement/types"/>
    <ds:schemaRef ds:uri="http://schemas.microsoft.com/office/infopath/2007/PartnerControls"/>
    <ds:schemaRef ds:uri="543abfbf-1b39-4535-8b1b-c72a4cdaa48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35</vt:i4>
      </vt:variant>
    </vt:vector>
  </HeadingPairs>
  <TitlesOfParts>
    <vt:vector size="61" baseType="lpstr">
      <vt:lpstr>Introduction</vt:lpstr>
      <vt:lpstr>1 - Program administration</vt:lpstr>
      <vt:lpstr>2 - Identification-record</vt:lpstr>
      <vt:lpstr>3.0. Group formation</vt:lpstr>
      <vt:lpstr>3.1. Coaching implementation</vt:lpstr>
      <vt:lpstr>3.2.Implementation awareness</vt:lpstr>
      <vt:lpstr>3.3.Implementation AVEC</vt:lpstr>
      <vt:lpstr>3.4. Implementation ACV</vt:lpstr>
      <vt:lpstr>3.5. Implementation Germe</vt:lpstr>
      <vt:lpstr>3.6 Implementation Cap Inj.</vt:lpstr>
      <vt:lpstr>3.7. Implementation of market a</vt:lpstr>
      <vt:lpstr>4.1 CBA (FR)</vt:lpstr>
      <vt:lpstr>4.1 CBA (ed7)</vt:lpstr>
      <vt:lpstr>4.1 CBA (yr HH)</vt:lpstr>
      <vt:lpstr>4.1 CBA_smooth</vt:lpstr>
      <vt:lpstr>4.1 CBA_smooth (si27)</vt:lpstr>
      <vt:lpstr>4.1 CBA_smooth (t_a25) (2)</vt:lpstr>
      <vt:lpstr>4.1.1 smooth cashflow</vt:lpstr>
      <vt:lpstr>4.2 IRR_Calc</vt:lpstr>
      <vt:lpstr>4.2.1 IRR_calc solve</vt:lpstr>
      <vt:lpstr>4.2 IRR_Calc_smooth</vt:lpstr>
      <vt:lpstr>4.2 IRR_Calc_smooth (2)</vt:lpstr>
      <vt:lpstr>4.2.2 pay_back</vt:lpstr>
      <vt:lpstr>4.3 Disc</vt:lpstr>
      <vt:lpstr>5.0 Psych cost</vt:lpstr>
      <vt:lpstr>USDtoEuro</vt:lpstr>
      <vt:lpstr>adultperhh_fu1</vt:lpstr>
      <vt:lpstr>adultperhh_fu2</vt:lpstr>
      <vt:lpstr>conv_ppp_2016</vt:lpstr>
      <vt:lpstr>conv_ppp_2017</vt:lpstr>
      <vt:lpstr>conv_ppp_2018</vt:lpstr>
      <vt:lpstr>conv_ppp_2019</vt:lpstr>
      <vt:lpstr>CPI_16_USD</vt:lpstr>
      <vt:lpstr>CPI_17_USD</vt:lpstr>
      <vt:lpstr>CPI_18_USD</vt:lpstr>
      <vt:lpstr>CPI_19_USD</vt:lpstr>
      <vt:lpstr>CPI_2016</vt:lpstr>
      <vt:lpstr>CPI_2017</vt:lpstr>
      <vt:lpstr>CPI_2018</vt:lpstr>
      <vt:lpstr>CPI_2019</vt:lpstr>
      <vt:lpstr>CPI_2020</vt:lpstr>
      <vt:lpstr>disc10</vt:lpstr>
      <vt:lpstr>disc5</vt:lpstr>
      <vt:lpstr>disc7</vt:lpstr>
      <vt:lpstr>p_10</vt:lpstr>
      <vt:lpstr>p_5</vt:lpstr>
      <vt:lpstr>p_7</vt:lpstr>
      <vt:lpstr>Tab_1_Total</vt:lpstr>
      <vt:lpstr>Tab_1_Total_Local</vt:lpstr>
      <vt:lpstr>Tab_2_Total</vt:lpstr>
      <vt:lpstr>Tab_2_Total_Local</vt:lpstr>
      <vt:lpstr>'3.2.Implementation awareness'!Tab_4_Total</vt:lpstr>
      <vt:lpstr>'3.4. Implementation ACV'!Tab_4_Total</vt:lpstr>
      <vt:lpstr>'3.5. Implementation Germe'!Tab_4_Total</vt:lpstr>
      <vt:lpstr>'3.6 Implementation Cap Inj.'!Tab_4_Total</vt:lpstr>
      <vt:lpstr>'3.7. Implementation of market a'!Tab_4_Total</vt:lpstr>
      <vt:lpstr>'3.2.Implementation awareness'!Tab_4_Total_Local</vt:lpstr>
      <vt:lpstr>'3.4. Implementation ACV'!Tab_4_Total_Local</vt:lpstr>
      <vt:lpstr>'3.5. Implementation Germe'!Tab_4_Total_Local</vt:lpstr>
      <vt:lpstr>'3.6 Implementation Cap Inj.'!Tab_4_Total_Local</vt:lpstr>
      <vt:lpstr>'3.7. Implementation of market a'!Tab_4_Total_Local</vt:lpstr>
    </vt:vector>
  </TitlesOfParts>
  <Company>Cornerstone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Jarus</dc:creator>
  <cp:lastModifiedBy>YKashlan</cp:lastModifiedBy>
  <cp:lastPrinted>2021-12-08T21:05:44Z</cp:lastPrinted>
  <dcterms:created xsi:type="dcterms:W3CDTF">2013-10-02T01:22:28Z</dcterms:created>
  <dcterms:modified xsi:type="dcterms:W3CDTF">2022-02-18T22:44:50Z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0x0101007787EA3DE823DC489E44BF4CD2C2AF9F</vt:lpwstr>
  </property>
</Properties>
</file>