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"/>
    </mc:Choice>
  </mc:AlternateContent>
  <bookViews>
    <workbookView xWindow="0" yWindow="0" windowWidth="15345" windowHeight="10605"/>
  </bookViews>
  <sheets>
    <sheet name="테이블 설명" sheetId="1" r:id="rId1"/>
    <sheet name="StUp" sheetId="2" r:id="rId2"/>
    <sheet name="LvStUp" sheetId="3" r:id="rId3"/>
    <sheet name="Class" sheetId="4" r:id="rId4"/>
    <sheet name="Exp" sheetId="5" r:id="rId5"/>
    <sheet name="Stage" sheetId="6" r:id="rId6"/>
    <sheet name="Wave" sheetId="7" r:id="rId7"/>
    <sheet name="Spawn" sheetId="8" r:id="rId8"/>
    <sheet name="Risk" sheetId="9" r:id="rId9"/>
    <sheet name="monster" sheetId="10" r:id="rId10"/>
    <sheet name="projectile" sheetId="11" r:id="rId11"/>
    <sheet name="skill" sheetId="12" r:id="rId12"/>
    <sheet name="Effect" sheetId="13" r:id="rId13"/>
  </sheets>
  <calcPr calcId="162913"/>
  <extLst>
    <ext uri="GoogleSheetsCustomDataVersion2">
      <go:sheetsCustomData xmlns:go="http://customooxmlschemas.google.com/" r:id="rId17" roundtripDataChecksum="L2E8g8yL/q16RNak+gXgI2m11fnYlT+H3dLpQhWVDWg="/>
    </ext>
  </extLst>
</workbook>
</file>

<file path=xl/calcChain.xml><?xml version="1.0" encoding="utf-8"?>
<calcChain xmlns="http://schemas.openxmlformats.org/spreadsheetml/2006/main">
  <c r="I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1" i="1"/>
  <c r="A42" i="1"/>
  <c r="A43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3" i="1"/>
  <c r="A114" i="1"/>
  <c r="A115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7" i="1"/>
  <c r="A138" i="1"/>
  <c r="A2" i="1"/>
  <c r="M41" i="12"/>
  <c r="M40" i="12"/>
  <c r="M39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C9" i="10"/>
  <c r="E9" i="10" s="1"/>
  <c r="E8" i="10"/>
  <c r="C8" i="10"/>
  <c r="D8" i="10" s="1"/>
  <c r="D7" i="10"/>
  <c r="C7" i="10"/>
  <c r="E7" i="10" s="1"/>
  <c r="D6" i="10"/>
  <c r="C6" i="10"/>
  <c r="E6" i="10" s="1"/>
  <c r="D5" i="10"/>
  <c r="C5" i="10"/>
  <c r="E5" i="10" s="1"/>
  <c r="E4" i="10"/>
  <c r="D4" i="10"/>
  <c r="C4" i="10"/>
  <c r="E3" i="10"/>
  <c r="D3" i="10"/>
  <c r="C3" i="10"/>
  <c r="C2" i="10"/>
  <c r="E2" i="10" s="1"/>
  <c r="K7" i="7"/>
  <c r="N6" i="7"/>
  <c r="M6" i="7"/>
  <c r="L6" i="7"/>
  <c r="K6" i="7"/>
  <c r="N5" i="7"/>
  <c r="M5" i="7"/>
  <c r="L5" i="7"/>
  <c r="K5" i="7"/>
  <c r="N4" i="7"/>
  <c r="M4" i="7"/>
  <c r="L4" i="7"/>
  <c r="K4" i="7"/>
  <c r="N3" i="7"/>
  <c r="M3" i="7"/>
  <c r="L3" i="7"/>
  <c r="K3" i="7"/>
  <c r="N2" i="7"/>
  <c r="M2" i="7"/>
  <c r="L2" i="7"/>
  <c r="K2" i="7"/>
  <c r="B26" i="5"/>
  <c r="B41" i="5" s="1"/>
  <c r="B10" i="5"/>
  <c r="B11" i="5" s="1"/>
  <c r="B9" i="5"/>
  <c r="B8" i="5"/>
  <c r="B7" i="5"/>
  <c r="B6" i="5"/>
  <c r="B5" i="5"/>
  <c r="B4" i="5"/>
  <c r="B3" i="5"/>
  <c r="C27" i="2"/>
  <c r="C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A40" i="1" l="1"/>
  <c r="B27" i="5"/>
  <c r="B35" i="5"/>
  <c r="B43" i="5"/>
  <c r="D9" i="10"/>
  <c r="B12" i="5"/>
  <c r="B28" i="5"/>
  <c r="B36" i="5"/>
  <c r="B44" i="5"/>
  <c r="B13" i="5"/>
  <c r="B29" i="5"/>
  <c r="B37" i="5"/>
  <c r="B45" i="5"/>
  <c r="B14" i="5"/>
  <c r="B30" i="5"/>
  <c r="B38" i="5"/>
  <c r="B46" i="5"/>
  <c r="B47" i="5" s="1"/>
  <c r="B48" i="5" s="1"/>
  <c r="B49" i="5" s="1"/>
  <c r="D2" i="10"/>
  <c r="B42" i="5"/>
  <c r="B15" i="5"/>
  <c r="B31" i="5"/>
  <c r="B39" i="5"/>
  <c r="B34" i="5"/>
  <c r="B16" i="5"/>
  <c r="B19" i="5" s="1"/>
  <c r="B32" i="5"/>
  <c r="B40" i="5"/>
  <c r="B33" i="5"/>
  <c r="A44" i="1" l="1"/>
  <c r="A53" i="1"/>
  <c r="B20" i="5"/>
  <c r="B57" i="5"/>
  <c r="B56" i="5"/>
  <c r="B55" i="5"/>
  <c r="B54" i="5"/>
  <c r="B53" i="5"/>
  <c r="B58" i="5"/>
  <c r="B52" i="5"/>
  <c r="B59" i="5"/>
  <c r="B51" i="5"/>
  <c r="B50" i="5"/>
  <c r="B21" i="5"/>
  <c r="B18" i="5"/>
  <c r="B17" i="5"/>
  <c r="A69" i="1" l="1"/>
  <c r="A77" i="1" s="1"/>
  <c r="B23" i="5"/>
  <c r="B22" i="5"/>
  <c r="B25" i="5"/>
  <c r="B24" i="5"/>
  <c r="B65" i="5"/>
  <c r="B66" i="5"/>
  <c r="B64" i="5"/>
  <c r="B63" i="5"/>
  <c r="B62" i="5"/>
  <c r="B69" i="5"/>
  <c r="B61" i="5"/>
  <c r="B68" i="5"/>
  <c r="B60" i="5"/>
  <c r="B67" i="5"/>
  <c r="A92" i="1" l="1"/>
  <c r="B73" i="5"/>
  <c r="B72" i="5"/>
  <c r="B74" i="5"/>
  <c r="B71" i="5"/>
  <c r="B70" i="5"/>
  <c r="B76" i="5"/>
  <c r="B75" i="5"/>
  <c r="A112" i="1" l="1"/>
  <c r="A136" i="1" s="1"/>
  <c r="A116" i="1"/>
  <c r="B81" i="5"/>
  <c r="B80" i="5"/>
  <c r="B79" i="5"/>
  <c r="B78" i="5"/>
  <c r="B77" i="5"/>
  <c r="B84" i="5"/>
  <c r="B82" i="5"/>
  <c r="B83" i="5"/>
  <c r="B89" i="5" l="1"/>
  <c r="B88" i="5"/>
  <c r="B87" i="5"/>
  <c r="B86" i="5"/>
  <c r="B85" i="5"/>
  <c r="B90" i="5"/>
  <c r="B92" i="5"/>
  <c r="B91" i="5"/>
  <c r="B97" i="5" l="1"/>
  <c r="B96" i="5"/>
  <c r="B95" i="5"/>
  <c r="B98" i="5"/>
  <c r="B94" i="5"/>
  <c r="B93" i="5"/>
  <c r="B100" i="5"/>
  <c r="B99" i="5"/>
  <c r="B105" i="5" l="1"/>
  <c r="B104" i="5"/>
  <c r="B103" i="5"/>
  <c r="B102" i="5"/>
  <c r="B101" i="5"/>
  <c r="B108" i="5"/>
  <c r="B107" i="5"/>
  <c r="B106" i="5"/>
  <c r="B113" i="5" l="1"/>
  <c r="B114" i="5"/>
  <c r="B112" i="5"/>
  <c r="B111" i="5"/>
  <c r="B110" i="5"/>
  <c r="B109" i="5"/>
  <c r="B116" i="5"/>
  <c r="B115" i="5"/>
  <c r="B121" i="5" l="1"/>
  <c r="B120" i="5"/>
  <c r="B119" i="5"/>
  <c r="B118" i="5"/>
  <c r="B117" i="5"/>
  <c r="B122" i="5"/>
  <c r="B124" i="5"/>
  <c r="B123" i="5"/>
  <c r="B129" i="5" l="1"/>
  <c r="B128" i="5"/>
  <c r="B130" i="5"/>
  <c r="B127" i="5"/>
  <c r="B126" i="5"/>
  <c r="B125" i="5"/>
  <c r="B135" i="5" l="1"/>
  <c r="B134" i="5"/>
  <c r="B133" i="5"/>
  <c r="B132" i="5"/>
  <c r="B131" i="5"/>
  <c r="B137" i="5" l="1"/>
  <c r="B136" i="5"/>
  <c r="B140" i="5"/>
  <c r="B138" i="5"/>
  <c r="B139" i="5"/>
  <c r="B145" i="5" l="1"/>
  <c r="B144" i="5"/>
  <c r="B143" i="5"/>
  <c r="B142" i="5"/>
  <c r="B141" i="5"/>
  <c r="B151" i="5" l="1"/>
  <c r="B150" i="5"/>
  <c r="B149" i="5"/>
  <c r="B146" i="5"/>
  <c r="B148" i="5"/>
  <c r="B147" i="5"/>
</calcChain>
</file>

<file path=xl/sharedStrings.xml><?xml version="1.0" encoding="utf-8"?>
<sst xmlns="http://schemas.openxmlformats.org/spreadsheetml/2006/main" count="542" uniqueCount="250">
  <si>
    <t>StUP.tbl</t>
  </si>
  <si>
    <t>startLv</t>
  </si>
  <si>
    <t>int</t>
  </si>
  <si>
    <t>강화 시작 레벨</t>
  </si>
  <si>
    <t>upPrb</t>
  </si>
  <si>
    <t>float</t>
  </si>
  <si>
    <t>성공 확률</t>
  </si>
  <si>
    <t>useWon</t>
  </si>
  <si>
    <t>강화 시도 비용</t>
  </si>
  <si>
    <t>upMaxHp</t>
  </si>
  <si>
    <t>최대 체력 상승량</t>
  </si>
  <si>
    <t>upAtkPwr</t>
  </si>
  <si>
    <t>공격력 상승량</t>
  </si>
  <si>
    <t>upCriPrb</t>
  </si>
  <si>
    <t>치명타 확률 상승량</t>
  </si>
  <si>
    <t>upCriDmg</t>
  </si>
  <si>
    <t>치명타 데미지 상승량</t>
  </si>
  <si>
    <t>upHpRcv</t>
  </si>
  <si>
    <t>초당 체력 회복량 상승량</t>
  </si>
  <si>
    <t>upCdnPct</t>
  </si>
  <si>
    <t>스킬 쿨타임 감소율 상승량</t>
  </si>
  <si>
    <t>LvStUp.tbl</t>
  </si>
  <si>
    <t>maxHp</t>
  </si>
  <si>
    <t>레벨업 시 증가하는 최대 체력 값</t>
  </si>
  <si>
    <t>atkPwr</t>
  </si>
  <si>
    <t>레벨업 시 증가하는 공격력 값</t>
  </si>
  <si>
    <t>criPrb</t>
  </si>
  <si>
    <t>5레벨부터 적용, 10레벨 증가할 때 증가하는 치명타 확률 값</t>
  </si>
  <si>
    <t>criDmg</t>
  </si>
  <si>
    <t>5레벨부터 적용, 10레벨 증가할 때 증가하는 치명타 데미지 값</t>
  </si>
  <si>
    <t>hpRcv</t>
  </si>
  <si>
    <t>레벨업 시 증가하는 초당 체력 회복량 값</t>
  </si>
  <si>
    <t>cdnPct</t>
  </si>
  <si>
    <t>5레벨부터 적용, 10레벨 증가할 때 증가하는 스킬 쿨타임 감소율 값</t>
  </si>
  <si>
    <t>Class.tbl</t>
  </si>
  <si>
    <t>id</t>
  </si>
  <si>
    <t>className</t>
  </si>
  <si>
    <t>string</t>
  </si>
  <si>
    <t>클래스 이름</t>
  </si>
  <si>
    <t>생성 시 최대 체력</t>
  </si>
  <si>
    <t>생성 시 공격력</t>
  </si>
  <si>
    <t>생성 시 치명타 확률</t>
  </si>
  <si>
    <t>생성 시 치명타 데미지</t>
  </si>
  <si>
    <t>생성 시 초당 체력 회복량</t>
  </si>
  <si>
    <t>생성 시 스킬 쿨타임 감소율</t>
  </si>
  <si>
    <t>gotDmg</t>
  </si>
  <si>
    <t>생성 시 받는 피해량</t>
  </si>
  <si>
    <t>moveSpeed</t>
  </si>
  <si>
    <t>생성 시 이동 속도</t>
  </si>
  <si>
    <t>skill_01</t>
  </si>
  <si>
    <t>Skill.tbl의 id 참조</t>
  </si>
  <si>
    <t>skill_02</t>
  </si>
  <si>
    <t>skill_03</t>
  </si>
  <si>
    <t>skill_04</t>
  </si>
  <si>
    <t>skill_05</t>
  </si>
  <si>
    <t>skill_06</t>
  </si>
  <si>
    <t>skill_07</t>
  </si>
  <si>
    <t>skill_08</t>
  </si>
  <si>
    <t>Exp.tbl</t>
  </si>
  <si>
    <t>lv</t>
  </si>
  <si>
    <t>현재 레벨</t>
  </si>
  <si>
    <t>curExp</t>
  </si>
  <si>
    <t>다음 레벨로 레벨업하기 위해 필요한 경험치량</t>
  </si>
  <si>
    <t>Stage.tbl</t>
  </si>
  <si>
    <t>waveId_01</t>
  </si>
  <si>
    <t>Wave.tbl의 id 참조</t>
  </si>
  <si>
    <t>waveId_02</t>
  </si>
  <si>
    <t>waveId_03</t>
  </si>
  <si>
    <t>waveId_04</t>
  </si>
  <si>
    <t>waveId_05</t>
  </si>
  <si>
    <t>waveId_06</t>
  </si>
  <si>
    <t>Wave.tbl</t>
  </si>
  <si>
    <t>waveType</t>
  </si>
  <si>
    <t>웨이브 종류 : 1 = 일반, 2 = 중간 보스전, 3 = 보스전</t>
  </si>
  <si>
    <t>monId_01</t>
  </si>
  <si>
    <t>일반 몬스터 종류 : 중간 보스전에서도 나오게 하려고 함. Monster.tbl의 id 참조</t>
  </si>
  <si>
    <t>monId_02</t>
  </si>
  <si>
    <t>Monster.tbl의 id 참조</t>
  </si>
  <si>
    <t>monId_03</t>
  </si>
  <si>
    <t>monId_04</t>
  </si>
  <si>
    <t>monId_05</t>
  </si>
  <si>
    <t>monId_06</t>
  </si>
  <si>
    <t>specialMonId_01</t>
  </si>
  <si>
    <t>waveType이 1이 아닐 때 사용. 2일 경우 중간 보스의 ID 입력. 3일 경우 보스 ID 입력</t>
  </si>
  <si>
    <t>specialMonId_02</t>
  </si>
  <si>
    <t>spawn_01</t>
  </si>
  <si>
    <t>Spawn.tbl의 id 참조</t>
  </si>
  <si>
    <t>spawn_02</t>
  </si>
  <si>
    <t>spawn_03</t>
  </si>
  <si>
    <t>spawn_04</t>
  </si>
  <si>
    <t>Spawn.tbl</t>
  </si>
  <si>
    <t>monNum_01</t>
  </si>
  <si>
    <t>근거리 몬스터 총 생성 수</t>
  </si>
  <si>
    <t>monNum_02</t>
  </si>
  <si>
    <t>원거리 몬스터 총 생성 수</t>
  </si>
  <si>
    <t>monNum_03</t>
  </si>
  <si>
    <t>구조물 몬스터 총 생성 수</t>
  </si>
  <si>
    <t>monNum_04</t>
  </si>
  <si>
    <t>엘리트 몬스터 총 생성 수</t>
  </si>
  <si>
    <t>monNum_05</t>
  </si>
  <si>
    <t>보스 몬스터 총 생성 수</t>
  </si>
  <si>
    <t>Risk.tbl</t>
  </si>
  <si>
    <t>name</t>
  </si>
  <si>
    <t>리스크 명칭</t>
  </si>
  <si>
    <t>curHp</t>
  </si>
  <si>
    <t>현재 체력 영향 배율</t>
  </si>
  <si>
    <t>최대 체력 영향 배율</t>
  </si>
  <si>
    <t>공격력 영향 배율</t>
  </si>
  <si>
    <t>이동 속도 영향 배율</t>
  </si>
  <si>
    <t>치명타 확률 영향 배율</t>
  </si>
  <si>
    <t>치명타 데미지 영향 배율</t>
  </si>
  <si>
    <t>받는 피해량 영향 배율</t>
  </si>
  <si>
    <t>초당 체력 회복량 영향 배율</t>
  </si>
  <si>
    <t>스킬 쿨타임 감소율 영향 배율</t>
  </si>
  <si>
    <t>rmnRnd</t>
  </si>
  <si>
    <t>지속되는 리스크 여부</t>
  </si>
  <si>
    <t>wonScale</t>
  </si>
  <si>
    <t>재화 배율</t>
  </si>
  <si>
    <t>Monster.tbl</t>
  </si>
  <si>
    <t>몬스터 명칭</t>
  </si>
  <si>
    <t>monType</t>
  </si>
  <si>
    <t>몬스터 타입. 1=근거리, 2=원거리, 3=구조물, 4=엘리트, 5=보스</t>
  </si>
  <si>
    <t>projectile_01</t>
  </si>
  <si>
    <t>몬스터의 공격에 사용되는 투사체. Projectile.tbl에서 id 참조</t>
  </si>
  <si>
    <t>projectile_02</t>
  </si>
  <si>
    <t>giveWon</t>
  </si>
  <si>
    <t>몬스터를 죽였을 때 플레이어가 획득하는 재화량</t>
  </si>
  <si>
    <t>giveExp</t>
  </si>
  <si>
    <t>몬스터를 죽였을 때 플레이어가 획득하는 경험치량</t>
  </si>
  <si>
    <t>MaxHp</t>
  </si>
  <si>
    <t>몬스터 생성 시 최대 체력</t>
  </si>
  <si>
    <t>atkPower</t>
  </si>
  <si>
    <t>몬스터의 공격력</t>
  </si>
  <si>
    <t>몬스터의 이동 속도</t>
  </si>
  <si>
    <t>useSkill_01</t>
  </si>
  <si>
    <t>몬스터가 사용하는 스킬. Skill.tbl에서 id 참조</t>
  </si>
  <si>
    <t>useSkill_02</t>
  </si>
  <si>
    <t>useSkill_03</t>
  </si>
  <si>
    <t>useSkill_04</t>
  </si>
  <si>
    <t>useSkill_05</t>
  </si>
  <si>
    <t>useSkill_06</t>
  </si>
  <si>
    <t>useSkill_07</t>
  </si>
  <si>
    <t>useSkill_08</t>
  </si>
  <si>
    <t>Projectile.tbl</t>
  </si>
  <si>
    <t>투사체 명칭</t>
  </si>
  <si>
    <t>Skill.tbl</t>
  </si>
  <si>
    <t>skillName</t>
  </si>
  <si>
    <t>스킬 명칭</t>
  </si>
  <si>
    <t>skillEffect_01</t>
  </si>
  <si>
    <t>Effect.tbl의 id 참조</t>
  </si>
  <si>
    <t>skillEffect_02</t>
  </si>
  <si>
    <t>stiffTime</t>
  </si>
  <si>
    <t>skillEffect=1일 때 사용. 경직 적용 시간</t>
  </si>
  <si>
    <t>stunTime</t>
  </si>
  <si>
    <t>skillEffect=2일 때 사용. 스턴 적용 시간</t>
  </si>
  <si>
    <t>dotTime</t>
  </si>
  <si>
    <t>skillEffect=4일 때 사용. Dot 적용 시간</t>
  </si>
  <si>
    <t>dotPeriod</t>
  </si>
  <si>
    <t>skillEffect=4일 때 사용. Dot 처리 주기</t>
  </si>
  <si>
    <t>dotDmgPct</t>
  </si>
  <si>
    <t>skillEffect=4일 때 사용. 1틱 당 데미지</t>
  </si>
  <si>
    <t>slowTime</t>
  </si>
  <si>
    <t>skillEffect=5일 때 사용. 슬로우 적용 시간</t>
  </si>
  <si>
    <t>slowPct</t>
  </si>
  <si>
    <t>skillEffect=5일 때 사용. 슬로우 퍼센트</t>
  </si>
  <si>
    <t>skillCool</t>
  </si>
  <si>
    <t>스킬 쿨타임</t>
  </si>
  <si>
    <t>skillTime</t>
  </si>
  <si>
    <t>스킬 시전 시간</t>
  </si>
  <si>
    <t>dmgPct_01</t>
  </si>
  <si>
    <t>스킬 데미지 퍼센트</t>
  </si>
  <si>
    <t>dmgPct_02</t>
  </si>
  <si>
    <t>스킬 데미지 퍼센트. 여러 타수의 공격 등에 사용</t>
  </si>
  <si>
    <t>dmgPct_03</t>
  </si>
  <si>
    <t>dmgPct_04</t>
  </si>
  <si>
    <t>dmgPct_05</t>
  </si>
  <si>
    <t>Effect.tbl</t>
  </si>
  <si>
    <t>effectName</t>
  </si>
  <si>
    <t>스킬 효과 명칭</t>
  </si>
  <si>
    <t>swordsMan</t>
  </si>
  <si>
    <t>destroyer</t>
  </si>
  <si>
    <t>mage</t>
  </si>
  <si>
    <t>healer</t>
  </si>
  <si>
    <r>
      <rPr>
        <sz val="11"/>
        <color theme="1"/>
        <rFont val="Malgun Gothic"/>
        <family val="3"/>
        <charset val="129"/>
      </rPr>
      <t>c</t>
    </r>
    <r>
      <rPr>
        <sz val="11"/>
        <color theme="1"/>
        <rFont val="맑은 고딕"/>
        <family val="3"/>
        <charset val="129"/>
      </rPr>
      <t>urExp</t>
    </r>
  </si>
  <si>
    <t>riskHpRcvOne</t>
  </si>
  <si>
    <t>riskGotDmgOne</t>
  </si>
  <si>
    <t>riskCdnPctOne</t>
  </si>
  <si>
    <t>dsGeunOne</t>
  </si>
  <si>
    <t>dsGeunTwo</t>
  </si>
  <si>
    <t>dsGeunThree</t>
  </si>
  <si>
    <t>dsWonOne</t>
  </si>
  <si>
    <t>dsWonTwo</t>
  </si>
  <si>
    <t>dsGuOne</t>
  </si>
  <si>
    <t>dsEliteOne</t>
  </si>
  <si>
    <t>dsKingJinGwang</t>
  </si>
  <si>
    <t>RangeSpearBullet</t>
  </si>
  <si>
    <t>RangeFireBullet</t>
  </si>
  <si>
    <t>EliteSkillBObj</t>
  </si>
  <si>
    <t>BossSkillDObj</t>
  </si>
  <si>
    <t>BossSkillEObject</t>
  </si>
  <si>
    <t>warNorAtkOn</t>
  </si>
  <si>
    <t>warNorAtkTw</t>
  </si>
  <si>
    <t>warNorAtkTh</t>
  </si>
  <si>
    <t>warWskill</t>
  </si>
  <si>
    <t>warEskill</t>
  </si>
  <si>
    <t>warRskill</t>
  </si>
  <si>
    <t>warTskill</t>
  </si>
  <si>
    <t>dtrNorAtkOn</t>
  </si>
  <si>
    <t>dtrNorAtkTw</t>
  </si>
  <si>
    <t>dtrNorAtkTh</t>
  </si>
  <si>
    <t>dtrNorAtkFo</t>
  </si>
  <si>
    <t>dtrWskill</t>
  </si>
  <si>
    <t>dtrEskill</t>
  </si>
  <si>
    <t>dtrRskill</t>
  </si>
  <si>
    <t>dtrTskill</t>
  </si>
  <si>
    <t>mgeNorAtkOn</t>
  </si>
  <si>
    <t>mgeNorAtkTw</t>
  </si>
  <si>
    <t>mgeNorAtkTh</t>
  </si>
  <si>
    <t>mgeWskill</t>
  </si>
  <si>
    <t>mgeEskill</t>
  </si>
  <si>
    <t>mgeRskill</t>
  </si>
  <si>
    <t>mgeTskill</t>
  </si>
  <si>
    <t>hlrNorAtkOn</t>
  </si>
  <si>
    <t>hlrNorAtkTw</t>
  </si>
  <si>
    <t>hlrNorAtkTh</t>
  </si>
  <si>
    <t>hlrWskill</t>
  </si>
  <si>
    <t>hlrEskill</t>
  </si>
  <si>
    <t>hlrRskill</t>
  </si>
  <si>
    <t>hlrTskill</t>
  </si>
  <si>
    <t>dsGOneNorAtk</t>
  </si>
  <si>
    <t>dsGTwoNorAtk</t>
  </si>
  <si>
    <t>dsGThreeNorAtk</t>
  </si>
  <si>
    <t>dsWOneNorAtk</t>
  </si>
  <si>
    <t>dsWTwoNorAtk</t>
  </si>
  <si>
    <t>dsEliteOnePwAtk</t>
  </si>
  <si>
    <t>bladeLilAura</t>
  </si>
  <si>
    <t>tcdThrowing</t>
  </si>
  <si>
    <t>JinGwangNorAtk</t>
  </si>
  <si>
    <t>JinGwangPwAtk</t>
  </si>
  <si>
    <t>swordSummon</t>
  </si>
  <si>
    <t>bladeAura</t>
  </si>
  <si>
    <t>ecdThrowing</t>
  </si>
  <si>
    <t>grenade</t>
  </si>
  <si>
    <t>hardBodyAtk</t>
  </si>
  <si>
    <t>teleportAtk</t>
  </si>
  <si>
    <t>stiff</t>
  </si>
  <si>
    <t>stun</t>
  </si>
  <si>
    <t>airborne</t>
  </si>
  <si>
    <t>dot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</si>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</sst>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-* #,##0_-;\-* #,##0_-;_-* &quot;-&quot;_-;_-@"/>
    <numFmt numFmtId="177" formatCode="000"/>
  </numFmts>
  <fonts count="5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scheme val="minor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1" xfId="0" applyFont="1" applyFill="1" applyBorder="1"/>
    <xf numFmtId="176" fontId="1" fillId="0" borderId="0" xfId="0" applyNumberFormat="1" applyFont="1"/>
    <xf numFmtId="177" fontId="1" fillId="0" borderId="0" xfId="0" applyNumberFormat="1" applyFont="1" applyAlignment="1">
      <alignment vertical="center"/>
    </xf>
  </cellXfs>
  <cellStyles count="1">
    <cellStyle name="표준" xfId="0" builtinId="0"/>
  </cellStyles>
  <dxfs count="19"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tabSelected="1" workbookViewId="0">
      <selection activeCell="D5" sqref="D5"/>
    </sheetView>
  </sheetViews>
  <sheetFormatPr defaultColWidth="14.42578125" defaultRowHeight="15" customHeight="1"/>
  <cols>
    <col min="1" max="2" width="7.5703125" customWidth="1"/>
    <col min="3" max="3" width="11.42578125" customWidth="1"/>
    <col min="4" max="6" width="7.5703125" customWidth="1"/>
    <col min="7" max="7" width="12.5703125" customWidth="1"/>
    <col min="8" max="8" width="39.42578125" customWidth="1"/>
    <col min="9" max="9" width="24.140625" bestFit="1" customWidth="1"/>
    <col min="10" max="13" width="12.5703125" customWidth="1"/>
  </cols>
  <sheetData>
    <row r="1" spans="1:13" ht="16.5" customHeight="1">
      <c r="A1" s="1">
        <v>1</v>
      </c>
      <c r="B1" s="1" t="s">
        <v>0</v>
      </c>
      <c r="C1" s="1"/>
      <c r="D1" s="1"/>
      <c r="E1" s="1"/>
      <c r="F1" s="1"/>
      <c r="G1" s="1"/>
      <c r="H1" s="1"/>
      <c r="I1" s="1" t="str">
        <f>IF(ISBLANK(B1),IF(ISBLANK(C1),"}","public "&amp;D1 &amp;C1&amp;";"),"public class"&amp;" "&amp;SUBSTITUTE(B1,".tbl","Data")&amp;"{")</f>
        <v>public class StUPData{</v>
      </c>
      <c r="J1" s="1"/>
      <c r="K1" s="1"/>
      <c r="L1" s="1"/>
      <c r="M1" s="1"/>
    </row>
    <row r="2" spans="1:13" ht="16.5" customHeight="1">
      <c r="A2" s="1" t="str">
        <f>IF(ISBLANK(B2),"",MAX($A$1:A1)+1)</f>
        <v/>
      </c>
      <c r="B2" s="1"/>
      <c r="C2" s="2" t="s">
        <v>1</v>
      </c>
      <c r="D2" s="1" t="s">
        <v>2</v>
      </c>
      <c r="E2" s="1" t="s">
        <v>3</v>
      </c>
      <c r="F2" s="1"/>
      <c r="G2" s="1"/>
      <c r="H2" s="1"/>
      <c r="I2" s="3" t="str">
        <f>IF(ISBLANK(B2),IF(ISBLANK(C2),"}","public "&amp;D2 &amp;C2&amp;"; //"&amp;" "&amp;E2),"public class"&amp;" "&amp;SUBSTITUTE(B2,".tbl","Data")&amp;"{")</f>
        <v>public intstartLv; // 강화 시작 레벨</v>
      </c>
      <c r="J2" s="1"/>
      <c r="K2" s="1"/>
      <c r="L2" s="1"/>
      <c r="M2" s="1"/>
    </row>
    <row r="3" spans="1:13" ht="16.5" customHeight="1">
      <c r="A3" s="3" t="str">
        <f>IF(ISBLANK(B3),"",MAX($A$1:A2)+1)</f>
        <v/>
      </c>
      <c r="B3" s="1"/>
      <c r="C3" s="2" t="s">
        <v>4</v>
      </c>
      <c r="D3" s="1" t="s">
        <v>5</v>
      </c>
      <c r="E3" s="1" t="s">
        <v>6</v>
      </c>
      <c r="F3" s="1"/>
      <c r="G3" s="1"/>
      <c r="H3" s="1"/>
      <c r="I3" s="3" t="str">
        <f t="shared" ref="I3:I66" si="0">IF(ISBLANK(B3),IF(ISBLANK(C3),"}","public "&amp;D3 &amp;C3&amp;"; //"&amp;" "&amp;E3),"public class"&amp;" "&amp;SUBSTITUTE(B3,".tbl","Data")&amp;"{")</f>
        <v>public floatupPrb; // 성공 확률</v>
      </c>
      <c r="J3" s="1"/>
      <c r="K3" s="1"/>
      <c r="L3" s="1"/>
      <c r="M3" s="1"/>
    </row>
    <row r="4" spans="1:13" ht="16.5" customHeight="1">
      <c r="A4" s="3" t="str">
        <f>IF(ISBLANK(B4),"",MAX($A$1:A3)+1)</f>
        <v/>
      </c>
      <c r="B4" s="1"/>
      <c r="C4" s="2" t="s">
        <v>7</v>
      </c>
      <c r="D4" s="1" t="s">
        <v>2</v>
      </c>
      <c r="E4" s="1" t="s">
        <v>8</v>
      </c>
      <c r="F4" s="1"/>
      <c r="G4" s="1"/>
      <c r="H4" s="1"/>
      <c r="I4" s="3" t="str">
        <f t="shared" si="0"/>
        <v>public intuseWon; // 강화 시도 비용</v>
      </c>
      <c r="J4" s="1"/>
      <c r="K4" s="1"/>
      <c r="L4" s="1"/>
      <c r="M4" s="1"/>
    </row>
    <row r="5" spans="1:13" ht="16.5" customHeight="1">
      <c r="A5" s="3" t="str">
        <f>IF(ISBLANK(B5),"",MAX($A$1:A4)+1)</f>
        <v/>
      </c>
      <c r="B5" s="1"/>
      <c r="C5" s="2" t="s">
        <v>9</v>
      </c>
      <c r="D5" s="1" t="s">
        <v>5</v>
      </c>
      <c r="E5" s="1" t="s">
        <v>10</v>
      </c>
      <c r="F5" s="1"/>
      <c r="G5" s="1"/>
      <c r="H5" s="1"/>
      <c r="I5" s="3" t="str">
        <f t="shared" si="0"/>
        <v>public floatupMaxHp; // 최대 체력 상승량</v>
      </c>
      <c r="J5" s="1"/>
      <c r="K5" s="1"/>
      <c r="L5" s="1"/>
      <c r="M5" s="1"/>
    </row>
    <row r="6" spans="1:13" ht="16.5" customHeight="1">
      <c r="A6" s="3" t="str">
        <f>IF(ISBLANK(B6),"",MAX($A$1:A5)+1)</f>
        <v/>
      </c>
      <c r="B6" s="1"/>
      <c r="C6" s="2" t="s">
        <v>11</v>
      </c>
      <c r="D6" s="1" t="s">
        <v>5</v>
      </c>
      <c r="E6" s="1" t="s">
        <v>12</v>
      </c>
      <c r="F6" s="1"/>
      <c r="G6" s="1"/>
      <c r="H6" s="1"/>
      <c r="I6" s="3" t="str">
        <f t="shared" si="0"/>
        <v>public floatupAtkPwr; // 공격력 상승량</v>
      </c>
      <c r="J6" s="1"/>
      <c r="K6" s="1"/>
      <c r="L6" s="1"/>
      <c r="M6" s="1"/>
    </row>
    <row r="7" spans="1:13" ht="16.5" customHeight="1">
      <c r="A7" s="3" t="str">
        <f>IF(ISBLANK(B7),"",MAX($A$1:A6)+1)</f>
        <v/>
      </c>
      <c r="B7" s="1"/>
      <c r="C7" s="2" t="s">
        <v>13</v>
      </c>
      <c r="D7" s="1" t="s">
        <v>5</v>
      </c>
      <c r="E7" s="1" t="s">
        <v>14</v>
      </c>
      <c r="F7" s="1"/>
      <c r="G7" s="1"/>
      <c r="H7" s="1"/>
      <c r="I7" s="3" t="str">
        <f t="shared" si="0"/>
        <v>public floatupCriPrb; // 치명타 확률 상승량</v>
      </c>
      <c r="J7" s="1"/>
      <c r="K7" s="1"/>
      <c r="L7" s="1"/>
      <c r="M7" s="1"/>
    </row>
    <row r="8" spans="1:13" ht="16.5" customHeight="1">
      <c r="A8" s="3" t="str">
        <f>IF(ISBLANK(B8),"",MAX($A$1:A7)+1)</f>
        <v/>
      </c>
      <c r="B8" s="1"/>
      <c r="C8" s="2" t="s">
        <v>15</v>
      </c>
      <c r="D8" s="1" t="s">
        <v>5</v>
      </c>
      <c r="E8" s="1" t="s">
        <v>16</v>
      </c>
      <c r="F8" s="1"/>
      <c r="G8" s="1"/>
      <c r="H8" s="1"/>
      <c r="I8" s="3" t="str">
        <f t="shared" si="0"/>
        <v>public floatupCriDmg; // 치명타 데미지 상승량</v>
      </c>
      <c r="J8" s="1"/>
      <c r="K8" s="1"/>
      <c r="L8" s="1"/>
      <c r="M8" s="1"/>
    </row>
    <row r="9" spans="1:13" ht="16.5" customHeight="1">
      <c r="A9" s="3" t="str">
        <f>IF(ISBLANK(B9),"",MAX($A$1:A8)+1)</f>
        <v/>
      </c>
      <c r="B9" s="1"/>
      <c r="C9" s="2" t="s">
        <v>17</v>
      </c>
      <c r="D9" s="1" t="s">
        <v>5</v>
      </c>
      <c r="E9" s="1" t="s">
        <v>18</v>
      </c>
      <c r="F9" s="1"/>
      <c r="G9" s="1"/>
      <c r="H9" s="1"/>
      <c r="I9" s="3" t="str">
        <f t="shared" si="0"/>
        <v>public floatupHpRcv; // 초당 체력 회복량 상승량</v>
      </c>
      <c r="J9" s="1"/>
      <c r="K9" s="1"/>
      <c r="L9" s="1"/>
      <c r="M9" s="1"/>
    </row>
    <row r="10" spans="1:13" ht="16.5" customHeight="1">
      <c r="A10" s="3" t="str">
        <f>IF(ISBLANK(B10),"",MAX($A$1:A9)+1)</f>
        <v/>
      </c>
      <c r="B10" s="1"/>
      <c r="C10" s="2" t="s">
        <v>19</v>
      </c>
      <c r="D10" s="1" t="s">
        <v>5</v>
      </c>
      <c r="E10" s="1" t="s">
        <v>20</v>
      </c>
      <c r="F10" s="1"/>
      <c r="G10" s="1"/>
      <c r="H10" s="1"/>
      <c r="I10" s="3" t="str">
        <f t="shared" si="0"/>
        <v>public floatupCdnPct; // 스킬 쿨타임 감소율 상승량</v>
      </c>
      <c r="J10" s="1"/>
      <c r="K10" s="1"/>
      <c r="L10" s="1"/>
      <c r="M10" s="1"/>
    </row>
    <row r="11" spans="1:13" ht="16.5" customHeight="1">
      <c r="A11" s="3" t="str">
        <f>IF(ISBLANK(B11),"",MAX($A$1:A10)+1)</f>
        <v/>
      </c>
      <c r="B11" s="1"/>
      <c r="C11" s="1"/>
      <c r="D11" s="1"/>
      <c r="E11" s="1"/>
      <c r="F11" s="1"/>
      <c r="G11" s="1"/>
      <c r="H11" s="1"/>
      <c r="I11" s="3" t="str">
        <f t="shared" si="0"/>
        <v>}</v>
      </c>
      <c r="J11" s="1"/>
      <c r="K11" s="1"/>
      <c r="L11" s="1"/>
      <c r="M11" s="1"/>
    </row>
    <row r="12" spans="1:13" ht="16.5" customHeight="1">
      <c r="A12" s="3">
        <f>IF(ISBLANK(B12),"",MAX($A$1:A11)+1)</f>
        <v>2</v>
      </c>
      <c r="B12" s="1" t="s">
        <v>21</v>
      </c>
      <c r="C12" s="1"/>
      <c r="D12" s="1"/>
      <c r="E12" s="1"/>
      <c r="F12" s="1"/>
      <c r="G12" s="1"/>
      <c r="H12" s="1"/>
      <c r="I12" s="3" t="str">
        <f t="shared" si="0"/>
        <v>public class LvStUpData{</v>
      </c>
      <c r="J12" s="1"/>
      <c r="K12" s="1"/>
      <c r="L12" s="1"/>
      <c r="M12" s="1"/>
    </row>
    <row r="13" spans="1:13" ht="16.5" customHeight="1">
      <c r="A13" s="3" t="str">
        <f>IF(ISBLANK(B13),"",MAX($A$1:A12)+1)</f>
        <v/>
      </c>
      <c r="B13" s="1"/>
      <c r="C13" s="2" t="s">
        <v>22</v>
      </c>
      <c r="D13" s="1" t="s">
        <v>5</v>
      </c>
      <c r="E13" s="1" t="s">
        <v>23</v>
      </c>
      <c r="F13" s="1"/>
      <c r="G13" s="1"/>
      <c r="H13" s="1"/>
      <c r="I13" s="3" t="str">
        <f t="shared" si="0"/>
        <v>public floatmaxHp; // 레벨업 시 증가하는 최대 체력 값</v>
      </c>
      <c r="J13" s="1"/>
      <c r="K13" s="1"/>
      <c r="L13" s="1"/>
      <c r="M13" s="1"/>
    </row>
    <row r="14" spans="1:13" ht="16.5" customHeight="1">
      <c r="A14" s="3" t="str">
        <f>IF(ISBLANK(B14),"",MAX($A$1:A13)+1)</f>
        <v/>
      </c>
      <c r="B14" s="1"/>
      <c r="C14" s="2" t="s">
        <v>24</v>
      </c>
      <c r="D14" s="1" t="s">
        <v>5</v>
      </c>
      <c r="E14" s="1" t="s">
        <v>25</v>
      </c>
      <c r="F14" s="1"/>
      <c r="G14" s="1"/>
      <c r="H14" s="1"/>
      <c r="I14" s="3" t="str">
        <f t="shared" si="0"/>
        <v>public floatatkPwr; // 레벨업 시 증가하는 공격력 값</v>
      </c>
      <c r="J14" s="1"/>
      <c r="K14" s="1"/>
      <c r="L14" s="1"/>
      <c r="M14" s="1"/>
    </row>
    <row r="15" spans="1:13" ht="16.5" customHeight="1">
      <c r="A15" s="3" t="str">
        <f>IF(ISBLANK(B15),"",MAX($A$1:A14)+1)</f>
        <v/>
      </c>
      <c r="B15" s="1"/>
      <c r="C15" s="2" t="s">
        <v>26</v>
      </c>
      <c r="D15" s="1" t="s">
        <v>5</v>
      </c>
      <c r="E15" s="1" t="s">
        <v>27</v>
      </c>
      <c r="F15" s="1"/>
      <c r="G15" s="1"/>
      <c r="H15" s="1"/>
      <c r="I15" s="3" t="str">
        <f t="shared" si="0"/>
        <v>public floatcriPrb; // 5레벨부터 적용, 10레벨 증가할 때 증가하는 치명타 확률 값</v>
      </c>
      <c r="J15" s="1"/>
      <c r="K15" s="1"/>
      <c r="L15" s="1"/>
      <c r="M15" s="1"/>
    </row>
    <row r="16" spans="1:13" ht="16.5" customHeight="1">
      <c r="A16" s="3" t="str">
        <f>IF(ISBLANK(B16),"",MAX($A$1:A15)+1)</f>
        <v/>
      </c>
      <c r="B16" s="1"/>
      <c r="C16" s="2" t="s">
        <v>28</v>
      </c>
      <c r="D16" s="1" t="s">
        <v>5</v>
      </c>
      <c r="E16" s="1" t="s">
        <v>29</v>
      </c>
      <c r="F16" s="1"/>
      <c r="G16" s="1"/>
      <c r="H16" s="1"/>
      <c r="I16" s="3" t="str">
        <f t="shared" si="0"/>
        <v>public floatcriDmg; // 5레벨부터 적용, 10레벨 증가할 때 증가하는 치명타 데미지 값</v>
      </c>
      <c r="J16" s="1"/>
      <c r="K16" s="1"/>
      <c r="L16" s="1"/>
      <c r="M16" s="1"/>
    </row>
    <row r="17" spans="1:13" ht="16.5" customHeight="1">
      <c r="A17" s="3" t="str">
        <f>IF(ISBLANK(B17),"",MAX($A$1:A16)+1)</f>
        <v/>
      </c>
      <c r="B17" s="1"/>
      <c r="C17" s="2" t="s">
        <v>30</v>
      </c>
      <c r="D17" s="1" t="s">
        <v>5</v>
      </c>
      <c r="E17" s="1" t="s">
        <v>31</v>
      </c>
      <c r="F17" s="1"/>
      <c r="G17" s="1"/>
      <c r="H17" s="1"/>
      <c r="I17" s="3" t="str">
        <f t="shared" si="0"/>
        <v>public floathpRcv; // 레벨업 시 증가하는 초당 체력 회복량 값</v>
      </c>
      <c r="J17" s="1"/>
      <c r="K17" s="1"/>
      <c r="L17" s="1"/>
      <c r="M17" s="1"/>
    </row>
    <row r="18" spans="1:13" ht="16.5" customHeight="1">
      <c r="A18" s="3" t="str">
        <f>IF(ISBLANK(B18),"",MAX($A$1:A17)+1)</f>
        <v/>
      </c>
      <c r="B18" s="1"/>
      <c r="C18" s="2" t="s">
        <v>32</v>
      </c>
      <c r="D18" s="1" t="s">
        <v>5</v>
      </c>
      <c r="E18" s="1" t="s">
        <v>33</v>
      </c>
      <c r="F18" s="1"/>
      <c r="G18" s="1"/>
      <c r="H18" s="1"/>
      <c r="I18" s="3" t="str">
        <f t="shared" si="0"/>
        <v>public floatcdnPct; // 5레벨부터 적용, 10레벨 증가할 때 증가하는 스킬 쿨타임 감소율 값</v>
      </c>
      <c r="J18" s="1"/>
      <c r="K18" s="1"/>
      <c r="L18" s="1"/>
      <c r="M18" s="1"/>
    </row>
    <row r="19" spans="1:13" ht="16.5" customHeight="1">
      <c r="A19" s="3" t="str">
        <f>IF(ISBLANK(B19),"",MAX($A$1:A18)+1)</f>
        <v/>
      </c>
      <c r="B19" s="1"/>
      <c r="C19" s="1"/>
      <c r="D19" s="1"/>
      <c r="E19" s="1"/>
      <c r="F19" s="1"/>
      <c r="G19" s="1"/>
      <c r="H19" s="1"/>
      <c r="I19" s="3" t="str">
        <f t="shared" si="0"/>
        <v>}</v>
      </c>
      <c r="J19" s="1"/>
      <c r="K19" s="1"/>
      <c r="L19" s="1"/>
      <c r="M19" s="1"/>
    </row>
    <row r="20" spans="1:13" ht="16.5" customHeight="1">
      <c r="A20" s="3">
        <f>IF(ISBLANK(B20),"",MAX($A$1:A19)+1)</f>
        <v>3</v>
      </c>
      <c r="B20" s="1" t="s">
        <v>34</v>
      </c>
      <c r="C20" s="1"/>
      <c r="D20" s="1"/>
      <c r="E20" s="1"/>
      <c r="F20" s="1"/>
      <c r="G20" s="1"/>
      <c r="H20" s="1"/>
      <c r="I20" s="3" t="str">
        <f t="shared" si="0"/>
        <v>public class ClassData{</v>
      </c>
      <c r="J20" s="1"/>
      <c r="K20" s="1"/>
      <c r="L20" s="1"/>
      <c r="M20" s="1"/>
    </row>
    <row r="21" spans="1:13" ht="16.5" customHeight="1">
      <c r="A21" s="3" t="str">
        <f>IF(ISBLANK(B21),"",MAX($A$1:A20)+1)</f>
        <v/>
      </c>
      <c r="B21" s="1"/>
      <c r="C21" s="2" t="s">
        <v>35</v>
      </c>
      <c r="D21" s="1" t="s">
        <v>2</v>
      </c>
      <c r="E21" s="1" t="s">
        <v>35</v>
      </c>
      <c r="F21" s="1"/>
      <c r="G21" s="1"/>
      <c r="H21" s="1"/>
      <c r="I21" s="3" t="str">
        <f t="shared" si="0"/>
        <v>public intid; // id</v>
      </c>
      <c r="J21" s="1"/>
      <c r="K21" s="1"/>
      <c r="L21" s="1"/>
      <c r="M21" s="1"/>
    </row>
    <row r="22" spans="1:13" ht="16.5" customHeight="1">
      <c r="A22" s="3" t="str">
        <f>IF(ISBLANK(B22),"",MAX($A$1:A21)+1)</f>
        <v/>
      </c>
      <c r="B22" s="1"/>
      <c r="C22" s="2" t="s">
        <v>36</v>
      </c>
      <c r="D22" s="1" t="s">
        <v>37</v>
      </c>
      <c r="E22" s="1" t="s">
        <v>38</v>
      </c>
      <c r="F22" s="1"/>
      <c r="G22" s="1"/>
      <c r="H22" s="1"/>
      <c r="I22" s="3" t="str">
        <f t="shared" si="0"/>
        <v>public stringclassName; // 클래스 이름</v>
      </c>
      <c r="J22" s="1"/>
      <c r="K22" s="1"/>
      <c r="L22" s="1"/>
      <c r="M22" s="1"/>
    </row>
    <row r="23" spans="1:13" ht="16.5" customHeight="1">
      <c r="A23" s="3" t="str">
        <f>IF(ISBLANK(B23),"",MAX($A$1:A22)+1)</f>
        <v/>
      </c>
      <c r="B23" s="1"/>
      <c r="C23" s="2" t="s">
        <v>22</v>
      </c>
      <c r="D23" s="1" t="s">
        <v>5</v>
      </c>
      <c r="E23" s="1" t="s">
        <v>39</v>
      </c>
      <c r="F23" s="1"/>
      <c r="G23" s="1"/>
      <c r="H23" s="1"/>
      <c r="I23" s="3" t="str">
        <f t="shared" si="0"/>
        <v>public floatmaxHp; // 생성 시 최대 체력</v>
      </c>
      <c r="J23" s="1"/>
      <c r="K23" s="1"/>
      <c r="L23" s="1"/>
      <c r="M23" s="1"/>
    </row>
    <row r="24" spans="1:13" ht="16.5" customHeight="1">
      <c r="A24" s="3" t="str">
        <f>IF(ISBLANK(B24),"",MAX($A$1:A23)+1)</f>
        <v/>
      </c>
      <c r="B24" s="1"/>
      <c r="C24" s="2" t="s">
        <v>24</v>
      </c>
      <c r="D24" s="1" t="s">
        <v>5</v>
      </c>
      <c r="E24" s="1" t="s">
        <v>40</v>
      </c>
      <c r="F24" s="1"/>
      <c r="G24" s="1"/>
      <c r="H24" s="1"/>
      <c r="I24" s="3" t="str">
        <f t="shared" si="0"/>
        <v>public floatatkPwr; // 생성 시 공격력</v>
      </c>
      <c r="J24" s="1"/>
      <c r="K24" s="1"/>
      <c r="L24" s="1"/>
      <c r="M24" s="1"/>
    </row>
    <row r="25" spans="1:13" ht="16.5" customHeight="1">
      <c r="A25" s="3" t="str">
        <f>IF(ISBLANK(B25),"",MAX($A$1:A24)+1)</f>
        <v/>
      </c>
      <c r="B25" s="1"/>
      <c r="C25" s="2" t="s">
        <v>26</v>
      </c>
      <c r="D25" s="1" t="s">
        <v>5</v>
      </c>
      <c r="E25" s="1" t="s">
        <v>41</v>
      </c>
      <c r="F25" s="1"/>
      <c r="G25" s="1"/>
      <c r="H25" s="1"/>
      <c r="I25" s="3" t="str">
        <f t="shared" si="0"/>
        <v>public floatcriPrb; // 생성 시 치명타 확률</v>
      </c>
      <c r="J25" s="1"/>
      <c r="K25" s="1"/>
      <c r="L25" s="1"/>
      <c r="M25" s="1"/>
    </row>
    <row r="26" spans="1:13" ht="16.5" customHeight="1">
      <c r="A26" s="3" t="str">
        <f>IF(ISBLANK(B26),"",MAX($A$1:A25)+1)</f>
        <v/>
      </c>
      <c r="B26" s="1"/>
      <c r="C26" s="2" t="s">
        <v>28</v>
      </c>
      <c r="D26" s="1" t="s">
        <v>5</v>
      </c>
      <c r="E26" s="1" t="s">
        <v>42</v>
      </c>
      <c r="F26" s="1"/>
      <c r="G26" s="1"/>
      <c r="H26" s="1"/>
      <c r="I26" s="3" t="str">
        <f t="shared" si="0"/>
        <v>public floatcriDmg; // 생성 시 치명타 데미지</v>
      </c>
      <c r="J26" s="1"/>
      <c r="K26" s="1"/>
      <c r="L26" s="1"/>
      <c r="M26" s="1"/>
    </row>
    <row r="27" spans="1:13" ht="16.5" customHeight="1">
      <c r="A27" s="3" t="str">
        <f>IF(ISBLANK(B27),"",MAX($A$1:A26)+1)</f>
        <v/>
      </c>
      <c r="B27" s="1"/>
      <c r="C27" s="2" t="s">
        <v>30</v>
      </c>
      <c r="D27" s="1" t="s">
        <v>5</v>
      </c>
      <c r="E27" s="1" t="s">
        <v>43</v>
      </c>
      <c r="F27" s="1"/>
      <c r="G27" s="1"/>
      <c r="H27" s="1"/>
      <c r="I27" s="3" t="str">
        <f t="shared" si="0"/>
        <v>public floathpRcv; // 생성 시 초당 체력 회복량</v>
      </c>
      <c r="J27" s="1"/>
      <c r="K27" s="1"/>
      <c r="L27" s="1"/>
      <c r="M27" s="1"/>
    </row>
    <row r="28" spans="1:13" ht="16.5" customHeight="1">
      <c r="A28" s="3" t="str">
        <f>IF(ISBLANK(B28),"",MAX($A$1:A27)+1)</f>
        <v/>
      </c>
      <c r="B28" s="1"/>
      <c r="C28" s="2" t="s">
        <v>32</v>
      </c>
      <c r="D28" s="1" t="s">
        <v>5</v>
      </c>
      <c r="E28" s="1" t="s">
        <v>44</v>
      </c>
      <c r="F28" s="1"/>
      <c r="G28" s="1"/>
      <c r="H28" s="1"/>
      <c r="I28" s="3" t="str">
        <f t="shared" si="0"/>
        <v>public floatcdnPct; // 생성 시 스킬 쿨타임 감소율</v>
      </c>
      <c r="J28" s="1"/>
      <c r="K28" s="1"/>
      <c r="L28" s="1"/>
      <c r="M28" s="1"/>
    </row>
    <row r="29" spans="1:13" ht="16.5" customHeight="1">
      <c r="A29" s="3" t="str">
        <f>IF(ISBLANK(B29),"",MAX($A$1:A28)+1)</f>
        <v/>
      </c>
      <c r="B29" s="1"/>
      <c r="C29" s="2" t="s">
        <v>45</v>
      </c>
      <c r="D29" s="1" t="s">
        <v>5</v>
      </c>
      <c r="E29" s="1" t="s">
        <v>46</v>
      </c>
      <c r="F29" s="1"/>
      <c r="G29" s="1"/>
      <c r="H29" s="1"/>
      <c r="I29" s="3" t="str">
        <f t="shared" si="0"/>
        <v>public floatgotDmg; // 생성 시 받는 피해량</v>
      </c>
      <c r="J29" s="1"/>
      <c r="K29" s="1"/>
      <c r="L29" s="1"/>
      <c r="M29" s="1"/>
    </row>
    <row r="30" spans="1:13" ht="16.5" customHeight="1">
      <c r="A30" s="3" t="str">
        <f>IF(ISBLANK(B30),"",MAX($A$1:A29)+1)</f>
        <v/>
      </c>
      <c r="B30" s="1"/>
      <c r="C30" s="2" t="s">
        <v>47</v>
      </c>
      <c r="D30" s="1" t="s">
        <v>5</v>
      </c>
      <c r="E30" s="1" t="s">
        <v>48</v>
      </c>
      <c r="F30" s="1"/>
      <c r="G30" s="1"/>
      <c r="H30" s="1"/>
      <c r="I30" s="3" t="str">
        <f t="shared" si="0"/>
        <v>public floatmoveSpeed; // 생성 시 이동 속도</v>
      </c>
      <c r="J30" s="1"/>
      <c r="K30" s="1"/>
      <c r="L30" s="1"/>
      <c r="M30" s="1"/>
    </row>
    <row r="31" spans="1:13" ht="16.5" customHeight="1">
      <c r="A31" s="3" t="str">
        <f>IF(ISBLANK(B31),"",MAX($A$1:A30)+1)</f>
        <v/>
      </c>
      <c r="B31" s="1"/>
      <c r="C31" s="2" t="s">
        <v>49</v>
      </c>
      <c r="D31" s="1" t="s">
        <v>2</v>
      </c>
      <c r="E31" s="1" t="s">
        <v>50</v>
      </c>
      <c r="F31" s="1"/>
      <c r="G31" s="1"/>
      <c r="H31" s="1"/>
      <c r="I31" s="3" t="str">
        <f t="shared" si="0"/>
        <v>public intskill_01; // Skill.tbl의 id 참조</v>
      </c>
      <c r="J31" s="1"/>
      <c r="K31" s="1"/>
      <c r="L31" s="1"/>
      <c r="M31" s="1"/>
    </row>
    <row r="32" spans="1:13" ht="16.5" customHeight="1">
      <c r="A32" s="3" t="str">
        <f>IF(ISBLANK(B32),"",MAX($A$1:A31)+1)</f>
        <v/>
      </c>
      <c r="B32" s="1"/>
      <c r="C32" s="2" t="s">
        <v>51</v>
      </c>
      <c r="D32" s="1" t="s">
        <v>2</v>
      </c>
      <c r="E32" s="1" t="s">
        <v>50</v>
      </c>
      <c r="F32" s="1"/>
      <c r="G32" s="1"/>
      <c r="H32" s="1"/>
      <c r="I32" s="3" t="str">
        <f t="shared" si="0"/>
        <v>public intskill_02; // Skill.tbl의 id 참조</v>
      </c>
      <c r="J32" s="1"/>
      <c r="K32" s="1"/>
      <c r="L32" s="1"/>
      <c r="M32" s="1"/>
    </row>
    <row r="33" spans="1:13" ht="16.5" customHeight="1">
      <c r="A33" s="3" t="str">
        <f>IF(ISBLANK(B33),"",MAX($A$1:A32)+1)</f>
        <v/>
      </c>
      <c r="B33" s="1"/>
      <c r="C33" s="2" t="s">
        <v>52</v>
      </c>
      <c r="D33" s="1" t="s">
        <v>2</v>
      </c>
      <c r="E33" s="1" t="s">
        <v>50</v>
      </c>
      <c r="F33" s="1"/>
      <c r="G33" s="1"/>
      <c r="H33" s="1"/>
      <c r="I33" s="3" t="str">
        <f t="shared" si="0"/>
        <v>public intskill_03; // Skill.tbl의 id 참조</v>
      </c>
      <c r="J33" s="1"/>
      <c r="K33" s="1"/>
      <c r="L33" s="1"/>
      <c r="M33" s="1"/>
    </row>
    <row r="34" spans="1:13" ht="16.5" customHeight="1">
      <c r="A34" s="3" t="str">
        <f>IF(ISBLANK(B34),"",MAX($A$1:A33)+1)</f>
        <v/>
      </c>
      <c r="B34" s="1"/>
      <c r="C34" s="2" t="s">
        <v>53</v>
      </c>
      <c r="D34" s="1" t="s">
        <v>2</v>
      </c>
      <c r="E34" s="1" t="s">
        <v>50</v>
      </c>
      <c r="F34" s="1"/>
      <c r="G34" s="1"/>
      <c r="H34" s="1"/>
      <c r="I34" s="3" t="str">
        <f t="shared" si="0"/>
        <v>public intskill_04; // Skill.tbl의 id 참조</v>
      </c>
      <c r="J34" s="1"/>
      <c r="K34" s="1"/>
      <c r="L34" s="1"/>
      <c r="M34" s="1"/>
    </row>
    <row r="35" spans="1:13" ht="16.5" customHeight="1">
      <c r="A35" s="3" t="str">
        <f>IF(ISBLANK(B35),"",MAX($A$1:A34)+1)</f>
        <v/>
      </c>
      <c r="B35" s="1"/>
      <c r="C35" s="2" t="s">
        <v>54</v>
      </c>
      <c r="D35" s="1" t="s">
        <v>2</v>
      </c>
      <c r="E35" s="1" t="s">
        <v>50</v>
      </c>
      <c r="F35" s="1"/>
      <c r="G35" s="1"/>
      <c r="H35" s="1"/>
      <c r="I35" s="3" t="str">
        <f t="shared" si="0"/>
        <v>public intskill_05; // Skill.tbl의 id 참조</v>
      </c>
      <c r="J35" s="1"/>
      <c r="K35" s="1"/>
      <c r="L35" s="1"/>
      <c r="M35" s="1"/>
    </row>
    <row r="36" spans="1:13" ht="16.5" customHeight="1">
      <c r="A36" s="3" t="str">
        <f>IF(ISBLANK(B36),"",MAX($A$1:A35)+1)</f>
        <v/>
      </c>
      <c r="B36" s="1"/>
      <c r="C36" s="2" t="s">
        <v>55</v>
      </c>
      <c r="D36" s="1" t="s">
        <v>2</v>
      </c>
      <c r="E36" s="1" t="s">
        <v>50</v>
      </c>
      <c r="F36" s="1"/>
      <c r="G36" s="1"/>
      <c r="H36" s="1"/>
      <c r="I36" s="3" t="str">
        <f t="shared" si="0"/>
        <v>public intskill_06; // Skill.tbl의 id 참조</v>
      </c>
      <c r="J36" s="1"/>
      <c r="K36" s="1"/>
      <c r="L36" s="1"/>
      <c r="M36" s="1"/>
    </row>
    <row r="37" spans="1:13" ht="16.5" customHeight="1">
      <c r="A37" s="3" t="str">
        <f>IF(ISBLANK(B37),"",MAX($A$1:A36)+1)</f>
        <v/>
      </c>
      <c r="B37" s="1"/>
      <c r="C37" s="2" t="s">
        <v>56</v>
      </c>
      <c r="D37" s="1" t="s">
        <v>2</v>
      </c>
      <c r="E37" s="1" t="s">
        <v>50</v>
      </c>
      <c r="F37" s="1"/>
      <c r="G37" s="1"/>
      <c r="H37" s="1"/>
      <c r="I37" s="3" t="str">
        <f t="shared" si="0"/>
        <v>public intskill_07; // Skill.tbl의 id 참조</v>
      </c>
      <c r="J37" s="1"/>
      <c r="K37" s="1"/>
      <c r="L37" s="1"/>
      <c r="M37" s="1"/>
    </row>
    <row r="38" spans="1:13" ht="16.5" customHeight="1">
      <c r="A38" s="3" t="str">
        <f>IF(ISBLANK(B38),"",MAX($A$1:A37)+1)</f>
        <v/>
      </c>
      <c r="B38" s="1"/>
      <c r="C38" s="2" t="s">
        <v>57</v>
      </c>
      <c r="D38" s="1" t="s">
        <v>2</v>
      </c>
      <c r="E38" s="1" t="s">
        <v>50</v>
      </c>
      <c r="F38" s="1"/>
      <c r="G38" s="1"/>
      <c r="H38" s="1"/>
      <c r="I38" s="3" t="str">
        <f t="shared" si="0"/>
        <v>public intskill_08; // Skill.tbl의 id 참조</v>
      </c>
      <c r="J38" s="1"/>
      <c r="K38" s="1"/>
      <c r="L38" s="1"/>
      <c r="M38" s="1"/>
    </row>
    <row r="39" spans="1:13" ht="16.5" customHeight="1">
      <c r="A39" s="3" t="str">
        <f>IF(ISBLANK(B39),"",MAX($A$1:A38)+1)</f>
        <v/>
      </c>
      <c r="B39" s="1"/>
      <c r="C39" s="1"/>
      <c r="D39" s="1"/>
      <c r="E39" s="1"/>
      <c r="F39" s="1"/>
      <c r="G39" s="1"/>
      <c r="H39" s="1"/>
      <c r="I39" s="3" t="str">
        <f t="shared" si="0"/>
        <v>}</v>
      </c>
      <c r="J39" s="1"/>
      <c r="K39" s="1"/>
      <c r="L39" s="1"/>
      <c r="M39" s="1"/>
    </row>
    <row r="40" spans="1:13" ht="16.5" customHeight="1">
      <c r="A40" s="3">
        <f>IF(ISBLANK(B40),"",MAX($A$1:A39)+1)</f>
        <v>4</v>
      </c>
      <c r="B40" s="1" t="s">
        <v>58</v>
      </c>
      <c r="C40" s="1"/>
      <c r="D40" s="1"/>
      <c r="E40" s="1"/>
      <c r="F40" s="1"/>
      <c r="G40" s="1"/>
      <c r="H40" s="1"/>
      <c r="I40" s="3" t="str">
        <f t="shared" si="0"/>
        <v>public class ExpData{</v>
      </c>
      <c r="J40" s="1"/>
      <c r="K40" s="1"/>
      <c r="L40" s="1"/>
      <c r="M40" s="1"/>
    </row>
    <row r="41" spans="1:13" ht="16.5" customHeight="1">
      <c r="A41" s="3" t="str">
        <f>IF(ISBLANK(B41),"",MAX($A$1:A40)+1)</f>
        <v/>
      </c>
      <c r="B41" s="1"/>
      <c r="C41" s="2" t="s">
        <v>59</v>
      </c>
      <c r="D41" s="1" t="s">
        <v>2</v>
      </c>
      <c r="E41" s="1" t="s">
        <v>60</v>
      </c>
      <c r="F41" s="1"/>
      <c r="G41" s="1"/>
      <c r="H41" s="1"/>
      <c r="I41" s="3" t="str">
        <f t="shared" si="0"/>
        <v>public intlv; // 현재 레벨</v>
      </c>
      <c r="J41" s="1"/>
      <c r="K41" s="1"/>
      <c r="L41" s="1"/>
      <c r="M41" s="1"/>
    </row>
    <row r="42" spans="1:13" ht="16.5" customHeight="1">
      <c r="A42" s="3" t="str">
        <f>IF(ISBLANK(B42),"",MAX($A$1:A41)+1)</f>
        <v/>
      </c>
      <c r="B42" s="1"/>
      <c r="C42" s="2" t="s">
        <v>61</v>
      </c>
      <c r="D42" s="1" t="s">
        <v>2</v>
      </c>
      <c r="E42" s="1" t="s">
        <v>62</v>
      </c>
      <c r="F42" s="1"/>
      <c r="G42" s="1"/>
      <c r="H42" s="1"/>
      <c r="I42" s="3" t="str">
        <f t="shared" si="0"/>
        <v>public intcurExp; // 다음 레벨로 레벨업하기 위해 필요한 경험치량</v>
      </c>
      <c r="J42" s="1"/>
      <c r="K42" s="1"/>
      <c r="L42" s="1"/>
      <c r="M42" s="1"/>
    </row>
    <row r="43" spans="1:13" ht="16.5" customHeight="1">
      <c r="A43" s="3" t="str">
        <f>IF(ISBLANK(B43),"",MAX($A$1:A42)+1)</f>
        <v/>
      </c>
      <c r="B43" s="1"/>
      <c r="C43" s="1"/>
      <c r="D43" s="1"/>
      <c r="E43" s="1"/>
      <c r="F43" s="1"/>
      <c r="G43" s="1"/>
      <c r="H43" s="1"/>
      <c r="I43" s="3" t="str">
        <f t="shared" si="0"/>
        <v>}</v>
      </c>
      <c r="J43" s="1"/>
      <c r="K43" s="1"/>
      <c r="L43" s="1"/>
      <c r="M43" s="1"/>
    </row>
    <row r="44" spans="1:13" ht="16.5" customHeight="1">
      <c r="A44" s="3">
        <f>IF(ISBLANK(B44),"",MAX($A$1:A43)+1)</f>
        <v>5</v>
      </c>
      <c r="B44" s="1" t="s">
        <v>63</v>
      </c>
      <c r="C44" s="1"/>
      <c r="D44" s="1"/>
      <c r="E44" s="1"/>
      <c r="F44" s="1"/>
      <c r="G44" s="1"/>
      <c r="H44" s="1"/>
      <c r="I44" s="3" t="str">
        <f t="shared" si="0"/>
        <v>public class StageData{</v>
      </c>
      <c r="J44" s="1"/>
      <c r="K44" s="1"/>
      <c r="L44" s="1"/>
      <c r="M44" s="1"/>
    </row>
    <row r="45" spans="1:13" ht="16.5" customHeight="1">
      <c r="A45" s="3" t="str">
        <f>IF(ISBLANK(B45),"",MAX($A$1:A44)+1)</f>
        <v/>
      </c>
      <c r="B45" s="1"/>
      <c r="C45" s="1" t="s">
        <v>35</v>
      </c>
      <c r="D45" s="1" t="s">
        <v>2</v>
      </c>
      <c r="E45" s="1" t="s">
        <v>35</v>
      </c>
      <c r="F45" s="1"/>
      <c r="G45" s="1"/>
      <c r="H45" s="1"/>
      <c r="I45" s="3" t="str">
        <f t="shared" si="0"/>
        <v>public intid; // id</v>
      </c>
      <c r="J45" s="1"/>
      <c r="K45" s="1"/>
      <c r="L45" s="1"/>
      <c r="M45" s="1"/>
    </row>
    <row r="46" spans="1:13" ht="16.5" customHeight="1">
      <c r="A46" s="3" t="str">
        <f>IF(ISBLANK(B46),"",MAX($A$1:A45)+1)</f>
        <v/>
      </c>
      <c r="B46" s="1"/>
      <c r="C46" s="1" t="s">
        <v>64</v>
      </c>
      <c r="D46" s="1" t="s">
        <v>2</v>
      </c>
      <c r="E46" s="1" t="s">
        <v>65</v>
      </c>
      <c r="F46" s="1"/>
      <c r="G46" s="1"/>
      <c r="H46" s="1"/>
      <c r="I46" s="3" t="str">
        <f t="shared" si="0"/>
        <v>public intwaveId_01; // Wave.tbl의 id 참조</v>
      </c>
      <c r="J46" s="1"/>
      <c r="K46" s="1"/>
      <c r="L46" s="1"/>
      <c r="M46" s="1"/>
    </row>
    <row r="47" spans="1:13" ht="16.5" customHeight="1">
      <c r="A47" s="3" t="str">
        <f>IF(ISBLANK(B47),"",MAX($A$1:A46)+1)</f>
        <v/>
      </c>
      <c r="B47" s="1"/>
      <c r="C47" s="1" t="s">
        <v>66</v>
      </c>
      <c r="D47" s="1" t="s">
        <v>2</v>
      </c>
      <c r="E47" s="1" t="s">
        <v>65</v>
      </c>
      <c r="F47" s="1"/>
      <c r="G47" s="1"/>
      <c r="H47" s="1"/>
      <c r="I47" s="3" t="str">
        <f t="shared" si="0"/>
        <v>public intwaveId_02; // Wave.tbl의 id 참조</v>
      </c>
      <c r="J47" s="1"/>
      <c r="K47" s="1"/>
      <c r="L47" s="1"/>
      <c r="M47" s="1"/>
    </row>
    <row r="48" spans="1:13" ht="16.5" customHeight="1">
      <c r="A48" s="3" t="str">
        <f>IF(ISBLANK(B48),"",MAX($A$1:A47)+1)</f>
        <v/>
      </c>
      <c r="B48" s="1"/>
      <c r="C48" s="1" t="s">
        <v>67</v>
      </c>
      <c r="D48" s="1" t="s">
        <v>2</v>
      </c>
      <c r="E48" s="1" t="s">
        <v>65</v>
      </c>
      <c r="F48" s="1"/>
      <c r="G48" s="1"/>
      <c r="H48" s="1"/>
      <c r="I48" s="3" t="str">
        <f t="shared" si="0"/>
        <v>public intwaveId_03; // Wave.tbl의 id 참조</v>
      </c>
      <c r="J48" s="1"/>
      <c r="K48" s="1"/>
      <c r="L48" s="1"/>
      <c r="M48" s="1"/>
    </row>
    <row r="49" spans="1:13" ht="16.5" customHeight="1">
      <c r="A49" s="3" t="str">
        <f>IF(ISBLANK(B49),"",MAX($A$1:A48)+1)</f>
        <v/>
      </c>
      <c r="B49" s="1"/>
      <c r="C49" s="1" t="s">
        <v>68</v>
      </c>
      <c r="D49" s="1" t="s">
        <v>2</v>
      </c>
      <c r="E49" s="1" t="s">
        <v>65</v>
      </c>
      <c r="F49" s="1"/>
      <c r="G49" s="1"/>
      <c r="H49" s="1"/>
      <c r="I49" s="3" t="str">
        <f t="shared" si="0"/>
        <v>public intwaveId_04; // Wave.tbl의 id 참조</v>
      </c>
      <c r="J49" s="1"/>
      <c r="K49" s="1"/>
      <c r="L49" s="1"/>
      <c r="M49" s="1"/>
    </row>
    <row r="50" spans="1:13" ht="16.5" customHeight="1">
      <c r="A50" s="3" t="str">
        <f>IF(ISBLANK(B50),"",MAX($A$1:A49)+1)</f>
        <v/>
      </c>
      <c r="B50" s="1"/>
      <c r="C50" s="1" t="s">
        <v>69</v>
      </c>
      <c r="D50" s="1" t="s">
        <v>2</v>
      </c>
      <c r="E50" s="1" t="s">
        <v>65</v>
      </c>
      <c r="F50" s="1"/>
      <c r="G50" s="1"/>
      <c r="H50" s="1"/>
      <c r="I50" s="3" t="str">
        <f t="shared" si="0"/>
        <v>public intwaveId_05; // Wave.tbl의 id 참조</v>
      </c>
      <c r="J50" s="1"/>
      <c r="K50" s="1"/>
      <c r="L50" s="1"/>
      <c r="M50" s="1"/>
    </row>
    <row r="51" spans="1:13" ht="16.5" customHeight="1">
      <c r="A51" s="3" t="str">
        <f>IF(ISBLANK(B51),"",MAX($A$1:A50)+1)</f>
        <v/>
      </c>
      <c r="B51" s="1"/>
      <c r="C51" s="1" t="s">
        <v>70</v>
      </c>
      <c r="D51" s="1" t="s">
        <v>2</v>
      </c>
      <c r="E51" s="1" t="s">
        <v>65</v>
      </c>
      <c r="F51" s="1"/>
      <c r="G51" s="1"/>
      <c r="H51" s="1"/>
      <c r="I51" s="3" t="str">
        <f t="shared" si="0"/>
        <v>public intwaveId_06; // Wave.tbl의 id 참조</v>
      </c>
      <c r="J51" s="1"/>
      <c r="K51" s="1"/>
      <c r="L51" s="1"/>
      <c r="M51" s="1"/>
    </row>
    <row r="52" spans="1:13" ht="16.5" customHeight="1">
      <c r="A52" s="3" t="str">
        <f>IF(ISBLANK(B52),"",MAX($A$1:A51)+1)</f>
        <v/>
      </c>
      <c r="B52" s="1"/>
      <c r="C52" s="1"/>
      <c r="D52" s="1"/>
      <c r="E52" s="1"/>
      <c r="F52" s="1"/>
      <c r="G52" s="1"/>
      <c r="H52" s="1"/>
      <c r="I52" s="3" t="str">
        <f t="shared" si="0"/>
        <v>}</v>
      </c>
      <c r="J52" s="1"/>
      <c r="K52" s="1"/>
      <c r="L52" s="1"/>
      <c r="M52" s="1"/>
    </row>
    <row r="53" spans="1:13" ht="16.5" customHeight="1">
      <c r="A53" s="3">
        <f>IF(ISBLANK(B53),"",MAX($A$1:A52)+1)</f>
        <v>6</v>
      </c>
      <c r="B53" s="1" t="s">
        <v>71</v>
      </c>
      <c r="C53" s="1"/>
      <c r="D53" s="1"/>
      <c r="E53" s="1"/>
      <c r="F53" s="1"/>
      <c r="G53" s="1"/>
      <c r="H53" s="1"/>
      <c r="I53" s="3" t="str">
        <f t="shared" si="0"/>
        <v>public class WaveData{</v>
      </c>
      <c r="J53" s="1"/>
      <c r="K53" s="1"/>
      <c r="L53" s="1"/>
      <c r="M53" s="1"/>
    </row>
    <row r="54" spans="1:13" ht="16.5" customHeight="1">
      <c r="A54" s="3" t="str">
        <f>IF(ISBLANK(B54),"",MAX($A$1:A53)+1)</f>
        <v/>
      </c>
      <c r="B54" s="1"/>
      <c r="C54" s="1" t="s">
        <v>35</v>
      </c>
      <c r="D54" s="1" t="s">
        <v>2</v>
      </c>
      <c r="E54" s="1" t="s">
        <v>35</v>
      </c>
      <c r="F54" s="1"/>
      <c r="G54" s="1"/>
      <c r="H54" s="1"/>
      <c r="I54" s="3" t="str">
        <f t="shared" si="0"/>
        <v>public intid; // id</v>
      </c>
      <c r="J54" s="1"/>
      <c r="K54" s="1"/>
      <c r="L54" s="1"/>
      <c r="M54" s="1"/>
    </row>
    <row r="55" spans="1:13" ht="16.5" customHeight="1">
      <c r="A55" s="3" t="str">
        <f>IF(ISBLANK(B55),"",MAX($A$1:A54)+1)</f>
        <v/>
      </c>
      <c r="B55" s="1"/>
      <c r="C55" s="1" t="s">
        <v>72</v>
      </c>
      <c r="D55" s="1" t="s">
        <v>2</v>
      </c>
      <c r="E55" s="1" t="s">
        <v>73</v>
      </c>
      <c r="F55" s="1"/>
      <c r="G55" s="1"/>
      <c r="H55" s="1"/>
      <c r="I55" s="3" t="str">
        <f t="shared" si="0"/>
        <v>public intwaveType; // 웨이브 종류 : 1 = 일반, 2 = 중간 보스전, 3 = 보스전</v>
      </c>
      <c r="J55" s="1"/>
      <c r="K55" s="1"/>
      <c r="L55" s="1"/>
      <c r="M55" s="1"/>
    </row>
    <row r="56" spans="1:13" ht="16.5" customHeight="1">
      <c r="A56" s="3" t="str">
        <f>IF(ISBLANK(B56),"",MAX($A$1:A55)+1)</f>
        <v/>
      </c>
      <c r="B56" s="1"/>
      <c r="C56" s="1" t="s">
        <v>74</v>
      </c>
      <c r="D56" s="1" t="s">
        <v>2</v>
      </c>
      <c r="E56" s="1" t="s">
        <v>75</v>
      </c>
      <c r="F56" s="1"/>
      <c r="G56" s="1"/>
      <c r="H56" s="1"/>
      <c r="I56" s="3" t="str">
        <f t="shared" si="0"/>
        <v>public intmonId_01; // 일반 몬스터 종류 : 중간 보스전에서도 나오게 하려고 함. Monster.tbl의 id 참조</v>
      </c>
      <c r="J56" s="1"/>
      <c r="K56" s="1"/>
      <c r="L56" s="1"/>
      <c r="M56" s="1"/>
    </row>
    <row r="57" spans="1:13" ht="16.5" customHeight="1">
      <c r="A57" s="3" t="str">
        <f>IF(ISBLANK(B57),"",MAX($A$1:A56)+1)</f>
        <v/>
      </c>
      <c r="B57" s="1"/>
      <c r="C57" s="1" t="s">
        <v>76</v>
      </c>
      <c r="D57" s="1" t="s">
        <v>2</v>
      </c>
      <c r="E57" s="1" t="s">
        <v>77</v>
      </c>
      <c r="F57" s="1"/>
      <c r="G57" s="1"/>
      <c r="H57" s="1"/>
      <c r="I57" s="3" t="str">
        <f t="shared" si="0"/>
        <v>public intmonId_02; // Monster.tbl의 id 참조</v>
      </c>
      <c r="J57" s="1"/>
      <c r="K57" s="1"/>
      <c r="L57" s="1"/>
      <c r="M57" s="1"/>
    </row>
    <row r="58" spans="1:13" ht="16.5" customHeight="1">
      <c r="A58" s="3" t="str">
        <f>IF(ISBLANK(B58),"",MAX($A$1:A57)+1)</f>
        <v/>
      </c>
      <c r="B58" s="1"/>
      <c r="C58" s="1" t="s">
        <v>78</v>
      </c>
      <c r="D58" s="1" t="s">
        <v>2</v>
      </c>
      <c r="E58" s="1" t="s">
        <v>77</v>
      </c>
      <c r="F58" s="1"/>
      <c r="G58" s="1"/>
      <c r="H58" s="1"/>
      <c r="I58" s="3" t="str">
        <f t="shared" si="0"/>
        <v>public intmonId_03; // Monster.tbl의 id 참조</v>
      </c>
      <c r="J58" s="1"/>
      <c r="K58" s="1"/>
      <c r="L58" s="1"/>
      <c r="M58" s="1"/>
    </row>
    <row r="59" spans="1:13" ht="16.5" customHeight="1">
      <c r="A59" s="3" t="str">
        <f>IF(ISBLANK(B59),"",MAX($A$1:A58)+1)</f>
        <v/>
      </c>
      <c r="B59" s="1"/>
      <c r="C59" s="1" t="s">
        <v>79</v>
      </c>
      <c r="D59" s="1" t="s">
        <v>2</v>
      </c>
      <c r="E59" s="1" t="s">
        <v>77</v>
      </c>
      <c r="F59" s="1"/>
      <c r="G59" s="1"/>
      <c r="H59" s="1"/>
      <c r="I59" s="3" t="str">
        <f t="shared" si="0"/>
        <v>public intmonId_04; // Monster.tbl의 id 참조</v>
      </c>
      <c r="J59" s="1"/>
      <c r="K59" s="1"/>
      <c r="L59" s="1"/>
      <c r="M59" s="1"/>
    </row>
    <row r="60" spans="1:13" ht="16.5" customHeight="1">
      <c r="A60" s="3" t="str">
        <f>IF(ISBLANK(B60),"",MAX($A$1:A59)+1)</f>
        <v/>
      </c>
      <c r="B60" s="1"/>
      <c r="C60" s="1" t="s">
        <v>80</v>
      </c>
      <c r="D60" s="1" t="s">
        <v>2</v>
      </c>
      <c r="E60" s="1" t="s">
        <v>77</v>
      </c>
      <c r="F60" s="1"/>
      <c r="G60" s="1"/>
      <c r="H60" s="1"/>
      <c r="I60" s="3" t="str">
        <f t="shared" si="0"/>
        <v>public intmonId_05; // Monster.tbl의 id 참조</v>
      </c>
      <c r="J60" s="1"/>
      <c r="K60" s="1"/>
      <c r="L60" s="1"/>
      <c r="M60" s="1"/>
    </row>
    <row r="61" spans="1:13" ht="16.5" customHeight="1">
      <c r="A61" s="3" t="str">
        <f>IF(ISBLANK(B61),"",MAX($A$1:A60)+1)</f>
        <v/>
      </c>
      <c r="B61" s="1"/>
      <c r="C61" s="1" t="s">
        <v>81</v>
      </c>
      <c r="D61" s="1" t="s">
        <v>2</v>
      </c>
      <c r="E61" s="1" t="s">
        <v>77</v>
      </c>
      <c r="F61" s="1"/>
      <c r="G61" s="1"/>
      <c r="H61" s="1"/>
      <c r="I61" s="3" t="str">
        <f t="shared" si="0"/>
        <v>public intmonId_06; // Monster.tbl의 id 참조</v>
      </c>
      <c r="J61" s="1"/>
      <c r="K61" s="1"/>
      <c r="L61" s="1"/>
      <c r="M61" s="1"/>
    </row>
    <row r="62" spans="1:13" ht="16.5" customHeight="1">
      <c r="A62" s="3" t="str">
        <f>IF(ISBLANK(B62),"",MAX($A$1:A61)+1)</f>
        <v/>
      </c>
      <c r="B62" s="1"/>
      <c r="C62" s="1" t="s">
        <v>82</v>
      </c>
      <c r="D62" s="1" t="s">
        <v>2</v>
      </c>
      <c r="E62" s="1" t="s">
        <v>83</v>
      </c>
      <c r="F62" s="1"/>
      <c r="G62" s="1"/>
      <c r="H62" s="1"/>
      <c r="I62" s="3" t="str">
        <f t="shared" si="0"/>
        <v>public intspecialMonId_01; // waveType이 1이 아닐 때 사용. 2일 경우 중간 보스의 ID 입력. 3일 경우 보스 ID 입력</v>
      </c>
      <c r="J62" s="1"/>
      <c r="K62" s="1"/>
      <c r="L62" s="1"/>
      <c r="M62" s="1"/>
    </row>
    <row r="63" spans="1:13" ht="16.5" customHeight="1">
      <c r="A63" s="3" t="str">
        <f>IF(ISBLANK(B63),"",MAX($A$1:A62)+1)</f>
        <v/>
      </c>
      <c r="B63" s="1"/>
      <c r="C63" s="1" t="s">
        <v>84</v>
      </c>
      <c r="D63" s="1" t="s">
        <v>2</v>
      </c>
      <c r="E63" s="1" t="s">
        <v>83</v>
      </c>
      <c r="F63" s="1"/>
      <c r="G63" s="1"/>
      <c r="H63" s="1"/>
      <c r="I63" s="3" t="str">
        <f t="shared" si="0"/>
        <v>public intspecialMonId_02; // waveType이 1이 아닐 때 사용. 2일 경우 중간 보스의 ID 입력. 3일 경우 보스 ID 입력</v>
      </c>
      <c r="J63" s="1"/>
      <c r="K63" s="1"/>
      <c r="L63" s="1"/>
      <c r="M63" s="1"/>
    </row>
    <row r="64" spans="1:13" ht="16.5" customHeight="1">
      <c r="A64" s="3" t="str">
        <f>IF(ISBLANK(B64),"",MAX($A$1:A63)+1)</f>
        <v/>
      </c>
      <c r="B64" s="1"/>
      <c r="C64" s="1" t="s">
        <v>85</v>
      </c>
      <c r="D64" s="1" t="s">
        <v>2</v>
      </c>
      <c r="E64" s="1" t="s">
        <v>86</v>
      </c>
      <c r="F64" s="1"/>
      <c r="G64" s="1"/>
      <c r="H64" s="1"/>
      <c r="I64" s="3" t="str">
        <f t="shared" si="0"/>
        <v>public intspawn_01; // Spawn.tbl의 id 참조</v>
      </c>
      <c r="J64" s="1"/>
      <c r="K64" s="1"/>
      <c r="L64" s="1"/>
      <c r="M64" s="1"/>
    </row>
    <row r="65" spans="1:13" ht="16.5" customHeight="1">
      <c r="A65" s="3" t="str">
        <f>IF(ISBLANK(B65),"",MAX($A$1:A64)+1)</f>
        <v/>
      </c>
      <c r="B65" s="1"/>
      <c r="C65" s="1" t="s">
        <v>87</v>
      </c>
      <c r="D65" s="1" t="s">
        <v>2</v>
      </c>
      <c r="E65" s="1" t="s">
        <v>86</v>
      </c>
      <c r="F65" s="1"/>
      <c r="G65" s="1"/>
      <c r="H65" s="1"/>
      <c r="I65" s="3" t="str">
        <f t="shared" si="0"/>
        <v>public intspawn_02; // Spawn.tbl의 id 참조</v>
      </c>
      <c r="J65" s="1"/>
      <c r="K65" s="1"/>
      <c r="L65" s="1"/>
      <c r="M65" s="1"/>
    </row>
    <row r="66" spans="1:13" ht="16.5" customHeight="1">
      <c r="A66" s="3" t="str">
        <f>IF(ISBLANK(B66),"",MAX($A$1:A65)+1)</f>
        <v/>
      </c>
      <c r="B66" s="1"/>
      <c r="C66" s="1" t="s">
        <v>88</v>
      </c>
      <c r="D66" s="1" t="s">
        <v>2</v>
      </c>
      <c r="E66" s="1" t="s">
        <v>86</v>
      </c>
      <c r="F66" s="1"/>
      <c r="G66" s="1"/>
      <c r="H66" s="1"/>
      <c r="I66" s="3" t="str">
        <f t="shared" si="0"/>
        <v>public intspawn_03; // Spawn.tbl의 id 참조</v>
      </c>
      <c r="J66" s="1"/>
      <c r="K66" s="1"/>
      <c r="L66" s="1"/>
      <c r="M66" s="1"/>
    </row>
    <row r="67" spans="1:13" ht="16.5" customHeight="1">
      <c r="A67" s="3" t="str">
        <f>IF(ISBLANK(B67),"",MAX($A$1:A66)+1)</f>
        <v/>
      </c>
      <c r="B67" s="1"/>
      <c r="C67" s="1" t="s">
        <v>89</v>
      </c>
      <c r="D67" s="1" t="s">
        <v>2</v>
      </c>
      <c r="E67" s="1" t="s">
        <v>86</v>
      </c>
      <c r="F67" s="1"/>
      <c r="G67" s="1"/>
      <c r="H67" s="1"/>
      <c r="I67" s="3" t="str">
        <f t="shared" ref="I67:I130" si="1">IF(ISBLANK(B67),IF(ISBLANK(C67),"}","public "&amp;D67 &amp;C67&amp;"; //"&amp;" "&amp;E67),"public class"&amp;" "&amp;SUBSTITUTE(B67,".tbl","Data")&amp;"{")</f>
        <v>public intspawn_04; // Spawn.tbl의 id 참조</v>
      </c>
      <c r="J67" s="1"/>
      <c r="K67" s="1"/>
      <c r="L67" s="1"/>
      <c r="M67" s="1"/>
    </row>
    <row r="68" spans="1:13" ht="16.5" customHeight="1">
      <c r="A68" s="3" t="str">
        <f>IF(ISBLANK(B68),"",MAX($A$1:A67)+1)</f>
        <v/>
      </c>
      <c r="B68" s="1"/>
      <c r="C68" s="1"/>
      <c r="D68" s="1"/>
      <c r="E68" s="1"/>
      <c r="F68" s="1"/>
      <c r="G68" s="1"/>
      <c r="H68" s="1"/>
      <c r="I68" s="3" t="str">
        <f t="shared" si="1"/>
        <v>}</v>
      </c>
      <c r="J68" s="1"/>
      <c r="K68" s="1"/>
      <c r="L68" s="1"/>
      <c r="M68" s="1"/>
    </row>
    <row r="69" spans="1:13" ht="16.5" customHeight="1">
      <c r="A69" s="3">
        <f>IF(ISBLANK(B69),"",MAX($A$1:A68)+1)</f>
        <v>7</v>
      </c>
      <c r="B69" s="1" t="s">
        <v>90</v>
      </c>
      <c r="C69" s="1"/>
      <c r="D69" s="1"/>
      <c r="E69" s="1"/>
      <c r="F69" s="1"/>
      <c r="G69" s="1"/>
      <c r="H69" s="1"/>
      <c r="I69" s="3" t="str">
        <f t="shared" si="1"/>
        <v>public class SpawnData{</v>
      </c>
      <c r="J69" s="1"/>
      <c r="K69" s="1"/>
      <c r="L69" s="1"/>
      <c r="M69" s="1"/>
    </row>
    <row r="70" spans="1:13" ht="16.5" customHeight="1">
      <c r="A70" s="3" t="str">
        <f>IF(ISBLANK(B70),"",MAX($A$1:A69)+1)</f>
        <v/>
      </c>
      <c r="B70" s="1"/>
      <c r="C70" s="1" t="s">
        <v>35</v>
      </c>
      <c r="D70" s="1" t="s">
        <v>2</v>
      </c>
      <c r="E70" s="1" t="s">
        <v>35</v>
      </c>
      <c r="F70" s="1"/>
      <c r="G70" s="1"/>
      <c r="H70" s="1"/>
      <c r="I70" s="3" t="str">
        <f t="shared" si="1"/>
        <v>public intid; // id</v>
      </c>
      <c r="J70" s="1"/>
      <c r="K70" s="1"/>
      <c r="L70" s="1"/>
      <c r="M70" s="1"/>
    </row>
    <row r="71" spans="1:13" ht="16.5" customHeight="1">
      <c r="A71" s="3" t="str">
        <f>IF(ISBLANK(B71),"",MAX($A$1:A70)+1)</f>
        <v/>
      </c>
      <c r="B71" s="1"/>
      <c r="C71" s="1" t="s">
        <v>91</v>
      </c>
      <c r="D71" s="1" t="s">
        <v>2</v>
      </c>
      <c r="E71" s="1" t="s">
        <v>92</v>
      </c>
      <c r="F71" s="1"/>
      <c r="G71" s="1"/>
      <c r="H71" s="1"/>
      <c r="I71" s="3" t="str">
        <f t="shared" si="1"/>
        <v>public intmonNum_01; // 근거리 몬스터 총 생성 수</v>
      </c>
      <c r="J71" s="1"/>
      <c r="K71" s="1"/>
      <c r="L71" s="1"/>
      <c r="M71" s="1"/>
    </row>
    <row r="72" spans="1:13" ht="16.5" customHeight="1">
      <c r="A72" s="3" t="str">
        <f>IF(ISBLANK(B72),"",MAX($A$1:A71)+1)</f>
        <v/>
      </c>
      <c r="B72" s="1"/>
      <c r="C72" s="1" t="s">
        <v>93</v>
      </c>
      <c r="D72" s="1" t="s">
        <v>2</v>
      </c>
      <c r="E72" s="1" t="s">
        <v>94</v>
      </c>
      <c r="F72" s="1"/>
      <c r="G72" s="1"/>
      <c r="H72" s="1"/>
      <c r="I72" s="3" t="str">
        <f t="shared" si="1"/>
        <v>public intmonNum_02; // 원거리 몬스터 총 생성 수</v>
      </c>
      <c r="J72" s="1"/>
      <c r="K72" s="1"/>
      <c r="L72" s="1"/>
      <c r="M72" s="1"/>
    </row>
    <row r="73" spans="1:13" ht="16.5" customHeight="1">
      <c r="A73" s="3" t="str">
        <f>IF(ISBLANK(B73),"",MAX($A$1:A72)+1)</f>
        <v/>
      </c>
      <c r="B73" s="1"/>
      <c r="C73" s="1" t="s">
        <v>95</v>
      </c>
      <c r="D73" s="1" t="s">
        <v>2</v>
      </c>
      <c r="E73" s="1" t="s">
        <v>96</v>
      </c>
      <c r="F73" s="1"/>
      <c r="G73" s="1"/>
      <c r="H73" s="1"/>
      <c r="I73" s="3" t="str">
        <f t="shared" si="1"/>
        <v>public intmonNum_03; // 구조물 몬스터 총 생성 수</v>
      </c>
      <c r="J73" s="1"/>
      <c r="K73" s="1"/>
      <c r="L73" s="1"/>
      <c r="M73" s="1"/>
    </row>
    <row r="74" spans="1:13" ht="16.5" customHeight="1">
      <c r="A74" s="3" t="str">
        <f>IF(ISBLANK(B74),"",MAX($A$1:A73)+1)</f>
        <v/>
      </c>
      <c r="B74" s="1"/>
      <c r="C74" s="1" t="s">
        <v>97</v>
      </c>
      <c r="D74" s="1" t="s">
        <v>2</v>
      </c>
      <c r="E74" s="1" t="s">
        <v>98</v>
      </c>
      <c r="F74" s="1"/>
      <c r="G74" s="1"/>
      <c r="H74" s="1"/>
      <c r="I74" s="3" t="str">
        <f t="shared" si="1"/>
        <v>public intmonNum_04; // 엘리트 몬스터 총 생성 수</v>
      </c>
      <c r="J74" s="1"/>
      <c r="K74" s="1"/>
      <c r="L74" s="1"/>
      <c r="M74" s="1"/>
    </row>
    <row r="75" spans="1:13" ht="16.5" customHeight="1">
      <c r="A75" s="3" t="str">
        <f>IF(ISBLANK(B75),"",MAX($A$1:A74)+1)</f>
        <v/>
      </c>
      <c r="B75" s="1"/>
      <c r="C75" s="1" t="s">
        <v>99</v>
      </c>
      <c r="D75" s="1" t="s">
        <v>2</v>
      </c>
      <c r="E75" s="1" t="s">
        <v>100</v>
      </c>
      <c r="F75" s="1"/>
      <c r="G75" s="1"/>
      <c r="H75" s="1"/>
      <c r="I75" s="3" t="str">
        <f t="shared" si="1"/>
        <v>public intmonNum_05; // 보스 몬스터 총 생성 수</v>
      </c>
      <c r="J75" s="1"/>
      <c r="K75" s="1"/>
      <c r="L75" s="1"/>
      <c r="M75" s="1"/>
    </row>
    <row r="76" spans="1:13" ht="16.5" customHeight="1">
      <c r="A76" s="3" t="str">
        <f>IF(ISBLANK(B76),"",MAX($A$1:A75)+1)</f>
        <v/>
      </c>
      <c r="B76" s="1"/>
      <c r="C76" s="1"/>
      <c r="D76" s="1"/>
      <c r="E76" s="1"/>
      <c r="F76" s="1"/>
      <c r="G76" s="1"/>
      <c r="H76" s="1"/>
      <c r="I76" s="3" t="str">
        <f t="shared" si="1"/>
        <v>}</v>
      </c>
      <c r="J76" s="1"/>
      <c r="K76" s="1"/>
      <c r="L76" s="1"/>
      <c r="M76" s="1"/>
    </row>
    <row r="77" spans="1:13" ht="16.5" customHeight="1">
      <c r="A77" s="3">
        <f>IF(ISBLANK(B77),"",MAX($A$1:A76)+1)</f>
        <v>8</v>
      </c>
      <c r="B77" s="1" t="s">
        <v>101</v>
      </c>
      <c r="C77" s="1"/>
      <c r="D77" s="1"/>
      <c r="E77" s="1"/>
      <c r="F77" s="1"/>
      <c r="G77" s="1"/>
      <c r="H77" s="1"/>
      <c r="I77" s="3" t="str">
        <f t="shared" si="1"/>
        <v>public class RiskData{</v>
      </c>
      <c r="J77" s="1"/>
      <c r="K77" s="1"/>
      <c r="L77" s="1"/>
      <c r="M77" s="1"/>
    </row>
    <row r="78" spans="1:13" ht="16.5" customHeight="1">
      <c r="A78" s="3" t="str">
        <f>IF(ISBLANK(B78),"",MAX($A$1:A77)+1)</f>
        <v/>
      </c>
      <c r="B78" s="1"/>
      <c r="C78" s="2" t="s">
        <v>35</v>
      </c>
      <c r="D78" s="1" t="s">
        <v>2</v>
      </c>
      <c r="E78" s="1" t="s">
        <v>35</v>
      </c>
      <c r="F78" s="1"/>
      <c r="G78" s="1"/>
      <c r="H78" s="1"/>
      <c r="I78" s="3" t="str">
        <f t="shared" si="1"/>
        <v>public intid; // id</v>
      </c>
      <c r="J78" s="1"/>
      <c r="K78" s="1"/>
      <c r="L78" s="1"/>
      <c r="M78" s="1"/>
    </row>
    <row r="79" spans="1:13" ht="16.5" customHeight="1">
      <c r="A79" s="3" t="str">
        <f>IF(ISBLANK(B79),"",MAX($A$1:A78)+1)</f>
        <v/>
      </c>
      <c r="B79" s="1"/>
      <c r="C79" s="2" t="s">
        <v>102</v>
      </c>
      <c r="D79" s="1" t="s">
        <v>37</v>
      </c>
      <c r="E79" s="1" t="s">
        <v>103</v>
      </c>
      <c r="F79" s="1"/>
      <c r="G79" s="1"/>
      <c r="H79" s="1"/>
      <c r="I79" s="3" t="str">
        <f t="shared" si="1"/>
        <v>public stringname; // 리스크 명칭</v>
      </c>
      <c r="J79" s="1"/>
      <c r="K79" s="1"/>
      <c r="L79" s="1"/>
      <c r="M79" s="1"/>
    </row>
    <row r="80" spans="1:13" ht="16.5" customHeight="1">
      <c r="A80" s="3" t="str">
        <f>IF(ISBLANK(B80),"",MAX($A$1:A79)+1)</f>
        <v/>
      </c>
      <c r="B80" s="1"/>
      <c r="C80" s="2" t="s">
        <v>104</v>
      </c>
      <c r="D80" s="1" t="s">
        <v>5</v>
      </c>
      <c r="E80" s="1" t="s">
        <v>105</v>
      </c>
      <c r="F80" s="1"/>
      <c r="G80" s="1"/>
      <c r="H80" s="1"/>
      <c r="I80" s="3" t="str">
        <f t="shared" si="1"/>
        <v>public floatcurHp; // 현재 체력 영향 배율</v>
      </c>
      <c r="J80" s="1"/>
      <c r="K80" s="1"/>
      <c r="L80" s="1"/>
      <c r="M80" s="1"/>
    </row>
    <row r="81" spans="1:13" ht="16.5" customHeight="1">
      <c r="A81" s="3" t="str">
        <f>IF(ISBLANK(B81),"",MAX($A$1:A80)+1)</f>
        <v/>
      </c>
      <c r="B81" s="1"/>
      <c r="C81" s="2" t="s">
        <v>22</v>
      </c>
      <c r="D81" s="1" t="s">
        <v>5</v>
      </c>
      <c r="E81" s="1" t="s">
        <v>106</v>
      </c>
      <c r="F81" s="1"/>
      <c r="G81" s="1"/>
      <c r="H81" s="1"/>
      <c r="I81" s="3" t="str">
        <f t="shared" si="1"/>
        <v>public floatmaxHp; // 최대 체력 영향 배율</v>
      </c>
      <c r="J81" s="1"/>
      <c r="K81" s="1"/>
      <c r="L81" s="1"/>
      <c r="M81" s="1"/>
    </row>
    <row r="82" spans="1:13" ht="16.5" customHeight="1">
      <c r="A82" s="3" t="str">
        <f>IF(ISBLANK(B82),"",MAX($A$1:A81)+1)</f>
        <v/>
      </c>
      <c r="B82" s="1"/>
      <c r="C82" s="2" t="s">
        <v>24</v>
      </c>
      <c r="D82" s="1" t="s">
        <v>5</v>
      </c>
      <c r="E82" s="1" t="s">
        <v>107</v>
      </c>
      <c r="F82" s="1"/>
      <c r="G82" s="1"/>
      <c r="H82" s="1"/>
      <c r="I82" s="3" t="str">
        <f t="shared" si="1"/>
        <v>public floatatkPwr; // 공격력 영향 배율</v>
      </c>
      <c r="J82" s="1"/>
      <c r="K82" s="1"/>
      <c r="L82" s="1"/>
      <c r="M82" s="1"/>
    </row>
    <row r="83" spans="1:13" ht="16.5" customHeight="1">
      <c r="A83" s="3" t="str">
        <f>IF(ISBLANK(B83),"",MAX($A$1:A82)+1)</f>
        <v/>
      </c>
      <c r="B83" s="1"/>
      <c r="C83" s="2" t="s">
        <v>47</v>
      </c>
      <c r="D83" s="1" t="s">
        <v>5</v>
      </c>
      <c r="E83" s="1" t="s">
        <v>108</v>
      </c>
      <c r="F83" s="1"/>
      <c r="G83" s="1"/>
      <c r="H83" s="1"/>
      <c r="I83" s="3" t="str">
        <f t="shared" si="1"/>
        <v>public floatmoveSpeed; // 이동 속도 영향 배율</v>
      </c>
      <c r="J83" s="1"/>
      <c r="K83" s="1"/>
      <c r="L83" s="1"/>
      <c r="M83" s="1"/>
    </row>
    <row r="84" spans="1:13" ht="16.5" customHeight="1">
      <c r="A84" s="3" t="str">
        <f>IF(ISBLANK(B84),"",MAX($A$1:A83)+1)</f>
        <v/>
      </c>
      <c r="B84" s="1"/>
      <c r="C84" s="2" t="s">
        <v>26</v>
      </c>
      <c r="D84" s="1" t="s">
        <v>5</v>
      </c>
      <c r="E84" s="1" t="s">
        <v>109</v>
      </c>
      <c r="F84" s="1"/>
      <c r="G84" s="1"/>
      <c r="H84" s="1"/>
      <c r="I84" s="3" t="str">
        <f t="shared" si="1"/>
        <v>public floatcriPrb; // 치명타 확률 영향 배율</v>
      </c>
      <c r="J84" s="1"/>
      <c r="K84" s="1"/>
      <c r="L84" s="1"/>
      <c r="M84" s="1"/>
    </row>
    <row r="85" spans="1:13" ht="16.5" customHeight="1">
      <c r="A85" s="3" t="str">
        <f>IF(ISBLANK(B85),"",MAX($A$1:A84)+1)</f>
        <v/>
      </c>
      <c r="B85" s="1"/>
      <c r="C85" s="2" t="s">
        <v>28</v>
      </c>
      <c r="D85" s="1" t="s">
        <v>5</v>
      </c>
      <c r="E85" s="1" t="s">
        <v>110</v>
      </c>
      <c r="F85" s="1"/>
      <c r="G85" s="1"/>
      <c r="H85" s="1"/>
      <c r="I85" s="3" t="str">
        <f t="shared" si="1"/>
        <v>public floatcriDmg; // 치명타 데미지 영향 배율</v>
      </c>
      <c r="J85" s="1"/>
      <c r="K85" s="1"/>
      <c r="L85" s="1"/>
      <c r="M85" s="1"/>
    </row>
    <row r="86" spans="1:13" ht="16.5" customHeight="1">
      <c r="A86" s="3" t="str">
        <f>IF(ISBLANK(B86),"",MAX($A$1:A85)+1)</f>
        <v/>
      </c>
      <c r="B86" s="1"/>
      <c r="C86" s="2" t="s">
        <v>45</v>
      </c>
      <c r="D86" s="1" t="s">
        <v>5</v>
      </c>
      <c r="E86" s="1" t="s">
        <v>111</v>
      </c>
      <c r="F86" s="1"/>
      <c r="G86" s="1"/>
      <c r="H86" s="1"/>
      <c r="I86" s="3" t="str">
        <f t="shared" si="1"/>
        <v>public floatgotDmg; // 받는 피해량 영향 배율</v>
      </c>
      <c r="J86" s="1"/>
      <c r="K86" s="1"/>
      <c r="L86" s="1"/>
      <c r="M86" s="1"/>
    </row>
    <row r="87" spans="1:13" ht="16.5" customHeight="1">
      <c r="A87" s="3" t="str">
        <f>IF(ISBLANK(B87),"",MAX($A$1:A86)+1)</f>
        <v/>
      </c>
      <c r="B87" s="1"/>
      <c r="C87" s="2" t="s">
        <v>30</v>
      </c>
      <c r="D87" s="1" t="s">
        <v>5</v>
      </c>
      <c r="E87" s="1" t="s">
        <v>112</v>
      </c>
      <c r="F87" s="1"/>
      <c r="G87" s="1"/>
      <c r="H87" s="1"/>
      <c r="I87" s="3" t="str">
        <f t="shared" si="1"/>
        <v>public floathpRcv; // 초당 체력 회복량 영향 배율</v>
      </c>
      <c r="J87" s="1"/>
      <c r="K87" s="1"/>
      <c r="L87" s="1"/>
      <c r="M87" s="1"/>
    </row>
    <row r="88" spans="1:13" ht="16.5" customHeight="1">
      <c r="A88" s="3" t="str">
        <f>IF(ISBLANK(B88),"",MAX($A$1:A87)+1)</f>
        <v/>
      </c>
      <c r="B88" s="1"/>
      <c r="C88" s="2" t="s">
        <v>32</v>
      </c>
      <c r="D88" s="1" t="s">
        <v>5</v>
      </c>
      <c r="E88" s="1" t="s">
        <v>113</v>
      </c>
      <c r="F88" s="1"/>
      <c r="G88" s="1"/>
      <c r="H88" s="1"/>
      <c r="I88" s="3" t="str">
        <f t="shared" si="1"/>
        <v>public floatcdnPct; // 스킬 쿨타임 감소율 영향 배율</v>
      </c>
      <c r="J88" s="1"/>
      <c r="K88" s="1"/>
      <c r="L88" s="1"/>
      <c r="M88" s="1"/>
    </row>
    <row r="89" spans="1:13" ht="16.5" customHeight="1">
      <c r="A89" s="3" t="str">
        <f>IF(ISBLANK(B89),"",MAX($A$1:A88)+1)</f>
        <v/>
      </c>
      <c r="B89" s="1"/>
      <c r="C89" s="2" t="s">
        <v>114</v>
      </c>
      <c r="D89" s="1" t="s">
        <v>2</v>
      </c>
      <c r="E89" s="1" t="s">
        <v>115</v>
      </c>
      <c r="F89" s="1"/>
      <c r="G89" s="1"/>
      <c r="H89" s="1"/>
      <c r="I89" s="3" t="str">
        <f t="shared" si="1"/>
        <v>public intrmnRnd; // 지속되는 리스크 여부</v>
      </c>
      <c r="J89" s="1"/>
      <c r="K89" s="1"/>
      <c r="L89" s="1"/>
      <c r="M89" s="1"/>
    </row>
    <row r="90" spans="1:13" ht="16.5" customHeight="1">
      <c r="A90" s="3" t="str">
        <f>IF(ISBLANK(B90),"",MAX($A$1:A89)+1)</f>
        <v/>
      </c>
      <c r="B90" s="1"/>
      <c r="C90" s="2" t="s">
        <v>116</v>
      </c>
      <c r="D90" s="1" t="s">
        <v>5</v>
      </c>
      <c r="E90" s="1" t="s">
        <v>117</v>
      </c>
      <c r="F90" s="1"/>
      <c r="G90" s="1"/>
      <c r="H90" s="1"/>
      <c r="I90" s="3" t="str">
        <f t="shared" si="1"/>
        <v>public floatwonScale; // 재화 배율</v>
      </c>
      <c r="J90" s="1"/>
      <c r="K90" s="1"/>
      <c r="L90" s="1"/>
      <c r="M90" s="1"/>
    </row>
    <row r="91" spans="1:13" ht="16.5" customHeight="1">
      <c r="A91" s="3" t="str">
        <f>IF(ISBLANK(B91),"",MAX($A$1:A90)+1)</f>
        <v/>
      </c>
      <c r="B91" s="1"/>
      <c r="C91" s="1"/>
      <c r="D91" s="1"/>
      <c r="E91" s="1"/>
      <c r="F91" s="1"/>
      <c r="G91" s="1"/>
      <c r="H91" s="1"/>
      <c r="I91" s="3" t="str">
        <f t="shared" si="1"/>
        <v>}</v>
      </c>
      <c r="J91" s="1"/>
      <c r="K91" s="1"/>
      <c r="L91" s="1"/>
      <c r="M91" s="1"/>
    </row>
    <row r="92" spans="1:13" ht="16.5" customHeight="1">
      <c r="A92" s="3">
        <f>IF(ISBLANK(B92),"",MAX($A$1:A91)+1)</f>
        <v>9</v>
      </c>
      <c r="B92" s="1" t="s">
        <v>118</v>
      </c>
      <c r="C92" s="1"/>
      <c r="D92" s="1"/>
      <c r="E92" s="1"/>
      <c r="F92" s="1"/>
      <c r="G92" s="1"/>
      <c r="H92" s="1"/>
      <c r="I92" s="3" t="str">
        <f t="shared" si="1"/>
        <v>public class MonsterData{</v>
      </c>
      <c r="J92" s="1"/>
      <c r="K92" s="1"/>
      <c r="L92" s="1"/>
      <c r="M92" s="1"/>
    </row>
    <row r="93" spans="1:13" ht="16.5" customHeight="1">
      <c r="A93" s="3" t="str">
        <f>IF(ISBLANK(B93),"",MAX($A$1:A92)+1)</f>
        <v/>
      </c>
      <c r="B93" s="1"/>
      <c r="C93" s="1" t="s">
        <v>35</v>
      </c>
      <c r="D93" s="1" t="s">
        <v>2</v>
      </c>
      <c r="E93" s="1" t="s">
        <v>35</v>
      </c>
      <c r="F93" s="1"/>
      <c r="G93" s="1"/>
      <c r="H93" s="1"/>
      <c r="I93" s="3" t="str">
        <f t="shared" si="1"/>
        <v>public intid; // id</v>
      </c>
      <c r="J93" s="1"/>
      <c r="K93" s="1"/>
      <c r="L93" s="1"/>
      <c r="M93" s="1"/>
    </row>
    <row r="94" spans="1:13" ht="16.5" customHeight="1">
      <c r="A94" s="3" t="str">
        <f>IF(ISBLANK(B94),"",MAX($A$1:A93)+1)</f>
        <v/>
      </c>
      <c r="B94" s="1"/>
      <c r="C94" s="1" t="s">
        <v>102</v>
      </c>
      <c r="D94" s="1" t="s">
        <v>37</v>
      </c>
      <c r="E94" s="1" t="s">
        <v>119</v>
      </c>
      <c r="F94" s="1"/>
      <c r="G94" s="1"/>
      <c r="H94" s="1"/>
      <c r="I94" s="3" t="str">
        <f t="shared" si="1"/>
        <v>public stringname; // 몬스터 명칭</v>
      </c>
      <c r="J94" s="1"/>
      <c r="K94" s="1"/>
      <c r="L94" s="1"/>
      <c r="M94" s="1"/>
    </row>
    <row r="95" spans="1:13" ht="16.5" customHeight="1">
      <c r="A95" s="3" t="str">
        <f>IF(ISBLANK(B95),"",MAX($A$1:A94)+1)</f>
        <v/>
      </c>
      <c r="B95" s="1"/>
      <c r="C95" s="1" t="s">
        <v>120</v>
      </c>
      <c r="D95" s="1" t="s">
        <v>2</v>
      </c>
      <c r="E95" s="1" t="s">
        <v>121</v>
      </c>
      <c r="F95" s="1"/>
      <c r="G95" s="1"/>
      <c r="H95" s="1"/>
      <c r="I95" s="3" t="str">
        <f t="shared" si="1"/>
        <v>public intmonType; // 몬스터 타입. 1=근거리, 2=원거리, 3=구조물, 4=엘리트, 5=보스</v>
      </c>
      <c r="J95" s="1"/>
      <c r="K95" s="1"/>
      <c r="L95" s="1"/>
      <c r="M95" s="1"/>
    </row>
    <row r="96" spans="1:13" ht="16.5" customHeight="1">
      <c r="A96" s="3" t="str">
        <f>IF(ISBLANK(B96),"",MAX($A$1:A95)+1)</f>
        <v/>
      </c>
      <c r="B96" s="1"/>
      <c r="C96" s="1" t="s">
        <v>122</v>
      </c>
      <c r="D96" s="1" t="s">
        <v>2</v>
      </c>
      <c r="E96" s="1" t="s">
        <v>123</v>
      </c>
      <c r="F96" s="1"/>
      <c r="G96" s="1"/>
      <c r="H96" s="1"/>
      <c r="I96" s="3" t="str">
        <f t="shared" si="1"/>
        <v>public intprojectile_01; // 몬스터의 공격에 사용되는 투사체. Projectile.tbl에서 id 참조</v>
      </c>
      <c r="J96" s="1"/>
      <c r="K96" s="1"/>
      <c r="L96" s="1"/>
      <c r="M96" s="1"/>
    </row>
    <row r="97" spans="1:13" ht="16.5" customHeight="1">
      <c r="A97" s="3" t="str">
        <f>IF(ISBLANK(B97),"",MAX($A$1:A96)+1)</f>
        <v/>
      </c>
      <c r="B97" s="1"/>
      <c r="C97" s="1" t="s">
        <v>124</v>
      </c>
      <c r="D97" s="1" t="s">
        <v>2</v>
      </c>
      <c r="E97" s="1" t="s">
        <v>123</v>
      </c>
      <c r="F97" s="1"/>
      <c r="G97" s="1"/>
      <c r="H97" s="1"/>
      <c r="I97" s="3" t="str">
        <f t="shared" si="1"/>
        <v>public intprojectile_02; // 몬스터의 공격에 사용되는 투사체. Projectile.tbl에서 id 참조</v>
      </c>
      <c r="J97" s="1"/>
      <c r="K97" s="1"/>
      <c r="L97" s="1"/>
      <c r="M97" s="1"/>
    </row>
    <row r="98" spans="1:13" ht="16.5" customHeight="1">
      <c r="A98" s="3" t="str">
        <f>IF(ISBLANK(B98),"",MAX($A$1:A97)+1)</f>
        <v/>
      </c>
      <c r="B98" s="1"/>
      <c r="C98" s="1" t="s">
        <v>125</v>
      </c>
      <c r="D98" s="1" t="s">
        <v>5</v>
      </c>
      <c r="E98" s="1" t="s">
        <v>126</v>
      </c>
      <c r="F98" s="1"/>
      <c r="G98" s="1"/>
      <c r="H98" s="1"/>
      <c r="I98" s="3" t="str">
        <f t="shared" si="1"/>
        <v>public floatgiveWon; // 몬스터를 죽였을 때 플레이어가 획득하는 재화량</v>
      </c>
      <c r="J98" s="1"/>
      <c r="K98" s="1"/>
      <c r="L98" s="1"/>
      <c r="M98" s="1"/>
    </row>
    <row r="99" spans="1:13" ht="16.5" customHeight="1">
      <c r="A99" s="3" t="str">
        <f>IF(ISBLANK(B99),"",MAX($A$1:A98)+1)</f>
        <v/>
      </c>
      <c r="B99" s="1"/>
      <c r="C99" s="1" t="s">
        <v>127</v>
      </c>
      <c r="D99" s="1" t="s">
        <v>5</v>
      </c>
      <c r="E99" s="1" t="s">
        <v>128</v>
      </c>
      <c r="F99" s="1"/>
      <c r="G99" s="1"/>
      <c r="H99" s="1"/>
      <c r="I99" s="3" t="str">
        <f t="shared" si="1"/>
        <v>public floatgiveExp; // 몬스터를 죽였을 때 플레이어가 획득하는 경험치량</v>
      </c>
      <c r="J99" s="1"/>
      <c r="K99" s="1"/>
      <c r="L99" s="1"/>
      <c r="M99" s="1"/>
    </row>
    <row r="100" spans="1:13" ht="16.5" customHeight="1">
      <c r="A100" s="3" t="str">
        <f>IF(ISBLANK(B100),"",MAX($A$1:A99)+1)</f>
        <v/>
      </c>
      <c r="B100" s="1"/>
      <c r="C100" s="1" t="s">
        <v>129</v>
      </c>
      <c r="D100" s="1" t="s">
        <v>5</v>
      </c>
      <c r="E100" s="1" t="s">
        <v>130</v>
      </c>
      <c r="F100" s="1"/>
      <c r="G100" s="1"/>
      <c r="H100" s="1"/>
      <c r="I100" s="3" t="str">
        <f t="shared" si="1"/>
        <v>public floatMaxHp; // 몬스터 생성 시 최대 체력</v>
      </c>
      <c r="J100" s="1"/>
      <c r="K100" s="1"/>
      <c r="L100" s="1"/>
      <c r="M100" s="1"/>
    </row>
    <row r="101" spans="1:13" ht="16.5" customHeight="1">
      <c r="A101" s="3" t="str">
        <f>IF(ISBLANK(B101),"",MAX($A$1:A100)+1)</f>
        <v/>
      </c>
      <c r="B101" s="1"/>
      <c r="C101" s="1" t="s">
        <v>131</v>
      </c>
      <c r="D101" s="1" t="s">
        <v>5</v>
      </c>
      <c r="E101" s="1" t="s">
        <v>132</v>
      </c>
      <c r="F101" s="1"/>
      <c r="G101" s="1"/>
      <c r="H101" s="1"/>
      <c r="I101" s="3" t="str">
        <f t="shared" si="1"/>
        <v>public floatatkPower; // 몬스터의 공격력</v>
      </c>
      <c r="J101" s="1"/>
      <c r="K101" s="1"/>
      <c r="L101" s="1"/>
      <c r="M101" s="1"/>
    </row>
    <row r="102" spans="1:13" ht="16.5" customHeight="1">
      <c r="A102" s="3" t="str">
        <f>IF(ISBLANK(B102),"",MAX($A$1:A101)+1)</f>
        <v/>
      </c>
      <c r="B102" s="1"/>
      <c r="C102" s="1" t="s">
        <v>47</v>
      </c>
      <c r="D102" s="1" t="s">
        <v>5</v>
      </c>
      <c r="E102" s="1" t="s">
        <v>133</v>
      </c>
      <c r="F102" s="1"/>
      <c r="G102" s="1"/>
      <c r="H102" s="1"/>
      <c r="I102" s="3" t="str">
        <f t="shared" si="1"/>
        <v>public floatmoveSpeed; // 몬스터의 이동 속도</v>
      </c>
      <c r="J102" s="1"/>
      <c r="K102" s="1"/>
      <c r="L102" s="1"/>
      <c r="M102" s="1"/>
    </row>
    <row r="103" spans="1:13" ht="16.5" customHeight="1">
      <c r="A103" s="3" t="str">
        <f>IF(ISBLANK(B103),"",MAX($A$1:A102)+1)</f>
        <v/>
      </c>
      <c r="B103" s="1"/>
      <c r="C103" s="1" t="s">
        <v>134</v>
      </c>
      <c r="D103" s="1" t="s">
        <v>2</v>
      </c>
      <c r="E103" s="1" t="s">
        <v>135</v>
      </c>
      <c r="F103" s="1"/>
      <c r="G103" s="1"/>
      <c r="H103" s="1"/>
      <c r="I103" s="3" t="str">
        <f t="shared" si="1"/>
        <v>public intuseSkill_01; // 몬스터가 사용하는 스킬. Skill.tbl에서 id 참조</v>
      </c>
      <c r="J103" s="1"/>
      <c r="K103" s="1"/>
      <c r="L103" s="1"/>
      <c r="M103" s="1"/>
    </row>
    <row r="104" spans="1:13" ht="16.5" customHeight="1">
      <c r="A104" s="3" t="str">
        <f>IF(ISBLANK(B104),"",MAX($A$1:A103)+1)</f>
        <v/>
      </c>
      <c r="B104" s="1"/>
      <c r="C104" s="1" t="s">
        <v>136</v>
      </c>
      <c r="D104" s="1" t="s">
        <v>2</v>
      </c>
      <c r="E104" s="1" t="s">
        <v>135</v>
      </c>
      <c r="F104" s="1"/>
      <c r="G104" s="1"/>
      <c r="H104" s="1"/>
      <c r="I104" s="3" t="str">
        <f t="shared" si="1"/>
        <v>public intuseSkill_02; // 몬스터가 사용하는 스킬. Skill.tbl에서 id 참조</v>
      </c>
      <c r="J104" s="1"/>
      <c r="K104" s="1"/>
      <c r="L104" s="1"/>
      <c r="M104" s="1"/>
    </row>
    <row r="105" spans="1:13" ht="16.5" customHeight="1">
      <c r="A105" s="3" t="str">
        <f>IF(ISBLANK(B105),"",MAX($A$1:A104)+1)</f>
        <v/>
      </c>
      <c r="B105" s="1"/>
      <c r="C105" s="1" t="s">
        <v>137</v>
      </c>
      <c r="D105" s="1" t="s">
        <v>2</v>
      </c>
      <c r="E105" s="1" t="s">
        <v>135</v>
      </c>
      <c r="F105" s="1"/>
      <c r="G105" s="1"/>
      <c r="H105" s="1"/>
      <c r="I105" s="3" t="str">
        <f t="shared" si="1"/>
        <v>public intuseSkill_03; // 몬스터가 사용하는 스킬. Skill.tbl에서 id 참조</v>
      </c>
      <c r="J105" s="1"/>
      <c r="K105" s="1"/>
      <c r="L105" s="1"/>
      <c r="M105" s="1"/>
    </row>
    <row r="106" spans="1:13" ht="16.5" customHeight="1">
      <c r="A106" s="3" t="str">
        <f>IF(ISBLANK(B106),"",MAX($A$1:A105)+1)</f>
        <v/>
      </c>
      <c r="B106" s="1"/>
      <c r="C106" s="1" t="s">
        <v>138</v>
      </c>
      <c r="D106" s="1" t="s">
        <v>2</v>
      </c>
      <c r="E106" s="1" t="s">
        <v>135</v>
      </c>
      <c r="F106" s="1"/>
      <c r="G106" s="1"/>
      <c r="H106" s="1"/>
      <c r="I106" s="3" t="str">
        <f t="shared" si="1"/>
        <v>public intuseSkill_04; // 몬스터가 사용하는 스킬. Skill.tbl에서 id 참조</v>
      </c>
      <c r="J106" s="1"/>
      <c r="K106" s="1"/>
      <c r="L106" s="1"/>
      <c r="M106" s="1"/>
    </row>
    <row r="107" spans="1:13" ht="16.5" customHeight="1">
      <c r="A107" s="3" t="str">
        <f>IF(ISBLANK(B107),"",MAX($A$1:A106)+1)</f>
        <v/>
      </c>
      <c r="B107" s="1"/>
      <c r="C107" s="1" t="s">
        <v>139</v>
      </c>
      <c r="D107" s="1" t="s">
        <v>2</v>
      </c>
      <c r="E107" s="1" t="s">
        <v>135</v>
      </c>
      <c r="F107" s="1"/>
      <c r="G107" s="1"/>
      <c r="H107" s="1"/>
      <c r="I107" s="3" t="str">
        <f t="shared" si="1"/>
        <v>public intuseSkill_05; // 몬스터가 사용하는 스킬. Skill.tbl에서 id 참조</v>
      </c>
      <c r="J107" s="1"/>
      <c r="K107" s="1"/>
      <c r="L107" s="1"/>
      <c r="M107" s="1"/>
    </row>
    <row r="108" spans="1:13" ht="16.5" customHeight="1">
      <c r="A108" s="3" t="str">
        <f>IF(ISBLANK(B108),"",MAX($A$1:A107)+1)</f>
        <v/>
      </c>
      <c r="B108" s="1"/>
      <c r="C108" s="1" t="s">
        <v>140</v>
      </c>
      <c r="D108" s="1" t="s">
        <v>2</v>
      </c>
      <c r="E108" s="1" t="s">
        <v>135</v>
      </c>
      <c r="F108" s="1"/>
      <c r="G108" s="1"/>
      <c r="H108" s="1"/>
      <c r="I108" s="3" t="str">
        <f t="shared" si="1"/>
        <v>public intuseSkill_06; // 몬스터가 사용하는 스킬. Skill.tbl에서 id 참조</v>
      </c>
      <c r="J108" s="1"/>
      <c r="K108" s="1"/>
      <c r="L108" s="1"/>
      <c r="M108" s="1"/>
    </row>
    <row r="109" spans="1:13" ht="16.5" customHeight="1">
      <c r="A109" s="3" t="str">
        <f>IF(ISBLANK(B109),"",MAX($A$1:A108)+1)</f>
        <v/>
      </c>
      <c r="B109" s="1"/>
      <c r="C109" s="1" t="s">
        <v>141</v>
      </c>
      <c r="D109" s="1" t="s">
        <v>2</v>
      </c>
      <c r="E109" s="1" t="s">
        <v>135</v>
      </c>
      <c r="F109" s="1"/>
      <c r="G109" s="1"/>
      <c r="H109" s="1"/>
      <c r="I109" s="3" t="str">
        <f t="shared" si="1"/>
        <v>public intuseSkill_07; // 몬스터가 사용하는 스킬. Skill.tbl에서 id 참조</v>
      </c>
      <c r="J109" s="1"/>
      <c r="K109" s="1"/>
      <c r="L109" s="1"/>
      <c r="M109" s="1"/>
    </row>
    <row r="110" spans="1:13" ht="16.5" customHeight="1">
      <c r="A110" s="3" t="str">
        <f>IF(ISBLANK(B110),"",MAX($A$1:A109)+1)</f>
        <v/>
      </c>
      <c r="B110" s="1"/>
      <c r="C110" s="1" t="s">
        <v>142</v>
      </c>
      <c r="D110" s="1" t="s">
        <v>2</v>
      </c>
      <c r="E110" s="1" t="s">
        <v>135</v>
      </c>
      <c r="F110" s="1"/>
      <c r="G110" s="1"/>
      <c r="H110" s="1"/>
      <c r="I110" s="3" t="str">
        <f t="shared" si="1"/>
        <v>public intuseSkill_08; // 몬스터가 사용하는 스킬. Skill.tbl에서 id 참조</v>
      </c>
      <c r="J110" s="1"/>
      <c r="K110" s="1"/>
      <c r="L110" s="1"/>
      <c r="M110" s="1"/>
    </row>
    <row r="111" spans="1:13" ht="16.5" customHeight="1">
      <c r="A111" s="3" t="str">
        <f>IF(ISBLANK(B111),"",MAX($A$1:A110)+1)</f>
        <v/>
      </c>
      <c r="B111" s="1"/>
      <c r="C111" s="1"/>
      <c r="D111" s="1"/>
      <c r="E111" s="1"/>
      <c r="F111" s="1"/>
      <c r="G111" s="1"/>
      <c r="H111" s="1"/>
      <c r="I111" s="3" t="str">
        <f t="shared" si="1"/>
        <v>}</v>
      </c>
      <c r="J111" s="1"/>
      <c r="K111" s="1"/>
      <c r="L111" s="1"/>
      <c r="M111" s="1"/>
    </row>
    <row r="112" spans="1:13" ht="16.5" customHeight="1">
      <c r="A112" s="3">
        <f>IF(ISBLANK(B112),"",MAX($A$1:A111)+1)</f>
        <v>10</v>
      </c>
      <c r="B112" s="1" t="s">
        <v>143</v>
      </c>
      <c r="C112" s="1"/>
      <c r="D112" s="1"/>
      <c r="E112" s="1"/>
      <c r="F112" s="1"/>
      <c r="G112" s="1"/>
      <c r="H112" s="1"/>
      <c r="I112" s="3" t="str">
        <f t="shared" si="1"/>
        <v>public class ProjectileData{</v>
      </c>
      <c r="J112" s="1"/>
      <c r="K112" s="1"/>
      <c r="L112" s="1"/>
      <c r="M112" s="1"/>
    </row>
    <row r="113" spans="1:13" ht="16.5" customHeight="1">
      <c r="A113" s="3" t="str">
        <f>IF(ISBLANK(B113),"",MAX($A$1:A112)+1)</f>
        <v/>
      </c>
      <c r="B113" s="1"/>
      <c r="C113" s="1" t="s">
        <v>35</v>
      </c>
      <c r="D113" s="1" t="s">
        <v>2</v>
      </c>
      <c r="E113" s="1" t="s">
        <v>35</v>
      </c>
      <c r="F113" s="1"/>
      <c r="G113" s="1"/>
      <c r="H113" s="1"/>
      <c r="I113" s="3" t="str">
        <f t="shared" si="1"/>
        <v>public intid; // id</v>
      </c>
      <c r="J113" s="1"/>
      <c r="K113" s="1"/>
      <c r="L113" s="1"/>
      <c r="M113" s="1"/>
    </row>
    <row r="114" spans="1:13" ht="16.5" customHeight="1">
      <c r="A114" s="3" t="str">
        <f>IF(ISBLANK(B114),"",MAX($A$1:A113)+1)</f>
        <v/>
      </c>
      <c r="B114" s="1"/>
      <c r="C114" s="1" t="s">
        <v>102</v>
      </c>
      <c r="D114" s="1" t="s">
        <v>37</v>
      </c>
      <c r="E114" s="1" t="s">
        <v>144</v>
      </c>
      <c r="F114" s="1"/>
      <c r="G114" s="1"/>
      <c r="H114" s="1"/>
      <c r="I114" s="3" t="str">
        <f t="shared" si="1"/>
        <v>public stringname; // 투사체 명칭</v>
      </c>
      <c r="J114" s="1"/>
      <c r="K114" s="1"/>
      <c r="L114" s="1"/>
      <c r="M114" s="1"/>
    </row>
    <row r="115" spans="1:13" ht="16.5" customHeight="1">
      <c r="A115" s="3" t="str">
        <f>IF(ISBLANK(B115),"",MAX($A$1:A114)+1)</f>
        <v/>
      </c>
      <c r="B115" s="1"/>
      <c r="C115" s="1"/>
      <c r="D115" s="1"/>
      <c r="E115" s="1"/>
      <c r="F115" s="1"/>
      <c r="G115" s="1"/>
      <c r="H115" s="1"/>
      <c r="I115" s="3" t="str">
        <f t="shared" si="1"/>
        <v>}</v>
      </c>
      <c r="J115" s="1"/>
      <c r="K115" s="1"/>
      <c r="L115" s="1"/>
      <c r="M115" s="1"/>
    </row>
    <row r="116" spans="1:13" ht="16.5" customHeight="1">
      <c r="A116" s="3">
        <f>IF(ISBLANK(B116),"",MAX($A$1:A115)+1)</f>
        <v>11</v>
      </c>
      <c r="B116" s="1" t="s">
        <v>145</v>
      </c>
      <c r="C116" s="1"/>
      <c r="D116" s="1"/>
      <c r="E116" s="1"/>
      <c r="F116" s="1"/>
      <c r="G116" s="1"/>
      <c r="H116" s="1"/>
      <c r="I116" s="3" t="str">
        <f t="shared" si="1"/>
        <v>public class SkillData{</v>
      </c>
      <c r="J116" s="1"/>
      <c r="K116" s="1"/>
      <c r="L116" s="1"/>
      <c r="M116" s="1"/>
    </row>
    <row r="117" spans="1:13" ht="16.5" customHeight="1">
      <c r="A117" s="3" t="str">
        <f>IF(ISBLANK(B117),"",MAX($A$1:A116)+1)</f>
        <v/>
      </c>
      <c r="B117" s="1"/>
      <c r="C117" s="2" t="s">
        <v>35</v>
      </c>
      <c r="D117" s="1" t="s">
        <v>2</v>
      </c>
      <c r="E117" s="1" t="s">
        <v>35</v>
      </c>
      <c r="F117" s="1"/>
      <c r="G117" s="1"/>
      <c r="H117" s="1"/>
      <c r="I117" s="3" t="str">
        <f t="shared" si="1"/>
        <v>public intid; // id</v>
      </c>
      <c r="J117" s="1"/>
      <c r="K117" s="1"/>
      <c r="L117" s="1"/>
      <c r="M117" s="1"/>
    </row>
    <row r="118" spans="1:13" ht="16.5" customHeight="1">
      <c r="A118" s="3" t="str">
        <f>IF(ISBLANK(B118),"",MAX($A$1:A117)+1)</f>
        <v/>
      </c>
      <c r="B118" s="1"/>
      <c r="C118" s="2" t="s">
        <v>146</v>
      </c>
      <c r="D118" s="1" t="s">
        <v>37</v>
      </c>
      <c r="E118" s="1" t="s">
        <v>147</v>
      </c>
      <c r="F118" s="1"/>
      <c r="G118" s="1"/>
      <c r="H118" s="1"/>
      <c r="I118" s="3" t="str">
        <f t="shared" si="1"/>
        <v>public stringskillName; // 스킬 명칭</v>
      </c>
      <c r="J118" s="1"/>
      <c r="K118" s="1"/>
      <c r="L118" s="1"/>
      <c r="M118" s="1"/>
    </row>
    <row r="119" spans="1:13" ht="16.5" customHeight="1">
      <c r="A119" s="3" t="str">
        <f>IF(ISBLANK(B119),"",MAX($A$1:A118)+1)</f>
        <v/>
      </c>
      <c r="B119" s="1"/>
      <c r="C119" s="2" t="s">
        <v>148</v>
      </c>
      <c r="D119" s="1" t="s">
        <v>2</v>
      </c>
      <c r="E119" s="1" t="s">
        <v>149</v>
      </c>
      <c r="F119" s="1"/>
      <c r="G119" s="1"/>
      <c r="H119" s="1"/>
      <c r="I119" s="3" t="str">
        <f t="shared" si="1"/>
        <v>public intskillEffect_01; // Effect.tbl의 id 참조</v>
      </c>
      <c r="J119" s="1"/>
      <c r="K119" s="1"/>
      <c r="L119" s="1"/>
      <c r="M119" s="1"/>
    </row>
    <row r="120" spans="1:13" ht="16.5" customHeight="1">
      <c r="A120" s="3" t="str">
        <f>IF(ISBLANK(B120),"",MAX($A$1:A119)+1)</f>
        <v/>
      </c>
      <c r="B120" s="1"/>
      <c r="C120" s="2" t="s">
        <v>150</v>
      </c>
      <c r="D120" s="1" t="s">
        <v>2</v>
      </c>
      <c r="E120" s="1" t="s">
        <v>149</v>
      </c>
      <c r="F120" s="1"/>
      <c r="G120" s="1"/>
      <c r="H120" s="1"/>
      <c r="I120" s="3" t="str">
        <f t="shared" si="1"/>
        <v>public intskillEffect_02; // Effect.tbl의 id 참조</v>
      </c>
      <c r="J120" s="1"/>
      <c r="K120" s="1"/>
      <c r="L120" s="1"/>
      <c r="M120" s="1"/>
    </row>
    <row r="121" spans="1:13" ht="16.5" customHeight="1">
      <c r="A121" s="3" t="str">
        <f>IF(ISBLANK(B121),"",MAX($A$1:A120)+1)</f>
        <v/>
      </c>
      <c r="B121" s="1"/>
      <c r="C121" s="2" t="s">
        <v>151</v>
      </c>
      <c r="D121" s="1" t="s">
        <v>5</v>
      </c>
      <c r="E121" s="1" t="s">
        <v>152</v>
      </c>
      <c r="F121" s="1"/>
      <c r="G121" s="1"/>
      <c r="H121" s="1"/>
      <c r="I121" s="3" t="str">
        <f t="shared" si="1"/>
        <v>public floatstiffTime; // skillEffect=1일 때 사용. 경직 적용 시간</v>
      </c>
      <c r="J121" s="1"/>
      <c r="K121" s="1"/>
      <c r="L121" s="1"/>
      <c r="M121" s="1"/>
    </row>
    <row r="122" spans="1:13" ht="16.5" customHeight="1">
      <c r="A122" s="3" t="str">
        <f>IF(ISBLANK(B122),"",MAX($A$1:A121)+1)</f>
        <v/>
      </c>
      <c r="B122" s="1"/>
      <c r="C122" s="2" t="s">
        <v>153</v>
      </c>
      <c r="D122" s="1" t="s">
        <v>5</v>
      </c>
      <c r="E122" s="1" t="s">
        <v>154</v>
      </c>
      <c r="F122" s="1"/>
      <c r="G122" s="1"/>
      <c r="H122" s="1"/>
      <c r="I122" s="3" t="str">
        <f t="shared" si="1"/>
        <v>public floatstunTime; // skillEffect=2일 때 사용. 스턴 적용 시간</v>
      </c>
      <c r="J122" s="1"/>
      <c r="K122" s="1"/>
      <c r="L122" s="1"/>
      <c r="M122" s="1"/>
    </row>
    <row r="123" spans="1:13" ht="16.5" customHeight="1">
      <c r="A123" s="3" t="str">
        <f>IF(ISBLANK(B123),"",MAX($A$1:A122)+1)</f>
        <v/>
      </c>
      <c r="B123" s="1"/>
      <c r="C123" s="2" t="s">
        <v>155</v>
      </c>
      <c r="D123" s="1" t="s">
        <v>5</v>
      </c>
      <c r="E123" s="1" t="s">
        <v>156</v>
      </c>
      <c r="F123" s="1"/>
      <c r="G123" s="1"/>
      <c r="H123" s="1"/>
      <c r="I123" s="3" t="str">
        <f t="shared" si="1"/>
        <v>public floatdotTime; // skillEffect=4일 때 사용. Dot 적용 시간</v>
      </c>
      <c r="J123" s="1"/>
      <c r="K123" s="1"/>
      <c r="L123" s="1"/>
      <c r="M123" s="1"/>
    </row>
    <row r="124" spans="1:13" ht="16.5" customHeight="1">
      <c r="A124" s="3" t="str">
        <f>IF(ISBLANK(B124),"",MAX($A$1:A123)+1)</f>
        <v/>
      </c>
      <c r="B124" s="1"/>
      <c r="C124" s="2" t="s">
        <v>157</v>
      </c>
      <c r="D124" s="1" t="s">
        <v>5</v>
      </c>
      <c r="E124" s="1" t="s">
        <v>158</v>
      </c>
      <c r="F124" s="1"/>
      <c r="G124" s="1"/>
      <c r="H124" s="1"/>
      <c r="I124" s="3" t="str">
        <f t="shared" si="1"/>
        <v>public floatdotPeriod; // skillEffect=4일 때 사용. Dot 처리 주기</v>
      </c>
      <c r="J124" s="1"/>
      <c r="K124" s="1"/>
      <c r="L124" s="1"/>
      <c r="M124" s="1"/>
    </row>
    <row r="125" spans="1:13" ht="16.5" customHeight="1">
      <c r="A125" s="3" t="str">
        <f>IF(ISBLANK(B125),"",MAX($A$1:A124)+1)</f>
        <v/>
      </c>
      <c r="B125" s="1"/>
      <c r="C125" s="2" t="s">
        <v>159</v>
      </c>
      <c r="D125" s="1" t="s">
        <v>5</v>
      </c>
      <c r="E125" s="1" t="s">
        <v>160</v>
      </c>
      <c r="F125" s="1"/>
      <c r="G125" s="1"/>
      <c r="H125" s="1"/>
      <c r="I125" s="3" t="str">
        <f t="shared" si="1"/>
        <v>public floatdotDmgPct; // skillEffect=4일 때 사용. 1틱 당 데미지</v>
      </c>
      <c r="J125" s="1"/>
      <c r="K125" s="1"/>
      <c r="L125" s="1"/>
      <c r="M125" s="1"/>
    </row>
    <row r="126" spans="1:13" ht="16.5" customHeight="1">
      <c r="A126" s="3" t="str">
        <f>IF(ISBLANK(B126),"",MAX($A$1:A125)+1)</f>
        <v/>
      </c>
      <c r="B126" s="1"/>
      <c r="C126" s="2" t="s">
        <v>161</v>
      </c>
      <c r="D126" s="1" t="s">
        <v>5</v>
      </c>
      <c r="E126" s="1" t="s">
        <v>162</v>
      </c>
      <c r="F126" s="1"/>
      <c r="G126" s="1"/>
      <c r="H126" s="1"/>
      <c r="I126" s="3" t="str">
        <f t="shared" si="1"/>
        <v>public floatslowTime; // skillEffect=5일 때 사용. 슬로우 적용 시간</v>
      </c>
      <c r="J126" s="1"/>
      <c r="K126" s="1"/>
      <c r="L126" s="1"/>
      <c r="M126" s="1"/>
    </row>
    <row r="127" spans="1:13" ht="16.5" customHeight="1">
      <c r="A127" s="3" t="str">
        <f>IF(ISBLANK(B127),"",MAX($A$1:A126)+1)</f>
        <v/>
      </c>
      <c r="B127" s="1"/>
      <c r="C127" s="2" t="s">
        <v>163</v>
      </c>
      <c r="D127" s="1" t="s">
        <v>5</v>
      </c>
      <c r="E127" s="1" t="s">
        <v>164</v>
      </c>
      <c r="F127" s="1"/>
      <c r="G127" s="1"/>
      <c r="H127" s="1"/>
      <c r="I127" s="3" t="str">
        <f t="shared" si="1"/>
        <v>public floatslowPct; // skillEffect=5일 때 사용. 슬로우 퍼센트</v>
      </c>
      <c r="J127" s="1"/>
      <c r="K127" s="1"/>
      <c r="L127" s="1"/>
      <c r="M127" s="1"/>
    </row>
    <row r="128" spans="1:13" ht="16.5" customHeight="1">
      <c r="A128" s="3" t="str">
        <f>IF(ISBLANK(B128),"",MAX($A$1:A127)+1)</f>
        <v/>
      </c>
      <c r="B128" s="1"/>
      <c r="C128" s="2" t="s">
        <v>165</v>
      </c>
      <c r="D128" s="1" t="s">
        <v>5</v>
      </c>
      <c r="E128" s="1" t="s">
        <v>166</v>
      </c>
      <c r="F128" s="1"/>
      <c r="G128" s="1"/>
      <c r="H128" s="1"/>
      <c r="I128" s="3" t="str">
        <f t="shared" si="1"/>
        <v>public floatskillCool; // 스킬 쿨타임</v>
      </c>
      <c r="J128" s="1"/>
      <c r="K128" s="1"/>
      <c r="L128" s="1"/>
      <c r="M128" s="1"/>
    </row>
    <row r="129" spans="1:13" ht="16.5" customHeight="1">
      <c r="A129" s="3" t="str">
        <f>IF(ISBLANK(B129),"",MAX($A$1:A128)+1)</f>
        <v/>
      </c>
      <c r="B129" s="1"/>
      <c r="C129" s="2" t="s">
        <v>167</v>
      </c>
      <c r="D129" s="1" t="s">
        <v>5</v>
      </c>
      <c r="E129" s="1" t="s">
        <v>168</v>
      </c>
      <c r="F129" s="1"/>
      <c r="G129" s="1"/>
      <c r="H129" s="1"/>
      <c r="I129" s="3" t="str">
        <f t="shared" si="1"/>
        <v>public floatskillTime; // 스킬 시전 시간</v>
      </c>
      <c r="J129" s="1"/>
      <c r="K129" s="1"/>
      <c r="L129" s="1"/>
      <c r="M129" s="1"/>
    </row>
    <row r="130" spans="1:13" ht="16.5" customHeight="1">
      <c r="A130" s="3" t="str">
        <f>IF(ISBLANK(B130),"",MAX($A$1:A129)+1)</f>
        <v/>
      </c>
      <c r="B130" s="1"/>
      <c r="C130" s="2" t="s">
        <v>169</v>
      </c>
      <c r="D130" s="1" t="s">
        <v>5</v>
      </c>
      <c r="E130" s="1" t="s">
        <v>170</v>
      </c>
      <c r="F130" s="1"/>
      <c r="G130" s="1"/>
      <c r="H130" s="1"/>
      <c r="I130" s="3" t="str">
        <f t="shared" si="1"/>
        <v>public floatdmgPct_01; // 스킬 데미지 퍼센트</v>
      </c>
      <c r="J130" s="1"/>
      <c r="K130" s="1"/>
      <c r="L130" s="1"/>
      <c r="M130" s="1"/>
    </row>
    <row r="131" spans="1:13" ht="16.5" customHeight="1">
      <c r="A131" s="3" t="str">
        <f>IF(ISBLANK(B131),"",MAX($A$1:A130)+1)</f>
        <v/>
      </c>
      <c r="B131" s="1"/>
      <c r="C131" s="2" t="s">
        <v>171</v>
      </c>
      <c r="D131" s="1" t="s">
        <v>5</v>
      </c>
      <c r="E131" s="1" t="s">
        <v>172</v>
      </c>
      <c r="F131" s="1"/>
      <c r="G131" s="1"/>
      <c r="H131" s="1"/>
      <c r="I131" s="3" t="str">
        <f t="shared" ref="I131:I139" si="2">IF(ISBLANK(B131),IF(ISBLANK(C131),"}","public "&amp;D131 &amp;C131&amp;"; //"&amp;" "&amp;E131),"public class"&amp;" "&amp;SUBSTITUTE(B131,".tbl","Data")&amp;"{")</f>
        <v>public floatdmgPct_02; // 스킬 데미지 퍼센트. 여러 타수의 공격 등에 사용</v>
      </c>
      <c r="J131" s="1"/>
      <c r="K131" s="1"/>
      <c r="L131" s="1"/>
      <c r="M131" s="1"/>
    </row>
    <row r="132" spans="1:13" ht="16.5" customHeight="1">
      <c r="A132" s="3" t="str">
        <f>IF(ISBLANK(B132),"",MAX($A$1:A131)+1)</f>
        <v/>
      </c>
      <c r="B132" s="1"/>
      <c r="C132" s="2" t="s">
        <v>173</v>
      </c>
      <c r="D132" s="1" t="s">
        <v>5</v>
      </c>
      <c r="E132" s="1" t="s">
        <v>172</v>
      </c>
      <c r="F132" s="1"/>
      <c r="G132" s="1"/>
      <c r="H132" s="1"/>
      <c r="I132" s="3" t="str">
        <f t="shared" si="2"/>
        <v>public floatdmgPct_03; // 스킬 데미지 퍼센트. 여러 타수의 공격 등에 사용</v>
      </c>
      <c r="J132" s="1"/>
      <c r="K132" s="1"/>
      <c r="L132" s="1"/>
      <c r="M132" s="1"/>
    </row>
    <row r="133" spans="1:13" ht="16.5" customHeight="1">
      <c r="A133" s="3" t="str">
        <f>IF(ISBLANK(B133),"",MAX($A$1:A132)+1)</f>
        <v/>
      </c>
      <c r="B133" s="1"/>
      <c r="C133" s="2" t="s">
        <v>174</v>
      </c>
      <c r="D133" s="1" t="s">
        <v>5</v>
      </c>
      <c r="E133" s="1" t="s">
        <v>172</v>
      </c>
      <c r="F133" s="1"/>
      <c r="G133" s="1"/>
      <c r="H133" s="1"/>
      <c r="I133" s="3" t="str">
        <f t="shared" si="2"/>
        <v>public floatdmgPct_04; // 스킬 데미지 퍼센트. 여러 타수의 공격 등에 사용</v>
      </c>
      <c r="J133" s="1"/>
      <c r="K133" s="1"/>
      <c r="L133" s="1"/>
      <c r="M133" s="1"/>
    </row>
    <row r="134" spans="1:13" ht="16.5" customHeight="1">
      <c r="A134" s="3" t="str">
        <f>IF(ISBLANK(B134),"",MAX($A$1:A133)+1)</f>
        <v/>
      </c>
      <c r="B134" s="1"/>
      <c r="C134" s="2" t="s">
        <v>175</v>
      </c>
      <c r="D134" s="1" t="s">
        <v>5</v>
      </c>
      <c r="E134" s="1" t="s">
        <v>172</v>
      </c>
      <c r="F134" s="1"/>
      <c r="G134" s="1"/>
      <c r="H134" s="1"/>
      <c r="I134" s="3" t="str">
        <f t="shared" si="2"/>
        <v>public floatdmgPct_05; // 스킬 데미지 퍼센트. 여러 타수의 공격 등에 사용</v>
      </c>
      <c r="J134" s="1"/>
      <c r="K134" s="1"/>
      <c r="L134" s="1"/>
      <c r="M134" s="1"/>
    </row>
    <row r="135" spans="1:13" ht="16.5" customHeight="1">
      <c r="A135" s="3" t="str">
        <f>IF(ISBLANK(B135),"",MAX($A$1:A134)+1)</f>
        <v/>
      </c>
      <c r="B135" s="1"/>
      <c r="C135" s="1"/>
      <c r="D135" s="1"/>
      <c r="E135" s="1"/>
      <c r="F135" s="1"/>
      <c r="G135" s="1"/>
      <c r="H135" s="1"/>
      <c r="I135" s="3" t="str">
        <f t="shared" si="2"/>
        <v>}</v>
      </c>
      <c r="J135" s="1"/>
      <c r="K135" s="1"/>
      <c r="L135" s="1"/>
      <c r="M135" s="1"/>
    </row>
    <row r="136" spans="1:13" ht="16.5" customHeight="1">
      <c r="A136" s="3">
        <f>IF(ISBLANK(B136),"",MAX($A$1:A135)+1)</f>
        <v>12</v>
      </c>
      <c r="B136" s="1" t="s">
        <v>176</v>
      </c>
      <c r="C136" s="1"/>
      <c r="D136" s="1"/>
      <c r="E136" s="1"/>
      <c r="F136" s="1"/>
      <c r="G136" s="1"/>
      <c r="H136" s="1"/>
      <c r="I136" s="3" t="str">
        <f t="shared" si="2"/>
        <v>public class EffectData{</v>
      </c>
      <c r="J136" s="1"/>
      <c r="K136" s="1"/>
      <c r="L136" s="1"/>
      <c r="M136" s="1"/>
    </row>
    <row r="137" spans="1:13" ht="16.5" customHeight="1">
      <c r="A137" s="3" t="str">
        <f>IF(ISBLANK(B137),"",MAX($A$1:A136)+1)</f>
        <v/>
      </c>
      <c r="B137" s="1"/>
      <c r="C137" s="1" t="s">
        <v>35</v>
      </c>
      <c r="D137" s="1" t="s">
        <v>2</v>
      </c>
      <c r="E137" s="1" t="s">
        <v>35</v>
      </c>
      <c r="F137" s="1"/>
      <c r="G137" s="1"/>
      <c r="H137" s="1"/>
      <c r="I137" s="3" t="str">
        <f t="shared" si="2"/>
        <v>public intid; // id</v>
      </c>
      <c r="J137" s="1"/>
      <c r="K137" s="1"/>
      <c r="L137" s="1"/>
      <c r="M137" s="1"/>
    </row>
    <row r="138" spans="1:13" ht="16.5" customHeight="1">
      <c r="A138" s="3" t="str">
        <f>IF(ISBLANK(B138),"",MAX($A$1:A137)+1)</f>
        <v/>
      </c>
      <c r="B138" s="1"/>
      <c r="C138" s="1" t="s">
        <v>177</v>
      </c>
      <c r="D138" s="1" t="s">
        <v>37</v>
      </c>
      <c r="E138" s="1" t="s">
        <v>178</v>
      </c>
      <c r="F138" s="1"/>
      <c r="G138" s="1"/>
      <c r="H138" s="1"/>
      <c r="I138" s="3" t="str">
        <f t="shared" si="2"/>
        <v>public stringeffectName; // 스킬 효과 명칭</v>
      </c>
      <c r="J138" s="1"/>
      <c r="K138" s="1"/>
      <c r="L138" s="1"/>
      <c r="M138" s="1"/>
    </row>
    <row r="139" spans="1:13" ht="16.5" customHeight="1">
      <c r="A139" s="1"/>
      <c r="B139" s="1"/>
      <c r="C139" s="1"/>
      <c r="D139" s="1"/>
      <c r="E139" s="1"/>
      <c r="F139" s="1"/>
      <c r="G139" s="1"/>
      <c r="H139" s="1"/>
      <c r="I139" s="3" t="str">
        <f t="shared" si="2"/>
        <v>}</v>
      </c>
      <c r="J139" s="1"/>
      <c r="K139" s="1"/>
      <c r="L139" s="1"/>
      <c r="M139" s="1"/>
    </row>
    <row r="140" spans="1:13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</sheetData>
  <phoneticPr fontId="4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defaultColWidth="14.42578125" defaultRowHeight="15" customHeight="1"/>
  <cols>
    <col min="1" max="1" width="4.42578125" customWidth="1"/>
    <col min="2" max="2" width="16.140625" customWidth="1"/>
    <col min="3" max="3" width="9.42578125" customWidth="1"/>
    <col min="4" max="5" width="12.42578125" customWidth="1"/>
    <col min="6" max="6" width="9" customWidth="1"/>
    <col min="7" max="7" width="8" customWidth="1"/>
    <col min="8" max="8" width="7.5703125" customWidth="1"/>
    <col min="9" max="9" width="9.42578125" customWidth="1"/>
    <col min="10" max="10" width="11.42578125" customWidth="1"/>
    <col min="11" max="18" width="10.5703125" customWidth="1"/>
    <col min="19" max="23" width="9.42578125" customWidth="1"/>
    <col min="24" max="24" width="10.7109375" customWidth="1"/>
    <col min="25" max="29" width="7.5703125" customWidth="1"/>
  </cols>
  <sheetData>
    <row r="1" spans="1:29" ht="16.5" customHeight="1">
      <c r="A1" s="1" t="s">
        <v>35</v>
      </c>
      <c r="B1" s="1" t="s">
        <v>102</v>
      </c>
      <c r="C1" s="1" t="s">
        <v>120</v>
      </c>
      <c r="D1" s="1" t="s">
        <v>122</v>
      </c>
      <c r="E1" s="1" t="s">
        <v>124</v>
      </c>
      <c r="F1" s="1" t="s">
        <v>125</v>
      </c>
      <c r="G1" s="1" t="s">
        <v>127</v>
      </c>
      <c r="H1" s="1" t="s">
        <v>129</v>
      </c>
      <c r="I1" s="1" t="s">
        <v>131</v>
      </c>
      <c r="J1" s="1" t="s">
        <v>47</v>
      </c>
      <c r="K1" s="1" t="s">
        <v>134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.5" customHeight="1">
      <c r="A2" s="1">
        <v>111</v>
      </c>
      <c r="B2" s="1" t="s">
        <v>187</v>
      </c>
      <c r="C2" s="1">
        <f t="shared" ref="C2:C9" si="0">QUOTIENT(A2-100,10)</f>
        <v>1</v>
      </c>
      <c r="D2" s="1">
        <f t="shared" ref="D2:D9" si="1">IF(OR(C2=1, C2=3), -1, A2*10+1)</f>
        <v>-1</v>
      </c>
      <c r="E2" s="1">
        <f t="shared" ref="E2:E9" si="2">IF(C2=5, A2*10+2, -1)</f>
        <v>-1</v>
      </c>
      <c r="F2" s="1">
        <v>64</v>
      </c>
      <c r="G2" s="1">
        <v>20</v>
      </c>
      <c r="H2" s="1">
        <v>170</v>
      </c>
      <c r="I2" s="1">
        <v>50</v>
      </c>
      <c r="J2" s="1">
        <v>1.8</v>
      </c>
      <c r="K2" s="1">
        <v>10101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6.5" customHeight="1">
      <c r="A3" s="1">
        <v>112</v>
      </c>
      <c r="B3" s="1" t="s">
        <v>188</v>
      </c>
      <c r="C3" s="1">
        <f t="shared" si="0"/>
        <v>1</v>
      </c>
      <c r="D3" s="1">
        <f t="shared" si="1"/>
        <v>-1</v>
      </c>
      <c r="E3" s="1">
        <f t="shared" si="2"/>
        <v>-1</v>
      </c>
      <c r="F3" s="1">
        <v>64</v>
      </c>
      <c r="G3" s="1">
        <v>27</v>
      </c>
      <c r="H3" s="1">
        <v>200</v>
      </c>
      <c r="I3" s="1">
        <v>50</v>
      </c>
      <c r="J3" s="1">
        <v>1.8</v>
      </c>
      <c r="K3" s="2">
        <v>10102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6.5" customHeight="1">
      <c r="A4" s="1">
        <v>113</v>
      </c>
      <c r="B4" s="1" t="s">
        <v>189</v>
      </c>
      <c r="C4" s="1">
        <f t="shared" si="0"/>
        <v>1</v>
      </c>
      <c r="D4" s="1">
        <f t="shared" si="1"/>
        <v>-1</v>
      </c>
      <c r="E4" s="1">
        <f t="shared" si="2"/>
        <v>-1</v>
      </c>
      <c r="F4" s="1">
        <v>64</v>
      </c>
      <c r="G4" s="1">
        <v>31</v>
      </c>
      <c r="H4" s="1">
        <v>220</v>
      </c>
      <c r="I4" s="1">
        <v>50</v>
      </c>
      <c r="J4" s="1">
        <v>1.8</v>
      </c>
      <c r="K4" s="2">
        <v>10103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6.5" customHeight="1">
      <c r="A5" s="1">
        <v>121</v>
      </c>
      <c r="B5" s="1" t="s">
        <v>190</v>
      </c>
      <c r="C5" s="1">
        <f t="shared" si="0"/>
        <v>2</v>
      </c>
      <c r="D5" s="1">
        <f t="shared" si="1"/>
        <v>1211</v>
      </c>
      <c r="E5" s="1">
        <f t="shared" si="2"/>
        <v>-1</v>
      </c>
      <c r="F5" s="1">
        <v>66</v>
      </c>
      <c r="G5" s="1">
        <v>71</v>
      </c>
      <c r="H5" s="1">
        <v>400</v>
      </c>
      <c r="I5" s="1">
        <v>78</v>
      </c>
      <c r="J5" s="1">
        <v>0</v>
      </c>
      <c r="K5" s="2">
        <v>10201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6.5" customHeight="1">
      <c r="A6" s="1">
        <v>122</v>
      </c>
      <c r="B6" s="1" t="s">
        <v>191</v>
      </c>
      <c r="C6" s="1">
        <f t="shared" si="0"/>
        <v>2</v>
      </c>
      <c r="D6" s="1">
        <f t="shared" si="1"/>
        <v>1221</v>
      </c>
      <c r="E6" s="1">
        <f t="shared" si="2"/>
        <v>-1</v>
      </c>
      <c r="F6" s="1">
        <v>66</v>
      </c>
      <c r="G6" s="1">
        <v>77</v>
      </c>
      <c r="H6" s="1">
        <v>430</v>
      </c>
      <c r="I6" s="1">
        <v>78</v>
      </c>
      <c r="J6" s="1">
        <v>0</v>
      </c>
      <c r="K6" s="2">
        <v>10202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6.5" customHeight="1">
      <c r="A7" s="1">
        <v>131</v>
      </c>
      <c r="B7" s="1" t="s">
        <v>192</v>
      </c>
      <c r="C7" s="1">
        <f t="shared" si="0"/>
        <v>3</v>
      </c>
      <c r="D7" s="1">
        <f t="shared" si="1"/>
        <v>-1</v>
      </c>
      <c r="E7" s="1">
        <f t="shared" si="2"/>
        <v>-1</v>
      </c>
      <c r="F7" s="1">
        <v>42</v>
      </c>
      <c r="G7" s="1">
        <v>11</v>
      </c>
      <c r="H7" s="1">
        <v>100</v>
      </c>
      <c r="I7" s="1">
        <v>90</v>
      </c>
      <c r="J7" s="1">
        <v>2.5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6.5" customHeight="1">
      <c r="A8" s="1">
        <v>141</v>
      </c>
      <c r="B8" s="1" t="s">
        <v>193</v>
      </c>
      <c r="C8" s="1">
        <f t="shared" si="0"/>
        <v>4</v>
      </c>
      <c r="D8" s="1">
        <f t="shared" si="1"/>
        <v>1411</v>
      </c>
      <c r="E8" s="1">
        <f t="shared" si="2"/>
        <v>-1</v>
      </c>
      <c r="F8" s="1">
        <v>2000</v>
      </c>
      <c r="G8" s="1">
        <v>553</v>
      </c>
      <c r="H8" s="1">
        <v>5000</v>
      </c>
      <c r="I8" s="1">
        <v>134</v>
      </c>
      <c r="J8" s="1">
        <v>2.2000000000000002</v>
      </c>
      <c r="K8" s="2">
        <v>10401</v>
      </c>
      <c r="L8" s="2">
        <v>10402</v>
      </c>
      <c r="M8" s="2">
        <v>10403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6.5" customHeight="1">
      <c r="A9" s="1">
        <v>151</v>
      </c>
      <c r="B9" s="1" t="s">
        <v>194</v>
      </c>
      <c r="C9" s="1">
        <f t="shared" si="0"/>
        <v>5</v>
      </c>
      <c r="D9" s="1">
        <f t="shared" si="1"/>
        <v>1511</v>
      </c>
      <c r="E9" s="1">
        <f t="shared" si="2"/>
        <v>1512</v>
      </c>
      <c r="F9" s="1">
        <v>16700</v>
      </c>
      <c r="G9" s="1">
        <v>4227</v>
      </c>
      <c r="H9" s="1">
        <v>40000</v>
      </c>
      <c r="I9" s="1">
        <v>127</v>
      </c>
      <c r="J9" s="1">
        <v>2.1</v>
      </c>
      <c r="K9" s="2">
        <v>10501</v>
      </c>
      <c r="L9" s="2">
        <v>10502</v>
      </c>
      <c r="M9" s="2">
        <v>10503</v>
      </c>
      <c r="N9" s="2">
        <v>10504</v>
      </c>
      <c r="O9" s="2">
        <v>10505</v>
      </c>
      <c r="P9" s="2">
        <v>10506</v>
      </c>
      <c r="Q9" s="2">
        <v>10507</v>
      </c>
      <c r="R9" s="2">
        <v>10508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6.5" customHeight="1">
      <c r="A16" s="1"/>
      <c r="B16" s="1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6.5" customHeight="1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6.5" customHeight="1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6.5" customHeight="1">
      <c r="A19" s="1"/>
      <c r="B19" s="1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6.5" customHeight="1">
      <c r="A20" s="1"/>
      <c r="B20" s="1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6.5" customHeight="1">
      <c r="A21" s="1"/>
      <c r="B21" s="1"/>
      <c r="C21" s="1"/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6.5" customHeight="1">
      <c r="A22" s="1"/>
      <c r="B22" s="1"/>
      <c r="C22" s="1"/>
      <c r="D22" s="1"/>
      <c r="E22" s="1"/>
      <c r="F22" s="1"/>
      <c r="G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6.5" customHeight="1">
      <c r="A23" s="1"/>
      <c r="B23" s="1"/>
      <c r="C23" s="1"/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6.5" customHeight="1">
      <c r="A24" s="1"/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6.5" customHeight="1">
      <c r="A25" s="1"/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6.5" customHeight="1">
      <c r="A26" s="1"/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honeticPr fontId="4" type="noConversion"/>
  <conditionalFormatting sqref="K2:R7 N8:R8">
    <cfRule type="expression" dxfId="8" priority="1">
      <formula>QUOTIENT($A2-QUOTIENT($A2,100)*100,10)=3</formula>
    </cfRule>
  </conditionalFormatting>
  <conditionalFormatting sqref="L2:R7 N8:R8">
    <cfRule type="expression" dxfId="7" priority="2">
      <formula>QUOTIENT($A2-QUOTIENT($A2,100)*100,10)&lt;3</formula>
    </cfRule>
  </conditionalFormatting>
  <conditionalFormatting sqref="D2:G9 K2:R9">
    <cfRule type="cellIs" dxfId="6" priority="3" operator="equal">
      <formula>-1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5.42578125" customWidth="1"/>
    <col min="2" max="2" width="17.28515625" customWidth="1"/>
    <col min="3" max="26" width="8.7109375" customWidth="1"/>
  </cols>
  <sheetData>
    <row r="1" spans="1:2" ht="16.5" customHeight="1">
      <c r="A1" s="2" t="s">
        <v>35</v>
      </c>
      <c r="B1" s="2" t="s">
        <v>102</v>
      </c>
    </row>
    <row r="2" spans="1:2" ht="16.5" customHeight="1">
      <c r="A2" s="2">
        <v>1211</v>
      </c>
      <c r="B2" s="2" t="s">
        <v>195</v>
      </c>
    </row>
    <row r="3" spans="1:2" ht="16.5" customHeight="1">
      <c r="A3" s="2">
        <v>1221</v>
      </c>
      <c r="B3" s="2" t="s">
        <v>196</v>
      </c>
    </row>
    <row r="4" spans="1:2" ht="16.5" customHeight="1">
      <c r="A4" s="2">
        <v>1411</v>
      </c>
      <c r="B4" s="2" t="s">
        <v>197</v>
      </c>
    </row>
    <row r="5" spans="1:2" ht="16.5" customHeight="1">
      <c r="A5" s="2">
        <v>1511</v>
      </c>
      <c r="B5" s="2" t="s">
        <v>198</v>
      </c>
    </row>
    <row r="6" spans="1:2" ht="16.5" customHeight="1">
      <c r="A6" s="2">
        <v>1512</v>
      </c>
      <c r="B6" s="2" t="s">
        <v>199</v>
      </c>
    </row>
    <row r="7" spans="1:2" ht="16.5" customHeight="1"/>
    <row r="8" spans="1:2" ht="16.5" customHeight="1"/>
    <row r="9" spans="1:2" ht="16.5" customHeight="1"/>
    <row r="10" spans="1:2" ht="16.5" customHeight="1"/>
    <row r="11" spans="1:2" ht="16.5" customHeight="1"/>
    <row r="12" spans="1:2" ht="16.5" customHeight="1"/>
    <row r="13" spans="1:2" ht="16.5" customHeight="1"/>
    <row r="14" spans="1:2" ht="16.5" customHeight="1"/>
    <row r="15" spans="1:2" ht="16.5" customHeight="1"/>
    <row r="16" spans="1: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1" width="6.42578125" customWidth="1"/>
    <col min="2" max="2" width="16.5703125" customWidth="1"/>
    <col min="3" max="4" width="12.42578125" customWidth="1"/>
    <col min="5" max="5" width="8.7109375" customWidth="1"/>
    <col min="6" max="6" width="9.28515625" customWidth="1"/>
    <col min="7" max="7" width="8.42578125" customWidth="1"/>
    <col min="8" max="8" width="9.85546875" customWidth="1"/>
    <col min="9" max="9" width="11.28515625" customWidth="1"/>
    <col min="10" max="10" width="9.42578125" customWidth="1"/>
    <col min="11" max="11" width="7.85546875" customWidth="1"/>
    <col min="12" max="12" width="8.7109375" customWidth="1"/>
    <col min="13" max="13" width="8.85546875" customWidth="1"/>
    <col min="14" max="18" width="10.85546875" customWidth="1"/>
    <col min="19" max="26" width="8.7109375" customWidth="1"/>
  </cols>
  <sheetData>
    <row r="1" spans="1:18" ht="16.5" customHeight="1">
      <c r="A1" s="2" t="s">
        <v>35</v>
      </c>
      <c r="B1" s="2" t="s">
        <v>146</v>
      </c>
      <c r="C1" s="2" t="s">
        <v>148</v>
      </c>
      <c r="D1" s="2" t="s">
        <v>150</v>
      </c>
      <c r="E1" s="2" t="s">
        <v>151</v>
      </c>
      <c r="F1" s="2" t="s">
        <v>153</v>
      </c>
      <c r="G1" s="2" t="s">
        <v>155</v>
      </c>
      <c r="H1" s="2" t="s">
        <v>157</v>
      </c>
      <c r="I1" s="2" t="s">
        <v>159</v>
      </c>
      <c r="J1" s="2" t="s">
        <v>161</v>
      </c>
      <c r="K1" s="2" t="s">
        <v>163</v>
      </c>
      <c r="L1" s="2" t="s">
        <v>165</v>
      </c>
      <c r="M1" s="2" t="s">
        <v>167</v>
      </c>
      <c r="N1" s="2" t="s">
        <v>169</v>
      </c>
      <c r="O1" s="2" t="s">
        <v>171</v>
      </c>
      <c r="P1" s="2" t="s">
        <v>173</v>
      </c>
      <c r="Q1" s="2" t="s">
        <v>174</v>
      </c>
      <c r="R1" s="2" t="s">
        <v>175</v>
      </c>
    </row>
    <row r="2" spans="1:18" ht="16.5" customHeight="1">
      <c r="A2" s="2">
        <v>101</v>
      </c>
      <c r="B2" s="2" t="s">
        <v>200</v>
      </c>
      <c r="C2" s="2">
        <v>-1</v>
      </c>
      <c r="D2" s="2">
        <v>-1</v>
      </c>
      <c r="E2" s="4">
        <v>-1</v>
      </c>
      <c r="F2" s="2">
        <v>-1</v>
      </c>
      <c r="G2" s="2">
        <v>-1</v>
      </c>
      <c r="H2" s="2">
        <v>-1</v>
      </c>
      <c r="I2" s="2">
        <v>-1</v>
      </c>
      <c r="J2" s="2">
        <v>-1</v>
      </c>
      <c r="K2" s="2">
        <v>-1</v>
      </c>
      <c r="L2" s="2">
        <v>0</v>
      </c>
      <c r="M2" s="2">
        <f>ROUNDUP(44/30,2)</f>
        <v>1.47</v>
      </c>
      <c r="N2" s="2">
        <v>1</v>
      </c>
      <c r="O2" s="2">
        <v>-1</v>
      </c>
      <c r="P2" s="2">
        <v>-1</v>
      </c>
      <c r="Q2" s="2">
        <v>-1</v>
      </c>
      <c r="R2" s="2">
        <v>-1</v>
      </c>
    </row>
    <row r="3" spans="1:18" ht="16.5" customHeight="1">
      <c r="A3" s="2">
        <v>102</v>
      </c>
      <c r="B3" s="2" t="s">
        <v>201</v>
      </c>
      <c r="C3" s="2">
        <v>-1</v>
      </c>
      <c r="D3" s="2">
        <v>-1</v>
      </c>
      <c r="E3" s="4">
        <v>-1</v>
      </c>
      <c r="F3" s="2">
        <v>-1</v>
      </c>
      <c r="G3" s="2">
        <v>-1</v>
      </c>
      <c r="H3" s="2">
        <v>-1</v>
      </c>
      <c r="I3" s="2">
        <v>-1</v>
      </c>
      <c r="J3" s="2">
        <v>-1</v>
      </c>
      <c r="K3" s="2">
        <v>-1</v>
      </c>
      <c r="L3" s="2">
        <v>0</v>
      </c>
      <c r="M3" s="2">
        <f>30/30</f>
        <v>1</v>
      </c>
      <c r="N3" s="2">
        <v>1</v>
      </c>
      <c r="O3" s="2">
        <v>-1</v>
      </c>
      <c r="P3" s="2">
        <v>-1</v>
      </c>
      <c r="Q3" s="2">
        <v>-1</v>
      </c>
      <c r="R3" s="2">
        <v>-1</v>
      </c>
    </row>
    <row r="4" spans="1:18" ht="16.5" customHeight="1">
      <c r="A4" s="2">
        <v>103</v>
      </c>
      <c r="B4" s="2" t="s">
        <v>202</v>
      </c>
      <c r="C4" s="2">
        <v>-1</v>
      </c>
      <c r="D4" s="2">
        <v>-1</v>
      </c>
      <c r="E4" s="4">
        <v>-1</v>
      </c>
      <c r="F4" s="2">
        <v>-1</v>
      </c>
      <c r="G4" s="2">
        <v>-1</v>
      </c>
      <c r="H4" s="2">
        <v>-1</v>
      </c>
      <c r="I4" s="2">
        <v>-1</v>
      </c>
      <c r="J4" s="2">
        <v>-1</v>
      </c>
      <c r="K4" s="2">
        <v>-1</v>
      </c>
      <c r="L4" s="2">
        <v>0</v>
      </c>
      <c r="M4" s="2">
        <f>ROUNDUP(50/30,2)</f>
        <v>1.67</v>
      </c>
      <c r="N4" s="2">
        <v>1</v>
      </c>
      <c r="O4" s="2">
        <v>-1</v>
      </c>
      <c r="P4" s="2">
        <v>-1</v>
      </c>
      <c r="Q4" s="2">
        <v>-1</v>
      </c>
      <c r="R4" s="2">
        <v>-1</v>
      </c>
    </row>
    <row r="5" spans="1:18" ht="16.5" customHeight="1">
      <c r="A5" s="2">
        <v>104</v>
      </c>
      <c r="B5" s="2" t="s">
        <v>203</v>
      </c>
      <c r="C5" s="2">
        <v>3</v>
      </c>
      <c r="D5" s="2">
        <v>-1</v>
      </c>
      <c r="E5" s="4">
        <v>-1</v>
      </c>
      <c r="F5" s="2">
        <v>-1</v>
      </c>
      <c r="G5" s="2">
        <v>-1</v>
      </c>
      <c r="H5" s="2">
        <v>-1</v>
      </c>
      <c r="I5" s="2">
        <v>-1</v>
      </c>
      <c r="J5" s="2">
        <v>-1</v>
      </c>
      <c r="K5" s="2">
        <v>-1</v>
      </c>
      <c r="L5" s="1">
        <v>4.2</v>
      </c>
      <c r="M5" s="2">
        <f>ROUNDUP(47/30,2)</f>
        <v>1.57</v>
      </c>
      <c r="N5" s="1">
        <v>3</v>
      </c>
      <c r="O5" s="2">
        <v>-1</v>
      </c>
      <c r="P5" s="2">
        <v>-1</v>
      </c>
      <c r="Q5" s="2">
        <v>-1</v>
      </c>
      <c r="R5" s="2">
        <v>-1</v>
      </c>
    </row>
    <row r="6" spans="1:18" ht="16.5" customHeight="1">
      <c r="A6" s="2">
        <v>105</v>
      </c>
      <c r="B6" s="2" t="s">
        <v>204</v>
      </c>
      <c r="C6" s="2">
        <v>-1</v>
      </c>
      <c r="D6" s="2">
        <v>-1</v>
      </c>
      <c r="E6" s="4">
        <v>-1</v>
      </c>
      <c r="F6" s="2">
        <v>-1</v>
      </c>
      <c r="G6" s="2">
        <v>-1</v>
      </c>
      <c r="H6" s="2">
        <v>-1</v>
      </c>
      <c r="I6" s="2">
        <v>-1</v>
      </c>
      <c r="J6" s="2">
        <v>-1</v>
      </c>
      <c r="K6" s="2">
        <v>-1</v>
      </c>
      <c r="L6" s="1">
        <v>4.7</v>
      </c>
      <c r="M6" s="2">
        <f>ROUNDUP(65/30,2)</f>
        <v>2.17</v>
      </c>
      <c r="N6" s="1">
        <v>1.8</v>
      </c>
      <c r="O6" s="2">
        <v>-1</v>
      </c>
      <c r="P6" s="2">
        <v>-1</v>
      </c>
      <c r="Q6" s="2">
        <v>-1</v>
      </c>
      <c r="R6" s="2">
        <v>-1</v>
      </c>
    </row>
    <row r="7" spans="1:18" ht="16.5" customHeight="1">
      <c r="A7" s="2">
        <v>106</v>
      </c>
      <c r="B7" s="2" t="s">
        <v>205</v>
      </c>
      <c r="C7" s="2">
        <v>-1</v>
      </c>
      <c r="D7" s="2">
        <v>-1</v>
      </c>
      <c r="E7" s="4">
        <v>-1</v>
      </c>
      <c r="F7" s="2">
        <v>-1</v>
      </c>
      <c r="G7" s="2">
        <v>-1</v>
      </c>
      <c r="H7" s="2">
        <v>-1</v>
      </c>
      <c r="I7" s="2">
        <v>-1</v>
      </c>
      <c r="J7" s="2">
        <v>-1</v>
      </c>
      <c r="K7" s="2">
        <v>-1</v>
      </c>
      <c r="L7" s="1">
        <v>5.4</v>
      </c>
      <c r="M7" s="2">
        <f>30/30</f>
        <v>1</v>
      </c>
      <c r="N7" s="1">
        <v>4.07</v>
      </c>
      <c r="O7" s="2">
        <v>-1</v>
      </c>
      <c r="P7" s="2">
        <v>-1</v>
      </c>
      <c r="Q7" s="2">
        <v>-1</v>
      </c>
      <c r="R7" s="2">
        <v>-1</v>
      </c>
    </row>
    <row r="8" spans="1:18" ht="16.5" customHeight="1">
      <c r="A8" s="2">
        <v>107</v>
      </c>
      <c r="B8" s="2" t="s">
        <v>206</v>
      </c>
      <c r="C8" s="2">
        <v>-1</v>
      </c>
      <c r="D8" s="2">
        <v>-1</v>
      </c>
      <c r="E8" s="4">
        <v>-1</v>
      </c>
      <c r="F8" s="2">
        <v>-1</v>
      </c>
      <c r="G8" s="2">
        <v>-1</v>
      </c>
      <c r="H8" s="2">
        <v>-1</v>
      </c>
      <c r="I8" s="2">
        <v>-1</v>
      </c>
      <c r="J8" s="2">
        <v>-1</v>
      </c>
      <c r="K8" s="2">
        <v>-1</v>
      </c>
      <c r="L8" s="1">
        <v>30</v>
      </c>
      <c r="M8" s="2">
        <f>ROUNDUP(106/30,2)</f>
        <v>3.5399999999999996</v>
      </c>
      <c r="N8" s="1">
        <v>10.5</v>
      </c>
      <c r="O8" s="2">
        <v>-1</v>
      </c>
      <c r="P8" s="2">
        <v>-1</v>
      </c>
      <c r="Q8" s="2">
        <v>-1</v>
      </c>
      <c r="R8" s="2">
        <v>-1</v>
      </c>
    </row>
    <row r="9" spans="1:18" ht="16.5" customHeight="1">
      <c r="A9" s="2">
        <v>201</v>
      </c>
      <c r="B9" s="2" t="s">
        <v>207</v>
      </c>
      <c r="C9" s="2">
        <v>-1</v>
      </c>
      <c r="D9" s="2">
        <v>-1</v>
      </c>
      <c r="E9" s="4">
        <v>-1</v>
      </c>
      <c r="F9" s="2">
        <v>-1</v>
      </c>
      <c r="G9" s="2">
        <v>-1</v>
      </c>
      <c r="H9" s="2">
        <v>-1</v>
      </c>
      <c r="I9" s="2">
        <v>-1</v>
      </c>
      <c r="J9" s="2">
        <v>-1</v>
      </c>
      <c r="K9" s="2">
        <v>-1</v>
      </c>
      <c r="L9" s="1">
        <v>0</v>
      </c>
      <c r="M9" s="2">
        <f>ROUNDUP(80/60,2)</f>
        <v>1.34</v>
      </c>
      <c r="N9" s="2">
        <v>1</v>
      </c>
      <c r="O9" s="2">
        <v>-1</v>
      </c>
      <c r="P9" s="2">
        <v>-1</v>
      </c>
      <c r="Q9" s="2">
        <v>-1</v>
      </c>
      <c r="R9" s="2">
        <v>-1</v>
      </c>
    </row>
    <row r="10" spans="1:18" ht="16.5" customHeight="1">
      <c r="A10" s="2">
        <v>202</v>
      </c>
      <c r="B10" s="2" t="s">
        <v>208</v>
      </c>
      <c r="C10" s="2">
        <v>-1</v>
      </c>
      <c r="D10" s="2">
        <v>-1</v>
      </c>
      <c r="E10" s="4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1">
        <v>0</v>
      </c>
      <c r="M10" s="2">
        <f>ROUNDUP(95/60,2)</f>
        <v>1.59</v>
      </c>
      <c r="N10" s="2">
        <v>1</v>
      </c>
      <c r="O10" s="2">
        <v>-1</v>
      </c>
      <c r="P10" s="2">
        <v>-1</v>
      </c>
      <c r="Q10" s="2">
        <v>-1</v>
      </c>
      <c r="R10" s="2">
        <v>-1</v>
      </c>
    </row>
    <row r="11" spans="1:18" ht="16.5" customHeight="1">
      <c r="A11" s="2">
        <v>203</v>
      </c>
      <c r="B11" s="2" t="s">
        <v>209</v>
      </c>
      <c r="C11" s="2">
        <v>-1</v>
      </c>
      <c r="D11" s="2">
        <v>-1</v>
      </c>
      <c r="E11" s="4">
        <v>-1</v>
      </c>
      <c r="F11" s="2">
        <v>-1</v>
      </c>
      <c r="G11" s="2">
        <v>-1</v>
      </c>
      <c r="H11" s="2">
        <v>-1</v>
      </c>
      <c r="I11" s="2">
        <v>-1</v>
      </c>
      <c r="J11" s="2">
        <v>-1</v>
      </c>
      <c r="K11" s="2">
        <v>-1</v>
      </c>
      <c r="L11" s="1">
        <v>0</v>
      </c>
      <c r="M11" s="2">
        <f>ROUNDUP(100/60,2)</f>
        <v>1.67</v>
      </c>
      <c r="N11" s="2">
        <v>1</v>
      </c>
      <c r="O11" s="2">
        <v>-1</v>
      </c>
      <c r="P11" s="2">
        <v>-1</v>
      </c>
      <c r="Q11" s="2">
        <v>-1</v>
      </c>
      <c r="R11" s="2">
        <v>-1</v>
      </c>
    </row>
    <row r="12" spans="1:18" ht="16.5" customHeight="1">
      <c r="A12" s="2">
        <v>204</v>
      </c>
      <c r="B12" s="2" t="s">
        <v>210</v>
      </c>
      <c r="C12" s="2">
        <v>-1</v>
      </c>
      <c r="D12" s="2">
        <v>-1</v>
      </c>
      <c r="E12" s="4">
        <v>-1</v>
      </c>
      <c r="F12" s="2">
        <v>-1</v>
      </c>
      <c r="G12" s="2">
        <v>-1</v>
      </c>
      <c r="H12" s="2">
        <v>-1</v>
      </c>
      <c r="I12" s="2">
        <v>-1</v>
      </c>
      <c r="J12" s="2">
        <v>-1</v>
      </c>
      <c r="K12" s="2">
        <v>-1</v>
      </c>
      <c r="L12" s="1">
        <v>0</v>
      </c>
      <c r="M12" s="2">
        <f>ROUNDUP(134/60,2)</f>
        <v>2.2399999999999998</v>
      </c>
      <c r="N12" s="2">
        <v>1</v>
      </c>
      <c r="O12" s="2">
        <v>-1</v>
      </c>
      <c r="P12" s="2">
        <v>-1</v>
      </c>
      <c r="Q12" s="2">
        <v>-1</v>
      </c>
      <c r="R12" s="2">
        <v>-1</v>
      </c>
    </row>
    <row r="13" spans="1:18" ht="16.5" customHeight="1">
      <c r="A13" s="2">
        <v>205</v>
      </c>
      <c r="B13" s="2" t="s">
        <v>211</v>
      </c>
      <c r="C13" s="2">
        <v>-1</v>
      </c>
      <c r="D13" s="2">
        <v>-1</v>
      </c>
      <c r="E13" s="4">
        <v>-1</v>
      </c>
      <c r="F13" s="2">
        <v>-1</v>
      </c>
      <c r="G13" s="2">
        <v>-1</v>
      </c>
      <c r="H13" s="2">
        <v>-1</v>
      </c>
      <c r="I13" s="2">
        <v>-1</v>
      </c>
      <c r="J13" s="2">
        <v>-1</v>
      </c>
      <c r="K13" s="2">
        <v>-1</v>
      </c>
      <c r="L13" s="1">
        <v>6.3</v>
      </c>
      <c r="M13" s="2">
        <f>108/60</f>
        <v>1.8</v>
      </c>
      <c r="N13" s="1">
        <v>2.5</v>
      </c>
      <c r="O13" s="2">
        <v>-1</v>
      </c>
      <c r="P13" s="2">
        <v>-1</v>
      </c>
      <c r="Q13" s="2">
        <v>-1</v>
      </c>
      <c r="R13" s="2">
        <v>-1</v>
      </c>
    </row>
    <row r="14" spans="1:18" ht="16.5" customHeight="1">
      <c r="A14" s="2">
        <v>206</v>
      </c>
      <c r="B14" s="2" t="s">
        <v>212</v>
      </c>
      <c r="C14" s="2">
        <v>3</v>
      </c>
      <c r="D14" s="2">
        <v>-1</v>
      </c>
      <c r="E14" s="4">
        <v>-1</v>
      </c>
      <c r="F14" s="2">
        <v>-1</v>
      </c>
      <c r="G14" s="2">
        <v>-1</v>
      </c>
      <c r="H14" s="2">
        <v>-1</v>
      </c>
      <c r="I14" s="2">
        <v>-1</v>
      </c>
      <c r="J14" s="2">
        <v>-1</v>
      </c>
      <c r="K14" s="2">
        <v>-1</v>
      </c>
      <c r="L14" s="1">
        <v>7.5</v>
      </c>
      <c r="M14" s="2">
        <f>ROUNDUP(140/60,2)</f>
        <v>2.34</v>
      </c>
      <c r="N14" s="1">
        <v>3.46</v>
      </c>
      <c r="O14" s="2">
        <v>-1</v>
      </c>
      <c r="P14" s="2">
        <v>-1</v>
      </c>
      <c r="Q14" s="2">
        <v>-1</v>
      </c>
      <c r="R14" s="2">
        <v>-1</v>
      </c>
    </row>
    <row r="15" spans="1:18" ht="16.5" customHeight="1">
      <c r="A15" s="2">
        <v>207</v>
      </c>
      <c r="B15" s="2" t="s">
        <v>213</v>
      </c>
      <c r="C15" s="2">
        <v>-1</v>
      </c>
      <c r="D15" s="2">
        <v>-1</v>
      </c>
      <c r="E15" s="4">
        <v>-1</v>
      </c>
      <c r="F15" s="2">
        <v>-1</v>
      </c>
      <c r="G15" s="2">
        <v>-1</v>
      </c>
      <c r="H15" s="2">
        <v>-1</v>
      </c>
      <c r="I15" s="2">
        <v>-1</v>
      </c>
      <c r="J15" s="2">
        <v>-1</v>
      </c>
      <c r="K15" s="2">
        <v>-1</v>
      </c>
      <c r="L15" s="1">
        <v>8.5</v>
      </c>
      <c r="M15" s="2">
        <f>177/60</f>
        <v>2.95</v>
      </c>
      <c r="N15" s="1">
        <v>4.25</v>
      </c>
      <c r="O15" s="2">
        <v>-1</v>
      </c>
      <c r="P15" s="2">
        <v>-1</v>
      </c>
      <c r="Q15" s="2">
        <v>-1</v>
      </c>
      <c r="R15" s="2">
        <v>-1</v>
      </c>
    </row>
    <row r="16" spans="1:18" ht="16.5" customHeight="1">
      <c r="A16" s="2">
        <v>208</v>
      </c>
      <c r="B16" s="2" t="s">
        <v>214</v>
      </c>
      <c r="C16" s="2">
        <v>3</v>
      </c>
      <c r="D16" s="2">
        <v>-1</v>
      </c>
      <c r="E16" s="4">
        <v>-1</v>
      </c>
      <c r="F16" s="2">
        <v>-1</v>
      </c>
      <c r="G16" s="2">
        <v>-1</v>
      </c>
      <c r="H16" s="2">
        <v>-1</v>
      </c>
      <c r="I16" s="2">
        <v>-1</v>
      </c>
      <c r="J16" s="2">
        <v>-1</v>
      </c>
      <c r="K16" s="2">
        <v>-1</v>
      </c>
      <c r="L16" s="1">
        <v>31</v>
      </c>
      <c r="M16" s="2">
        <f>ROUNDUP(185/60,2)</f>
        <v>3.09</v>
      </c>
      <c r="N16" s="1">
        <v>10.01</v>
      </c>
      <c r="O16" s="2">
        <v>-1</v>
      </c>
      <c r="P16" s="2">
        <v>-1</v>
      </c>
      <c r="Q16" s="2">
        <v>-1</v>
      </c>
      <c r="R16" s="2">
        <v>-1</v>
      </c>
    </row>
    <row r="17" spans="1:18" ht="16.5" customHeight="1">
      <c r="A17" s="2">
        <v>301</v>
      </c>
      <c r="B17" s="2" t="s">
        <v>215</v>
      </c>
      <c r="C17" s="2">
        <v>-1</v>
      </c>
      <c r="D17" s="2">
        <v>-1</v>
      </c>
      <c r="E17" s="4">
        <v>-1</v>
      </c>
      <c r="F17" s="2">
        <v>-1</v>
      </c>
      <c r="G17" s="2">
        <v>-1</v>
      </c>
      <c r="H17" s="2">
        <v>-1</v>
      </c>
      <c r="I17" s="2">
        <v>-1</v>
      </c>
      <c r="J17" s="2">
        <v>-1</v>
      </c>
      <c r="K17" s="2">
        <v>-1</v>
      </c>
      <c r="L17" s="2">
        <v>0</v>
      </c>
      <c r="M17" s="2">
        <f>75/60</f>
        <v>1.25</v>
      </c>
      <c r="N17" s="2">
        <v>1</v>
      </c>
      <c r="O17" s="2">
        <v>-1</v>
      </c>
      <c r="P17" s="2">
        <v>-1</v>
      </c>
      <c r="Q17" s="2">
        <v>-1</v>
      </c>
      <c r="R17" s="2">
        <v>-1</v>
      </c>
    </row>
    <row r="18" spans="1:18" ht="16.5" customHeight="1">
      <c r="A18" s="2">
        <v>302</v>
      </c>
      <c r="B18" s="2" t="s">
        <v>216</v>
      </c>
      <c r="C18" s="2">
        <v>-1</v>
      </c>
      <c r="D18" s="2">
        <v>-1</v>
      </c>
      <c r="E18" s="4">
        <v>-1</v>
      </c>
      <c r="F18" s="2">
        <v>-1</v>
      </c>
      <c r="G18" s="2">
        <v>-1</v>
      </c>
      <c r="H18" s="2">
        <v>-1</v>
      </c>
      <c r="I18" s="2">
        <v>-1</v>
      </c>
      <c r="J18" s="2">
        <v>-1</v>
      </c>
      <c r="K18" s="2">
        <v>-1</v>
      </c>
      <c r="L18" s="2">
        <v>0</v>
      </c>
      <c r="M18" s="2">
        <f>ROUNDUP(55/60,2)</f>
        <v>0.92</v>
      </c>
      <c r="N18" s="2">
        <v>1</v>
      </c>
      <c r="O18" s="2">
        <v>-1</v>
      </c>
      <c r="P18" s="2">
        <v>-1</v>
      </c>
      <c r="Q18" s="2">
        <v>-1</v>
      </c>
      <c r="R18" s="2">
        <v>-1</v>
      </c>
    </row>
    <row r="19" spans="1:18" ht="16.5" customHeight="1">
      <c r="A19" s="2">
        <v>303</v>
      </c>
      <c r="B19" s="2" t="s">
        <v>217</v>
      </c>
      <c r="C19" s="2">
        <v>-1</v>
      </c>
      <c r="D19" s="2">
        <v>-1</v>
      </c>
      <c r="E19" s="4">
        <v>-1</v>
      </c>
      <c r="F19" s="2">
        <v>-1</v>
      </c>
      <c r="G19" s="2">
        <v>-1</v>
      </c>
      <c r="H19" s="2">
        <v>-1</v>
      </c>
      <c r="I19" s="2">
        <v>-1</v>
      </c>
      <c r="J19" s="2">
        <v>-1</v>
      </c>
      <c r="K19" s="2">
        <v>-1</v>
      </c>
      <c r="L19" s="2">
        <v>0</v>
      </c>
      <c r="M19" s="2">
        <f>66/60</f>
        <v>1.1000000000000001</v>
      </c>
      <c r="N19" s="2">
        <v>1</v>
      </c>
      <c r="O19" s="2">
        <v>-1</v>
      </c>
      <c r="P19" s="2">
        <v>-1</v>
      </c>
      <c r="Q19" s="2">
        <v>-1</v>
      </c>
      <c r="R19" s="2">
        <v>-1</v>
      </c>
    </row>
    <row r="20" spans="1:18" ht="16.5" customHeight="1">
      <c r="A20" s="2">
        <v>304</v>
      </c>
      <c r="B20" s="2" t="s">
        <v>218</v>
      </c>
      <c r="C20" s="2">
        <v>-1</v>
      </c>
      <c r="D20" s="2">
        <v>-1</v>
      </c>
      <c r="E20" s="4">
        <v>-1</v>
      </c>
      <c r="F20" s="2">
        <v>-1</v>
      </c>
      <c r="G20" s="2">
        <v>-1</v>
      </c>
      <c r="H20" s="2">
        <v>-1</v>
      </c>
      <c r="I20" s="2">
        <v>-1</v>
      </c>
      <c r="J20" s="2">
        <v>-1</v>
      </c>
      <c r="K20" s="2">
        <v>-1</v>
      </c>
      <c r="L20" s="1">
        <v>5.3</v>
      </c>
      <c r="M20" s="2">
        <f>120/60</f>
        <v>2</v>
      </c>
      <c r="N20" s="1">
        <v>23</v>
      </c>
      <c r="O20" s="2">
        <v>-1</v>
      </c>
      <c r="P20" s="2">
        <v>-1</v>
      </c>
      <c r="Q20" s="2">
        <v>-1</v>
      </c>
      <c r="R20" s="2">
        <v>-1</v>
      </c>
    </row>
    <row r="21" spans="1:18" ht="16.5" customHeight="1">
      <c r="A21" s="2">
        <v>305</v>
      </c>
      <c r="B21" s="2" t="s">
        <v>219</v>
      </c>
      <c r="C21" s="2">
        <v>-1</v>
      </c>
      <c r="D21" s="2">
        <v>-1</v>
      </c>
      <c r="E21" s="4">
        <v>-1</v>
      </c>
      <c r="F21" s="2">
        <v>-1</v>
      </c>
      <c r="G21" s="2">
        <v>-1</v>
      </c>
      <c r="H21" s="2">
        <v>-1</v>
      </c>
      <c r="I21" s="2">
        <v>-1</v>
      </c>
      <c r="J21" s="2">
        <v>-1</v>
      </c>
      <c r="K21" s="2">
        <v>-1</v>
      </c>
      <c r="L21" s="1">
        <v>6.4</v>
      </c>
      <c r="M21" s="2">
        <f>ROUNDUP(115/60,2)</f>
        <v>1.92</v>
      </c>
      <c r="N21" s="1">
        <v>3.3</v>
      </c>
      <c r="O21" s="2">
        <v>-1</v>
      </c>
      <c r="P21" s="2">
        <v>-1</v>
      </c>
      <c r="Q21" s="2">
        <v>-1</v>
      </c>
      <c r="R21" s="2">
        <v>-1</v>
      </c>
    </row>
    <row r="22" spans="1:18" ht="16.5" customHeight="1">
      <c r="A22" s="2">
        <v>306</v>
      </c>
      <c r="B22" s="2" t="s">
        <v>220</v>
      </c>
      <c r="C22" s="2">
        <v>3</v>
      </c>
      <c r="D22" s="2">
        <v>-1</v>
      </c>
      <c r="E22" s="4">
        <v>-1</v>
      </c>
      <c r="F22" s="2">
        <v>-1</v>
      </c>
      <c r="G22" s="2">
        <v>-1</v>
      </c>
      <c r="H22" s="2">
        <v>-1</v>
      </c>
      <c r="I22" s="2">
        <v>-1</v>
      </c>
      <c r="J22" s="2">
        <v>-1</v>
      </c>
      <c r="K22" s="2">
        <v>-1</v>
      </c>
      <c r="L22" s="1">
        <v>8</v>
      </c>
      <c r="M22" s="2">
        <f>117/60</f>
        <v>1.95</v>
      </c>
      <c r="N22" s="1">
        <v>4.3</v>
      </c>
      <c r="O22" s="2">
        <v>-1</v>
      </c>
      <c r="P22" s="2">
        <v>-1</v>
      </c>
      <c r="Q22" s="2">
        <v>-1</v>
      </c>
      <c r="R22" s="2">
        <v>-1</v>
      </c>
    </row>
    <row r="23" spans="1:18" ht="16.5" customHeight="1">
      <c r="A23" s="2">
        <v>307</v>
      </c>
      <c r="B23" s="2" t="s">
        <v>221</v>
      </c>
      <c r="C23" s="2">
        <v>-1</v>
      </c>
      <c r="D23" s="2">
        <v>-1</v>
      </c>
      <c r="E23" s="4">
        <v>-1</v>
      </c>
      <c r="F23" s="2">
        <v>-1</v>
      </c>
      <c r="G23" s="2">
        <v>-1</v>
      </c>
      <c r="H23" s="2">
        <v>-1</v>
      </c>
      <c r="I23" s="2">
        <v>-1</v>
      </c>
      <c r="J23" s="2">
        <v>-1</v>
      </c>
      <c r="K23" s="2">
        <v>-1</v>
      </c>
      <c r="L23" s="1">
        <v>30</v>
      </c>
      <c r="M23" s="2">
        <f>282/60</f>
        <v>4.7</v>
      </c>
      <c r="N23" s="1">
        <v>10.14</v>
      </c>
      <c r="O23" s="2">
        <v>-1</v>
      </c>
      <c r="P23" s="2">
        <v>-1</v>
      </c>
      <c r="Q23" s="2">
        <v>-1</v>
      </c>
      <c r="R23" s="2">
        <v>-1</v>
      </c>
    </row>
    <row r="24" spans="1:18" ht="16.5" customHeight="1">
      <c r="A24" s="2">
        <v>401</v>
      </c>
      <c r="B24" s="2" t="s">
        <v>222</v>
      </c>
      <c r="C24" s="2">
        <v>-1</v>
      </c>
      <c r="D24" s="2">
        <v>-1</v>
      </c>
      <c r="E24" s="4">
        <v>-1</v>
      </c>
      <c r="F24" s="2">
        <v>-1</v>
      </c>
      <c r="G24" s="2">
        <v>-1</v>
      </c>
      <c r="H24" s="2">
        <v>-1</v>
      </c>
      <c r="I24" s="2">
        <v>-1</v>
      </c>
      <c r="J24" s="2">
        <v>-1</v>
      </c>
      <c r="K24" s="2">
        <v>-1</v>
      </c>
      <c r="L24" s="2">
        <v>0</v>
      </c>
      <c r="M24" s="2">
        <f>75/60</f>
        <v>1.25</v>
      </c>
      <c r="N24" s="2">
        <v>1</v>
      </c>
      <c r="O24" s="2">
        <v>-1</v>
      </c>
      <c r="P24" s="2">
        <v>-1</v>
      </c>
      <c r="Q24" s="2">
        <v>-1</v>
      </c>
      <c r="R24" s="2">
        <v>-1</v>
      </c>
    </row>
    <row r="25" spans="1:18" ht="16.5" customHeight="1">
      <c r="A25" s="2">
        <v>402</v>
      </c>
      <c r="B25" s="2" t="s">
        <v>223</v>
      </c>
      <c r="C25" s="2">
        <v>-1</v>
      </c>
      <c r="D25" s="2">
        <v>-1</v>
      </c>
      <c r="E25" s="4">
        <v>-1</v>
      </c>
      <c r="F25" s="2">
        <v>-1</v>
      </c>
      <c r="G25" s="2">
        <v>-1</v>
      </c>
      <c r="H25" s="2">
        <v>-1</v>
      </c>
      <c r="I25" s="2">
        <v>-1</v>
      </c>
      <c r="J25" s="2">
        <v>-1</v>
      </c>
      <c r="K25" s="2">
        <v>-1</v>
      </c>
      <c r="L25" s="2">
        <v>0</v>
      </c>
      <c r="M25" s="2">
        <f>ROUNDUP(70/60,2)</f>
        <v>1.17</v>
      </c>
      <c r="N25" s="2">
        <v>1</v>
      </c>
      <c r="O25" s="2">
        <v>-1</v>
      </c>
      <c r="P25" s="2">
        <v>-1</v>
      </c>
      <c r="Q25" s="2">
        <v>-1</v>
      </c>
      <c r="R25" s="2">
        <v>-1</v>
      </c>
    </row>
    <row r="26" spans="1:18" ht="16.5" customHeight="1">
      <c r="A26" s="2">
        <v>403</v>
      </c>
      <c r="B26" s="2" t="s">
        <v>224</v>
      </c>
      <c r="C26" s="2">
        <v>-1</v>
      </c>
      <c r="D26" s="2">
        <v>-1</v>
      </c>
      <c r="E26" s="4">
        <v>-1</v>
      </c>
      <c r="F26" s="2">
        <v>-1</v>
      </c>
      <c r="G26" s="2">
        <v>-1</v>
      </c>
      <c r="H26" s="2">
        <v>-1</v>
      </c>
      <c r="I26" s="2">
        <v>-1</v>
      </c>
      <c r="J26" s="2">
        <v>-1</v>
      </c>
      <c r="K26" s="2">
        <v>-1</v>
      </c>
      <c r="L26" s="2">
        <v>0</v>
      </c>
      <c r="M26" s="2">
        <f>ROUNDUP(62/60,2)</f>
        <v>1.04</v>
      </c>
      <c r="N26" s="2">
        <v>1</v>
      </c>
      <c r="O26" s="2">
        <v>-1</v>
      </c>
      <c r="P26" s="2">
        <v>-1</v>
      </c>
      <c r="Q26" s="2">
        <v>-1</v>
      </c>
      <c r="R26" s="2">
        <v>-1</v>
      </c>
    </row>
    <row r="27" spans="1:18" ht="16.5" customHeight="1">
      <c r="A27" s="2">
        <v>405</v>
      </c>
      <c r="B27" s="2" t="s">
        <v>225</v>
      </c>
      <c r="C27" s="2">
        <v>-1</v>
      </c>
      <c r="D27" s="2">
        <v>-1</v>
      </c>
      <c r="E27" s="4">
        <v>-1</v>
      </c>
      <c r="F27" s="2">
        <v>-1</v>
      </c>
      <c r="G27" s="2">
        <v>-1</v>
      </c>
      <c r="H27" s="2">
        <v>-1</v>
      </c>
      <c r="I27" s="2">
        <v>-1</v>
      </c>
      <c r="J27" s="2">
        <v>-1</v>
      </c>
      <c r="K27" s="2">
        <v>-1</v>
      </c>
      <c r="L27" s="1">
        <v>5.2</v>
      </c>
      <c r="M27" s="2">
        <f t="shared" ref="M27:M28" si="0">150/60</f>
        <v>2.5</v>
      </c>
      <c r="N27" s="1">
        <v>2.0299999999999998</v>
      </c>
      <c r="O27" s="2">
        <v>-1</v>
      </c>
      <c r="P27" s="2">
        <v>-1</v>
      </c>
      <c r="Q27" s="2">
        <v>-1</v>
      </c>
      <c r="R27" s="2">
        <v>-1</v>
      </c>
    </row>
    <row r="28" spans="1:18" ht="16.5" customHeight="1">
      <c r="A28" s="2">
        <v>406</v>
      </c>
      <c r="B28" s="2" t="s">
        <v>226</v>
      </c>
      <c r="C28" s="2">
        <v>-1</v>
      </c>
      <c r="D28" s="2">
        <v>-1</v>
      </c>
      <c r="E28" s="4">
        <v>-1</v>
      </c>
      <c r="F28" s="2">
        <v>-1</v>
      </c>
      <c r="G28" s="2">
        <v>-1</v>
      </c>
      <c r="H28" s="2">
        <v>-1</v>
      </c>
      <c r="I28" s="2">
        <v>-1</v>
      </c>
      <c r="J28" s="2">
        <v>-1</v>
      </c>
      <c r="K28" s="2">
        <v>-1</v>
      </c>
      <c r="L28" s="1">
        <v>6.2</v>
      </c>
      <c r="M28" s="2">
        <f t="shared" si="0"/>
        <v>2.5</v>
      </c>
      <c r="N28" s="1">
        <v>3.04</v>
      </c>
      <c r="O28" s="2">
        <v>-1</v>
      </c>
      <c r="P28" s="2">
        <v>-1</v>
      </c>
      <c r="Q28" s="2">
        <v>-1</v>
      </c>
      <c r="R28" s="2">
        <v>-1</v>
      </c>
    </row>
    <row r="29" spans="1:18" ht="16.5" customHeight="1">
      <c r="A29" s="2">
        <v>407</v>
      </c>
      <c r="B29" s="2" t="s">
        <v>227</v>
      </c>
      <c r="C29" s="2">
        <v>-1</v>
      </c>
      <c r="D29" s="2">
        <v>-1</v>
      </c>
      <c r="E29" s="4">
        <v>-1</v>
      </c>
      <c r="F29" s="2">
        <v>-1</v>
      </c>
      <c r="G29" s="2">
        <v>-1</v>
      </c>
      <c r="H29" s="2">
        <v>-1</v>
      </c>
      <c r="I29" s="2">
        <v>-1</v>
      </c>
      <c r="J29" s="2">
        <v>-1</v>
      </c>
      <c r="K29" s="2">
        <v>-1</v>
      </c>
      <c r="L29" s="1">
        <v>7.6</v>
      </c>
      <c r="M29" s="2">
        <f>135/60</f>
        <v>2.25</v>
      </c>
      <c r="N29" s="1">
        <v>3.93</v>
      </c>
      <c r="O29" s="2">
        <v>-1</v>
      </c>
      <c r="P29" s="2">
        <v>-1</v>
      </c>
      <c r="Q29" s="2">
        <v>-1</v>
      </c>
      <c r="R29" s="2">
        <v>-1</v>
      </c>
    </row>
    <row r="30" spans="1:18" ht="16.5" customHeight="1">
      <c r="A30" s="2">
        <v>408</v>
      </c>
      <c r="B30" s="2" t="s">
        <v>228</v>
      </c>
      <c r="C30" s="2">
        <v>3</v>
      </c>
      <c r="D30" s="2">
        <v>-1</v>
      </c>
      <c r="E30" s="4">
        <v>-1</v>
      </c>
      <c r="F30" s="2">
        <v>-1</v>
      </c>
      <c r="G30" s="2">
        <v>-1</v>
      </c>
      <c r="H30" s="2">
        <v>-1</v>
      </c>
      <c r="I30" s="2">
        <v>-1</v>
      </c>
      <c r="J30" s="2">
        <v>-1</v>
      </c>
      <c r="K30" s="2">
        <v>-1</v>
      </c>
      <c r="L30" s="1">
        <v>29.7</v>
      </c>
      <c r="M30" s="2">
        <f>ROUNDUP(166/60,2)</f>
        <v>2.7699999999999996</v>
      </c>
      <c r="N30" s="1">
        <v>9.9499999999999993</v>
      </c>
      <c r="O30" s="2">
        <v>-1</v>
      </c>
      <c r="P30" s="2">
        <v>-1</v>
      </c>
      <c r="Q30" s="2">
        <v>-1</v>
      </c>
      <c r="R30" s="2">
        <v>-1</v>
      </c>
    </row>
    <row r="31" spans="1:18" ht="16.5" customHeight="1">
      <c r="A31" s="2">
        <v>10101</v>
      </c>
      <c r="B31" s="1" t="s">
        <v>229</v>
      </c>
      <c r="C31" s="2">
        <v>-1</v>
      </c>
      <c r="D31" s="2">
        <v>-1</v>
      </c>
      <c r="E31" s="4">
        <v>-1</v>
      </c>
      <c r="F31" s="2">
        <v>-1</v>
      </c>
      <c r="G31" s="2">
        <v>-1</v>
      </c>
      <c r="H31" s="2">
        <v>-1</v>
      </c>
      <c r="I31" s="2">
        <v>-1</v>
      </c>
      <c r="J31" s="2">
        <v>-1</v>
      </c>
      <c r="K31" s="2">
        <v>-1</v>
      </c>
      <c r="L31" s="2">
        <v>-1</v>
      </c>
      <c r="M31" s="2">
        <f t="shared" ref="M31:M33" si="1">ROUNDUP(68/60,2)</f>
        <v>1.1399999999999999</v>
      </c>
      <c r="N31" s="2">
        <v>1</v>
      </c>
      <c r="O31" s="2">
        <v>-1</v>
      </c>
      <c r="P31" s="2">
        <v>-1</v>
      </c>
      <c r="Q31" s="2">
        <v>-1</v>
      </c>
      <c r="R31" s="2">
        <v>-1</v>
      </c>
    </row>
    <row r="32" spans="1:18" ht="16.5" customHeight="1">
      <c r="A32" s="2">
        <v>10102</v>
      </c>
      <c r="B32" s="1" t="s">
        <v>230</v>
      </c>
      <c r="C32" s="2">
        <v>-1</v>
      </c>
      <c r="D32" s="2">
        <v>-1</v>
      </c>
      <c r="E32" s="4">
        <v>-1</v>
      </c>
      <c r="F32" s="2">
        <v>-1</v>
      </c>
      <c r="G32" s="2">
        <v>-1</v>
      </c>
      <c r="H32" s="2">
        <v>-1</v>
      </c>
      <c r="I32" s="2">
        <v>-1</v>
      </c>
      <c r="J32" s="2">
        <v>-1</v>
      </c>
      <c r="K32" s="2">
        <v>-1</v>
      </c>
      <c r="L32" s="2">
        <v>-1</v>
      </c>
      <c r="M32" s="2">
        <f t="shared" si="1"/>
        <v>1.1399999999999999</v>
      </c>
      <c r="N32" s="2">
        <v>1</v>
      </c>
      <c r="O32" s="2">
        <v>-1</v>
      </c>
      <c r="P32" s="2">
        <v>-1</v>
      </c>
      <c r="Q32" s="2">
        <v>-1</v>
      </c>
      <c r="R32" s="2">
        <v>-1</v>
      </c>
    </row>
    <row r="33" spans="1:18" ht="16.5" customHeight="1">
      <c r="A33" s="2">
        <v>10103</v>
      </c>
      <c r="B33" s="1" t="s">
        <v>231</v>
      </c>
      <c r="C33" s="2">
        <v>-1</v>
      </c>
      <c r="D33" s="2">
        <v>-1</v>
      </c>
      <c r="E33" s="4">
        <v>-1</v>
      </c>
      <c r="F33" s="2">
        <v>-1</v>
      </c>
      <c r="G33" s="2">
        <v>-1</v>
      </c>
      <c r="H33" s="2">
        <v>-1</v>
      </c>
      <c r="I33" s="2">
        <v>-1</v>
      </c>
      <c r="J33" s="2">
        <v>-1</v>
      </c>
      <c r="K33" s="2">
        <v>-1</v>
      </c>
      <c r="L33" s="2">
        <v>-1</v>
      </c>
      <c r="M33" s="2">
        <f t="shared" si="1"/>
        <v>1.1399999999999999</v>
      </c>
      <c r="N33" s="2">
        <v>1</v>
      </c>
      <c r="O33" s="2">
        <v>-1</v>
      </c>
      <c r="P33" s="2">
        <v>-1</v>
      </c>
      <c r="Q33" s="2">
        <v>-1</v>
      </c>
      <c r="R33" s="2">
        <v>-1</v>
      </c>
    </row>
    <row r="34" spans="1:18" ht="16.5" customHeight="1">
      <c r="A34" s="2">
        <v>10201</v>
      </c>
      <c r="B34" s="1" t="s">
        <v>232</v>
      </c>
      <c r="C34" s="2">
        <v>-1</v>
      </c>
      <c r="D34" s="2">
        <v>-1</v>
      </c>
      <c r="E34" s="4">
        <v>-1</v>
      </c>
      <c r="F34" s="2">
        <v>-1</v>
      </c>
      <c r="G34" s="2">
        <v>-1</v>
      </c>
      <c r="H34" s="2">
        <v>-1</v>
      </c>
      <c r="I34" s="2">
        <v>-1</v>
      </c>
      <c r="J34" s="2">
        <v>-1</v>
      </c>
      <c r="K34" s="2">
        <v>-1</v>
      </c>
      <c r="L34" s="2">
        <v>-1</v>
      </c>
      <c r="M34" s="2">
        <f>72/30</f>
        <v>2.4</v>
      </c>
      <c r="N34" s="2">
        <v>1</v>
      </c>
      <c r="O34" s="2">
        <v>-1</v>
      </c>
      <c r="P34" s="2">
        <v>-1</v>
      </c>
      <c r="Q34" s="2">
        <v>-1</v>
      </c>
      <c r="R34" s="2">
        <v>-1</v>
      </c>
    </row>
    <row r="35" spans="1:18" ht="16.5" customHeight="1">
      <c r="A35" s="2">
        <v>10202</v>
      </c>
      <c r="B35" s="1" t="s">
        <v>233</v>
      </c>
      <c r="C35" s="2">
        <v>-1</v>
      </c>
      <c r="D35" s="2">
        <v>-1</v>
      </c>
      <c r="E35" s="4">
        <v>-1</v>
      </c>
      <c r="F35" s="2">
        <v>-1</v>
      </c>
      <c r="G35" s="2">
        <v>-1</v>
      </c>
      <c r="H35" s="2">
        <v>-1</v>
      </c>
      <c r="I35" s="2">
        <v>-1</v>
      </c>
      <c r="J35" s="2">
        <v>-1</v>
      </c>
      <c r="K35" s="2">
        <v>-1</v>
      </c>
      <c r="L35" s="2">
        <v>-1</v>
      </c>
      <c r="M35" s="2">
        <f>ROUNDUP(137/60,2)</f>
        <v>2.2899999999999996</v>
      </c>
      <c r="N35" s="2">
        <v>1</v>
      </c>
      <c r="O35" s="2">
        <v>-1</v>
      </c>
      <c r="P35" s="2">
        <v>-1</v>
      </c>
      <c r="Q35" s="2">
        <v>-1</v>
      </c>
      <c r="R35" s="2">
        <v>-1</v>
      </c>
    </row>
    <row r="36" spans="1:18" ht="16.5" customHeight="1">
      <c r="A36" s="2">
        <v>10401</v>
      </c>
      <c r="B36" s="1" t="s">
        <v>234</v>
      </c>
      <c r="C36" s="2">
        <v>1</v>
      </c>
      <c r="D36" s="2">
        <v>-1</v>
      </c>
      <c r="E36" s="4">
        <v>1.167</v>
      </c>
      <c r="F36" s="2">
        <v>-1</v>
      </c>
      <c r="G36" s="2">
        <v>-1</v>
      </c>
      <c r="H36" s="2">
        <v>-1</v>
      </c>
      <c r="I36" s="2">
        <v>-1</v>
      </c>
      <c r="J36" s="2">
        <v>-1</v>
      </c>
      <c r="K36" s="2">
        <v>-1</v>
      </c>
      <c r="L36" s="2">
        <v>-1</v>
      </c>
      <c r="M36" s="2">
        <v>2.8</v>
      </c>
      <c r="N36" s="2">
        <v>1.38</v>
      </c>
      <c r="O36" s="2">
        <v>1.38</v>
      </c>
      <c r="P36" s="2">
        <v>-1</v>
      </c>
      <c r="Q36" s="2">
        <v>-1</v>
      </c>
      <c r="R36" s="2">
        <v>-1</v>
      </c>
    </row>
    <row r="37" spans="1:18" ht="16.5" customHeight="1">
      <c r="A37" s="2">
        <v>10402</v>
      </c>
      <c r="B37" s="1" t="s">
        <v>235</v>
      </c>
      <c r="C37" s="2">
        <v>1</v>
      </c>
      <c r="D37" s="2">
        <v>-1</v>
      </c>
      <c r="E37" s="4">
        <v>1.167</v>
      </c>
      <c r="F37" s="2">
        <v>-1</v>
      </c>
      <c r="G37" s="2">
        <v>-1</v>
      </c>
      <c r="H37" s="2">
        <v>-1</v>
      </c>
      <c r="I37" s="2">
        <v>-1</v>
      </c>
      <c r="J37" s="2">
        <v>-1</v>
      </c>
      <c r="K37" s="2">
        <v>-1</v>
      </c>
      <c r="L37" s="2">
        <v>-1</v>
      </c>
      <c r="M37" s="2">
        <v>1.6</v>
      </c>
      <c r="N37" s="2">
        <v>1.2</v>
      </c>
      <c r="O37" s="2">
        <v>-1</v>
      </c>
      <c r="P37" s="2">
        <v>-1</v>
      </c>
      <c r="Q37" s="2">
        <v>-1</v>
      </c>
      <c r="R37" s="2">
        <v>-1</v>
      </c>
    </row>
    <row r="38" spans="1:18" ht="16.5" customHeight="1">
      <c r="A38" s="2">
        <v>10403</v>
      </c>
      <c r="B38" s="1" t="s">
        <v>236</v>
      </c>
      <c r="C38" s="2">
        <v>1</v>
      </c>
      <c r="D38" s="2">
        <v>-1</v>
      </c>
      <c r="E38" s="4">
        <v>1.167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2.08</v>
      </c>
      <c r="N38" s="2">
        <v>0.75</v>
      </c>
      <c r="O38" s="2">
        <v>-1</v>
      </c>
      <c r="P38" s="2">
        <v>-1</v>
      </c>
      <c r="Q38" s="2">
        <v>-1</v>
      </c>
      <c r="R38" s="2">
        <v>-1</v>
      </c>
    </row>
    <row r="39" spans="1:18" ht="16.5" customHeight="1">
      <c r="A39" s="2">
        <v>10501</v>
      </c>
      <c r="B39" s="2" t="s">
        <v>237</v>
      </c>
      <c r="C39" s="2">
        <v>1</v>
      </c>
      <c r="D39" s="2">
        <v>2</v>
      </c>
      <c r="E39" s="4">
        <v>1.167</v>
      </c>
      <c r="F39" s="4">
        <v>3</v>
      </c>
      <c r="G39" s="2">
        <v>-1</v>
      </c>
      <c r="H39" s="2">
        <v>-1</v>
      </c>
      <c r="I39" s="2">
        <v>-1</v>
      </c>
      <c r="J39" s="2">
        <v>-1</v>
      </c>
      <c r="K39" s="2">
        <v>-1</v>
      </c>
      <c r="L39" s="2">
        <v>-1</v>
      </c>
      <c r="M39" s="2">
        <f>0.25+0.95+1.2+1.5</f>
        <v>3.9</v>
      </c>
      <c r="N39" s="2">
        <v>1.1200000000000001</v>
      </c>
      <c r="O39" s="2">
        <v>1.1200000000000001</v>
      </c>
      <c r="P39" s="2">
        <v>1.81</v>
      </c>
      <c r="Q39" s="2">
        <v>-1</v>
      </c>
      <c r="R39" s="2">
        <v>-1</v>
      </c>
    </row>
    <row r="40" spans="1:18" ht="16.5" customHeight="1">
      <c r="A40" s="2">
        <v>10502</v>
      </c>
      <c r="B40" s="2" t="s">
        <v>238</v>
      </c>
      <c r="C40" s="2">
        <v>1</v>
      </c>
      <c r="D40" s="2">
        <v>-1</v>
      </c>
      <c r="E40" s="4">
        <v>1.167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f>0.38+1.34+1.5</f>
        <v>3.22</v>
      </c>
      <c r="N40" s="2">
        <v>1.52</v>
      </c>
      <c r="O40" s="2">
        <v>1.52</v>
      </c>
      <c r="P40" s="2">
        <v>-1</v>
      </c>
      <c r="Q40" s="2">
        <v>-1</v>
      </c>
      <c r="R40" s="2">
        <v>-1</v>
      </c>
    </row>
    <row r="41" spans="1:18" ht="16.5" customHeight="1">
      <c r="A41" s="2">
        <v>10503</v>
      </c>
      <c r="B41" s="2" t="s">
        <v>239</v>
      </c>
      <c r="C41" s="2">
        <v>1</v>
      </c>
      <c r="D41" s="2">
        <v>-1</v>
      </c>
      <c r="E41" s="4">
        <v>1.167</v>
      </c>
      <c r="F41" s="2">
        <v>-1</v>
      </c>
      <c r="G41" s="2">
        <v>-1</v>
      </c>
      <c r="H41" s="2">
        <v>-1</v>
      </c>
      <c r="I41" s="2">
        <v>-1</v>
      </c>
      <c r="J41" s="2">
        <v>-1</v>
      </c>
      <c r="K41" s="2">
        <v>-1</v>
      </c>
      <c r="L41" s="2">
        <v>-1</v>
      </c>
      <c r="M41" s="2">
        <f>1+1+1+0.5</f>
        <v>3.5</v>
      </c>
      <c r="N41" s="2">
        <v>1.35</v>
      </c>
      <c r="O41" s="2">
        <v>1.41</v>
      </c>
      <c r="P41" s="2">
        <v>-1</v>
      </c>
      <c r="Q41" s="2">
        <v>-1</v>
      </c>
      <c r="R41" s="2">
        <v>-1</v>
      </c>
    </row>
    <row r="42" spans="1:18" ht="16.5" customHeight="1">
      <c r="A42" s="2">
        <v>10504</v>
      </c>
      <c r="B42" s="2" t="s">
        <v>240</v>
      </c>
      <c r="C42" s="2">
        <v>1</v>
      </c>
      <c r="D42" s="2">
        <v>-1</v>
      </c>
      <c r="E42" s="4">
        <v>1.167</v>
      </c>
      <c r="F42" s="2">
        <v>-1</v>
      </c>
      <c r="G42" s="2">
        <v>-1</v>
      </c>
      <c r="H42" s="2">
        <v>-1</v>
      </c>
      <c r="I42" s="2">
        <v>-1</v>
      </c>
      <c r="J42" s="2">
        <v>-1</v>
      </c>
      <c r="K42" s="2">
        <v>-1</v>
      </c>
      <c r="L42" s="2">
        <v>-1</v>
      </c>
      <c r="M42" s="2">
        <v>1.4</v>
      </c>
      <c r="N42" s="2">
        <v>1.31</v>
      </c>
      <c r="O42" s="2">
        <v>-1</v>
      </c>
      <c r="P42" s="2">
        <v>-1</v>
      </c>
      <c r="Q42" s="2">
        <v>-1</v>
      </c>
      <c r="R42" s="2">
        <v>-1</v>
      </c>
    </row>
    <row r="43" spans="1:18" ht="16.5" customHeight="1">
      <c r="A43" s="2">
        <v>10505</v>
      </c>
      <c r="B43" s="2" t="s">
        <v>241</v>
      </c>
      <c r="C43" s="2">
        <v>1</v>
      </c>
      <c r="D43" s="2">
        <v>-1</v>
      </c>
      <c r="E43" s="4">
        <v>1.167</v>
      </c>
      <c r="F43" s="2">
        <v>-1</v>
      </c>
      <c r="G43" s="2">
        <v>-1</v>
      </c>
      <c r="H43" s="2">
        <v>-1</v>
      </c>
      <c r="I43" s="2">
        <v>-1</v>
      </c>
      <c r="J43" s="2">
        <v>-1</v>
      </c>
      <c r="K43" s="2">
        <v>-1</v>
      </c>
      <c r="L43" s="2">
        <v>-1</v>
      </c>
      <c r="M43" s="2">
        <v>2.6</v>
      </c>
      <c r="N43" s="2">
        <v>0.85</v>
      </c>
      <c r="O43" s="2">
        <v>-1</v>
      </c>
      <c r="P43" s="2">
        <v>-1</v>
      </c>
      <c r="Q43" s="2">
        <v>-1</v>
      </c>
      <c r="R43" s="2">
        <v>-1</v>
      </c>
    </row>
    <row r="44" spans="1:18" ht="16.5" customHeight="1">
      <c r="A44" s="2">
        <v>10506</v>
      </c>
      <c r="B44" s="2" t="s">
        <v>242</v>
      </c>
      <c r="C44" s="2">
        <v>1</v>
      </c>
      <c r="D44" s="2">
        <v>4</v>
      </c>
      <c r="E44" s="4">
        <v>1.167</v>
      </c>
      <c r="F44" s="2">
        <v>-1</v>
      </c>
      <c r="G44" s="2">
        <v>5</v>
      </c>
      <c r="H44" s="2">
        <v>1</v>
      </c>
      <c r="I44" s="2">
        <v>0.3</v>
      </c>
      <c r="J44" s="2">
        <v>-1</v>
      </c>
      <c r="K44" s="2">
        <v>-1</v>
      </c>
      <c r="L44" s="2">
        <v>-1</v>
      </c>
      <c r="M44" s="2">
        <v>2.58</v>
      </c>
      <c r="N44" s="2">
        <v>1</v>
      </c>
      <c r="O44" s="2">
        <v>1</v>
      </c>
      <c r="P44" s="2">
        <v>-1</v>
      </c>
      <c r="Q44" s="2">
        <v>-1</v>
      </c>
      <c r="R44" s="2">
        <v>-1</v>
      </c>
    </row>
    <row r="45" spans="1:18" ht="16.5" customHeight="1">
      <c r="A45" s="2">
        <v>10507</v>
      </c>
      <c r="B45" s="2" t="s">
        <v>243</v>
      </c>
      <c r="C45" s="2">
        <v>1</v>
      </c>
      <c r="D45" s="2">
        <v>-1</v>
      </c>
      <c r="E45" s="4">
        <v>1.167</v>
      </c>
      <c r="F45" s="2">
        <v>-1</v>
      </c>
      <c r="G45" s="2">
        <v>-1</v>
      </c>
      <c r="H45" s="2">
        <v>-1</v>
      </c>
      <c r="I45" s="2">
        <v>-1</v>
      </c>
      <c r="J45" s="2">
        <v>-1</v>
      </c>
      <c r="K45" s="2">
        <v>-1</v>
      </c>
      <c r="L45" s="2">
        <v>-1</v>
      </c>
      <c r="M45" s="2">
        <v>1</v>
      </c>
      <c r="N45" s="2">
        <v>1.33</v>
      </c>
      <c r="O45" s="2">
        <v>-1</v>
      </c>
      <c r="P45" s="2">
        <v>-1</v>
      </c>
      <c r="Q45" s="2">
        <v>-1</v>
      </c>
      <c r="R45" s="2">
        <v>-1</v>
      </c>
    </row>
    <row r="46" spans="1:18" ht="16.5" customHeight="1">
      <c r="A46" s="2">
        <v>10508</v>
      </c>
      <c r="B46" s="2" t="s">
        <v>244</v>
      </c>
      <c r="C46" s="2">
        <v>1</v>
      </c>
      <c r="D46" s="2">
        <v>-1</v>
      </c>
      <c r="E46" s="4">
        <v>1.167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4</v>
      </c>
      <c r="N46" s="2">
        <v>1</v>
      </c>
      <c r="O46" s="2">
        <v>-1</v>
      </c>
      <c r="P46" s="2">
        <v>-1</v>
      </c>
      <c r="Q46" s="2">
        <v>-1</v>
      </c>
      <c r="R46" s="2">
        <v>-1</v>
      </c>
    </row>
    <row r="47" spans="1:18" ht="16.5" customHeight="1"/>
    <row r="48" spans="1:1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conditionalFormatting sqref="E2:E46">
    <cfRule type="expression" dxfId="5" priority="1">
      <formula>AND($C2&lt;&gt;1, $D2&lt;&gt;1)</formula>
    </cfRule>
  </conditionalFormatting>
  <conditionalFormatting sqref="F2:F46">
    <cfRule type="expression" dxfId="4" priority="2">
      <formula>AND($C2&lt;&gt;2, $D2&lt;&gt;2)</formula>
    </cfRule>
  </conditionalFormatting>
  <conditionalFormatting sqref="G2:I46">
    <cfRule type="expression" dxfId="3" priority="3">
      <formula>AND($C2&lt;&gt;4, $D2&lt;&gt;4)</formula>
    </cfRule>
  </conditionalFormatting>
  <conditionalFormatting sqref="J2:K46">
    <cfRule type="expression" dxfId="2" priority="4">
      <formula>AND($C2&lt;&gt;5, $D2&lt;&gt;5)</formula>
    </cfRule>
  </conditionalFormatting>
  <conditionalFormatting sqref="L2:L46">
    <cfRule type="expression" dxfId="1" priority="5">
      <formula>$A2&gt;10000</formula>
    </cfRule>
  </conditionalFormatting>
  <conditionalFormatting sqref="C2:R46">
    <cfRule type="expression" dxfId="0" priority="6">
      <formula>C2=-1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3.140625" customWidth="1"/>
    <col min="2" max="2" width="11.42578125" customWidth="1"/>
    <col min="3" max="26" width="8.7109375" customWidth="1"/>
  </cols>
  <sheetData>
    <row r="1" spans="1:2" ht="16.5" customHeight="1">
      <c r="A1" s="2" t="s">
        <v>35</v>
      </c>
      <c r="B1" s="2" t="s">
        <v>177</v>
      </c>
    </row>
    <row r="2" spans="1:2" ht="16.5" customHeight="1">
      <c r="A2" s="2">
        <v>1</v>
      </c>
      <c r="B2" s="2" t="s">
        <v>245</v>
      </c>
    </row>
    <row r="3" spans="1:2" ht="16.5" customHeight="1">
      <c r="A3" s="2">
        <v>2</v>
      </c>
      <c r="B3" s="2" t="s">
        <v>246</v>
      </c>
    </row>
    <row r="4" spans="1:2" ht="16.5" customHeight="1">
      <c r="A4" s="2">
        <v>3</v>
      </c>
      <c r="B4" s="2" t="s">
        <v>247</v>
      </c>
    </row>
    <row r="5" spans="1:2" ht="16.5" customHeight="1">
      <c r="A5" s="2">
        <v>4</v>
      </c>
      <c r="B5" s="2" t="s">
        <v>248</v>
      </c>
    </row>
    <row r="6" spans="1:2" ht="16.5" customHeight="1">
      <c r="A6" s="2">
        <v>5</v>
      </c>
      <c r="B6" s="2" t="s">
        <v>249</v>
      </c>
    </row>
    <row r="7" spans="1:2" ht="16.5" customHeight="1"/>
    <row r="8" spans="1:2" ht="16.5" customHeight="1"/>
    <row r="9" spans="1:2" ht="16.5" customHeight="1"/>
    <row r="10" spans="1:2" ht="16.5" customHeight="1"/>
    <row r="11" spans="1:2" ht="16.5" customHeight="1"/>
    <row r="12" spans="1:2" ht="16.5" customHeight="1"/>
    <row r="13" spans="1:2" ht="16.5" customHeight="1"/>
    <row r="14" spans="1:2" ht="16.5" customHeight="1"/>
    <row r="15" spans="1:2" ht="16.5" customHeight="1"/>
    <row r="16" spans="1: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/>
  <cols>
    <col min="1" max="1" width="6.85546875" customWidth="1"/>
    <col min="2" max="2" width="6.5703125" customWidth="1"/>
    <col min="3" max="3" width="9.42578125" customWidth="1"/>
    <col min="4" max="4" width="9.85546875" customWidth="1"/>
    <col min="5" max="5" width="9.7109375" customWidth="1"/>
    <col min="6" max="6" width="8.7109375" customWidth="1"/>
    <col min="7" max="7" width="10.28515625" customWidth="1"/>
    <col min="8" max="8" width="9.140625" customWidth="1"/>
    <col min="9" max="9" width="9.85546875" customWidth="1"/>
    <col min="10" max="26" width="8.7109375" customWidth="1"/>
  </cols>
  <sheetData>
    <row r="1" spans="1:9" ht="16.5" customHeight="1">
      <c r="A1" s="2" t="s">
        <v>1</v>
      </c>
      <c r="B1" s="2" t="s">
        <v>4</v>
      </c>
      <c r="C1" s="2" t="s">
        <v>7</v>
      </c>
      <c r="D1" s="2" t="s">
        <v>9</v>
      </c>
      <c r="E1" s="2" t="s">
        <v>11</v>
      </c>
      <c r="F1" s="2" t="s">
        <v>13</v>
      </c>
      <c r="G1" s="2" t="s">
        <v>15</v>
      </c>
      <c r="H1" s="2" t="s">
        <v>17</v>
      </c>
      <c r="I1" s="2" t="s">
        <v>19</v>
      </c>
    </row>
    <row r="2" spans="1:9" ht="16.5" customHeight="1">
      <c r="A2" s="4">
        <v>0</v>
      </c>
      <c r="B2" s="4">
        <f t="shared" ref="B2:B9" si="0">ROUND(1-(0.01-0.004*INT(A2/4))*A2^2,2)</f>
        <v>1</v>
      </c>
      <c r="C2" s="4">
        <f t="shared" ref="C2:C9" si="1">2000*(A2+1)+1200*A2^2</f>
        <v>2000</v>
      </c>
      <c r="D2" s="4">
        <v>5</v>
      </c>
      <c r="E2" s="4">
        <v>3</v>
      </c>
      <c r="F2" s="4">
        <v>0.01</v>
      </c>
      <c r="G2" s="4">
        <v>5.0000000000000001E-3</v>
      </c>
      <c r="H2" s="4">
        <v>0.2</v>
      </c>
      <c r="I2" s="4">
        <v>5.0000000000000001E-3</v>
      </c>
    </row>
    <row r="3" spans="1:9" ht="16.5" customHeight="1">
      <c r="A3" s="4">
        <v>1</v>
      </c>
      <c r="B3" s="4">
        <f t="shared" si="0"/>
        <v>0.99</v>
      </c>
      <c r="C3" s="4">
        <f t="shared" si="1"/>
        <v>5200</v>
      </c>
      <c r="D3" s="4">
        <v>5</v>
      </c>
      <c r="E3" s="4">
        <v>3</v>
      </c>
      <c r="F3" s="4">
        <v>0.01</v>
      </c>
      <c r="G3" s="4">
        <v>5.0000000000000001E-3</v>
      </c>
      <c r="H3" s="4">
        <v>0.2</v>
      </c>
      <c r="I3" s="4">
        <v>5.0000000000000001E-3</v>
      </c>
    </row>
    <row r="4" spans="1:9" ht="16.5" customHeight="1">
      <c r="A4" s="4">
        <v>2</v>
      </c>
      <c r="B4" s="4">
        <f t="shared" si="0"/>
        <v>0.96</v>
      </c>
      <c r="C4" s="4">
        <f t="shared" si="1"/>
        <v>10800</v>
      </c>
      <c r="D4" s="4">
        <v>5</v>
      </c>
      <c r="E4" s="4">
        <v>3</v>
      </c>
      <c r="F4" s="4">
        <v>0.01</v>
      </c>
      <c r="G4" s="4">
        <v>5.0000000000000001E-3</v>
      </c>
      <c r="H4" s="4">
        <v>0.4</v>
      </c>
      <c r="I4" s="4">
        <v>5.0000000000000001E-3</v>
      </c>
    </row>
    <row r="5" spans="1:9" ht="16.5" customHeight="1">
      <c r="A5" s="4">
        <v>3</v>
      </c>
      <c r="B5" s="4">
        <f t="shared" si="0"/>
        <v>0.91</v>
      </c>
      <c r="C5" s="4">
        <f t="shared" si="1"/>
        <v>18800</v>
      </c>
      <c r="D5" s="4">
        <v>5</v>
      </c>
      <c r="E5" s="4">
        <v>3</v>
      </c>
      <c r="F5" s="4">
        <v>0.01</v>
      </c>
      <c r="G5" s="4">
        <v>5.0000000000000001E-3</v>
      </c>
      <c r="H5" s="4">
        <v>0.4</v>
      </c>
      <c r="I5" s="4">
        <v>5.0000000000000001E-3</v>
      </c>
    </row>
    <row r="6" spans="1:9" ht="16.5" customHeight="1">
      <c r="A6" s="4">
        <v>4</v>
      </c>
      <c r="B6" s="4">
        <f t="shared" si="0"/>
        <v>0.9</v>
      </c>
      <c r="C6" s="4">
        <f t="shared" si="1"/>
        <v>29200</v>
      </c>
      <c r="D6" s="4">
        <v>5</v>
      </c>
      <c r="E6" s="4">
        <v>5</v>
      </c>
      <c r="F6" s="4">
        <v>0.01</v>
      </c>
      <c r="G6" s="4">
        <v>5.0000000000000001E-3</v>
      </c>
      <c r="H6" s="4">
        <v>0.55000000000000004</v>
      </c>
      <c r="I6" s="4">
        <v>5.0000000000000001E-3</v>
      </c>
    </row>
    <row r="7" spans="1:9" ht="16.5" customHeight="1">
      <c r="A7" s="4">
        <v>5</v>
      </c>
      <c r="B7" s="4">
        <f t="shared" si="0"/>
        <v>0.85</v>
      </c>
      <c r="C7" s="4">
        <f t="shared" si="1"/>
        <v>42000</v>
      </c>
      <c r="D7" s="4">
        <v>10</v>
      </c>
      <c r="E7" s="4">
        <v>5</v>
      </c>
      <c r="F7" s="4">
        <v>1.4999999999999999E-2</v>
      </c>
      <c r="G7" s="4">
        <v>5.0000000000000001E-3</v>
      </c>
      <c r="H7" s="4">
        <v>0.55000000000000004</v>
      </c>
      <c r="I7" s="4">
        <v>5.0000000000000001E-3</v>
      </c>
    </row>
    <row r="8" spans="1:9" ht="16.5" customHeight="1">
      <c r="A8" s="4">
        <v>6</v>
      </c>
      <c r="B8" s="4">
        <f t="shared" si="0"/>
        <v>0.78</v>
      </c>
      <c r="C8" s="4">
        <f t="shared" si="1"/>
        <v>57200</v>
      </c>
      <c r="D8" s="4">
        <v>10</v>
      </c>
      <c r="E8" s="4">
        <v>5</v>
      </c>
      <c r="F8" s="4">
        <v>1.4999999999999999E-2</v>
      </c>
      <c r="G8" s="4">
        <v>0.01</v>
      </c>
      <c r="H8" s="4">
        <v>0.55000000000000004</v>
      </c>
      <c r="I8" s="4">
        <v>5.0000000000000001E-3</v>
      </c>
    </row>
    <row r="9" spans="1:9" ht="16.5" customHeight="1">
      <c r="A9" s="4">
        <v>7</v>
      </c>
      <c r="B9" s="4">
        <f t="shared" si="0"/>
        <v>0.71</v>
      </c>
      <c r="C9" s="4">
        <f t="shared" si="1"/>
        <v>74800</v>
      </c>
      <c r="D9" s="4">
        <v>10</v>
      </c>
      <c r="E9" s="4">
        <v>7</v>
      </c>
      <c r="F9" s="4">
        <v>1.4999999999999999E-2</v>
      </c>
      <c r="G9" s="4">
        <v>0.01</v>
      </c>
      <c r="H9" s="4">
        <v>0.8</v>
      </c>
      <c r="I9" s="4">
        <v>5.0000000000000001E-3</v>
      </c>
    </row>
    <row r="10" spans="1:9" ht="16.5" customHeight="1">
      <c r="A10" s="4">
        <v>8</v>
      </c>
      <c r="B10" s="4">
        <f t="shared" ref="B10:B17" si="2">ROUNDDOWN(0.8-(0.01-0.003*INT((A10-8)/4))*(A10-8)^2,2)</f>
        <v>0.8</v>
      </c>
      <c r="C10" s="4">
        <f t="shared" ref="C10:C17" si="3">400*(A10+1)^3+1200*A10^2</f>
        <v>368400</v>
      </c>
      <c r="D10" s="4">
        <v>20</v>
      </c>
      <c r="E10" s="4">
        <v>9</v>
      </c>
      <c r="F10" s="4">
        <v>0.02</v>
      </c>
      <c r="G10" s="4">
        <v>0.02</v>
      </c>
      <c r="H10" s="4">
        <v>1.2</v>
      </c>
      <c r="I10" s="4">
        <v>0.01</v>
      </c>
    </row>
    <row r="11" spans="1:9" ht="16.5" customHeight="1">
      <c r="A11" s="4">
        <v>9</v>
      </c>
      <c r="B11" s="4">
        <f t="shared" si="2"/>
        <v>0.79</v>
      </c>
      <c r="C11" s="4">
        <f t="shared" si="3"/>
        <v>497200</v>
      </c>
      <c r="D11" s="4">
        <v>20</v>
      </c>
      <c r="E11" s="4">
        <v>9</v>
      </c>
      <c r="F11" s="4">
        <v>0.02</v>
      </c>
      <c r="G11" s="4">
        <v>0.02</v>
      </c>
      <c r="H11" s="4">
        <v>1.2</v>
      </c>
      <c r="I11" s="4">
        <v>0.01</v>
      </c>
    </row>
    <row r="12" spans="1:9" ht="16.5" customHeight="1">
      <c r="A12" s="4">
        <v>10</v>
      </c>
      <c r="B12" s="4">
        <f t="shared" si="2"/>
        <v>0.76</v>
      </c>
      <c r="C12" s="4">
        <f t="shared" si="3"/>
        <v>652400</v>
      </c>
      <c r="D12" s="4">
        <v>20</v>
      </c>
      <c r="E12" s="4">
        <v>11</v>
      </c>
      <c r="F12" s="4">
        <v>0.02</v>
      </c>
      <c r="G12" s="4">
        <v>0.02</v>
      </c>
      <c r="H12" s="4">
        <v>1.35</v>
      </c>
      <c r="I12" s="4">
        <v>0.01</v>
      </c>
    </row>
    <row r="13" spans="1:9" ht="16.5" customHeight="1">
      <c r="A13" s="4">
        <v>11</v>
      </c>
      <c r="B13" s="4">
        <f t="shared" si="2"/>
        <v>0.71</v>
      </c>
      <c r="C13" s="4">
        <f t="shared" si="3"/>
        <v>836400</v>
      </c>
      <c r="D13" s="4">
        <v>20</v>
      </c>
      <c r="E13" s="4">
        <v>11</v>
      </c>
      <c r="F13" s="4">
        <v>0.02</v>
      </c>
      <c r="G13" s="4">
        <v>2.1999999999999999E-2</v>
      </c>
      <c r="H13" s="4">
        <v>1.35</v>
      </c>
      <c r="I13" s="4">
        <v>0.01</v>
      </c>
    </row>
    <row r="14" spans="1:9" ht="16.5" customHeight="1">
      <c r="A14" s="4">
        <v>12</v>
      </c>
      <c r="B14" s="4">
        <f t="shared" si="2"/>
        <v>0.68</v>
      </c>
      <c r="C14" s="4">
        <f t="shared" si="3"/>
        <v>1051600</v>
      </c>
      <c r="D14" s="4">
        <v>20</v>
      </c>
      <c r="E14" s="4">
        <v>11</v>
      </c>
      <c r="F14" s="4">
        <v>2.4E-2</v>
      </c>
      <c r="G14" s="4">
        <v>2.1999999999999999E-2</v>
      </c>
      <c r="H14" s="4">
        <v>1.9</v>
      </c>
      <c r="I14" s="4">
        <v>0.01</v>
      </c>
    </row>
    <row r="15" spans="1:9" ht="16.5" customHeight="1">
      <c r="A15" s="4">
        <v>13</v>
      </c>
      <c r="B15" s="4">
        <f t="shared" si="2"/>
        <v>0.62</v>
      </c>
      <c r="C15" s="4">
        <f t="shared" si="3"/>
        <v>1300400</v>
      </c>
      <c r="D15" s="4">
        <v>25</v>
      </c>
      <c r="E15" s="4">
        <v>11</v>
      </c>
      <c r="F15" s="4">
        <v>2.4E-2</v>
      </c>
      <c r="G15" s="4">
        <v>2.5000000000000001E-2</v>
      </c>
      <c r="H15" s="4">
        <v>2.15</v>
      </c>
      <c r="I15" s="4">
        <v>1.2999999999999999E-2</v>
      </c>
    </row>
    <row r="16" spans="1:9" ht="16.5" customHeight="1">
      <c r="A16" s="4">
        <v>14</v>
      </c>
      <c r="B16" s="4">
        <f t="shared" si="2"/>
        <v>0.54</v>
      </c>
      <c r="C16" s="4">
        <f t="shared" si="3"/>
        <v>1585200</v>
      </c>
      <c r="D16" s="4">
        <v>25</v>
      </c>
      <c r="E16" s="4">
        <v>14</v>
      </c>
      <c r="F16" s="4">
        <v>2.4E-2</v>
      </c>
      <c r="G16" s="4">
        <v>2.5000000000000001E-2</v>
      </c>
      <c r="H16" s="4">
        <v>2.15</v>
      </c>
      <c r="I16" s="4">
        <v>1.2999999999999999E-2</v>
      </c>
    </row>
    <row r="17" spans="1:9" ht="16.5" customHeight="1">
      <c r="A17" s="4">
        <v>15</v>
      </c>
      <c r="B17" s="4">
        <f t="shared" si="2"/>
        <v>0.45</v>
      </c>
      <c r="C17" s="4">
        <f t="shared" si="3"/>
        <v>1908400</v>
      </c>
      <c r="D17" s="4">
        <v>25</v>
      </c>
      <c r="E17" s="4">
        <v>14</v>
      </c>
      <c r="F17" s="4">
        <v>2.4E-2</v>
      </c>
      <c r="G17" s="4">
        <v>2.5000000000000001E-2</v>
      </c>
      <c r="H17" s="4">
        <v>2.35</v>
      </c>
      <c r="I17" s="4">
        <v>1.2999999999999999E-2</v>
      </c>
    </row>
    <row r="18" spans="1:9" ht="16.5" customHeight="1">
      <c r="A18" s="4">
        <v>16</v>
      </c>
      <c r="B18" s="4">
        <f t="shared" ref="B18:B25" si="4">ROUNDDOWN(0.5-(0.01-0.0053*INT((A18-16)/4))*(A18-16)^2,2)</f>
        <v>0.5</v>
      </c>
      <c r="C18" s="4">
        <f t="shared" ref="C18:C27" si="5">200*(A18+25)^3+1200*A18^2</f>
        <v>14091400</v>
      </c>
      <c r="D18" s="4">
        <v>30</v>
      </c>
      <c r="E18" s="4">
        <v>17</v>
      </c>
      <c r="F18" s="4">
        <v>3.1E-2</v>
      </c>
      <c r="G18" s="4">
        <v>3.2000000000000001E-2</v>
      </c>
      <c r="H18" s="4">
        <v>2.95</v>
      </c>
      <c r="I18" s="4">
        <v>1.6E-2</v>
      </c>
    </row>
    <row r="19" spans="1:9" ht="16.5" customHeight="1">
      <c r="A19" s="4">
        <v>17</v>
      </c>
      <c r="B19" s="4">
        <f t="shared" si="4"/>
        <v>0.49</v>
      </c>
      <c r="C19" s="4">
        <f t="shared" si="5"/>
        <v>15164400</v>
      </c>
      <c r="D19" s="4">
        <v>30</v>
      </c>
      <c r="E19" s="4">
        <v>17</v>
      </c>
      <c r="F19" s="4">
        <v>3.1E-2</v>
      </c>
      <c r="G19" s="4">
        <v>3.2000000000000001E-2</v>
      </c>
      <c r="H19" s="4">
        <v>2.95</v>
      </c>
      <c r="I19" s="4">
        <v>1.6E-2</v>
      </c>
    </row>
    <row r="20" spans="1:9" ht="16.5" customHeight="1">
      <c r="A20" s="4">
        <v>18</v>
      </c>
      <c r="B20" s="4">
        <f t="shared" si="4"/>
        <v>0.46</v>
      </c>
      <c r="C20" s="4">
        <f t="shared" si="5"/>
        <v>16290200</v>
      </c>
      <c r="D20" s="4">
        <v>30</v>
      </c>
      <c r="E20" s="4">
        <v>17</v>
      </c>
      <c r="F20" s="4">
        <v>3.9E-2</v>
      </c>
      <c r="G20" s="4">
        <v>3.2000000000000001E-2</v>
      </c>
      <c r="H20" s="4">
        <v>3.25</v>
      </c>
      <c r="I20" s="4">
        <v>1.6E-2</v>
      </c>
    </row>
    <row r="21" spans="1:9" ht="16.5" customHeight="1">
      <c r="A21" s="4">
        <v>19</v>
      </c>
      <c r="B21" s="4">
        <f t="shared" si="4"/>
        <v>0.41</v>
      </c>
      <c r="C21" s="4">
        <f t="shared" si="5"/>
        <v>17470000</v>
      </c>
      <c r="D21" s="4">
        <v>40</v>
      </c>
      <c r="E21" s="4">
        <v>18</v>
      </c>
      <c r="F21" s="4">
        <v>4.5999999999999999E-2</v>
      </c>
      <c r="G21" s="4">
        <v>3.4000000000000002E-2</v>
      </c>
      <c r="H21" s="4">
        <v>3.5</v>
      </c>
      <c r="I21" s="4">
        <v>1.7000000000000001E-2</v>
      </c>
    </row>
    <row r="22" spans="1:9" ht="16.5" customHeight="1">
      <c r="A22" s="4">
        <v>20</v>
      </c>
      <c r="B22" s="4">
        <f t="shared" si="4"/>
        <v>0.42</v>
      </c>
      <c r="C22" s="4">
        <f t="shared" si="5"/>
        <v>18705000</v>
      </c>
      <c r="D22" s="4">
        <v>40</v>
      </c>
      <c r="E22" s="4">
        <v>19</v>
      </c>
      <c r="F22" s="4">
        <v>4.5999999999999999E-2</v>
      </c>
      <c r="G22" s="4">
        <v>3.5000000000000003E-2</v>
      </c>
      <c r="H22" s="4">
        <v>3.65</v>
      </c>
      <c r="I22" s="4">
        <v>1.7000000000000001E-2</v>
      </c>
    </row>
    <row r="23" spans="1:9" ht="16.5" customHeight="1">
      <c r="A23" s="4">
        <v>21</v>
      </c>
      <c r="B23" s="4">
        <f t="shared" si="4"/>
        <v>0.38</v>
      </c>
      <c r="C23" s="4">
        <f t="shared" si="5"/>
        <v>19996400</v>
      </c>
      <c r="D23" s="4">
        <v>40</v>
      </c>
      <c r="E23" s="4">
        <v>20</v>
      </c>
      <c r="F23" s="4">
        <v>5.0999999999999997E-2</v>
      </c>
      <c r="G23" s="4">
        <v>3.6999999999999998E-2</v>
      </c>
      <c r="H23" s="4">
        <v>3.65</v>
      </c>
      <c r="I23" s="4">
        <v>0.02</v>
      </c>
    </row>
    <row r="24" spans="1:9" ht="16.5" customHeight="1">
      <c r="A24" s="4">
        <v>22</v>
      </c>
      <c r="B24" s="4">
        <f t="shared" si="4"/>
        <v>0.33</v>
      </c>
      <c r="C24" s="4">
        <f t="shared" si="5"/>
        <v>21345400</v>
      </c>
      <c r="D24" s="4">
        <v>50</v>
      </c>
      <c r="E24" s="4">
        <v>22</v>
      </c>
      <c r="F24" s="4">
        <v>5.0999999999999997E-2</v>
      </c>
      <c r="G24" s="4">
        <v>0.04</v>
      </c>
      <c r="H24" s="4">
        <v>3.9</v>
      </c>
      <c r="I24" s="4">
        <v>0.02</v>
      </c>
    </row>
    <row r="25" spans="1:9" ht="16.5" customHeight="1">
      <c r="A25" s="4">
        <v>23</v>
      </c>
      <c r="B25" s="4">
        <f t="shared" si="4"/>
        <v>0.26</v>
      </c>
      <c r="C25" s="4">
        <f t="shared" si="5"/>
        <v>22753200</v>
      </c>
      <c r="D25" s="4">
        <v>50</v>
      </c>
      <c r="E25" s="4">
        <v>24</v>
      </c>
      <c r="F25" s="4">
        <v>5.5E-2</v>
      </c>
      <c r="G25" s="4">
        <v>4.2000000000000003E-2</v>
      </c>
      <c r="H25" s="4">
        <v>4.0999999999999996</v>
      </c>
      <c r="I25" s="4">
        <v>2.5000000000000001E-2</v>
      </c>
    </row>
    <row r="26" spans="1:9" ht="16.5" customHeight="1">
      <c r="A26" s="4">
        <v>24</v>
      </c>
      <c r="B26" s="4">
        <v>0.03</v>
      </c>
      <c r="C26" s="4">
        <f t="shared" si="5"/>
        <v>24221000</v>
      </c>
      <c r="D26" s="4">
        <v>80</v>
      </c>
      <c r="E26" s="4">
        <v>26</v>
      </c>
      <c r="F26" s="4">
        <v>0.06</v>
      </c>
      <c r="G26" s="4">
        <v>4.2999999999999997E-2</v>
      </c>
      <c r="H26" s="4">
        <v>4.1500000000000004</v>
      </c>
      <c r="I26" s="4">
        <v>0.03</v>
      </c>
    </row>
    <row r="27" spans="1:9" ht="16.5" customHeight="1">
      <c r="A27" s="4">
        <v>25</v>
      </c>
      <c r="B27" s="4">
        <v>0.03</v>
      </c>
      <c r="C27" s="4">
        <f t="shared" si="5"/>
        <v>25750000</v>
      </c>
      <c r="D27" s="4">
        <v>100</v>
      </c>
      <c r="E27" s="4">
        <v>29</v>
      </c>
      <c r="F27" s="4">
        <v>7.0000000000000007E-2</v>
      </c>
      <c r="G27" s="4">
        <v>4.3999999999999997E-2</v>
      </c>
      <c r="H27" s="4">
        <v>4.2</v>
      </c>
      <c r="I27" s="4">
        <v>3.2000000000000001E-2</v>
      </c>
    </row>
    <row r="28" spans="1:9" ht="16.5" customHeight="1"/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7.42578125" customWidth="1"/>
    <col min="2" max="2" width="7.28515625" customWidth="1"/>
    <col min="3" max="3" width="6.42578125" customWidth="1"/>
    <col min="4" max="4" width="7.5703125" customWidth="1"/>
    <col min="5" max="5" width="6.5703125" customWidth="1"/>
    <col min="6" max="6" width="7.28515625" customWidth="1"/>
    <col min="7" max="26" width="8.7109375" customWidth="1"/>
  </cols>
  <sheetData>
    <row r="1" spans="1:6" ht="16.5" customHeight="1">
      <c r="A1" s="2" t="s">
        <v>22</v>
      </c>
      <c r="B1" s="2" t="s">
        <v>24</v>
      </c>
      <c r="C1" s="2" t="s">
        <v>26</v>
      </c>
      <c r="D1" s="2" t="s">
        <v>28</v>
      </c>
      <c r="E1" s="2" t="s">
        <v>30</v>
      </c>
      <c r="F1" s="2" t="s">
        <v>32</v>
      </c>
    </row>
    <row r="2" spans="1:6" ht="16.5" customHeight="1">
      <c r="A2" s="4">
        <v>10</v>
      </c>
      <c r="B2" s="4">
        <v>3</v>
      </c>
      <c r="C2" s="4">
        <v>-1</v>
      </c>
      <c r="D2" s="4">
        <v>-1</v>
      </c>
      <c r="E2" s="4">
        <v>0.2</v>
      </c>
      <c r="F2" s="4">
        <v>-1</v>
      </c>
    </row>
    <row r="3" spans="1:6" ht="16.5" customHeight="1">
      <c r="A3" s="4">
        <v>-1</v>
      </c>
      <c r="B3" s="4">
        <v>-1</v>
      </c>
      <c r="C3" s="4">
        <v>0.01</v>
      </c>
      <c r="D3" s="4">
        <v>5.0000000000000001E-3</v>
      </c>
      <c r="E3" s="4">
        <v>-1</v>
      </c>
      <c r="F3" s="4">
        <v>0.01</v>
      </c>
    </row>
    <row r="4" spans="1:6" ht="16.5" customHeight="1"/>
    <row r="5" spans="1:6" ht="16.5" customHeight="1"/>
    <row r="6" spans="1:6" ht="16.5" customHeight="1"/>
    <row r="7" spans="1:6" ht="16.5" customHeight="1"/>
    <row r="8" spans="1:6" ht="16.5" customHeight="1"/>
    <row r="9" spans="1:6" ht="16.5" customHeight="1"/>
    <row r="10" spans="1:6" ht="16.5" customHeight="1"/>
    <row r="11" spans="1:6" ht="16.5" customHeight="1"/>
    <row r="12" spans="1:6" ht="16.5" customHeight="1"/>
    <row r="13" spans="1:6" ht="16.5" customHeight="1"/>
    <row r="14" spans="1:6" ht="16.5" customHeight="1"/>
    <row r="15" spans="1:6" ht="16.5" customHeight="1"/>
    <row r="16" spans="1: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conditionalFormatting sqref="A2:F3">
    <cfRule type="cellIs" dxfId="18" priority="1" operator="equal">
      <formula>-1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1" width="3.140625" customWidth="1"/>
    <col min="2" max="2" width="11.28515625" customWidth="1"/>
    <col min="3" max="3" width="7.42578125" customWidth="1"/>
    <col min="4" max="4" width="7.28515625" customWidth="1"/>
    <col min="5" max="5" width="6.42578125" customWidth="1"/>
    <col min="6" max="6" width="7.5703125" customWidth="1"/>
    <col min="7" max="7" width="6.5703125" customWidth="1"/>
    <col min="8" max="8" width="7.28515625" customWidth="1"/>
    <col min="9" max="9" width="8.42578125" customWidth="1"/>
    <col min="10" max="10" width="11.42578125" customWidth="1"/>
    <col min="11" max="18" width="7.42578125" customWidth="1"/>
    <col min="19" max="26" width="8.7109375" customWidth="1"/>
  </cols>
  <sheetData>
    <row r="1" spans="1:18" ht="16.5" customHeight="1">
      <c r="A1" s="2" t="s">
        <v>35</v>
      </c>
      <c r="B1" s="2" t="s">
        <v>36</v>
      </c>
      <c r="C1" s="2" t="s">
        <v>22</v>
      </c>
      <c r="D1" s="2" t="s">
        <v>24</v>
      </c>
      <c r="E1" s="2" t="s">
        <v>26</v>
      </c>
      <c r="F1" s="2" t="s">
        <v>28</v>
      </c>
      <c r="G1" s="2" t="s">
        <v>30</v>
      </c>
      <c r="H1" s="2" t="s">
        <v>32</v>
      </c>
      <c r="I1" s="2" t="s">
        <v>45</v>
      </c>
      <c r="J1" s="2" t="s">
        <v>47</v>
      </c>
      <c r="K1" s="2" t="s">
        <v>49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</row>
    <row r="2" spans="1:18" ht="16.5" customHeight="1">
      <c r="A2" s="2">
        <v>1</v>
      </c>
      <c r="B2" s="2" t="s">
        <v>179</v>
      </c>
      <c r="C2" s="4">
        <v>511</v>
      </c>
      <c r="D2" s="4">
        <v>55</v>
      </c>
      <c r="E2" s="4">
        <v>0.15</v>
      </c>
      <c r="F2" s="4">
        <v>0.57999999999999996</v>
      </c>
      <c r="G2" s="4">
        <v>4.5</v>
      </c>
      <c r="H2" s="4">
        <v>0</v>
      </c>
      <c r="I2" s="4">
        <v>0</v>
      </c>
      <c r="J2" s="4">
        <v>2.2999999999999998</v>
      </c>
      <c r="K2" s="2">
        <v>101</v>
      </c>
      <c r="L2" s="2">
        <v>102</v>
      </c>
      <c r="M2" s="2">
        <v>103</v>
      </c>
      <c r="N2" s="2">
        <v>104</v>
      </c>
      <c r="O2" s="2">
        <v>105</v>
      </c>
      <c r="P2" s="2">
        <v>106</v>
      </c>
      <c r="Q2" s="2">
        <v>107</v>
      </c>
      <c r="R2" s="2">
        <v>-1</v>
      </c>
    </row>
    <row r="3" spans="1:18" ht="16.5" customHeight="1">
      <c r="A3" s="2">
        <v>2</v>
      </c>
      <c r="B3" s="2" t="s">
        <v>180</v>
      </c>
      <c r="C3" s="4">
        <v>531</v>
      </c>
      <c r="D3" s="4">
        <v>49</v>
      </c>
      <c r="E3" s="4">
        <v>0.25</v>
      </c>
      <c r="F3" s="4">
        <v>0.44500000000000001</v>
      </c>
      <c r="G3" s="4">
        <v>5.2</v>
      </c>
      <c r="H3" s="4">
        <v>0</v>
      </c>
      <c r="I3" s="4">
        <v>0</v>
      </c>
      <c r="J3" s="4">
        <v>1.8</v>
      </c>
      <c r="K3" s="2">
        <v>201</v>
      </c>
      <c r="L3" s="2">
        <v>202</v>
      </c>
      <c r="M3" s="2">
        <v>203</v>
      </c>
      <c r="N3" s="2">
        <v>204</v>
      </c>
      <c r="O3" s="2">
        <v>205</v>
      </c>
      <c r="P3" s="2">
        <v>206</v>
      </c>
      <c r="Q3" s="2">
        <v>207</v>
      </c>
      <c r="R3" s="2">
        <v>208</v>
      </c>
    </row>
    <row r="4" spans="1:18" ht="16.5" customHeight="1">
      <c r="A4" s="2">
        <v>3</v>
      </c>
      <c r="B4" s="2" t="s">
        <v>181</v>
      </c>
      <c r="C4" s="4">
        <v>511</v>
      </c>
      <c r="D4" s="4">
        <v>51</v>
      </c>
      <c r="E4" s="4">
        <v>0.18</v>
      </c>
      <c r="F4" s="4">
        <v>0.501</v>
      </c>
      <c r="G4" s="4">
        <v>4.5</v>
      </c>
      <c r="H4" s="4">
        <v>0</v>
      </c>
      <c r="I4" s="4">
        <v>0</v>
      </c>
      <c r="J4" s="4">
        <v>2</v>
      </c>
      <c r="K4" s="2">
        <v>301</v>
      </c>
      <c r="L4" s="2">
        <v>302</v>
      </c>
      <c r="M4" s="2">
        <v>303</v>
      </c>
      <c r="N4" s="2">
        <v>304</v>
      </c>
      <c r="O4" s="2">
        <v>305</v>
      </c>
      <c r="P4" s="2">
        <v>306</v>
      </c>
      <c r="Q4" s="2">
        <v>307</v>
      </c>
      <c r="R4" s="2">
        <v>-1</v>
      </c>
    </row>
    <row r="5" spans="1:18" ht="16.5" customHeight="1">
      <c r="A5" s="2">
        <v>4</v>
      </c>
      <c r="B5" s="2" t="s">
        <v>182</v>
      </c>
      <c r="C5" s="4">
        <v>551</v>
      </c>
      <c r="D5" s="4">
        <v>45</v>
      </c>
      <c r="E5" s="4">
        <v>0.3</v>
      </c>
      <c r="F5" s="4">
        <v>0.39500000000000002</v>
      </c>
      <c r="G5" s="4">
        <v>6.5</v>
      </c>
      <c r="H5" s="4">
        <v>0</v>
      </c>
      <c r="I5" s="4">
        <v>0</v>
      </c>
      <c r="J5" s="4">
        <v>2</v>
      </c>
      <c r="K5" s="2">
        <v>401</v>
      </c>
      <c r="L5" s="2">
        <v>402</v>
      </c>
      <c r="M5" s="2">
        <v>403</v>
      </c>
      <c r="N5" s="2">
        <v>404</v>
      </c>
      <c r="O5" s="2">
        <v>405</v>
      </c>
      <c r="P5" s="2">
        <v>406</v>
      </c>
      <c r="Q5" s="2">
        <v>407</v>
      </c>
      <c r="R5" s="2">
        <v>408</v>
      </c>
    </row>
    <row r="6" spans="1:18" ht="16.5" customHeight="1"/>
    <row r="7" spans="1:18" ht="16.5" customHeight="1"/>
    <row r="8" spans="1:18" ht="16.5" customHeight="1"/>
    <row r="9" spans="1:18" ht="16.5" customHeight="1"/>
    <row r="10" spans="1:18" ht="16.5" customHeight="1"/>
    <row r="11" spans="1:18" ht="16.5" customHeight="1"/>
    <row r="12" spans="1:18" ht="16.5" customHeight="1"/>
    <row r="13" spans="1:18" ht="16.5" customHeight="1"/>
    <row r="14" spans="1:18" ht="16.5" customHeight="1"/>
    <row r="15" spans="1:18" ht="16.5" customHeight="1"/>
    <row r="16" spans="1:1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conditionalFormatting sqref="K2:R5">
    <cfRule type="cellIs" dxfId="17" priority="1" operator="equal">
      <formula>-1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4.42578125" customWidth="1"/>
    <col min="2" max="2" width="10.42578125" customWidth="1"/>
    <col min="3" max="5" width="9" customWidth="1"/>
    <col min="6" max="6" width="11.5703125" customWidth="1"/>
    <col min="7" max="7" width="14.5703125" customWidth="1"/>
    <col min="8" max="26" width="8.7109375" customWidth="1"/>
  </cols>
  <sheetData>
    <row r="1" spans="1:26" ht="16.5" customHeight="1">
      <c r="A1" s="4" t="s">
        <v>59</v>
      </c>
      <c r="B1" s="4" t="s">
        <v>183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 customHeight="1">
      <c r="A2" s="4">
        <v>1</v>
      </c>
      <c r="B2" s="4">
        <v>100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.5" customHeight="1">
      <c r="A3" s="4">
        <v>2</v>
      </c>
      <c r="B3" s="4">
        <f t="shared" ref="B3:B9" si="0">90*(A3-1)+$B$2</f>
        <v>190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>
      <c r="A4" s="4">
        <v>3</v>
      </c>
      <c r="B4" s="4">
        <f t="shared" si="0"/>
        <v>280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4">
        <v>4</v>
      </c>
      <c r="B5" s="4">
        <f t="shared" si="0"/>
        <v>370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>
      <c r="A6" s="4">
        <v>5</v>
      </c>
      <c r="B6" s="4">
        <f t="shared" si="0"/>
        <v>460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>
      <c r="A7" s="4">
        <v>6</v>
      </c>
      <c r="B7" s="4">
        <f t="shared" si="0"/>
        <v>550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4">
        <v>7</v>
      </c>
      <c r="B8" s="4">
        <f t="shared" si="0"/>
        <v>640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4">
        <v>8</v>
      </c>
      <c r="B9" s="4">
        <f t="shared" si="0"/>
        <v>730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4">
        <v>9</v>
      </c>
      <c r="B10" s="4">
        <f t="shared" ref="B10:B11" si="1">B9</f>
        <v>730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4">
        <v>10</v>
      </c>
      <c r="B11" s="4">
        <f t="shared" si="1"/>
        <v>730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4">
        <v>11</v>
      </c>
      <c r="B12" s="4">
        <f t="shared" ref="B12:B16" si="2">ROUND(2*($B$26-$B$11)/45*(A12-10)+$B$11,0)</f>
        <v>1254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4">
        <v>12</v>
      </c>
      <c r="B13" s="4">
        <f t="shared" si="2"/>
        <v>1779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4">
        <v>13</v>
      </c>
      <c r="B14" s="4">
        <f t="shared" si="2"/>
        <v>2303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4">
        <v>14</v>
      </c>
      <c r="B15" s="4">
        <f t="shared" si="2"/>
        <v>2828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4">
        <v>15</v>
      </c>
      <c r="B16" s="4">
        <f t="shared" si="2"/>
        <v>3352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4">
        <v>16</v>
      </c>
      <c r="B17" s="4">
        <f t="shared" ref="B17:B21" si="3">ROUND(3*($B$26-$B$11)/45*(A17-15)+$B$16,0)</f>
        <v>4139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4">
        <v>17</v>
      </c>
      <c r="B18" s="4">
        <f t="shared" si="3"/>
        <v>4925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4">
        <v>18</v>
      </c>
      <c r="B19" s="4">
        <f t="shared" si="3"/>
        <v>5712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4">
        <v>19</v>
      </c>
      <c r="B20" s="4">
        <f t="shared" si="3"/>
        <v>6499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4">
        <v>20</v>
      </c>
      <c r="B21" s="4">
        <f t="shared" si="3"/>
        <v>7285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4">
        <v>21</v>
      </c>
      <c r="B22" s="4">
        <f t="shared" ref="B22:B25" si="4">ROUND(4*($B$26-$B$11)/45*(A22-20)+$B$21,0)</f>
        <v>8334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4">
        <v>22</v>
      </c>
      <c r="B23" s="4">
        <f t="shared" si="4"/>
        <v>9383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4">
        <v>23</v>
      </c>
      <c r="B24" s="4">
        <f t="shared" si="4"/>
        <v>10432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4">
        <v>24</v>
      </c>
      <c r="B25" s="4">
        <f t="shared" si="4"/>
        <v>11481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4">
        <v>25</v>
      </c>
      <c r="B26" s="5">
        <f>12830-300</f>
        <v>12530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4">
        <v>26</v>
      </c>
      <c r="B27" s="4">
        <f t="shared" ref="B27:B46" si="5">ROUNDDOWN($B$26*(1.045)^(A27-25),0)</f>
        <v>13093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4">
        <v>27</v>
      </c>
      <c r="B28" s="4">
        <f t="shared" si="5"/>
        <v>13683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4">
        <v>28</v>
      </c>
      <c r="B29" s="4">
        <f t="shared" si="5"/>
        <v>14298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4">
        <v>29</v>
      </c>
      <c r="B30" s="4">
        <f t="shared" si="5"/>
        <v>14942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4">
        <v>30</v>
      </c>
      <c r="B31" s="4">
        <f t="shared" si="5"/>
        <v>15614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4">
        <v>31</v>
      </c>
      <c r="B32" s="4">
        <f t="shared" si="5"/>
        <v>16317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4">
        <v>32</v>
      </c>
      <c r="B33" s="4">
        <f t="shared" si="5"/>
        <v>17051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4">
        <v>33</v>
      </c>
      <c r="B34" s="4">
        <f t="shared" si="5"/>
        <v>17818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4">
        <v>34</v>
      </c>
      <c r="B35" s="4">
        <f t="shared" si="5"/>
        <v>18620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4">
        <v>35</v>
      </c>
      <c r="B36" s="4">
        <f t="shared" si="5"/>
        <v>19458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4">
        <v>36</v>
      </c>
      <c r="B37" s="4">
        <f t="shared" si="5"/>
        <v>20334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4">
        <v>37</v>
      </c>
      <c r="B38" s="4">
        <f t="shared" si="5"/>
        <v>21249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4">
        <v>38</v>
      </c>
      <c r="B39" s="4">
        <f t="shared" si="5"/>
        <v>22205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4">
        <v>39</v>
      </c>
      <c r="B40" s="4">
        <f t="shared" si="5"/>
        <v>23204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4">
        <v>40</v>
      </c>
      <c r="B41" s="4">
        <f t="shared" si="5"/>
        <v>24249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4">
        <v>41</v>
      </c>
      <c r="B42" s="4">
        <f t="shared" si="5"/>
        <v>25340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4">
        <v>42</v>
      </c>
      <c r="B43" s="4">
        <f t="shared" si="5"/>
        <v>26480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4">
        <v>43</v>
      </c>
      <c r="B44" s="4">
        <f t="shared" si="5"/>
        <v>27672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4">
        <v>44</v>
      </c>
      <c r="B45" s="4">
        <f t="shared" si="5"/>
        <v>28917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4">
        <v>45</v>
      </c>
      <c r="B46" s="4">
        <f t="shared" si="5"/>
        <v>30218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4">
        <v>46</v>
      </c>
      <c r="B47" s="4">
        <f t="shared" ref="B47:B49" si="6">B46+465</f>
        <v>30683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4">
        <v>47</v>
      </c>
      <c r="B48" s="4">
        <f t="shared" si="6"/>
        <v>31148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4">
        <v>48</v>
      </c>
      <c r="B49" s="4">
        <f t="shared" si="6"/>
        <v>31613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4">
        <v>49</v>
      </c>
      <c r="B50" s="4">
        <f t="shared" ref="B50:B59" si="7">ROUNDDOWN(($B$49+1000)/38^2*(A50-10)^2,0)</f>
        <v>34352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4">
        <v>50</v>
      </c>
      <c r="B51" s="4">
        <f t="shared" si="7"/>
        <v>36136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4">
        <v>51</v>
      </c>
      <c r="B52" s="4">
        <f t="shared" si="7"/>
        <v>37965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4">
        <v>52</v>
      </c>
      <c r="B53" s="4">
        <f t="shared" si="7"/>
        <v>39840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4">
        <v>53</v>
      </c>
      <c r="B54" s="4">
        <f t="shared" si="7"/>
        <v>41759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4">
        <v>54</v>
      </c>
      <c r="B55" s="4">
        <f t="shared" si="7"/>
        <v>43724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4">
        <v>55</v>
      </c>
      <c r="B56" s="4">
        <f t="shared" si="7"/>
        <v>45734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4">
        <v>56</v>
      </c>
      <c r="B57" s="4">
        <f t="shared" si="7"/>
        <v>47790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4">
        <v>57</v>
      </c>
      <c r="B58" s="4">
        <f t="shared" si="7"/>
        <v>49890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4">
        <v>58</v>
      </c>
      <c r="B59" s="4">
        <f t="shared" si="7"/>
        <v>52036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4">
        <v>59</v>
      </c>
      <c r="B60" s="4">
        <f t="shared" ref="B60:B69" si="8">ROUNDDOWN(($B$59+1000)/45^2*(A60-10)^2,0)</f>
        <v>62883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4">
        <v>60</v>
      </c>
      <c r="B61" s="4">
        <f t="shared" si="8"/>
        <v>65476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4">
        <v>61</v>
      </c>
      <c r="B62" s="4">
        <f t="shared" si="8"/>
        <v>68121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4">
        <v>62</v>
      </c>
      <c r="B63" s="4">
        <f t="shared" si="8"/>
        <v>70819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4">
        <v>63</v>
      </c>
      <c r="B64" s="4">
        <f t="shared" si="8"/>
        <v>73569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4">
        <v>64</v>
      </c>
      <c r="B65" s="4">
        <f t="shared" si="8"/>
        <v>76371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4">
        <v>65</v>
      </c>
      <c r="B66" s="4">
        <f t="shared" si="8"/>
        <v>79226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4">
        <v>66</v>
      </c>
      <c r="B67" s="4">
        <f t="shared" si="8"/>
        <v>82133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4">
        <v>67</v>
      </c>
      <c r="B68" s="4">
        <f t="shared" si="8"/>
        <v>85093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4">
        <v>68</v>
      </c>
      <c r="B69" s="4">
        <f t="shared" si="8"/>
        <v>88105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4">
        <v>69</v>
      </c>
      <c r="B70" s="4">
        <f t="shared" ref="B70:B76" si="9">ROUNDDOWN($B$69*1.05^(A70-67),0)</f>
        <v>97135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4">
        <v>70</v>
      </c>
      <c r="B71" s="4">
        <f t="shared" si="9"/>
        <v>101992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4">
        <v>71</v>
      </c>
      <c r="B72" s="4">
        <f t="shared" si="9"/>
        <v>107092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4">
        <v>72</v>
      </c>
      <c r="B73" s="4">
        <f t="shared" si="9"/>
        <v>112446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4">
        <v>73</v>
      </c>
      <c r="B74" s="4">
        <f t="shared" si="9"/>
        <v>118069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4">
        <v>74</v>
      </c>
      <c r="B75" s="4">
        <f t="shared" si="9"/>
        <v>123972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4">
        <v>75</v>
      </c>
      <c r="B76" s="4">
        <f t="shared" si="9"/>
        <v>130171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4">
        <v>76</v>
      </c>
      <c r="B77" s="4">
        <f t="shared" ref="B77:B84" si="10">ROUNDDOWN($B$76*1.09*(1.04)^(A77-75),0)</f>
        <v>147561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4">
        <v>77</v>
      </c>
      <c r="B78" s="4">
        <f t="shared" si="10"/>
        <v>153464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4">
        <v>78</v>
      </c>
      <c r="B79" s="4">
        <f t="shared" si="10"/>
        <v>159602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4">
        <v>79</v>
      </c>
      <c r="B80" s="4">
        <f t="shared" si="10"/>
        <v>165987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4">
        <v>80</v>
      </c>
      <c r="B81" s="4">
        <f t="shared" si="10"/>
        <v>172626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4">
        <v>81</v>
      </c>
      <c r="B82" s="4">
        <f t="shared" si="10"/>
        <v>179531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4">
        <v>82</v>
      </c>
      <c r="B83" s="4">
        <f t="shared" si="10"/>
        <v>186712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4">
        <v>83</v>
      </c>
      <c r="B84" s="4">
        <f t="shared" si="10"/>
        <v>194181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4">
        <v>84</v>
      </c>
      <c r="B85" s="4">
        <f t="shared" ref="B85:B92" si="11">ROUNDDOWN($B$84*1.09*(1.043)^(A85-83),0)</f>
        <v>220758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4">
        <v>85</v>
      </c>
      <c r="B86" s="4">
        <f t="shared" si="11"/>
        <v>230251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4">
        <v>86</v>
      </c>
      <c r="B87" s="4">
        <f t="shared" si="11"/>
        <v>240151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4">
        <v>87</v>
      </c>
      <c r="B88" s="4">
        <f t="shared" si="11"/>
        <v>250478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4">
        <v>88</v>
      </c>
      <c r="B89" s="4">
        <f t="shared" si="11"/>
        <v>261249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4">
        <v>89</v>
      </c>
      <c r="B90" s="4">
        <f t="shared" si="11"/>
        <v>272482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4">
        <v>90</v>
      </c>
      <c r="B91" s="4">
        <f t="shared" si="11"/>
        <v>284199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4">
        <v>91</v>
      </c>
      <c r="B92" s="4">
        <f t="shared" si="11"/>
        <v>296420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4">
        <v>92</v>
      </c>
      <c r="B93" s="4">
        <f t="shared" ref="B93:B100" si="12">ROUNDDOWN($B$92*1.16*(1.046)^(A93-91),0)</f>
        <v>359664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4">
        <v>93</v>
      </c>
      <c r="B94" s="4">
        <f t="shared" si="12"/>
        <v>376208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4">
        <v>94</v>
      </c>
      <c r="B95" s="4">
        <f t="shared" si="12"/>
        <v>393514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4">
        <v>95</v>
      </c>
      <c r="B96" s="4">
        <f t="shared" si="12"/>
        <v>411615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4">
        <v>96</v>
      </c>
      <c r="B97" s="4">
        <f t="shared" si="12"/>
        <v>430550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4">
        <v>97</v>
      </c>
      <c r="B98" s="4">
        <f t="shared" si="12"/>
        <v>450355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4">
        <v>98</v>
      </c>
      <c r="B99" s="4">
        <f t="shared" si="12"/>
        <v>471071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4">
        <v>99</v>
      </c>
      <c r="B100" s="4">
        <f t="shared" si="12"/>
        <v>492741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4">
        <v>100</v>
      </c>
      <c r="B101" s="4">
        <f t="shared" ref="B101:B108" si="13">ROUNDDOWN($B$100*1.16*(1.049)^(A101-99),0)</f>
        <v>599586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4">
        <v>101</v>
      </c>
      <c r="B102" s="4">
        <f t="shared" si="13"/>
        <v>628966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4">
        <v>102</v>
      </c>
      <c r="B103" s="4">
        <f t="shared" si="13"/>
        <v>659786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4">
        <v>103</v>
      </c>
      <c r="B104" s="4">
        <f t="shared" si="13"/>
        <v>692115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4">
        <v>104</v>
      </c>
      <c r="B105" s="4">
        <f t="shared" si="13"/>
        <v>726029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4">
        <v>105</v>
      </c>
      <c r="B106" s="4">
        <f t="shared" si="13"/>
        <v>761604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4">
        <v>106</v>
      </c>
      <c r="B107" s="4">
        <f t="shared" si="13"/>
        <v>798923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4">
        <v>107</v>
      </c>
      <c r="B108" s="4">
        <f t="shared" si="13"/>
        <v>838070</v>
      </c>
      <c r="C108" s="4"/>
      <c r="D108" s="4"/>
      <c r="E108" s="4"/>
      <c r="F108" s="4"/>
      <c r="G108" s="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4">
        <v>108</v>
      </c>
      <c r="B109" s="4">
        <f t="shared" ref="B109:B116" si="14">ROUNDDOWN($B$108*1.25*(1.052)^(A109-107),0)</f>
        <v>1102062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4">
        <v>109</v>
      </c>
      <c r="B110" s="4">
        <f t="shared" si="14"/>
        <v>1159369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4">
        <v>110</v>
      </c>
      <c r="B111" s="4">
        <f t="shared" si="14"/>
        <v>1219656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4">
        <v>111</v>
      </c>
      <c r="B112" s="4">
        <f t="shared" si="14"/>
        <v>1283078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4">
        <v>112</v>
      </c>
      <c r="B113" s="4">
        <f t="shared" si="14"/>
        <v>1349798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4">
        <v>113</v>
      </c>
      <c r="B114" s="4">
        <f t="shared" si="14"/>
        <v>1419988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4">
        <v>114</v>
      </c>
      <c r="B115" s="4">
        <f t="shared" si="14"/>
        <v>1493827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4">
        <v>115</v>
      </c>
      <c r="B116" s="4">
        <f t="shared" si="14"/>
        <v>1571506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4">
        <v>116</v>
      </c>
      <c r="B117" s="4">
        <f t="shared" ref="B117:B124" si="15">ROUNDDOWN($B$116*1.25*(1.055)^(A117-115),0)</f>
        <v>2072423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4">
        <v>117</v>
      </c>
      <c r="B118" s="4">
        <f t="shared" si="15"/>
        <v>2186406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4">
        <v>118</v>
      </c>
      <c r="B119" s="4">
        <f t="shared" si="15"/>
        <v>2306659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4">
        <v>119</v>
      </c>
      <c r="B120" s="4">
        <f t="shared" si="15"/>
        <v>2433525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4">
        <v>120</v>
      </c>
      <c r="B121" s="4">
        <f t="shared" si="15"/>
        <v>2567369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4">
        <v>121</v>
      </c>
      <c r="B122" s="4">
        <f t="shared" si="15"/>
        <v>2708574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4">
        <v>122</v>
      </c>
      <c r="B123" s="4">
        <f t="shared" si="15"/>
        <v>2857546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4">
        <v>123</v>
      </c>
      <c r="B124" s="4">
        <f t="shared" si="15"/>
        <v>3014711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4">
        <v>124</v>
      </c>
      <c r="B125" s="4">
        <f t="shared" ref="B125:B130" si="16">ROUNDDOWN($B$124*1.36*(1.058)^(A125-123),0)</f>
        <v>4337807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4">
        <v>125</v>
      </c>
      <c r="B126" s="4">
        <f t="shared" si="16"/>
        <v>4589400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4">
        <v>126</v>
      </c>
      <c r="B127" s="4">
        <f t="shared" si="16"/>
        <v>4855585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4">
        <v>127</v>
      </c>
      <c r="B128" s="4">
        <f t="shared" si="16"/>
        <v>5137209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4">
        <v>128</v>
      </c>
      <c r="B129" s="4">
        <f t="shared" si="16"/>
        <v>5435167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4">
        <v>129</v>
      </c>
      <c r="B130" s="4">
        <f t="shared" si="16"/>
        <v>5750407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4">
        <v>130</v>
      </c>
      <c r="B131" s="4">
        <f t="shared" ref="B131:B135" si="17">ROUNDDOWN($B$130*1.61*(1.064)^(A131-129),0)</f>
        <v>9850677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4">
        <v>131</v>
      </c>
      <c r="B132" s="4">
        <f t="shared" si="17"/>
        <v>10481120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4">
        <v>132</v>
      </c>
      <c r="B133" s="4">
        <f t="shared" si="17"/>
        <v>11151912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4">
        <v>133</v>
      </c>
      <c r="B134" s="4">
        <f t="shared" si="17"/>
        <v>11865634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4">
        <v>134</v>
      </c>
      <c r="B135" s="4">
        <f t="shared" si="17"/>
        <v>12625035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4">
        <v>135</v>
      </c>
      <c r="B136" s="4">
        <f t="shared" ref="B136:B140" si="18">ROUNDDOWN($B$135*1.9*(1.07)^(A136-134),0)</f>
        <v>25666696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4">
        <v>136</v>
      </c>
      <c r="B137" s="4">
        <f t="shared" si="18"/>
        <v>27463364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4">
        <v>137</v>
      </c>
      <c r="B138" s="4">
        <f t="shared" si="18"/>
        <v>29385800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4">
        <v>138</v>
      </c>
      <c r="B139" s="4">
        <f t="shared" si="18"/>
        <v>31442806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4">
        <v>139</v>
      </c>
      <c r="B140" s="4">
        <f t="shared" si="18"/>
        <v>33643802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4">
        <v>140</v>
      </c>
      <c r="B141" s="4">
        <f t="shared" ref="B141:B145" si="19">ROUNDDOWN($B$140*2*(1.04)^(A141-139),0)</f>
        <v>69979108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4">
        <v>141</v>
      </c>
      <c r="B142" s="4">
        <f t="shared" si="19"/>
        <v>72778272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4">
        <v>142</v>
      </c>
      <c r="B143" s="4">
        <f t="shared" si="19"/>
        <v>75689403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4">
        <v>143</v>
      </c>
      <c r="B144" s="4">
        <f t="shared" si="19"/>
        <v>78716979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4">
        <v>144</v>
      </c>
      <c r="B145" s="4">
        <f t="shared" si="19"/>
        <v>81865658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4">
        <v>145</v>
      </c>
      <c r="B146" s="4">
        <f t="shared" ref="B146:B151" si="20">ROUNDDOWN($B$145*2*(1.04)^(A146-144),0)</f>
        <v>170280568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4">
        <v>146</v>
      </c>
      <c r="B147" s="4">
        <f t="shared" si="20"/>
        <v>177091791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4">
        <v>147</v>
      </c>
      <c r="B148" s="4">
        <f t="shared" si="20"/>
        <v>184175463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4">
        <v>148</v>
      </c>
      <c r="B149" s="4">
        <f t="shared" si="20"/>
        <v>191542481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4">
        <v>149</v>
      </c>
      <c r="B150" s="4">
        <f t="shared" si="20"/>
        <v>199204180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4">
        <v>150</v>
      </c>
      <c r="B151" s="4">
        <f t="shared" si="20"/>
        <v>207172348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honeticPr fontId="4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3.140625" customWidth="1"/>
    <col min="2" max="7" width="10.140625" customWidth="1"/>
    <col min="8" max="26" width="12.5703125" customWidth="1"/>
  </cols>
  <sheetData>
    <row r="1" spans="1:26" ht="16.5" customHeight="1">
      <c r="A1" s="1" t="s">
        <v>35</v>
      </c>
      <c r="B1" s="1" t="s">
        <v>64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3.140625" customWidth="1"/>
    <col min="2" max="8" width="9.7109375" customWidth="1"/>
    <col min="9" max="10" width="16.28515625" customWidth="1"/>
    <col min="11" max="14" width="9.5703125" customWidth="1"/>
    <col min="15" max="26" width="12.5703125" customWidth="1"/>
  </cols>
  <sheetData>
    <row r="1" spans="1:26" ht="16.5" customHeight="1">
      <c r="A1" s="1" t="s">
        <v>35</v>
      </c>
      <c r="B1" s="1" t="s">
        <v>72</v>
      </c>
      <c r="C1" s="1" t="s">
        <v>74</v>
      </c>
      <c r="D1" s="1" t="s">
        <v>76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84</v>
      </c>
      <c r="K1" s="1" t="s">
        <v>85</v>
      </c>
      <c r="L1" s="1" t="s">
        <v>87</v>
      </c>
      <c r="M1" s="1" t="s">
        <v>88</v>
      </c>
      <c r="N1" s="1" t="s">
        <v>89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>
        <v>1</v>
      </c>
      <c r="B2" s="1">
        <v>1</v>
      </c>
      <c r="C2" s="1">
        <v>111</v>
      </c>
      <c r="D2" s="1">
        <v>112</v>
      </c>
      <c r="E2" s="1">
        <v>113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f t="shared" ref="K2:N2" si="0">(QUOTIENT($A2-1,6)+1)*100+$A2*10+MID(K$1, 8, 1)</f>
        <v>111</v>
      </c>
      <c r="L2" s="1">
        <f t="shared" si="0"/>
        <v>112</v>
      </c>
      <c r="M2" s="1">
        <f t="shared" si="0"/>
        <v>113</v>
      </c>
      <c r="N2" s="1">
        <f t="shared" si="0"/>
        <v>114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>
        <v>2</v>
      </c>
      <c r="B3" s="1">
        <v>1</v>
      </c>
      <c r="C3" s="1">
        <v>111</v>
      </c>
      <c r="D3" s="1">
        <v>112</v>
      </c>
      <c r="E3" s="1">
        <v>113</v>
      </c>
      <c r="F3" s="1">
        <v>121</v>
      </c>
      <c r="G3" s="1">
        <v>122</v>
      </c>
      <c r="H3" s="1">
        <v>-1</v>
      </c>
      <c r="I3" s="1">
        <v>-1</v>
      </c>
      <c r="J3" s="1">
        <v>-1</v>
      </c>
      <c r="K3" s="1">
        <f t="shared" ref="K3:N3" si="1">(QUOTIENT($A3-1,6)+1)*100+$A3*10+MID(K$1, 8, 1)</f>
        <v>121</v>
      </c>
      <c r="L3" s="1">
        <f t="shared" si="1"/>
        <v>122</v>
      </c>
      <c r="M3" s="1">
        <f t="shared" si="1"/>
        <v>123</v>
      </c>
      <c r="N3" s="1">
        <f t="shared" si="1"/>
        <v>124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>
        <v>3</v>
      </c>
      <c r="B4" s="1">
        <v>1</v>
      </c>
      <c r="C4" s="1">
        <v>111</v>
      </c>
      <c r="D4" s="1">
        <v>112</v>
      </c>
      <c r="E4" s="1">
        <v>113</v>
      </c>
      <c r="F4" s="1">
        <v>121</v>
      </c>
      <c r="G4" s="1">
        <v>122</v>
      </c>
      <c r="H4" s="1">
        <v>131</v>
      </c>
      <c r="I4" s="1">
        <v>-1</v>
      </c>
      <c r="J4" s="1">
        <v>-1</v>
      </c>
      <c r="K4" s="1">
        <f t="shared" ref="K4:N4" si="2">(QUOTIENT($A4-1,6)+1)*100+$A4*10+MID(K$1, 8, 1)</f>
        <v>131</v>
      </c>
      <c r="L4" s="1">
        <f t="shared" si="2"/>
        <v>132</v>
      </c>
      <c r="M4" s="1">
        <f t="shared" si="2"/>
        <v>133</v>
      </c>
      <c r="N4" s="1">
        <f t="shared" si="2"/>
        <v>134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>
        <v>4</v>
      </c>
      <c r="B5" s="1">
        <v>2</v>
      </c>
      <c r="C5" s="1">
        <v>111</v>
      </c>
      <c r="D5" s="1">
        <v>112</v>
      </c>
      <c r="E5" s="1">
        <v>113</v>
      </c>
      <c r="F5" s="1">
        <v>121</v>
      </c>
      <c r="G5" s="1">
        <v>122</v>
      </c>
      <c r="H5" s="1">
        <v>131</v>
      </c>
      <c r="I5" s="1">
        <v>141</v>
      </c>
      <c r="J5" s="1">
        <v>-1</v>
      </c>
      <c r="K5" s="1">
        <f t="shared" ref="K5:N5" si="3">(QUOTIENT($A5-1,6)+1)*100+$A5*10+MID(K$1, 8, 1)</f>
        <v>141</v>
      </c>
      <c r="L5" s="1">
        <f t="shared" si="3"/>
        <v>142</v>
      </c>
      <c r="M5" s="1">
        <f t="shared" si="3"/>
        <v>143</v>
      </c>
      <c r="N5" s="1">
        <f t="shared" si="3"/>
        <v>144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>
        <v>5</v>
      </c>
      <c r="B6" s="1">
        <v>2</v>
      </c>
      <c r="C6" s="1">
        <v>111</v>
      </c>
      <c r="D6" s="1">
        <v>112</v>
      </c>
      <c r="E6" s="1">
        <v>113</v>
      </c>
      <c r="F6" s="1">
        <v>121</v>
      </c>
      <c r="G6" s="1">
        <v>122</v>
      </c>
      <c r="H6" s="1">
        <v>131</v>
      </c>
      <c r="I6" s="1">
        <v>141</v>
      </c>
      <c r="J6" s="1">
        <v>-1</v>
      </c>
      <c r="K6" s="1">
        <f t="shared" ref="K6:N6" si="4">(QUOTIENT($A6-1,6)+1)*100+$A6*10+MID(K$1, 8, 1)</f>
        <v>151</v>
      </c>
      <c r="L6" s="1">
        <f t="shared" si="4"/>
        <v>152</v>
      </c>
      <c r="M6" s="1">
        <f t="shared" si="4"/>
        <v>153</v>
      </c>
      <c r="N6" s="1">
        <f t="shared" si="4"/>
        <v>154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>
        <v>6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151</v>
      </c>
      <c r="J7" s="1">
        <v>-1</v>
      </c>
      <c r="K7" s="1">
        <f>(QUOTIENT($A7-1,6)+1)*100+$A7*10+MID(K$1, 8, 1)</f>
        <v>161</v>
      </c>
      <c r="L7" s="1">
        <v>-1</v>
      </c>
      <c r="M7" s="1">
        <v>-1</v>
      </c>
      <c r="N7" s="1">
        <v>-1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4" type="noConversion"/>
  <conditionalFormatting sqref="L2:N3 L7:N7">
    <cfRule type="expression" dxfId="16" priority="1">
      <formula>$B2=3</formula>
    </cfRule>
  </conditionalFormatting>
  <conditionalFormatting sqref="I2:J7">
    <cfRule type="expression" dxfId="15" priority="2">
      <formula>$B2=1</formula>
    </cfRule>
  </conditionalFormatting>
  <conditionalFormatting sqref="J2:J7">
    <cfRule type="expression" dxfId="14" priority="3">
      <formula>$B2=2</formula>
    </cfRule>
  </conditionalFormatting>
  <conditionalFormatting sqref="C7:H7">
    <cfRule type="expression" dxfId="13" priority="4">
      <formula>$B7=3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4.42578125" customWidth="1"/>
    <col min="2" max="6" width="12.42578125" customWidth="1"/>
    <col min="7" max="26" width="12.5703125" customWidth="1"/>
  </cols>
  <sheetData>
    <row r="1" spans="1:26" ht="16.5" customHeight="1">
      <c r="A1" s="7" t="s">
        <v>35</v>
      </c>
      <c r="B1" s="1" t="s">
        <v>91</v>
      </c>
      <c r="C1" s="1" t="s">
        <v>93</v>
      </c>
      <c r="D1" s="1" t="s">
        <v>95</v>
      </c>
      <c r="E1" s="1" t="s">
        <v>97</v>
      </c>
      <c r="F1" s="1" t="s">
        <v>99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7">
        <v>111</v>
      </c>
      <c r="B2" s="1">
        <v>8</v>
      </c>
      <c r="C2" s="1">
        <v>-1</v>
      </c>
      <c r="D2" s="1">
        <v>-1</v>
      </c>
      <c r="E2" s="1">
        <v>-1</v>
      </c>
      <c r="F2" s="1">
        <v>-1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7">
        <v>112</v>
      </c>
      <c r="B3" s="1">
        <v>8</v>
      </c>
      <c r="C3" s="1">
        <v>-1</v>
      </c>
      <c r="D3" s="1">
        <v>-1</v>
      </c>
      <c r="E3" s="1">
        <v>-1</v>
      </c>
      <c r="F3" s="1">
        <v>-1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7">
        <v>113</v>
      </c>
      <c r="B4" s="1">
        <v>8</v>
      </c>
      <c r="C4" s="1">
        <v>-1</v>
      </c>
      <c r="D4" s="1">
        <v>-1</v>
      </c>
      <c r="E4" s="1">
        <v>-1</v>
      </c>
      <c r="F4" s="1">
        <v>-1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7">
        <v>114</v>
      </c>
      <c r="B5" s="1">
        <v>8</v>
      </c>
      <c r="C5" s="1">
        <v>-1</v>
      </c>
      <c r="D5" s="1">
        <v>-1</v>
      </c>
      <c r="E5" s="1">
        <v>-1</v>
      </c>
      <c r="F5" s="1">
        <v>-1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7">
        <v>121</v>
      </c>
      <c r="B6" s="1">
        <v>6</v>
      </c>
      <c r="C6" s="1">
        <v>2</v>
      </c>
      <c r="D6" s="1">
        <v>-1</v>
      </c>
      <c r="E6" s="1">
        <v>-1</v>
      </c>
      <c r="F6" s="1">
        <v>-1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7">
        <v>122</v>
      </c>
      <c r="B7" s="1">
        <v>6</v>
      </c>
      <c r="C7" s="1">
        <v>2</v>
      </c>
      <c r="D7" s="1">
        <v>-1</v>
      </c>
      <c r="E7" s="1">
        <v>-1</v>
      </c>
      <c r="F7" s="1">
        <v>-1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7">
        <v>123</v>
      </c>
      <c r="B8" s="1">
        <v>6</v>
      </c>
      <c r="C8" s="1">
        <v>2</v>
      </c>
      <c r="D8" s="1">
        <v>-1</v>
      </c>
      <c r="E8" s="1">
        <v>-1</v>
      </c>
      <c r="F8" s="1">
        <v>-1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7">
        <v>124</v>
      </c>
      <c r="B9" s="1">
        <v>6</v>
      </c>
      <c r="C9" s="1">
        <v>2</v>
      </c>
      <c r="D9" s="1">
        <v>-1</v>
      </c>
      <c r="E9" s="1">
        <v>-1</v>
      </c>
      <c r="F9" s="1">
        <v>-1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7">
        <v>131</v>
      </c>
      <c r="B10" s="1">
        <v>4</v>
      </c>
      <c r="C10" s="1">
        <v>2</v>
      </c>
      <c r="D10" s="1">
        <v>10</v>
      </c>
      <c r="E10" s="1">
        <v>-1</v>
      </c>
      <c r="F10" s="1">
        <v>-1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7">
        <v>132</v>
      </c>
      <c r="B11" s="1">
        <v>6</v>
      </c>
      <c r="C11" s="1">
        <v>2</v>
      </c>
      <c r="D11" s="1">
        <v>-1</v>
      </c>
      <c r="E11" s="1">
        <v>-1</v>
      </c>
      <c r="F11" s="1">
        <v>-1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7">
        <v>133</v>
      </c>
      <c r="B12" s="1">
        <v>4</v>
      </c>
      <c r="C12" s="1">
        <v>2</v>
      </c>
      <c r="D12" s="1">
        <v>10</v>
      </c>
      <c r="E12" s="1">
        <v>-1</v>
      </c>
      <c r="F12" s="1">
        <v>-1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7">
        <v>134</v>
      </c>
      <c r="B13" s="1">
        <v>6</v>
      </c>
      <c r="C13" s="1">
        <v>2</v>
      </c>
      <c r="D13" s="1">
        <v>-1</v>
      </c>
      <c r="E13" s="1">
        <v>-1</v>
      </c>
      <c r="F13" s="1">
        <v>-1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7">
        <v>141</v>
      </c>
      <c r="B14" s="1">
        <v>4</v>
      </c>
      <c r="C14" s="1">
        <v>2</v>
      </c>
      <c r="D14" s="1">
        <v>10</v>
      </c>
      <c r="E14" s="1">
        <v>-1</v>
      </c>
      <c r="F14" s="1">
        <v>-1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7">
        <v>142</v>
      </c>
      <c r="B15" s="1">
        <v>6</v>
      </c>
      <c r="C15" s="1">
        <v>2</v>
      </c>
      <c r="D15" s="1">
        <v>-1</v>
      </c>
      <c r="E15" s="1">
        <v>-1</v>
      </c>
      <c r="F15" s="1">
        <v>-1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7">
        <v>143</v>
      </c>
      <c r="B16" s="1">
        <v>10</v>
      </c>
      <c r="C16" s="1">
        <v>-1</v>
      </c>
      <c r="D16" s="1">
        <v>4</v>
      </c>
      <c r="E16" s="1">
        <v>-1</v>
      </c>
      <c r="F16" s="1">
        <v>-1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7">
        <v>144</v>
      </c>
      <c r="B17" s="1">
        <v>5</v>
      </c>
      <c r="C17" s="1">
        <v>2</v>
      </c>
      <c r="D17" s="1">
        <v>-1</v>
      </c>
      <c r="E17" s="1">
        <v>1</v>
      </c>
      <c r="F17" s="1">
        <v>-1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7">
        <v>151</v>
      </c>
      <c r="B18" s="1">
        <v>6</v>
      </c>
      <c r="C18" s="1">
        <v>2</v>
      </c>
      <c r="D18" s="1">
        <v>-1</v>
      </c>
      <c r="E18" s="1">
        <v>-1</v>
      </c>
      <c r="F18" s="1">
        <v>-1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7">
        <v>152</v>
      </c>
      <c r="B19" s="1">
        <v>5</v>
      </c>
      <c r="C19" s="1">
        <v>2</v>
      </c>
      <c r="D19" s="1">
        <v>-1</v>
      </c>
      <c r="E19" s="1">
        <v>1</v>
      </c>
      <c r="F19" s="1">
        <v>-1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7">
        <v>153</v>
      </c>
      <c r="B20" s="1">
        <v>4</v>
      </c>
      <c r="C20" s="1">
        <v>2</v>
      </c>
      <c r="D20" s="1">
        <v>10</v>
      </c>
      <c r="E20" s="1">
        <v>-1</v>
      </c>
      <c r="F20" s="1">
        <v>-1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7">
        <v>154</v>
      </c>
      <c r="B21" s="1">
        <v>5</v>
      </c>
      <c r="C21" s="1">
        <v>-1</v>
      </c>
      <c r="D21" s="1">
        <v>-1</v>
      </c>
      <c r="E21" s="1">
        <v>2</v>
      </c>
      <c r="F21" s="1">
        <v>-1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7">
        <v>161</v>
      </c>
      <c r="B22" s="1">
        <v>-1</v>
      </c>
      <c r="C22" s="1">
        <v>-1</v>
      </c>
      <c r="D22" s="1">
        <v>-1</v>
      </c>
      <c r="E22" s="1">
        <v>-1</v>
      </c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7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7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7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7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7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7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7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7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7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7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7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7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7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7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7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7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7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7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7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7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7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7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7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7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7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7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7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7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7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7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7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7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7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7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7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7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7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7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7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7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7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7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7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7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7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7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7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7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7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7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7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7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7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7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7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7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7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7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7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7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7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7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7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7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7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7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7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7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7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7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7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7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7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7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7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7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7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7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7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7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7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7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7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7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7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7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7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7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7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7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7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7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7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7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7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7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7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7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7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7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7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7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7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7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7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7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7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7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7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7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7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7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7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7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7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7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7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7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7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7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7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7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7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7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7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7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7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7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7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7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7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7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7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7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7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7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7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7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7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7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7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7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7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7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7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7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7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7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7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7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7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7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7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7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7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7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7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7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7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7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7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7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7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7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7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7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7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7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7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7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7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7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7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7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7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7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7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7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7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7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7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7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7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7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7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7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7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7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7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7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7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7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7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7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7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7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7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7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7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7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7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7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7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7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7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7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7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7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7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7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7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7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7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7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7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7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7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7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7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7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7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7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7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7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7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7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7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7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7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7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7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7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7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7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7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7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7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7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7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7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7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7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7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7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7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7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7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7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7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7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7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7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7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7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7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7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7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7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7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7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7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7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7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7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7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7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7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7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7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7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7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7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7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7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7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7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7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7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7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7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7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7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7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7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7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7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7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7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7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7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7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7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7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7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7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7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7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7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7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7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7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7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7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7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7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7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7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7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7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7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7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7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7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7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7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7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7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7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7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7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7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7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7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7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7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7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7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7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7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7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7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7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7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7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7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7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7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7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7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7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7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7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7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7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7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7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7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7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7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7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7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7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7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7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7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7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7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7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7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7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7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7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7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7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7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7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7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7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7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7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7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7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7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7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7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7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7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7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7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7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7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7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7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7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7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7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7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7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7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7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7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7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7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7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7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7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7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7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7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7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7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7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7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7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7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7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7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7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7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7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7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7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7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7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7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7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7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7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7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7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7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7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7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7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7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7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7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7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7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7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7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7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7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7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7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7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7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7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7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7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7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7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4" type="noConversion"/>
  <conditionalFormatting sqref="B2:F22">
    <cfRule type="cellIs" dxfId="12" priority="1" operator="equal">
      <formula>-1</formula>
    </cfRule>
  </conditionalFormatting>
  <conditionalFormatting sqref="H2:Z22">
    <cfRule type="cellIs" dxfId="11" priority="2" operator="equal">
      <formula>-1</formula>
    </cfRule>
  </conditionalFormatting>
  <conditionalFormatting sqref="H2:Z2">
    <cfRule type="cellIs" dxfId="10" priority="3" operator="equal">
      <formula>"B$2=-1"</formula>
    </cfRule>
  </conditionalFormatting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42578125" defaultRowHeight="15" customHeight="1"/>
  <cols>
    <col min="1" max="1" width="3.140625" customWidth="1"/>
    <col min="2" max="2" width="15.85546875" customWidth="1"/>
    <col min="3" max="26" width="8.7109375" customWidth="1"/>
  </cols>
  <sheetData>
    <row r="1" spans="1:13" ht="16.5" customHeight="1">
      <c r="A1" s="2" t="s">
        <v>35</v>
      </c>
      <c r="B1" s="2" t="s">
        <v>102</v>
      </c>
      <c r="C1" s="2" t="s">
        <v>104</v>
      </c>
      <c r="D1" s="2" t="s">
        <v>22</v>
      </c>
      <c r="E1" s="2" t="s">
        <v>24</v>
      </c>
      <c r="F1" s="2" t="s">
        <v>47</v>
      </c>
      <c r="G1" s="2" t="s">
        <v>26</v>
      </c>
      <c r="H1" s="2" t="s">
        <v>28</v>
      </c>
      <c r="I1" s="2" t="s">
        <v>45</v>
      </c>
      <c r="J1" s="2" t="s">
        <v>30</v>
      </c>
      <c r="K1" s="2" t="s">
        <v>32</v>
      </c>
      <c r="L1" s="2" t="s">
        <v>114</v>
      </c>
      <c r="M1" s="2" t="s">
        <v>116</v>
      </c>
    </row>
    <row r="2" spans="1:13" ht="16.5" customHeight="1">
      <c r="A2" s="2">
        <v>1</v>
      </c>
      <c r="B2" s="2" t="s">
        <v>184</v>
      </c>
      <c r="C2" s="2">
        <v>-1</v>
      </c>
      <c r="D2" s="2">
        <v>-1</v>
      </c>
      <c r="E2" s="2">
        <v>-1</v>
      </c>
      <c r="F2" s="2">
        <v>-1</v>
      </c>
      <c r="G2" s="2">
        <v>-1</v>
      </c>
      <c r="H2" s="2">
        <v>-1</v>
      </c>
      <c r="I2" s="2">
        <v>-1</v>
      </c>
      <c r="J2" s="2">
        <v>0.2</v>
      </c>
      <c r="K2" s="2">
        <v>-1</v>
      </c>
      <c r="L2" s="2">
        <v>-1</v>
      </c>
      <c r="M2" s="2">
        <v>1.5</v>
      </c>
    </row>
    <row r="3" spans="1:13" ht="16.5" customHeight="1">
      <c r="A3" s="2">
        <v>2</v>
      </c>
      <c r="B3" s="2" t="s">
        <v>185</v>
      </c>
      <c r="C3" s="2">
        <v>-1</v>
      </c>
      <c r="D3" s="2">
        <v>-1</v>
      </c>
      <c r="E3" s="2">
        <v>-1</v>
      </c>
      <c r="F3" s="2">
        <v>-1</v>
      </c>
      <c r="G3" s="2">
        <v>-1</v>
      </c>
      <c r="H3" s="2">
        <v>-1</v>
      </c>
      <c r="I3" s="2">
        <v>1</v>
      </c>
      <c r="J3" s="2">
        <v>-1</v>
      </c>
      <c r="K3" s="2">
        <v>-1</v>
      </c>
      <c r="L3" s="2">
        <v>1</v>
      </c>
      <c r="M3" s="2">
        <v>3.7</v>
      </c>
    </row>
    <row r="4" spans="1:13" ht="16.5" customHeight="1">
      <c r="A4" s="2">
        <v>3</v>
      </c>
      <c r="B4" s="2" t="s">
        <v>186</v>
      </c>
      <c r="C4" s="2">
        <v>-1</v>
      </c>
      <c r="D4" s="2">
        <v>-1</v>
      </c>
      <c r="E4" s="2">
        <v>-1</v>
      </c>
      <c r="F4" s="2">
        <v>-1</v>
      </c>
      <c r="G4" s="2">
        <v>-1</v>
      </c>
      <c r="H4" s="2">
        <v>-1</v>
      </c>
      <c r="I4" s="2">
        <v>-1</v>
      </c>
      <c r="J4" s="2">
        <v>-1</v>
      </c>
      <c r="K4" s="2">
        <v>0.2</v>
      </c>
      <c r="L4" s="2">
        <v>-1</v>
      </c>
      <c r="M4" s="2">
        <v>2.7</v>
      </c>
    </row>
    <row r="5" spans="1:13" ht="16.5" customHeight="1"/>
    <row r="6" spans="1:13" ht="16.5" customHeight="1"/>
    <row r="7" spans="1:13" ht="16.5" customHeight="1"/>
    <row r="8" spans="1:13" ht="16.5" customHeight="1"/>
    <row r="9" spans="1:13" ht="16.5" customHeight="1"/>
    <row r="10" spans="1:13" ht="16.5" customHeight="1"/>
    <row r="11" spans="1:13" ht="16.5" customHeight="1"/>
    <row r="12" spans="1:13" ht="16.5" customHeight="1"/>
    <row r="13" spans="1:13" ht="16.5" customHeight="1"/>
    <row r="14" spans="1:13" ht="16.5" customHeight="1"/>
    <row r="15" spans="1:13" ht="16.5" customHeight="1"/>
    <row r="16" spans="1:13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conditionalFormatting sqref="C2:M4">
    <cfRule type="cellIs" dxfId="9" priority="1" operator="equal">
      <formula>-1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테이블 설명</vt:lpstr>
      <vt:lpstr>StUp</vt:lpstr>
      <vt:lpstr>LvStUp</vt:lpstr>
      <vt:lpstr>Class</vt:lpstr>
      <vt:lpstr>Exp</vt:lpstr>
      <vt:lpstr>Stage</vt:lpstr>
      <vt:lpstr>Wave</vt:lpstr>
      <vt:lpstr>Spawn</vt:lpstr>
      <vt:lpstr>Risk</vt:lpstr>
      <vt:lpstr>monster</vt:lpstr>
      <vt:lpstr>projectile</vt:lpstr>
      <vt:lpstr>skill</vt:lpstr>
      <vt:lpstr>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2015-06-05T18:19:34Z</dcterms:created>
  <dcterms:modified xsi:type="dcterms:W3CDTF">2025-02-05T04:26:59Z</dcterms:modified>
</cp:coreProperties>
</file>