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C7C976B-92B8-4D1E-ABD8-8D218AF5799A}" xr6:coauthVersionLast="47" xr6:coauthVersionMax="47" xr10:uidLastSave="{00000000-0000-0000-0000-000000000000}"/>
  <bookViews>
    <workbookView xWindow="-108" yWindow="-108" windowWidth="23256" windowHeight="12456" activeTab="1" xr2:uid="{0DA850CB-6699-4105-8F82-F4E3219953C5}"/>
  </bookViews>
  <sheets>
    <sheet name="Φύλλο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2" l="1"/>
  <c r="D5" i="2" s="1"/>
  <c r="G42" i="1"/>
  <c r="K12" i="1"/>
  <c r="M12" i="1" s="1"/>
  <c r="A21" i="2" l="1"/>
  <c r="A22" i="2" s="1"/>
  <c r="A23" i="2" s="1"/>
  <c r="A24" i="2" s="1"/>
  <c r="A25" i="2" s="1"/>
  <c r="A26" i="2" s="1"/>
  <c r="A27" i="2" s="1"/>
  <c r="A28" i="2" s="1"/>
  <c r="A29" i="2" s="1"/>
  <c r="M13" i="1"/>
  <c r="B6" i="2"/>
  <c r="B7" i="2" s="1"/>
  <c r="C9" i="2" s="1"/>
  <c r="D4" i="2"/>
  <c r="E4" i="2" s="1"/>
  <c r="E5" i="2"/>
  <c r="D3" i="2"/>
  <c r="B3" i="1"/>
  <c r="H11" i="1" s="1"/>
  <c r="I60" i="1"/>
  <c r="I59" i="1"/>
  <c r="G48" i="1"/>
  <c r="I48" i="1" s="1"/>
  <c r="I44" i="1"/>
  <c r="I43" i="1"/>
  <c r="M11" i="1"/>
  <c r="I34" i="1"/>
  <c r="I35" i="1"/>
  <c r="I33" i="1"/>
  <c r="H12" i="1"/>
  <c r="H13" i="1"/>
  <c r="H14" i="1"/>
  <c r="B2" i="1"/>
  <c r="G63" i="1" l="1"/>
  <c r="G38" i="1"/>
  <c r="G56" i="1" s="1"/>
  <c r="I45" i="1"/>
  <c r="J45" i="1" s="1"/>
  <c r="E3" i="2"/>
  <c r="E27" i="2"/>
  <c r="E29" i="2"/>
  <c r="E28" i="2"/>
  <c r="E25" i="2"/>
  <c r="E26" i="2"/>
  <c r="M14" i="1"/>
  <c r="B20" i="2" s="1"/>
  <c r="D11" i="2"/>
  <c r="I36" i="1"/>
  <c r="D6" i="2"/>
  <c r="E6" i="2" s="1"/>
  <c r="I61" i="1"/>
  <c r="B10" i="1"/>
  <c r="G54" i="1" s="1"/>
  <c r="G55" i="1" s="1"/>
  <c r="G64" i="1"/>
  <c r="B81" i="1" s="1"/>
  <c r="M15" i="1"/>
  <c r="I50" i="1"/>
  <c r="I49" i="1"/>
  <c r="H10" i="1"/>
  <c r="I51" i="1"/>
  <c r="H28" i="1" l="1"/>
  <c r="H17" i="1"/>
  <c r="H25" i="1"/>
  <c r="H24" i="1"/>
  <c r="H27" i="1"/>
  <c r="H19" i="1"/>
  <c r="H26" i="1"/>
  <c r="H18" i="1"/>
  <c r="H29" i="1"/>
  <c r="H22" i="1"/>
  <c r="D14" i="2"/>
  <c r="K3" i="2" s="1"/>
  <c r="I19" i="2"/>
  <c r="E23" i="2"/>
  <c r="B21" i="2"/>
  <c r="B22" i="2"/>
  <c r="H20" i="1"/>
  <c r="E24" i="2"/>
  <c r="E20" i="2"/>
  <c r="E21" i="2"/>
  <c r="H21" i="1"/>
  <c r="H23" i="1"/>
  <c r="E22" i="2"/>
  <c r="I52" i="1"/>
  <c r="J52" i="1" s="1"/>
  <c r="B24" i="2"/>
  <c r="B23" i="2"/>
  <c r="B28" i="2"/>
  <c r="B25" i="2"/>
  <c r="B27" i="2"/>
  <c r="B26" i="2"/>
  <c r="B29" i="2"/>
  <c r="B72" i="1" l="1"/>
  <c r="B73" i="1"/>
  <c r="M11" i="2"/>
  <c r="H27" i="2" s="1"/>
  <c r="M13" i="2"/>
  <c r="H29" i="2" s="1"/>
  <c r="L4" i="2"/>
  <c r="M8" i="2"/>
  <c r="H24" i="2" s="1"/>
  <c r="M12" i="2"/>
  <c r="H28" i="2" s="1"/>
  <c r="M5" i="2"/>
  <c r="H21" i="2" s="1"/>
  <c r="M6" i="2"/>
  <c r="H22" i="2" s="1"/>
  <c r="M7" i="2"/>
  <c r="H23" i="2" s="1"/>
  <c r="M4" i="2"/>
  <c r="M9" i="2"/>
  <c r="H25" i="2" s="1"/>
  <c r="M10" i="2"/>
  <c r="H26" i="2" s="1"/>
  <c r="B80" i="1"/>
  <c r="B82" i="1" s="1"/>
  <c r="B74" i="1" l="1"/>
  <c r="B75" i="1" s="1"/>
  <c r="B76" i="1" s="1"/>
  <c r="B83" i="1"/>
  <c r="B8" i="2"/>
  <c r="K4" i="2"/>
  <c r="H20" i="2"/>
  <c r="D20" i="2"/>
  <c r="N4" i="2"/>
  <c r="C21" i="2" l="1"/>
  <c r="C29" i="2"/>
  <c r="C24" i="2"/>
  <c r="C25" i="2"/>
  <c r="C26" i="2"/>
  <c r="C22" i="2"/>
  <c r="C20" i="2"/>
  <c r="F20" i="2" s="1"/>
  <c r="G20" i="2" s="1"/>
  <c r="I20" i="2" s="1"/>
  <c r="C28" i="2"/>
  <c r="C23" i="2"/>
  <c r="C27" i="2"/>
  <c r="K5" i="2"/>
  <c r="L5" i="2"/>
  <c r="L6" i="2" l="1"/>
  <c r="K6" i="2"/>
  <c r="N5" i="2"/>
  <c r="D21" i="2"/>
  <c r="F21" i="2" s="1"/>
  <c r="G21" i="2" s="1"/>
  <c r="I21" i="2" s="1"/>
  <c r="K7" i="2" l="1"/>
  <c r="L7" i="2"/>
  <c r="D22" i="2"/>
  <c r="F22" i="2" s="1"/>
  <c r="G22" i="2" s="1"/>
  <c r="I22" i="2" s="1"/>
  <c r="N6" i="2"/>
  <c r="D23" i="2" l="1"/>
  <c r="F23" i="2" s="1"/>
  <c r="G23" i="2" s="1"/>
  <c r="I23" i="2" s="1"/>
  <c r="N7" i="2"/>
  <c r="L8" i="2"/>
  <c r="K8" i="2"/>
  <c r="L9" i="2" l="1"/>
  <c r="K9" i="2"/>
  <c r="D24" i="2"/>
  <c r="F24" i="2" s="1"/>
  <c r="G24" i="2" s="1"/>
  <c r="I24" i="2" s="1"/>
  <c r="N8" i="2"/>
  <c r="K10" i="2" l="1"/>
  <c r="L10" i="2"/>
  <c r="D25" i="2"/>
  <c r="F25" i="2" s="1"/>
  <c r="G25" i="2" s="1"/>
  <c r="I25" i="2" s="1"/>
  <c r="N9" i="2"/>
  <c r="D26" i="2" l="1"/>
  <c r="F26" i="2" s="1"/>
  <c r="G26" i="2" s="1"/>
  <c r="I26" i="2" s="1"/>
  <c r="N10" i="2"/>
  <c r="L11" i="2"/>
  <c r="K11" i="2"/>
  <c r="K12" i="2" l="1"/>
  <c r="L12" i="2"/>
  <c r="D27" i="2"/>
  <c r="F27" i="2" s="1"/>
  <c r="G27" i="2" s="1"/>
  <c r="I27" i="2" s="1"/>
  <c r="N11" i="2"/>
  <c r="D28" i="2" l="1"/>
  <c r="F28" i="2" s="1"/>
  <c r="G28" i="2" s="1"/>
  <c r="I28" i="2" s="1"/>
  <c r="N12" i="2"/>
  <c r="L13" i="2"/>
  <c r="K13" i="2"/>
  <c r="D29" i="2" l="1"/>
  <c r="F29" i="2" s="1"/>
  <c r="G29" i="2" s="1"/>
  <c r="I29" i="2" s="1"/>
  <c r="N13" i="2"/>
  <c r="N14" i="2" l="1"/>
  <c r="N15" i="2"/>
  <c r="I35" i="2"/>
  <c r="I33" i="2"/>
  <c r="I37" i="2" s="1"/>
</calcChain>
</file>

<file path=xl/sharedStrings.xml><?xml version="1.0" encoding="utf-8"?>
<sst xmlns="http://schemas.openxmlformats.org/spreadsheetml/2006/main" count="140" uniqueCount="110">
  <si>
    <t>εναλλάκτες θερμότητας</t>
  </si>
  <si>
    <t>στήλες</t>
  </si>
  <si>
    <t>φλας</t>
  </si>
  <si>
    <t>αντιδραστήρες</t>
  </si>
  <si>
    <t>εκχυλιστήρας</t>
  </si>
  <si>
    <t>total</t>
  </si>
  <si>
    <t>$</t>
  </si>
  <si>
    <t>σωληνώσεις</t>
  </si>
  <si>
    <t>κτίρια</t>
  </si>
  <si>
    <t>νομικά έξοδα</t>
  </si>
  <si>
    <t>αμοιβή εργολάβου</t>
  </si>
  <si>
    <t>απρόβλεπτα</t>
  </si>
  <si>
    <t xml:space="preserve">ποσοστό </t>
  </si>
  <si>
    <t>τύπος εξοπλισμού</t>
  </si>
  <si>
    <t xml:space="preserve">ΕΓΚΑΤΑΣΤΑΣΗ ΑΕ </t>
  </si>
  <si>
    <t>ηλεκτρικά</t>
  </si>
  <si>
    <t>βελτιώσεις χώρου</t>
  </si>
  <si>
    <t>τοποθέτηση οργάνων</t>
  </si>
  <si>
    <t>εγκαταστάσεις υπηρεσιών*</t>
  </si>
  <si>
    <t>ασφάλεια</t>
  </si>
  <si>
    <t>γη</t>
  </si>
  <si>
    <t>υπηρεσίες μηχανικών</t>
  </si>
  <si>
    <t>έξοδα κατασκευής</t>
  </si>
  <si>
    <t>ΕΙΣΟΔΗΜΑ</t>
  </si>
  <si>
    <t>$/year</t>
  </si>
  <si>
    <t>formic (kg/year)</t>
  </si>
  <si>
    <t>syngas (kg/year)</t>
  </si>
  <si>
    <t>co2 (kg/year)</t>
  </si>
  <si>
    <t>ΛΕΙΤΟΥΡΓΙΚΟ ΚΟΣΤΟΣ</t>
  </si>
  <si>
    <t xml:space="preserve">ΠΑΓΙΑ ΚΟΣΤΗ </t>
  </si>
  <si>
    <t>πρώτες ύλες</t>
  </si>
  <si>
    <t>h2</t>
  </si>
  <si>
    <t>o2</t>
  </si>
  <si>
    <t>cyclohex</t>
  </si>
  <si>
    <t>τιμή ($/kg)</t>
  </si>
  <si>
    <t>ποσότητα (kg/year)</t>
  </si>
  <si>
    <t>κόστος ($/year)</t>
  </si>
  <si>
    <t>κόστος εγκατάστασης ($)</t>
  </si>
  <si>
    <t>προσωπικό λειτουργίας</t>
  </si>
  <si>
    <t>έσοδα ($/year)</t>
  </si>
  <si>
    <t>βοηθητικές παροχές</t>
  </si>
  <si>
    <t>τιμή ($/kWh)</t>
  </si>
  <si>
    <t>κόστος ($/h)</t>
  </si>
  <si>
    <t>συμπιεστής</t>
  </si>
  <si>
    <t>αντλία</t>
  </si>
  <si>
    <t>net work required (kW)</t>
  </si>
  <si>
    <t>ποσότητα (kg/sec)</t>
  </si>
  <si>
    <t>1. ηλεκτρισμός</t>
  </si>
  <si>
    <t>2. νερό ψύξης</t>
  </si>
  <si>
    <t xml:space="preserve">συντήρηση και επισκευές </t>
  </si>
  <si>
    <t xml:space="preserve">προμήθειες λειτουργίας </t>
  </si>
  <si>
    <t>χρεώσεις εργαστηρίου</t>
  </si>
  <si>
    <t>καταλύτες</t>
  </si>
  <si>
    <t>CuZnOAl2O3</t>
  </si>
  <si>
    <t>FeMoO4</t>
  </si>
  <si>
    <t>ΓΕΝΙΚΑ ΕΞΟΔΑ</t>
  </si>
  <si>
    <t>έξοδα διανομής και μάρκετινγκ</t>
  </si>
  <si>
    <t>έρευνα και ανάπτυξη</t>
  </si>
  <si>
    <t>1. άμεσα κόστη</t>
  </si>
  <si>
    <t>2. έμμεσα κόστη</t>
  </si>
  <si>
    <t>3. επένδυση παγίου κεφαλαίου</t>
  </si>
  <si>
    <t>4. κεφάλαιο κίνησης</t>
  </si>
  <si>
    <t>5. ολική επένδυση κεφαλαίου</t>
  </si>
  <si>
    <t>ΚΟΣΤΟΣ ΕΠΕΝΔΥΣΗΣ ΠΑΓΙΟΥ ΚΕΦΑΛΑΙΟΥ</t>
  </si>
  <si>
    <t>ΣΥΝΟΛΙΚΟ ΚΟΣΤΟΣ ΠΡΟΙΟΝΤΟΣ</t>
  </si>
  <si>
    <t>κόστος ($/sec)</t>
  </si>
  <si>
    <t>2. γενικά έξοδα</t>
  </si>
  <si>
    <t>1. λειτουργικό κόστος</t>
  </si>
  <si>
    <t>3. κόστος προϊόντος</t>
  </si>
  <si>
    <t xml:space="preserve">4. κόστος ακαθάριστων εσόδων </t>
  </si>
  <si>
    <t>Υπολογισμοί</t>
  </si>
  <si>
    <t>Κόστος κτιρίων</t>
  </si>
  <si>
    <t>Κόστος εξοπλισμού</t>
  </si>
  <si>
    <t>Λοιπά πάγια</t>
  </si>
  <si>
    <t>Συντελεστής φορολογίας</t>
  </si>
  <si>
    <t>Επιτόκιο προεξόφλησης</t>
  </si>
  <si>
    <t>συνολικό κόστος επένδυσης</t>
  </si>
  <si>
    <t xml:space="preserve">Υπολειμματική αξία σε 10 χρόνια </t>
  </si>
  <si>
    <t>Ίδια κεφάλαια</t>
  </si>
  <si>
    <t>Επιχορήγηση</t>
  </si>
  <si>
    <t>Συντελεστές</t>
  </si>
  <si>
    <t>Χρόνια</t>
  </si>
  <si>
    <t>Κόστος γης</t>
  </si>
  <si>
    <t>τουρμπίνες</t>
  </si>
  <si>
    <t>Κόστος προϊόντος</t>
  </si>
  <si>
    <t>Έτος</t>
  </si>
  <si>
    <t>Έσοδα</t>
  </si>
  <si>
    <t>Κέρδος προ φόρων</t>
  </si>
  <si>
    <t>Αποσβέσεις</t>
  </si>
  <si>
    <t>Καθαρό Κέρδος (μ.φ.)</t>
  </si>
  <si>
    <t>Καθαρή χρηματοροή</t>
  </si>
  <si>
    <t>total μετα</t>
  </si>
  <si>
    <t>ΚΠΑ</t>
  </si>
  <si>
    <t>IRR</t>
  </si>
  <si>
    <t xml:space="preserve">ΕΙΑ </t>
  </si>
  <si>
    <t>total τον πρώτο χρόνο</t>
  </si>
  <si>
    <t>Δάνειο</t>
  </si>
  <si>
    <t>ΔΑΝΕΙΟ</t>
  </si>
  <si>
    <t>Τ</t>
  </si>
  <si>
    <t>Χ</t>
  </si>
  <si>
    <t>ΤΧ</t>
  </si>
  <si>
    <t>SUM TX</t>
  </si>
  <si>
    <t>PVT TX</t>
  </si>
  <si>
    <t>Τόκοι</t>
  </si>
  <si>
    <t>Χρεολύσιο</t>
  </si>
  <si>
    <t>Ποσοστό</t>
  </si>
  <si>
    <t>Κόστη</t>
  </si>
  <si>
    <t>Κόστος ($)</t>
  </si>
  <si>
    <t>Είδος εξοπλισμού</t>
  </si>
  <si>
    <t>Σύνολο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</si>
</sst>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%"/>
    <numFmt numFmtId="165" formatCode="0.0"/>
  </numFmts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name val="Calibri"/>
      <family val="2"/>
      <charset val="161"/>
    </font>
    <font>
      <sz val="11"/>
      <color theme="0" tint="-0.34998626667073579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2" fillId="0" borderId="1" xfId="0" applyNumberFormat="1" applyFont="1" applyBorder="1" applyAlignment="1">
      <alignment horizontal="left"/>
    </xf>
    <xf numFmtId="9" fontId="2" fillId="0" borderId="1" xfId="0" applyNumberFormat="1" applyFont="1" applyBorder="1" applyAlignment="1">
      <alignment horizontal="left"/>
    </xf>
    <xf numFmtId="9" fontId="0" fillId="0" borderId="0" xfId="0" applyNumberFormat="1"/>
    <xf numFmtId="0" fontId="3" fillId="0" borderId="0" xfId="0" applyFont="1"/>
    <xf numFmtId="0" fontId="4" fillId="0" borderId="0" xfId="0" applyFont="1"/>
    <xf numFmtId="8" fontId="4" fillId="0" borderId="0" xfId="0" applyNumberFormat="1" applyFont="1"/>
    <xf numFmtId="9" fontId="4" fillId="0" borderId="0" xfId="0" applyNumberFormat="1" applyFon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2" xfId="0" applyFont="1" applyBorder="1"/>
    <xf numFmtId="165" fontId="2" fillId="0" borderId="2" xfId="0" applyNumberFormat="1" applyFont="1" applyBorder="1"/>
    <xf numFmtId="2" fontId="2" fillId="0" borderId="2" xfId="0" applyNumberFormat="1" applyFont="1" applyBorder="1"/>
    <xf numFmtId="2" fontId="0" fillId="0" borderId="0" xfId="0" applyNumberFormat="1"/>
    <xf numFmtId="8" fontId="0" fillId="0" borderId="0" xfId="0" applyNumberFormat="1" applyAlignment="1">
      <alignment horizontal="center"/>
    </xf>
    <xf numFmtId="11" fontId="0" fillId="0" borderId="0" xfId="0" applyNumberFormat="1"/>
    <xf numFmtId="9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7884-D18E-4E30-94B5-DB63E2A80C7B}">
  <dimension ref="A1:N121"/>
  <sheetViews>
    <sheetView topLeftCell="D32" zoomScale="86" workbookViewId="0">
      <selection activeCell="G64" sqref="G64"/>
    </sheetView>
  </sheetViews>
  <sheetFormatPr defaultRowHeight="14.4" x14ac:dyDescent="0.3"/>
  <cols>
    <col min="1" max="1" width="35.5546875" bestFit="1" customWidth="1"/>
    <col min="2" max="2" width="12" customWidth="1"/>
    <col min="3" max="3" width="14.6640625" bestFit="1" customWidth="1"/>
    <col min="4" max="4" width="10" bestFit="1" customWidth="1"/>
    <col min="5" max="5" width="11.33203125" customWidth="1"/>
    <col min="6" max="6" width="26.88671875" bestFit="1" customWidth="1"/>
    <col min="7" max="7" width="11.5546875" bestFit="1" customWidth="1"/>
    <col min="8" max="8" width="21.77734375" bestFit="1" customWidth="1"/>
    <col min="9" max="9" width="17" bestFit="1" customWidth="1"/>
    <col min="10" max="10" width="14.109375" customWidth="1"/>
    <col min="11" max="11" width="17" bestFit="1" customWidth="1"/>
    <col min="12" max="12" width="9.6640625" bestFit="1" customWidth="1"/>
    <col min="13" max="13" width="14.33203125" customWidth="1"/>
  </cols>
  <sheetData>
    <row r="1" spans="1:14" x14ac:dyDescent="0.3">
      <c r="A1" s="14" t="s">
        <v>108</v>
      </c>
      <c r="B1" s="14" t="s">
        <v>107</v>
      </c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3">
      <c r="A2" s="11" t="s">
        <v>0</v>
      </c>
      <c r="B2" s="11">
        <f>10560000+6*312108+14*166136+161514+235346+229242</f>
        <v>15384654</v>
      </c>
      <c r="C2" s="11" t="s">
        <v>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11" t="s">
        <v>1</v>
      </c>
      <c r="B3" s="11">
        <f>60000*3+1650705+118357</f>
        <v>1949062</v>
      </c>
      <c r="C3" s="11" t="s">
        <v>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11" t="s">
        <v>2</v>
      </c>
      <c r="B4" s="11">
        <v>823000</v>
      </c>
      <c r="C4" s="11" t="s">
        <v>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3">
      <c r="A5" s="11" t="s">
        <v>3</v>
      </c>
      <c r="B5" s="11">
        <v>268000</v>
      </c>
      <c r="C5" s="11" t="s">
        <v>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A6" s="11" t="s">
        <v>4</v>
      </c>
      <c r="B6" s="11">
        <v>614000</v>
      </c>
      <c r="C6" s="11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x14ac:dyDescent="0.3">
      <c r="A7" s="11" t="s">
        <v>44</v>
      </c>
      <c r="B7" s="11">
        <v>23000</v>
      </c>
      <c r="C7" s="11" t="s">
        <v>6</v>
      </c>
      <c r="D7" s="12"/>
      <c r="E7" s="12"/>
      <c r="F7" s="13" t="s">
        <v>29</v>
      </c>
      <c r="G7" s="12"/>
      <c r="H7" s="12"/>
      <c r="I7" s="12"/>
      <c r="J7" s="12"/>
      <c r="K7" s="12"/>
      <c r="L7" s="12"/>
      <c r="M7" s="12"/>
      <c r="N7" s="12"/>
    </row>
    <row r="8" spans="1:14" x14ac:dyDescent="0.3">
      <c r="A8" s="11" t="s">
        <v>83</v>
      </c>
      <c r="B8" s="11">
        <v>1657000</v>
      </c>
      <c r="C8" s="11" t="s">
        <v>6</v>
      </c>
      <c r="D8" s="12"/>
      <c r="E8" s="12"/>
      <c r="F8" s="12" t="s">
        <v>14</v>
      </c>
      <c r="G8" s="12"/>
      <c r="H8" s="12"/>
      <c r="I8" s="12"/>
      <c r="J8" s="12"/>
      <c r="K8" s="12"/>
      <c r="L8" s="12"/>
      <c r="M8" s="12"/>
      <c r="N8" s="12"/>
    </row>
    <row r="9" spans="1:14" x14ac:dyDescent="0.3">
      <c r="A9" s="11" t="s">
        <v>43</v>
      </c>
      <c r="B9" s="11">
        <v>3132000</v>
      </c>
      <c r="C9" s="11" t="s">
        <v>6</v>
      </c>
      <c r="D9" s="12"/>
      <c r="E9" s="12"/>
      <c r="F9" s="12" t="s">
        <v>13</v>
      </c>
      <c r="G9" s="12" t="s">
        <v>12</v>
      </c>
      <c r="H9" s="12" t="s">
        <v>37</v>
      </c>
      <c r="I9" s="12"/>
      <c r="J9" s="13" t="s">
        <v>23</v>
      </c>
      <c r="K9" s="12" t="s">
        <v>24</v>
      </c>
      <c r="L9" s="12"/>
      <c r="M9" s="12"/>
      <c r="N9" s="12"/>
    </row>
    <row r="10" spans="1:14" x14ac:dyDescent="0.3">
      <c r="A10" s="29" t="s">
        <v>109</v>
      </c>
      <c r="B10" s="11">
        <f>SUM(B2:B9)</f>
        <v>23850716</v>
      </c>
      <c r="C10" s="11" t="s">
        <v>6</v>
      </c>
      <c r="D10" s="12"/>
      <c r="E10" s="12"/>
      <c r="F10" s="12" t="s">
        <v>0</v>
      </c>
      <c r="G10" s="12">
        <v>30</v>
      </c>
      <c r="H10" s="12">
        <f>G10*B2/100</f>
        <v>4615396.2</v>
      </c>
      <c r="I10" s="12"/>
      <c r="J10" s="12"/>
      <c r="K10" s="12" t="s">
        <v>35</v>
      </c>
      <c r="L10" s="12" t="s">
        <v>34</v>
      </c>
      <c r="M10" s="12" t="s">
        <v>39</v>
      </c>
      <c r="N10" s="12"/>
    </row>
    <row r="11" spans="1:14" x14ac:dyDescent="0.3">
      <c r="A11" s="12"/>
      <c r="B11" s="12"/>
      <c r="C11" s="15"/>
      <c r="D11" s="12"/>
      <c r="E11" s="12"/>
      <c r="F11" s="12" t="s">
        <v>1</v>
      </c>
      <c r="G11" s="12">
        <v>60</v>
      </c>
      <c r="H11" s="12">
        <f t="shared" ref="H11:H14" si="0">G11*B3/100</f>
        <v>1169437.2</v>
      </c>
      <c r="I11" s="11"/>
      <c r="J11" s="11" t="s">
        <v>25</v>
      </c>
      <c r="K11" s="11">
        <v>609583000</v>
      </c>
      <c r="L11" s="11">
        <v>1.2</v>
      </c>
      <c r="M11" s="12">
        <f>L11*K11</f>
        <v>731499600</v>
      </c>
      <c r="N11" s="12"/>
    </row>
    <row r="12" spans="1:14" x14ac:dyDescent="0.3">
      <c r="A12" s="12"/>
      <c r="B12" s="12"/>
      <c r="C12" s="15"/>
      <c r="D12" s="12"/>
      <c r="E12" s="12"/>
      <c r="F12" s="12" t="s">
        <v>2</v>
      </c>
      <c r="G12" s="12">
        <v>30</v>
      </c>
      <c r="H12" s="12">
        <f t="shared" si="0"/>
        <v>246900</v>
      </c>
      <c r="I12" s="11"/>
      <c r="J12" s="11" t="s">
        <v>26</v>
      </c>
      <c r="K12" s="16">
        <f>1051340000/2</f>
        <v>525670000</v>
      </c>
      <c r="L12" s="11">
        <v>0.65</v>
      </c>
      <c r="M12" s="17">
        <f>K12*L12</f>
        <v>341685500</v>
      </c>
      <c r="N12" s="12"/>
    </row>
    <row r="13" spans="1:14" x14ac:dyDescent="0.3">
      <c r="A13" s="12"/>
      <c r="B13" s="12"/>
      <c r="C13" s="15"/>
      <c r="D13" s="12"/>
      <c r="E13" s="12"/>
      <c r="F13" s="12" t="s">
        <v>3</v>
      </c>
      <c r="G13" s="12">
        <v>30</v>
      </c>
      <c r="H13" s="12">
        <f t="shared" si="0"/>
        <v>80400</v>
      </c>
      <c r="I13" s="11"/>
      <c r="J13" s="11" t="s">
        <v>27</v>
      </c>
      <c r="K13" s="16">
        <v>1556240000</v>
      </c>
      <c r="L13" s="11">
        <v>7.8E-2</v>
      </c>
      <c r="M13" s="17">
        <f>L13*K13</f>
        <v>121386720</v>
      </c>
      <c r="N13" s="12"/>
    </row>
    <row r="14" spans="1:14" ht="43.2" x14ac:dyDescent="0.3">
      <c r="A14" s="12"/>
      <c r="B14" s="12"/>
      <c r="C14" s="15"/>
      <c r="D14" s="12"/>
      <c r="E14" s="12"/>
      <c r="F14" s="12" t="s">
        <v>4</v>
      </c>
      <c r="G14" s="12">
        <v>60</v>
      </c>
      <c r="H14" s="12">
        <f t="shared" si="0"/>
        <v>368400</v>
      </c>
      <c r="I14" s="11"/>
      <c r="J14" s="11"/>
      <c r="K14" s="11"/>
      <c r="L14" s="18" t="s">
        <v>95</v>
      </c>
      <c r="M14" s="17">
        <f>M11+M13</f>
        <v>852886320</v>
      </c>
      <c r="N14" s="12"/>
    </row>
    <row r="15" spans="1:14" x14ac:dyDescent="0.3">
      <c r="A15" s="12"/>
      <c r="B15" s="12"/>
      <c r="C15" s="15"/>
      <c r="D15" s="12"/>
      <c r="E15" s="12"/>
      <c r="F15" s="12"/>
      <c r="G15" s="12"/>
      <c r="H15" s="12"/>
      <c r="I15" s="12"/>
      <c r="J15" s="12"/>
      <c r="K15" s="12"/>
      <c r="L15" s="12" t="s">
        <v>91</v>
      </c>
      <c r="M15" s="12">
        <f>SUM(M11:M13)</f>
        <v>1194571820</v>
      </c>
      <c r="N15" s="12"/>
    </row>
    <row r="16" spans="1:14" x14ac:dyDescent="0.3">
      <c r="A16" s="12"/>
      <c r="B16" s="12"/>
      <c r="C16" s="15"/>
      <c r="D16" s="12"/>
      <c r="E16" s="12"/>
      <c r="F16" s="13" t="s">
        <v>106</v>
      </c>
      <c r="G16" s="13" t="s">
        <v>105</v>
      </c>
      <c r="H16" s="13" t="s">
        <v>107</v>
      </c>
      <c r="I16" s="12"/>
      <c r="J16" s="12"/>
      <c r="K16" s="12"/>
      <c r="L16" s="12"/>
      <c r="M16" s="12"/>
      <c r="N16" s="12"/>
    </row>
    <row r="17" spans="1:14" x14ac:dyDescent="0.3">
      <c r="A17" s="12"/>
      <c r="B17" s="12"/>
      <c r="C17" s="15"/>
      <c r="D17" s="12"/>
      <c r="E17" s="12"/>
      <c r="F17" s="12" t="s">
        <v>17</v>
      </c>
      <c r="G17" s="28">
        <v>0.26</v>
      </c>
      <c r="H17" s="12">
        <f>0.26*B10</f>
        <v>6201186.1600000001</v>
      </c>
      <c r="I17" s="12"/>
      <c r="J17" s="12"/>
      <c r="K17" s="12"/>
      <c r="L17" s="12"/>
      <c r="M17" s="12"/>
      <c r="N17" s="12"/>
    </row>
    <row r="18" spans="1:14" x14ac:dyDescent="0.3">
      <c r="A18" s="12"/>
      <c r="B18" s="12"/>
      <c r="C18" s="15"/>
      <c r="D18" s="12"/>
      <c r="E18" s="12"/>
      <c r="F18" s="12" t="s">
        <v>7</v>
      </c>
      <c r="G18" s="28">
        <v>0.5</v>
      </c>
      <c r="H18" s="12">
        <f>0.5*B10</f>
        <v>11925358</v>
      </c>
      <c r="I18" s="12"/>
      <c r="J18" s="12"/>
      <c r="K18" s="12"/>
      <c r="L18" s="12"/>
      <c r="M18" s="12"/>
      <c r="N18" s="12"/>
    </row>
    <row r="19" spans="1:14" x14ac:dyDescent="0.3">
      <c r="A19" s="12"/>
      <c r="B19" s="12"/>
      <c r="C19" s="15"/>
      <c r="D19" s="12"/>
      <c r="E19" s="12"/>
      <c r="F19" s="12" t="s">
        <v>15</v>
      </c>
      <c r="G19" s="28">
        <v>0.15</v>
      </c>
      <c r="H19" s="12">
        <f>0.15*B10</f>
        <v>3577607.4</v>
      </c>
      <c r="I19" s="12"/>
      <c r="J19" s="12"/>
      <c r="K19" s="12"/>
      <c r="L19" s="12"/>
      <c r="M19" s="12"/>
      <c r="N19" s="12"/>
    </row>
    <row r="20" spans="1:14" x14ac:dyDescent="0.3">
      <c r="A20" s="13"/>
      <c r="B20" s="12"/>
      <c r="C20" s="15"/>
      <c r="D20" s="12"/>
      <c r="E20" s="12"/>
      <c r="F20" s="12" t="s">
        <v>8</v>
      </c>
      <c r="G20" s="28">
        <v>0.45</v>
      </c>
      <c r="H20" s="12">
        <f>0.45*B10</f>
        <v>10732822.200000001</v>
      </c>
      <c r="I20" s="12"/>
      <c r="J20" s="12"/>
      <c r="K20" s="12"/>
      <c r="L20" s="12"/>
      <c r="M20" s="12"/>
      <c r="N20" s="12"/>
    </row>
    <row r="21" spans="1:14" x14ac:dyDescent="0.3">
      <c r="A21" s="12"/>
      <c r="B21" s="12"/>
      <c r="C21" s="15"/>
      <c r="D21" s="12"/>
      <c r="E21" s="12"/>
      <c r="F21" s="12" t="s">
        <v>16</v>
      </c>
      <c r="G21" s="28">
        <v>0.1</v>
      </c>
      <c r="H21" s="12">
        <f>0.1*B10</f>
        <v>2385071.6</v>
      </c>
      <c r="I21" s="12"/>
      <c r="J21" s="12"/>
      <c r="K21" s="12"/>
      <c r="L21" s="12"/>
      <c r="M21" s="12"/>
      <c r="N21" s="12"/>
    </row>
    <row r="22" spans="1:14" x14ac:dyDescent="0.3">
      <c r="A22" s="12"/>
      <c r="B22" s="12"/>
      <c r="C22" s="15"/>
      <c r="D22" s="12"/>
      <c r="E22" s="12"/>
      <c r="F22" s="12" t="s">
        <v>18</v>
      </c>
      <c r="G22" s="28">
        <v>0.14000000000000001</v>
      </c>
      <c r="H22" s="12">
        <f>0.14*B10</f>
        <v>3339100.24</v>
      </c>
      <c r="I22" s="12"/>
      <c r="J22" s="12"/>
      <c r="K22" s="12"/>
      <c r="L22" s="12"/>
      <c r="M22" s="12"/>
      <c r="N22" s="12"/>
    </row>
    <row r="23" spans="1:14" x14ac:dyDescent="0.3">
      <c r="A23" s="12"/>
      <c r="B23" s="12"/>
      <c r="C23" s="15"/>
      <c r="D23" s="12"/>
      <c r="E23" s="12"/>
      <c r="F23" s="12" t="s">
        <v>19</v>
      </c>
      <c r="G23" s="28">
        <v>0.4</v>
      </c>
      <c r="H23" s="12">
        <f>0.4*B10</f>
        <v>9540286.4000000004</v>
      </c>
      <c r="I23" s="12"/>
      <c r="J23" s="12"/>
      <c r="K23" s="12"/>
      <c r="L23" s="12"/>
      <c r="M23" s="12"/>
      <c r="N23" s="12"/>
    </row>
    <row r="24" spans="1:14" x14ac:dyDescent="0.3">
      <c r="A24" s="12"/>
      <c r="B24" s="12"/>
      <c r="C24" s="15"/>
      <c r="D24" s="12"/>
      <c r="E24" s="12"/>
      <c r="F24" s="12" t="s">
        <v>20</v>
      </c>
      <c r="G24" s="28">
        <v>0.04</v>
      </c>
      <c r="H24" s="12">
        <f>0.04*B10</f>
        <v>954028.64</v>
      </c>
      <c r="I24" s="12"/>
      <c r="J24" s="12"/>
      <c r="K24" s="12"/>
      <c r="L24" s="12"/>
      <c r="M24" s="12"/>
      <c r="N24" s="12"/>
    </row>
    <row r="25" spans="1:14" x14ac:dyDescent="0.3">
      <c r="A25" s="12"/>
      <c r="B25" s="12"/>
      <c r="C25" s="15"/>
      <c r="D25" s="12"/>
      <c r="E25" s="12"/>
      <c r="F25" s="12" t="s">
        <v>21</v>
      </c>
      <c r="G25" s="28">
        <v>0.3</v>
      </c>
      <c r="H25" s="12">
        <f>0.3*B10</f>
        <v>7155214.7999999998</v>
      </c>
      <c r="I25" s="12"/>
      <c r="J25" s="12"/>
      <c r="K25" s="12"/>
      <c r="L25" s="12"/>
      <c r="M25" s="12"/>
      <c r="N25" s="12"/>
    </row>
    <row r="26" spans="1:14" x14ac:dyDescent="0.3">
      <c r="A26" s="12"/>
      <c r="B26" s="12"/>
      <c r="C26" s="12"/>
      <c r="D26" s="12"/>
      <c r="E26" s="12"/>
      <c r="F26" s="12" t="s">
        <v>9</v>
      </c>
      <c r="G26" s="28">
        <v>0.01</v>
      </c>
      <c r="H26" s="12">
        <f>0.01*B10</f>
        <v>238507.16</v>
      </c>
      <c r="I26" s="12"/>
      <c r="J26" s="12"/>
      <c r="K26" s="12"/>
      <c r="L26" s="12"/>
      <c r="M26" s="12"/>
      <c r="N26" s="12"/>
    </row>
    <row r="27" spans="1:14" x14ac:dyDescent="0.3">
      <c r="A27" s="12"/>
      <c r="B27" s="12"/>
      <c r="C27" s="12"/>
      <c r="D27" s="12"/>
      <c r="E27" s="12"/>
      <c r="F27" s="12" t="s">
        <v>22</v>
      </c>
      <c r="G27" s="28">
        <v>0.08</v>
      </c>
      <c r="H27" s="12">
        <f>0.08*B10</f>
        <v>1908057.28</v>
      </c>
      <c r="I27" s="12"/>
      <c r="J27" s="12"/>
      <c r="K27" s="12"/>
      <c r="L27" s="12"/>
      <c r="M27" s="12"/>
      <c r="N27" s="12"/>
    </row>
    <row r="28" spans="1:14" x14ac:dyDescent="0.3">
      <c r="A28" s="12"/>
      <c r="B28" s="12"/>
      <c r="C28" s="12"/>
      <c r="D28" s="12"/>
      <c r="E28" s="12"/>
      <c r="F28" s="12" t="s">
        <v>10</v>
      </c>
      <c r="G28" s="28">
        <v>0.04</v>
      </c>
      <c r="H28" s="12">
        <f>0.04*B10</f>
        <v>954028.64</v>
      </c>
      <c r="I28" s="12"/>
      <c r="J28" s="12"/>
      <c r="K28" s="12"/>
      <c r="L28" s="12"/>
      <c r="M28" s="12"/>
      <c r="N28" s="12"/>
    </row>
    <row r="29" spans="1:14" x14ac:dyDescent="0.3">
      <c r="A29" s="12"/>
      <c r="B29" s="12"/>
      <c r="C29" s="12"/>
      <c r="D29" s="12"/>
      <c r="E29" s="12"/>
      <c r="F29" s="12" t="s">
        <v>11</v>
      </c>
      <c r="G29" s="28">
        <v>0.08</v>
      </c>
      <c r="H29" s="12">
        <f>0.08*B10</f>
        <v>1908057.28</v>
      </c>
      <c r="I29" s="12"/>
      <c r="J29" s="12"/>
      <c r="K29" s="12"/>
      <c r="L29" s="12"/>
      <c r="M29" s="12"/>
      <c r="N29" s="12"/>
    </row>
    <row r="30" spans="1:14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3">
      <c r="A31" s="12"/>
      <c r="B31" s="12"/>
      <c r="C31" s="12"/>
      <c r="D31" s="12"/>
      <c r="E31" s="12"/>
      <c r="F31" s="13" t="s">
        <v>28</v>
      </c>
      <c r="G31" s="12"/>
      <c r="H31" s="11"/>
      <c r="I31" s="12"/>
      <c r="J31" s="12"/>
      <c r="K31" s="12"/>
      <c r="L31" s="12"/>
      <c r="M31" s="12"/>
      <c r="N31" s="12"/>
    </row>
    <row r="32" spans="1:14" x14ac:dyDescent="0.3">
      <c r="A32" s="12"/>
      <c r="B32" s="12"/>
      <c r="C32" s="12"/>
      <c r="D32" s="12"/>
      <c r="E32" s="12"/>
      <c r="F32" s="13" t="s">
        <v>30</v>
      </c>
      <c r="G32" s="13" t="s">
        <v>34</v>
      </c>
      <c r="H32" s="14" t="s">
        <v>35</v>
      </c>
      <c r="I32" s="13" t="s">
        <v>36</v>
      </c>
      <c r="J32" s="12"/>
      <c r="K32" s="12"/>
      <c r="L32" s="12"/>
      <c r="M32" s="12"/>
      <c r="N32" s="12"/>
    </row>
    <row r="33" spans="1:14" x14ac:dyDescent="0.3">
      <c r="A33" s="12"/>
      <c r="B33" s="12"/>
      <c r="C33" s="12"/>
      <c r="D33" s="12"/>
      <c r="E33" s="12"/>
      <c r="F33" s="12" t="s">
        <v>31</v>
      </c>
      <c r="G33" s="12">
        <v>2.14</v>
      </c>
      <c r="H33" s="16">
        <v>239774000</v>
      </c>
      <c r="I33" s="17">
        <f>G33*H33</f>
        <v>513116360</v>
      </c>
      <c r="J33" s="12"/>
      <c r="K33" s="12"/>
      <c r="L33" s="12"/>
      <c r="M33" s="12"/>
      <c r="N33" s="12"/>
    </row>
    <row r="34" spans="1:14" x14ac:dyDescent="0.3">
      <c r="A34" s="12"/>
      <c r="B34" s="12"/>
      <c r="C34" s="12"/>
      <c r="D34" s="12"/>
      <c r="E34" s="12"/>
      <c r="F34" s="12" t="s">
        <v>32</v>
      </c>
      <c r="G34" s="12">
        <v>0.11</v>
      </c>
      <c r="H34" s="16">
        <v>454412000</v>
      </c>
      <c r="I34" s="17">
        <f t="shared" ref="I34:I35" si="1">G34*H34</f>
        <v>49985320</v>
      </c>
      <c r="J34" s="12"/>
      <c r="K34" s="12"/>
      <c r="L34" s="12"/>
      <c r="M34" s="12"/>
      <c r="N34" s="12"/>
    </row>
    <row r="35" spans="1:14" x14ac:dyDescent="0.3">
      <c r="A35" s="12"/>
      <c r="B35" s="12"/>
      <c r="C35" s="12"/>
      <c r="D35" s="12"/>
      <c r="E35" s="12"/>
      <c r="F35" s="12" t="s">
        <v>33</v>
      </c>
      <c r="G35" s="12">
        <v>1.5569999999999999</v>
      </c>
      <c r="H35" s="16">
        <v>212474000</v>
      </c>
      <c r="I35" s="17">
        <f t="shared" si="1"/>
        <v>330822018</v>
      </c>
      <c r="J35" s="12"/>
      <c r="K35" s="12"/>
      <c r="L35" s="12"/>
      <c r="M35" s="12"/>
      <c r="N35" s="12"/>
    </row>
    <row r="36" spans="1:14" x14ac:dyDescent="0.3">
      <c r="A36" s="12"/>
      <c r="B36" s="12"/>
      <c r="C36" s="12"/>
      <c r="D36" s="12"/>
      <c r="E36" s="12"/>
      <c r="F36" s="12"/>
      <c r="G36" s="12"/>
      <c r="H36" s="11" t="s">
        <v>5</v>
      </c>
      <c r="I36" s="17">
        <f>SUM(I33:I35)</f>
        <v>893923698</v>
      </c>
      <c r="J36" s="12"/>
      <c r="K36" s="12"/>
      <c r="L36" s="12"/>
      <c r="M36" s="12"/>
      <c r="N36" s="12"/>
    </row>
    <row r="37" spans="1:14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3">
      <c r="A38" s="12"/>
      <c r="B38" s="12"/>
      <c r="C38" s="12"/>
      <c r="D38" s="12"/>
      <c r="E38" s="12"/>
      <c r="F38" s="13" t="s">
        <v>38</v>
      </c>
      <c r="G38" s="12">
        <f>0.1*M11</f>
        <v>73149960</v>
      </c>
      <c r="H38" s="12"/>
      <c r="I38" s="12"/>
      <c r="J38" s="12"/>
      <c r="K38" s="12"/>
      <c r="L38" s="12"/>
      <c r="M38" s="12"/>
      <c r="N38" s="12"/>
    </row>
    <row r="39" spans="1:14" x14ac:dyDescent="0.3">
      <c r="A39" s="12"/>
      <c r="B39" s="12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</row>
    <row r="40" spans="1:14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3">
      <c r="A41" s="12"/>
      <c r="B41" s="12"/>
      <c r="C41" s="12"/>
      <c r="D41" s="12"/>
      <c r="E41" s="12"/>
      <c r="F41" s="13" t="s">
        <v>40</v>
      </c>
      <c r="G41" s="12" t="s">
        <v>41</v>
      </c>
      <c r="H41" s="12"/>
      <c r="I41" s="12"/>
      <c r="J41" s="12"/>
      <c r="K41" s="12"/>
      <c r="L41" s="12"/>
      <c r="M41" s="12"/>
      <c r="N41" s="12"/>
    </row>
    <row r="42" spans="1:14" x14ac:dyDescent="0.3">
      <c r="A42" s="12"/>
      <c r="B42" s="12"/>
      <c r="C42" s="12"/>
      <c r="D42" s="12"/>
      <c r="E42" s="12"/>
      <c r="F42" s="12" t="s">
        <v>47</v>
      </c>
      <c r="G42" s="12">
        <f>0.00110219*146.37</f>
        <v>0.16132755030000001</v>
      </c>
      <c r="H42" s="11" t="s">
        <v>45</v>
      </c>
      <c r="I42" s="12" t="s">
        <v>42</v>
      </c>
      <c r="J42" s="12" t="s">
        <v>36</v>
      </c>
      <c r="K42" s="12"/>
      <c r="L42" s="12"/>
      <c r="M42" s="12"/>
      <c r="N42" s="12"/>
    </row>
    <row r="43" spans="1:14" x14ac:dyDescent="0.3">
      <c r="A43" s="12"/>
      <c r="B43" s="12"/>
      <c r="C43" s="12"/>
      <c r="D43" s="12"/>
      <c r="E43" s="12"/>
      <c r="F43" s="12" t="s">
        <v>43</v>
      </c>
      <c r="G43" s="12"/>
      <c r="H43" s="11">
        <v>38171.300000000003</v>
      </c>
      <c r="I43" s="12">
        <f>G42*H43</f>
        <v>6158.0823207663907</v>
      </c>
      <c r="J43" s="12"/>
      <c r="K43" s="12"/>
      <c r="L43" s="12"/>
      <c r="M43" s="12"/>
      <c r="N43" s="12"/>
    </row>
    <row r="44" spans="1:14" x14ac:dyDescent="0.3">
      <c r="A44" s="12"/>
      <c r="B44" s="12"/>
      <c r="C44" s="12"/>
      <c r="D44" s="12"/>
      <c r="E44" s="12"/>
      <c r="F44" s="12" t="s">
        <v>44</v>
      </c>
      <c r="G44" s="12"/>
      <c r="H44" s="11">
        <v>3.1758999999999999</v>
      </c>
      <c r="I44" s="12">
        <f>G42*H44</f>
        <v>0.51236016699776998</v>
      </c>
      <c r="J44" s="12"/>
      <c r="K44" s="12"/>
      <c r="L44" s="12"/>
      <c r="M44" s="12"/>
      <c r="N44" s="12"/>
    </row>
    <row r="45" spans="1:14" x14ac:dyDescent="0.3">
      <c r="A45" s="12"/>
      <c r="B45" s="12"/>
      <c r="C45" s="12"/>
      <c r="D45" s="12"/>
      <c r="E45" s="12"/>
      <c r="F45" s="12"/>
      <c r="G45" s="12"/>
      <c r="H45" s="11" t="s">
        <v>5</v>
      </c>
      <c r="I45" s="12">
        <f>SUM(I43:I44)</f>
        <v>6158.5946809333882</v>
      </c>
      <c r="J45" s="12">
        <f>I45*24*365</f>
        <v>53949289.40497648</v>
      </c>
      <c r="K45" s="12"/>
      <c r="L45" s="12"/>
      <c r="M45" s="12"/>
      <c r="N45" s="12"/>
    </row>
    <row r="46" spans="1:14" x14ac:dyDescent="0.3">
      <c r="A46" s="12"/>
      <c r="B46" s="12"/>
      <c r="C46" s="12"/>
      <c r="D46" s="12"/>
      <c r="E46" s="12"/>
      <c r="F46" s="12"/>
      <c r="G46" s="12"/>
      <c r="H46" s="11"/>
      <c r="I46" s="12"/>
      <c r="J46" s="12"/>
      <c r="K46" s="12"/>
      <c r="L46" s="12"/>
      <c r="M46" s="12"/>
      <c r="N46" s="12"/>
    </row>
    <row r="47" spans="1:14" x14ac:dyDescent="0.3">
      <c r="A47" s="12"/>
      <c r="B47" s="12"/>
      <c r="C47" s="12"/>
      <c r="D47" s="12"/>
      <c r="E47" s="12"/>
      <c r="F47" s="12" t="s">
        <v>48</v>
      </c>
      <c r="G47" s="12" t="s">
        <v>34</v>
      </c>
      <c r="H47" s="11" t="s">
        <v>46</v>
      </c>
      <c r="I47" s="12" t="s">
        <v>65</v>
      </c>
      <c r="J47" s="12" t="s">
        <v>36</v>
      </c>
      <c r="K47" s="12"/>
      <c r="L47" s="12"/>
      <c r="M47" s="12"/>
      <c r="N47" s="12"/>
    </row>
    <row r="48" spans="1:14" x14ac:dyDescent="0.3">
      <c r="A48" s="12"/>
      <c r="B48" s="12"/>
      <c r="C48" s="12"/>
      <c r="D48" s="12"/>
      <c r="E48" s="12"/>
      <c r="F48" s="12"/>
      <c r="G48" s="12">
        <f>0.08/1000</f>
        <v>8.0000000000000007E-5</v>
      </c>
      <c r="H48" s="11">
        <v>50.953020000000002</v>
      </c>
      <c r="I48" s="12">
        <f>$G$48*H48</f>
        <v>4.0762416000000006E-3</v>
      </c>
      <c r="J48" s="12"/>
      <c r="K48" s="12"/>
      <c r="L48" s="12"/>
      <c r="M48" s="12"/>
      <c r="N48" s="12"/>
    </row>
    <row r="49" spans="1:14" x14ac:dyDescent="0.3">
      <c r="A49" s="12"/>
      <c r="B49" s="12"/>
      <c r="C49" s="12"/>
      <c r="D49" s="12"/>
      <c r="E49" s="12"/>
      <c r="F49" s="12"/>
      <c r="G49" s="12"/>
      <c r="H49" s="11">
        <v>155.71719999999999</v>
      </c>
      <c r="I49" s="12">
        <f t="shared" ref="I49:I51" si="2">$G$48*H49</f>
        <v>1.2457376000000001E-2</v>
      </c>
      <c r="J49" s="12"/>
      <c r="K49" s="12"/>
      <c r="L49" s="12"/>
      <c r="M49" s="12"/>
      <c r="N49" s="12"/>
    </row>
    <row r="50" spans="1:14" x14ac:dyDescent="0.3">
      <c r="A50" s="12"/>
      <c r="B50" s="12"/>
      <c r="C50" s="12"/>
      <c r="D50" s="12"/>
      <c r="E50" s="12"/>
      <c r="F50" s="12"/>
      <c r="G50" s="12"/>
      <c r="H50" s="11">
        <v>0.99172899999999997</v>
      </c>
      <c r="I50" s="12">
        <f t="shared" si="2"/>
        <v>7.933832E-5</v>
      </c>
      <c r="J50" s="12"/>
      <c r="K50" s="12"/>
      <c r="L50" s="12"/>
      <c r="M50" s="12"/>
      <c r="N50" s="12"/>
    </row>
    <row r="51" spans="1:14" x14ac:dyDescent="0.3">
      <c r="A51" s="12"/>
      <c r="B51" s="12"/>
      <c r="C51" s="12"/>
      <c r="D51" s="12"/>
      <c r="E51" s="12"/>
      <c r="F51" s="12"/>
      <c r="G51" s="12"/>
      <c r="H51" s="11">
        <v>2.1605989999999999</v>
      </c>
      <c r="I51" s="12">
        <f t="shared" si="2"/>
        <v>1.7284792000000002E-4</v>
      </c>
      <c r="J51" s="12"/>
      <c r="K51" s="12"/>
      <c r="L51" s="12"/>
      <c r="M51" s="12"/>
      <c r="N51" s="12"/>
    </row>
    <row r="52" spans="1:14" x14ac:dyDescent="0.3">
      <c r="A52" s="12"/>
      <c r="B52" s="12"/>
      <c r="C52" s="12"/>
      <c r="D52" s="12"/>
      <c r="E52" s="12"/>
      <c r="F52" s="12"/>
      <c r="G52" s="12"/>
      <c r="H52" s="12" t="s">
        <v>5</v>
      </c>
      <c r="I52" s="12">
        <f>SUM(I48:I51)</f>
        <v>1.6785803840000002E-2</v>
      </c>
      <c r="J52" s="12">
        <f>I52*3600*24*365</f>
        <v>529357.10989824007</v>
      </c>
      <c r="K52" s="12"/>
      <c r="L52" s="12"/>
      <c r="M52" s="12"/>
      <c r="N52" s="12"/>
    </row>
    <row r="53" spans="1:14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x14ac:dyDescent="0.3">
      <c r="A54" s="12"/>
      <c r="B54" s="12"/>
      <c r="C54" s="12"/>
      <c r="D54" s="12"/>
      <c r="E54" s="12"/>
      <c r="F54" s="13" t="s">
        <v>49</v>
      </c>
      <c r="G54" s="12">
        <f>0.04*B10</f>
        <v>954028.64</v>
      </c>
      <c r="H54" s="12"/>
      <c r="I54" s="12"/>
      <c r="J54" s="12"/>
      <c r="K54" s="12"/>
      <c r="L54" s="12"/>
      <c r="M54" s="12"/>
      <c r="N54" s="12"/>
    </row>
    <row r="55" spans="1:14" x14ac:dyDescent="0.3">
      <c r="A55" s="12"/>
      <c r="B55" s="12"/>
      <c r="C55" s="12"/>
      <c r="D55" s="12"/>
      <c r="E55" s="12"/>
      <c r="F55" s="13" t="s">
        <v>50</v>
      </c>
      <c r="G55" s="12">
        <f>0.15*G54</f>
        <v>143104.296</v>
      </c>
      <c r="H55" s="12"/>
      <c r="I55" s="12"/>
      <c r="J55" s="12"/>
      <c r="K55" s="12"/>
      <c r="L55" s="12"/>
      <c r="M55" s="12"/>
      <c r="N55" s="12"/>
    </row>
    <row r="56" spans="1:14" x14ac:dyDescent="0.3">
      <c r="A56" s="12"/>
      <c r="B56" s="12"/>
      <c r="C56" s="12"/>
      <c r="D56" s="12"/>
      <c r="E56" s="12"/>
      <c r="F56" s="13" t="s">
        <v>51</v>
      </c>
      <c r="G56" s="12">
        <f>0.1*G38</f>
        <v>7314996</v>
      </c>
      <c r="H56" s="12"/>
      <c r="I56" s="12"/>
      <c r="J56" s="12"/>
      <c r="K56" s="12"/>
      <c r="L56" s="12"/>
      <c r="M56" s="12"/>
      <c r="N56" s="12"/>
    </row>
    <row r="57" spans="1:14" x14ac:dyDescent="0.3">
      <c r="A57" s="12"/>
      <c r="B57" s="12"/>
      <c r="C57" s="12"/>
      <c r="D57" s="12"/>
      <c r="E57" s="12"/>
      <c r="F57" s="13" t="s">
        <v>52</v>
      </c>
      <c r="G57" s="12"/>
      <c r="H57" s="12"/>
      <c r="I57" s="12"/>
      <c r="J57" s="12"/>
      <c r="K57" s="12"/>
      <c r="L57" s="12"/>
      <c r="M57" s="12"/>
      <c r="N57" s="12"/>
    </row>
    <row r="58" spans="1:14" x14ac:dyDescent="0.3">
      <c r="A58" s="12"/>
      <c r="B58" s="12"/>
      <c r="C58" s="12"/>
      <c r="D58" s="12"/>
      <c r="E58" s="12"/>
      <c r="F58" s="12"/>
      <c r="G58" s="12" t="s">
        <v>34</v>
      </c>
      <c r="H58" s="12" t="s">
        <v>35</v>
      </c>
      <c r="I58" s="12" t="s">
        <v>36</v>
      </c>
      <c r="J58" s="12"/>
      <c r="K58" s="12"/>
      <c r="L58" s="12"/>
      <c r="M58" s="12"/>
      <c r="N58" s="12"/>
    </row>
    <row r="59" spans="1:14" x14ac:dyDescent="0.3">
      <c r="A59" s="12"/>
      <c r="B59" s="12"/>
      <c r="C59" s="12"/>
      <c r="D59" s="12"/>
      <c r="E59" s="12"/>
      <c r="F59" s="12" t="s">
        <v>53</v>
      </c>
      <c r="G59" s="12">
        <v>16</v>
      </c>
      <c r="H59" s="12">
        <v>140</v>
      </c>
      <c r="I59" s="12">
        <f>G59*H59</f>
        <v>2240</v>
      </c>
      <c r="J59" s="12"/>
      <c r="K59" s="12"/>
      <c r="L59" s="12"/>
      <c r="M59" s="12"/>
      <c r="N59" s="12"/>
    </row>
    <row r="60" spans="1:14" x14ac:dyDescent="0.3">
      <c r="A60" s="12"/>
      <c r="B60" s="12"/>
      <c r="C60" s="12"/>
      <c r="D60" s="12"/>
      <c r="E60" s="12"/>
      <c r="F60" s="12" t="s">
        <v>54</v>
      </c>
      <c r="G60" s="12">
        <v>20</v>
      </c>
      <c r="H60" s="12">
        <v>50</v>
      </c>
      <c r="I60" s="12">
        <f>G60*H60</f>
        <v>1000</v>
      </c>
      <c r="J60" s="12"/>
      <c r="K60" s="12"/>
      <c r="L60" s="12"/>
      <c r="M60" s="12"/>
      <c r="N60" s="12"/>
    </row>
    <row r="61" spans="1:14" x14ac:dyDescent="0.3">
      <c r="A61" s="12"/>
      <c r="B61" s="12"/>
      <c r="C61" s="12"/>
      <c r="D61" s="12"/>
      <c r="E61" s="12"/>
      <c r="F61" s="12"/>
      <c r="G61" s="12"/>
      <c r="H61" s="12" t="s">
        <v>5</v>
      </c>
      <c r="I61" s="12">
        <f>SUM(I59:I60)</f>
        <v>3240</v>
      </c>
      <c r="J61" s="12"/>
      <c r="K61" s="12"/>
      <c r="L61" s="12"/>
      <c r="M61" s="12"/>
      <c r="N61" s="12"/>
    </row>
    <row r="62" spans="1:14" x14ac:dyDescent="0.3">
      <c r="A62" s="12"/>
      <c r="B62" s="12"/>
      <c r="C62" s="12"/>
      <c r="D62" s="12"/>
      <c r="E62" s="12"/>
      <c r="F62" s="13" t="s">
        <v>55</v>
      </c>
      <c r="G62" s="12"/>
      <c r="H62" s="12"/>
      <c r="I62" s="12"/>
      <c r="J62" s="12"/>
      <c r="K62" s="12"/>
      <c r="L62" s="12"/>
      <c r="M62" s="12"/>
      <c r="N62" s="12"/>
    </row>
    <row r="63" spans="1:14" x14ac:dyDescent="0.3">
      <c r="A63" s="12"/>
      <c r="B63" s="12"/>
      <c r="C63" s="12"/>
      <c r="D63" s="12"/>
      <c r="E63" s="12"/>
      <c r="F63" s="12" t="s">
        <v>56</v>
      </c>
      <c r="G63" s="12">
        <f>0.02*M11</f>
        <v>14629992</v>
      </c>
      <c r="H63" s="12"/>
      <c r="I63" s="12"/>
      <c r="J63" s="12"/>
      <c r="K63" s="12"/>
      <c r="L63" s="12"/>
      <c r="M63" s="12"/>
      <c r="N63" s="12"/>
    </row>
    <row r="64" spans="1:14" x14ac:dyDescent="0.3">
      <c r="A64" s="12"/>
      <c r="B64" s="12"/>
      <c r="C64" s="12"/>
      <c r="D64" s="12"/>
      <c r="E64" s="12"/>
      <c r="F64" s="12" t="s">
        <v>57</v>
      </c>
      <c r="G64" s="12">
        <f>0.02*M11</f>
        <v>14629992</v>
      </c>
      <c r="H64" s="12"/>
      <c r="I64" s="12"/>
      <c r="J64" s="12"/>
      <c r="K64" s="12"/>
      <c r="L64" s="12"/>
      <c r="M64" s="12"/>
      <c r="N64" s="12"/>
    </row>
    <row r="65" spans="1:14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x14ac:dyDescent="0.3">
      <c r="A71" s="13" t="s">
        <v>63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x14ac:dyDescent="0.3">
      <c r="A72" s="13" t="s">
        <v>58</v>
      </c>
      <c r="B72" s="19">
        <f>SUM(H10:H14)+SUM(H17:H24)+B10</f>
        <v>78986710.039999992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x14ac:dyDescent="0.3">
      <c r="A73" s="13" t="s">
        <v>59</v>
      </c>
      <c r="B73" s="19">
        <f>SUM(H25:H29)</f>
        <v>12163865.16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x14ac:dyDescent="0.3">
      <c r="A74" s="13" t="s">
        <v>60</v>
      </c>
      <c r="B74" s="19">
        <f>B72+B73</f>
        <v>91150575.199999988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x14ac:dyDescent="0.3">
      <c r="A75" s="13" t="s">
        <v>61</v>
      </c>
      <c r="B75" s="19">
        <f>0.1*B74</f>
        <v>9115057.5199999996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x14ac:dyDescent="0.3">
      <c r="A76" s="13" t="s">
        <v>62</v>
      </c>
      <c r="B76" s="19">
        <f>B74+B75</f>
        <v>100265632.71999998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x14ac:dyDescent="0.3">
      <c r="A77" s="1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x14ac:dyDescent="0.3">
      <c r="A79" s="13" t="s">
        <v>64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x14ac:dyDescent="0.3">
      <c r="A80" s="13" t="s">
        <v>67</v>
      </c>
      <c r="B80" s="17">
        <f>I36+G38+J45+J52+G54+G55+G56+I61</f>
        <v>1029967673.4508747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x14ac:dyDescent="0.3">
      <c r="A81" s="13" t="s">
        <v>66</v>
      </c>
      <c r="B81" s="12">
        <f>G63+G64</f>
        <v>29259984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x14ac:dyDescent="0.3">
      <c r="A82" s="13" t="s">
        <v>68</v>
      </c>
      <c r="B82" s="17">
        <f>B80+B81</f>
        <v>1059227657.4508747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x14ac:dyDescent="0.3">
      <c r="A83" s="13" t="s">
        <v>69</v>
      </c>
      <c r="B83" s="17">
        <f>M14-B82</f>
        <v>-206341337.45087469</v>
      </c>
      <c r="C83" s="12"/>
      <c r="D83" s="17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x14ac:dyDescent="0.3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x14ac:dyDescent="0.3">
      <c r="A85" s="20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x14ac:dyDescent="0.3">
      <c r="A86" s="12"/>
      <c r="B86" s="12"/>
      <c r="C86" s="17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x14ac:dyDescent="0.3">
      <c r="F92" s="1"/>
      <c r="G92" s="1"/>
      <c r="H92" s="1"/>
      <c r="I92" s="1"/>
      <c r="J92" s="1"/>
    </row>
    <row r="93" spans="1:14" x14ac:dyDescent="0.3">
      <c r="F93" s="1"/>
      <c r="G93" s="1"/>
      <c r="H93" s="1"/>
      <c r="I93" s="1"/>
      <c r="J93" s="1"/>
    </row>
    <row r="94" spans="1:14" x14ac:dyDescent="0.3">
      <c r="F94" s="1"/>
      <c r="G94" s="1"/>
      <c r="H94" s="1"/>
      <c r="I94" s="1"/>
      <c r="J94" s="1"/>
    </row>
    <row r="95" spans="1:14" x14ac:dyDescent="0.3">
      <c r="F95" s="1"/>
      <c r="G95" s="1"/>
      <c r="H95" s="1"/>
      <c r="I95" s="1"/>
      <c r="J95" s="1"/>
    </row>
    <row r="96" spans="1:14" x14ac:dyDescent="0.3">
      <c r="F96" s="1"/>
      <c r="G96" s="1"/>
      <c r="H96" s="1"/>
      <c r="I96" s="1"/>
      <c r="J96" s="1"/>
    </row>
    <row r="97" spans="6:10" x14ac:dyDescent="0.3">
      <c r="F97" s="1"/>
      <c r="G97" s="1"/>
      <c r="H97" s="1"/>
      <c r="I97" s="1"/>
      <c r="J97" s="1"/>
    </row>
    <row r="98" spans="6:10" x14ac:dyDescent="0.3">
      <c r="F98" s="1"/>
      <c r="G98" s="1"/>
      <c r="H98" s="1"/>
      <c r="I98" s="1"/>
      <c r="J98" s="1"/>
    </row>
    <row r="99" spans="6:10" x14ac:dyDescent="0.3">
      <c r="F99" s="1"/>
      <c r="G99" s="1"/>
      <c r="H99" s="1"/>
      <c r="I99" s="1"/>
      <c r="J99" s="1"/>
    </row>
    <row r="100" spans="6:10" x14ac:dyDescent="0.3">
      <c r="F100" s="1"/>
      <c r="G100" s="1"/>
      <c r="H100" s="1"/>
      <c r="I100" s="1"/>
      <c r="J100" s="1"/>
    </row>
    <row r="101" spans="6:10" x14ac:dyDescent="0.3">
      <c r="F101" s="1"/>
      <c r="G101" s="1"/>
      <c r="H101" s="1"/>
      <c r="I101" s="1"/>
      <c r="J101" s="1"/>
    </row>
    <row r="102" spans="6:10" x14ac:dyDescent="0.3">
      <c r="F102" s="1"/>
      <c r="G102" s="1"/>
      <c r="H102" s="1"/>
      <c r="I102" s="1"/>
      <c r="J102" s="1"/>
    </row>
    <row r="103" spans="6:10" x14ac:dyDescent="0.3">
      <c r="F103" s="1"/>
      <c r="G103" s="1"/>
      <c r="H103" s="1"/>
      <c r="I103" s="1"/>
      <c r="J103" s="1"/>
    </row>
    <row r="104" spans="6:10" x14ac:dyDescent="0.3">
      <c r="F104" s="1"/>
      <c r="G104" s="1"/>
      <c r="H104" s="1"/>
      <c r="I104" s="1"/>
      <c r="J104" s="1"/>
    </row>
    <row r="105" spans="6:10" x14ac:dyDescent="0.3">
      <c r="F105" s="1"/>
      <c r="G105" s="1"/>
      <c r="H105" s="1"/>
      <c r="I105" s="1"/>
      <c r="J105" s="1"/>
    </row>
    <row r="106" spans="6:10" x14ac:dyDescent="0.3">
      <c r="F106" s="1"/>
      <c r="G106" s="1"/>
      <c r="H106" s="1"/>
      <c r="I106" s="1"/>
      <c r="J106" s="1"/>
    </row>
    <row r="107" spans="6:10" x14ac:dyDescent="0.3">
      <c r="F107" s="1"/>
      <c r="G107" s="1"/>
      <c r="H107" s="1"/>
      <c r="I107" s="1"/>
      <c r="J107" s="1"/>
    </row>
    <row r="108" spans="6:10" x14ac:dyDescent="0.3">
      <c r="F108" s="1"/>
      <c r="G108" s="1"/>
      <c r="H108" s="1"/>
      <c r="I108" s="1"/>
      <c r="J108" s="1"/>
    </row>
    <row r="109" spans="6:10" x14ac:dyDescent="0.3">
      <c r="F109" s="1"/>
      <c r="G109" s="1"/>
      <c r="H109" s="1"/>
      <c r="I109" s="1"/>
      <c r="J109" s="1"/>
    </row>
    <row r="110" spans="6:10" x14ac:dyDescent="0.3">
      <c r="F110" s="1"/>
      <c r="G110" s="1"/>
      <c r="H110" s="1"/>
      <c r="I110" s="1"/>
      <c r="J110" s="1"/>
    </row>
    <row r="111" spans="6:10" x14ac:dyDescent="0.3">
      <c r="F111" s="1"/>
      <c r="G111" s="1"/>
      <c r="H111" s="1"/>
      <c r="I111" s="1"/>
      <c r="J111" s="1"/>
    </row>
    <row r="112" spans="6:10" x14ac:dyDescent="0.3">
      <c r="F112" s="1"/>
      <c r="G112" s="1"/>
      <c r="H112" s="1"/>
      <c r="I112" s="1"/>
      <c r="J112" s="1"/>
    </row>
    <row r="113" spans="6:10" x14ac:dyDescent="0.3">
      <c r="F113" s="1"/>
      <c r="G113" s="1"/>
      <c r="H113" s="1"/>
      <c r="I113" s="1"/>
      <c r="J113" s="1"/>
    </row>
    <row r="114" spans="6:10" x14ac:dyDescent="0.3">
      <c r="F114" s="1"/>
      <c r="G114" s="1"/>
      <c r="H114" s="1"/>
      <c r="I114" s="1"/>
      <c r="J114" s="1"/>
    </row>
    <row r="115" spans="6:10" x14ac:dyDescent="0.3">
      <c r="F115" s="1"/>
      <c r="G115" s="1"/>
      <c r="H115" s="1"/>
      <c r="I115" s="1"/>
      <c r="J115" s="1"/>
    </row>
    <row r="116" spans="6:10" x14ac:dyDescent="0.3">
      <c r="F116" s="1"/>
      <c r="G116" s="1"/>
      <c r="H116" s="1"/>
      <c r="I116" s="1"/>
      <c r="J116" s="1"/>
    </row>
    <row r="117" spans="6:10" x14ac:dyDescent="0.3">
      <c r="F117" s="1"/>
      <c r="G117" s="1"/>
      <c r="H117" s="1"/>
      <c r="I117" s="1"/>
      <c r="J117" s="1"/>
    </row>
    <row r="118" spans="6:10" x14ac:dyDescent="0.3">
      <c r="F118" s="1"/>
      <c r="G118" s="1"/>
      <c r="H118" s="1"/>
      <c r="I118" s="1"/>
      <c r="J118" s="1"/>
    </row>
    <row r="119" spans="6:10" x14ac:dyDescent="0.3">
      <c r="F119" s="1"/>
      <c r="G119" s="1"/>
      <c r="H119" s="1"/>
      <c r="I119" s="1"/>
      <c r="J119" s="1"/>
    </row>
    <row r="120" spans="6:10" x14ac:dyDescent="0.3">
      <c r="F120" s="1"/>
      <c r="G120" s="1"/>
      <c r="H120" s="1"/>
      <c r="I120" s="1"/>
      <c r="J120" s="1"/>
    </row>
    <row r="121" spans="6:10" x14ac:dyDescent="0.3">
      <c r="F121" s="1"/>
      <c r="G121" s="1"/>
      <c r="H121" s="1"/>
      <c r="I121" s="1"/>
      <c r="J121" s="1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BE5F-A54D-42DD-BCB7-B5AF87BC629A}">
  <dimension ref="A2:N37"/>
  <sheetViews>
    <sheetView tabSelected="1" zoomScale="80" zoomScaleNormal="80" workbookViewId="0">
      <selection activeCell="P29" sqref="P29"/>
    </sheetView>
  </sheetViews>
  <sheetFormatPr defaultRowHeight="14.4" x14ac:dyDescent="0.3"/>
  <cols>
    <col min="1" max="1" width="29.88671875" customWidth="1"/>
    <col min="2" max="2" width="12" bestFit="1" customWidth="1"/>
    <col min="3" max="3" width="12.88671875" customWidth="1"/>
    <col min="4" max="4" width="13" customWidth="1"/>
    <col min="5" max="5" width="12.6640625" bestFit="1" customWidth="1"/>
    <col min="6" max="6" width="13.33203125" bestFit="1" customWidth="1"/>
    <col min="7" max="7" width="15.77734375" bestFit="1" customWidth="1"/>
    <col min="8" max="8" width="13.77734375" customWidth="1"/>
    <col min="9" max="9" width="13.33203125" bestFit="1" customWidth="1"/>
    <col min="11" max="11" width="12.109375" bestFit="1" customWidth="1"/>
    <col min="12" max="12" width="15.109375" customWidth="1"/>
    <col min="13" max="13" width="16" customWidth="1"/>
    <col min="14" max="14" width="15.109375" bestFit="1" customWidth="1"/>
  </cols>
  <sheetData>
    <row r="2" spans="1:14" x14ac:dyDescent="0.3">
      <c r="B2" s="2" t="s">
        <v>6</v>
      </c>
      <c r="C2" s="2" t="s">
        <v>80</v>
      </c>
      <c r="D2" s="2" t="s">
        <v>70</v>
      </c>
      <c r="E2" s="2" t="s">
        <v>81</v>
      </c>
      <c r="J2" s="2" t="s">
        <v>85</v>
      </c>
      <c r="K2" s="2" t="s">
        <v>97</v>
      </c>
      <c r="L2" s="2" t="s">
        <v>98</v>
      </c>
      <c r="M2" s="2" t="s">
        <v>99</v>
      </c>
      <c r="N2" s="2" t="s">
        <v>100</v>
      </c>
    </row>
    <row r="3" spans="1:14" ht="15.6" x14ac:dyDescent="0.3">
      <c r="A3" s="3" t="s">
        <v>71</v>
      </c>
      <c r="B3">
        <v>10732822.199999999</v>
      </c>
      <c r="C3" s="4">
        <v>0.05</v>
      </c>
      <c r="D3">
        <f>C3*B3</f>
        <v>536641.11</v>
      </c>
      <c r="E3">
        <f>B3/D3</f>
        <v>20</v>
      </c>
      <c r="J3" s="1">
        <v>0</v>
      </c>
      <c r="K3" s="22">
        <f>D14</f>
        <v>102687174.72999999</v>
      </c>
      <c r="L3" s="22"/>
      <c r="M3" s="22"/>
      <c r="N3" s="22"/>
    </row>
    <row r="4" spans="1:14" ht="15.6" x14ac:dyDescent="0.3">
      <c r="A4" s="3" t="s">
        <v>82</v>
      </c>
      <c r="B4">
        <v>954028.64</v>
      </c>
      <c r="C4" s="5">
        <v>0.08</v>
      </c>
      <c r="D4">
        <f t="shared" ref="D4:D6" si="0">C4*B4</f>
        <v>76322.291200000007</v>
      </c>
      <c r="E4">
        <f t="shared" ref="E4:E6" si="1">B4/D4</f>
        <v>12.499999999999998</v>
      </c>
      <c r="J4" s="1">
        <v>1</v>
      </c>
      <c r="K4" s="23">
        <f>K3-M4</f>
        <v>92418457.256999984</v>
      </c>
      <c r="L4" s="24">
        <f>K3*$C$14</f>
        <v>8214973.9783999994</v>
      </c>
      <c r="M4" s="24">
        <f>$K$3/10</f>
        <v>10268717.472999999</v>
      </c>
      <c r="N4" s="24">
        <f>L4+M4</f>
        <v>18483691.451399997</v>
      </c>
    </row>
    <row r="5" spans="1:14" ht="15.6" x14ac:dyDescent="0.3">
      <c r="A5" s="3" t="s">
        <v>72</v>
      </c>
      <c r="B5">
        <v>23850716</v>
      </c>
      <c r="C5" s="5">
        <v>0.1</v>
      </c>
      <c r="D5">
        <f>C5*(B5-D12)</f>
        <v>1788803.7000000002</v>
      </c>
      <c r="E5">
        <f t="shared" si="1"/>
        <v>13.333333333333332</v>
      </c>
      <c r="J5" s="1">
        <v>2</v>
      </c>
      <c r="K5" s="23">
        <f t="shared" ref="K5:K13" si="2">K4-M5</f>
        <v>82149739.783999979</v>
      </c>
      <c r="L5" s="24">
        <f t="shared" ref="L5:L13" si="3">K4*$C$14</f>
        <v>7393476.5805599988</v>
      </c>
      <c r="M5" s="24">
        <f t="shared" ref="M5:M13" si="4">$K$3/10</f>
        <v>10268717.472999999</v>
      </c>
      <c r="N5" s="24">
        <f t="shared" ref="N5:N13" si="5">L5+M5</f>
        <v>17662194.053559996</v>
      </c>
    </row>
    <row r="6" spans="1:14" ht="15.6" x14ac:dyDescent="0.3">
      <c r="A6" s="3" t="s">
        <v>73</v>
      </c>
      <c r="B6">
        <f>144866471.64-B5-B4-B3</f>
        <v>109328904.79999998</v>
      </c>
      <c r="C6" s="4">
        <v>0.2</v>
      </c>
      <c r="D6">
        <f t="shared" si="0"/>
        <v>21865780.959999997</v>
      </c>
      <c r="E6">
        <f t="shared" si="1"/>
        <v>5</v>
      </c>
      <c r="J6" s="1">
        <v>3</v>
      </c>
      <c r="K6" s="23">
        <f t="shared" si="2"/>
        <v>71881022.310999975</v>
      </c>
      <c r="L6" s="24">
        <f t="shared" si="3"/>
        <v>6571979.1827199981</v>
      </c>
      <c r="M6" s="24">
        <f t="shared" si="4"/>
        <v>10268717.472999999</v>
      </c>
      <c r="N6" s="24">
        <f t="shared" si="5"/>
        <v>16840696.655719995</v>
      </c>
    </row>
    <row r="7" spans="1:14" ht="15.6" x14ac:dyDescent="0.3">
      <c r="A7" s="3" t="s">
        <v>76</v>
      </c>
      <c r="B7">
        <f>SUM(B3:B6)</f>
        <v>144866471.63999999</v>
      </c>
      <c r="J7" s="1">
        <v>4</v>
      </c>
      <c r="K7" s="23">
        <f t="shared" si="2"/>
        <v>61612304.837999977</v>
      </c>
      <c r="L7" s="24">
        <f t="shared" si="3"/>
        <v>5750481.7848799983</v>
      </c>
      <c r="M7" s="24">
        <f t="shared" si="4"/>
        <v>10268717.472999999</v>
      </c>
      <c r="N7" s="24">
        <f t="shared" si="5"/>
        <v>16019199.257879999</v>
      </c>
    </row>
    <row r="8" spans="1:14" ht="15.6" x14ac:dyDescent="0.3">
      <c r="A8" s="3" t="s">
        <v>84</v>
      </c>
      <c r="B8" s="27">
        <f>Φύλλο1!B82</f>
        <v>1059227657.4508747</v>
      </c>
      <c r="J8" s="1">
        <v>5</v>
      </c>
      <c r="K8" s="23">
        <f t="shared" si="2"/>
        <v>51343587.36499998</v>
      </c>
      <c r="L8" s="24">
        <f t="shared" si="3"/>
        <v>4928984.3870399985</v>
      </c>
      <c r="M8" s="24">
        <f t="shared" si="4"/>
        <v>10268717.472999999</v>
      </c>
      <c r="N8" s="24">
        <f t="shared" si="5"/>
        <v>15197701.860039998</v>
      </c>
    </row>
    <row r="9" spans="1:14" ht="15.6" x14ac:dyDescent="0.3">
      <c r="A9" s="3" t="s">
        <v>77</v>
      </c>
      <c r="B9" s="6">
        <v>0.2</v>
      </c>
      <c r="C9">
        <f>B9*B7</f>
        <v>28973294.327999998</v>
      </c>
      <c r="J9" s="1">
        <v>6</v>
      </c>
      <c r="K9" s="23">
        <f t="shared" si="2"/>
        <v>41074869.891999982</v>
      </c>
      <c r="L9" s="24">
        <f t="shared" si="3"/>
        <v>4107486.9891999983</v>
      </c>
      <c r="M9" s="24">
        <f t="shared" si="4"/>
        <v>10268717.472999999</v>
      </c>
      <c r="N9" s="24">
        <f t="shared" si="5"/>
        <v>14376204.462199997</v>
      </c>
    </row>
    <row r="10" spans="1:14" ht="15.6" x14ac:dyDescent="0.3">
      <c r="A10" s="3" t="s">
        <v>74</v>
      </c>
      <c r="B10" s="6">
        <v>0.25</v>
      </c>
      <c r="J10" s="1">
        <v>7</v>
      </c>
      <c r="K10" s="23">
        <f>K9-M10</f>
        <v>30806152.418999985</v>
      </c>
      <c r="L10" s="24">
        <f>K9*$C$14</f>
        <v>3285989.5913599986</v>
      </c>
      <c r="M10" s="24">
        <f t="shared" si="4"/>
        <v>10268717.472999999</v>
      </c>
      <c r="N10" s="24">
        <f t="shared" si="5"/>
        <v>13554707.064359998</v>
      </c>
    </row>
    <row r="11" spans="1:14" ht="15.6" x14ac:dyDescent="0.3">
      <c r="A11" s="3" t="s">
        <v>78</v>
      </c>
      <c r="B11" s="6">
        <v>0.25</v>
      </c>
      <c r="D11">
        <f>B11*B7</f>
        <v>36216617.909999996</v>
      </c>
      <c r="J11" s="1">
        <v>8</v>
      </c>
      <c r="K11" s="23">
        <f t="shared" si="2"/>
        <v>20537434.945999987</v>
      </c>
      <c r="L11" s="24">
        <f t="shared" si="3"/>
        <v>2464492.1935199988</v>
      </c>
      <c r="M11" s="24">
        <f t="shared" si="4"/>
        <v>10268717.472999999</v>
      </c>
      <c r="N11" s="24">
        <f t="shared" si="5"/>
        <v>12733209.666519998</v>
      </c>
    </row>
    <row r="12" spans="1:14" ht="15.6" x14ac:dyDescent="0.3">
      <c r="A12" s="3" t="s">
        <v>79</v>
      </c>
      <c r="B12" s="6">
        <v>0.25</v>
      </c>
      <c r="D12">
        <f>B12*B5</f>
        <v>5962679</v>
      </c>
      <c r="J12" s="1">
        <v>9</v>
      </c>
      <c r="K12" s="23">
        <f t="shared" si="2"/>
        <v>10268717.472999988</v>
      </c>
      <c r="L12" s="24">
        <f t="shared" si="3"/>
        <v>1642994.795679999</v>
      </c>
      <c r="M12" s="24">
        <f t="shared" si="4"/>
        <v>10268717.472999999</v>
      </c>
      <c r="N12" s="24">
        <f t="shared" si="5"/>
        <v>11911712.268679999</v>
      </c>
    </row>
    <row r="13" spans="1:14" ht="15.6" x14ac:dyDescent="0.3">
      <c r="A13" s="3" t="s">
        <v>75</v>
      </c>
      <c r="B13" s="6">
        <v>0.1</v>
      </c>
      <c r="J13" s="1">
        <v>10</v>
      </c>
      <c r="K13" s="23">
        <f t="shared" si="2"/>
        <v>0</v>
      </c>
      <c r="L13" s="24">
        <f t="shared" si="3"/>
        <v>821497.39783999906</v>
      </c>
      <c r="M13" s="24">
        <f t="shared" si="4"/>
        <v>10268717.472999999</v>
      </c>
      <c r="N13" s="24">
        <f t="shared" si="5"/>
        <v>11090214.870839998</v>
      </c>
    </row>
    <row r="14" spans="1:14" x14ac:dyDescent="0.3">
      <c r="A14" s="3" t="s">
        <v>96</v>
      </c>
      <c r="B14" s="6">
        <v>0.55000000000000004</v>
      </c>
      <c r="C14" s="25">
        <v>0.08</v>
      </c>
      <c r="D14">
        <f>B7-D11-D12</f>
        <v>102687174.72999999</v>
      </c>
      <c r="J14" s="1"/>
      <c r="K14" s="1"/>
      <c r="L14" s="1"/>
      <c r="M14" s="1" t="s">
        <v>101</v>
      </c>
      <c r="N14" s="21">
        <f>SUM(N4:N13)</f>
        <v>147869531.61119998</v>
      </c>
    </row>
    <row r="15" spans="1:14" x14ac:dyDescent="0.3">
      <c r="J15" s="1"/>
      <c r="K15" s="1"/>
      <c r="L15" s="1"/>
      <c r="M15" s="1" t="s">
        <v>102</v>
      </c>
      <c r="N15" s="26">
        <f>NPV(C14,N4:N13)</f>
        <v>102687174.72999994</v>
      </c>
    </row>
    <row r="16" spans="1:14" x14ac:dyDescent="0.3">
      <c r="J16" s="1"/>
      <c r="K16" s="1"/>
      <c r="L16" s="1"/>
      <c r="M16" s="1"/>
      <c r="N16" s="1"/>
    </row>
    <row r="17" spans="1:14" x14ac:dyDescent="0.3">
      <c r="J17" s="1"/>
      <c r="K17" s="1"/>
      <c r="L17" s="1"/>
      <c r="M17" s="1"/>
      <c r="N17" s="1"/>
    </row>
    <row r="18" spans="1:14" ht="28.8" x14ac:dyDescent="0.3">
      <c r="A18" s="2" t="s">
        <v>85</v>
      </c>
      <c r="B18" s="3" t="s">
        <v>86</v>
      </c>
      <c r="C18" s="30" t="s">
        <v>84</v>
      </c>
      <c r="D18" s="3" t="s">
        <v>103</v>
      </c>
      <c r="E18" s="3" t="s">
        <v>88</v>
      </c>
      <c r="F18" s="30" t="s">
        <v>87</v>
      </c>
      <c r="G18" s="30" t="s">
        <v>89</v>
      </c>
      <c r="H18" s="30" t="s">
        <v>104</v>
      </c>
      <c r="I18" s="30" t="s">
        <v>90</v>
      </c>
      <c r="J18" s="1"/>
      <c r="K18" s="1"/>
      <c r="L18" s="1"/>
      <c r="M18" s="1"/>
      <c r="N18" s="1"/>
    </row>
    <row r="19" spans="1:14" x14ac:dyDescent="0.3">
      <c r="A19" s="1">
        <v>0</v>
      </c>
      <c r="I19">
        <f>-D11</f>
        <v>-36216617.909999996</v>
      </c>
      <c r="J19" s="1"/>
      <c r="K19" s="1"/>
      <c r="L19" s="1"/>
      <c r="M19" s="1"/>
      <c r="N19" s="1"/>
    </row>
    <row r="20" spans="1:14" x14ac:dyDescent="0.3">
      <c r="A20" s="1">
        <v>1</v>
      </c>
      <c r="B20" s="27">
        <f>Φύλλο1!$M$14</f>
        <v>852886320</v>
      </c>
      <c r="C20">
        <f t="shared" ref="C20:C29" si="6">$B$8</f>
        <v>1059227657.4508747</v>
      </c>
      <c r="D20" s="25">
        <f>L4</f>
        <v>8214973.9783999994</v>
      </c>
      <c r="E20">
        <f t="shared" ref="E20:E24" si="7">SUM($D$3:$D$6)</f>
        <v>24267548.061199997</v>
      </c>
      <c r="F20" s="25">
        <f>B20-C20-E20-D20</f>
        <v>-238823859.49047467</v>
      </c>
      <c r="G20">
        <f>F20*(1-$B$10)</f>
        <v>-179117894.617856</v>
      </c>
      <c r="H20" s="25">
        <f>M4</f>
        <v>10268717.472999999</v>
      </c>
      <c r="I20" s="25">
        <f>G20-H20+E20</f>
        <v>-165119064.02965599</v>
      </c>
      <c r="J20" s="1"/>
      <c r="K20" s="1"/>
      <c r="L20" s="1"/>
      <c r="M20" s="1"/>
      <c r="N20" s="1"/>
    </row>
    <row r="21" spans="1:14" x14ac:dyDescent="0.3">
      <c r="A21" s="1">
        <f>A20+1</f>
        <v>2</v>
      </c>
      <c r="B21">
        <f>Φύλλο1!$M$15</f>
        <v>1194571820</v>
      </c>
      <c r="C21">
        <f t="shared" si="6"/>
        <v>1059227657.4508747</v>
      </c>
      <c r="D21" s="25">
        <f t="shared" ref="D21:D29" si="8">L5</f>
        <v>7393476.5805599988</v>
      </c>
      <c r="E21">
        <f t="shared" si="7"/>
        <v>24267548.061199997</v>
      </c>
      <c r="F21" s="25">
        <f t="shared" ref="F21:F29" si="9">B21-C21-E21-D21</f>
        <v>103683137.90736532</v>
      </c>
      <c r="G21">
        <f t="shared" ref="G21:G29" si="10">F21*(1-$B$10)</f>
        <v>77762353.430523992</v>
      </c>
      <c r="H21" s="25">
        <f t="shared" ref="H21:H29" si="11">M5</f>
        <v>10268717.472999999</v>
      </c>
      <c r="I21" s="25">
        <f>G21-H21+E21</f>
        <v>91761184.01872398</v>
      </c>
      <c r="J21" s="1"/>
      <c r="K21" s="1"/>
      <c r="L21" s="1"/>
      <c r="M21" s="1"/>
      <c r="N21" s="1"/>
    </row>
    <row r="22" spans="1:14" x14ac:dyDescent="0.3">
      <c r="A22" s="1">
        <f t="shared" ref="A22:A29" si="12">A21+1</f>
        <v>3</v>
      </c>
      <c r="B22">
        <f>Φύλλο1!$M$15</f>
        <v>1194571820</v>
      </c>
      <c r="C22">
        <f t="shared" si="6"/>
        <v>1059227657.4508747</v>
      </c>
      <c r="D22" s="25">
        <f t="shared" si="8"/>
        <v>6571979.1827199981</v>
      </c>
      <c r="E22">
        <f t="shared" si="7"/>
        <v>24267548.061199997</v>
      </c>
      <c r="F22" s="25">
        <f t="shared" si="9"/>
        <v>104504635.30520532</v>
      </c>
      <c r="G22">
        <f t="shared" si="10"/>
        <v>78378476.478903979</v>
      </c>
      <c r="H22" s="25">
        <f t="shared" si="11"/>
        <v>10268717.472999999</v>
      </c>
      <c r="I22" s="25">
        <f t="shared" ref="I22:I29" si="13">G22-H22+E22</f>
        <v>92377307.067103967</v>
      </c>
      <c r="J22" s="1"/>
      <c r="K22" s="1"/>
      <c r="L22" s="1"/>
      <c r="M22" s="1"/>
      <c r="N22" s="1"/>
    </row>
    <row r="23" spans="1:14" x14ac:dyDescent="0.3">
      <c r="A23" s="1">
        <f t="shared" si="12"/>
        <v>4</v>
      </c>
      <c r="B23">
        <f>Φύλλο1!$M$15</f>
        <v>1194571820</v>
      </c>
      <c r="C23">
        <f t="shared" si="6"/>
        <v>1059227657.4508747</v>
      </c>
      <c r="D23" s="25">
        <f t="shared" si="8"/>
        <v>5750481.7848799983</v>
      </c>
      <c r="E23">
        <f>SUM($D$3:$D$6)</f>
        <v>24267548.061199997</v>
      </c>
      <c r="F23" s="25">
        <f t="shared" si="9"/>
        <v>105326132.70304532</v>
      </c>
      <c r="G23">
        <f t="shared" si="10"/>
        <v>78994599.527283996</v>
      </c>
      <c r="H23" s="25">
        <f t="shared" si="11"/>
        <v>10268717.472999999</v>
      </c>
      <c r="I23" s="25">
        <f t="shared" si="13"/>
        <v>92993430.115483984</v>
      </c>
      <c r="J23" s="1"/>
      <c r="K23" s="1"/>
      <c r="L23" s="1"/>
      <c r="M23" s="1"/>
      <c r="N23" s="1"/>
    </row>
    <row r="24" spans="1:14" x14ac:dyDescent="0.3">
      <c r="A24" s="1">
        <f t="shared" si="12"/>
        <v>5</v>
      </c>
      <c r="B24">
        <f>Φύλλο1!$M$15</f>
        <v>1194571820</v>
      </c>
      <c r="C24">
        <f t="shared" si="6"/>
        <v>1059227657.4508747</v>
      </c>
      <c r="D24" s="25">
        <f t="shared" si="8"/>
        <v>4928984.3870399985</v>
      </c>
      <c r="E24">
        <f t="shared" si="7"/>
        <v>24267548.061199997</v>
      </c>
      <c r="F24" s="25">
        <f t="shared" si="9"/>
        <v>106147630.10088532</v>
      </c>
      <c r="G24">
        <f t="shared" si="10"/>
        <v>79610722.575663984</v>
      </c>
      <c r="H24" s="25">
        <f t="shared" si="11"/>
        <v>10268717.472999999</v>
      </c>
      <c r="I24" s="25">
        <f t="shared" si="13"/>
        <v>93609553.163863972</v>
      </c>
      <c r="J24" s="1"/>
      <c r="K24" s="1"/>
      <c r="L24" s="1"/>
      <c r="M24" s="1"/>
      <c r="N24" s="1"/>
    </row>
    <row r="25" spans="1:14" x14ac:dyDescent="0.3">
      <c r="A25" s="1">
        <f t="shared" si="12"/>
        <v>6</v>
      </c>
      <c r="B25">
        <f>Φύλλο1!$M$15</f>
        <v>1194571820</v>
      </c>
      <c r="C25">
        <f t="shared" si="6"/>
        <v>1059227657.4508747</v>
      </c>
      <c r="D25" s="25">
        <f t="shared" si="8"/>
        <v>4107486.9891999983</v>
      </c>
      <c r="E25">
        <f>SUM($D$3:$D$4)</f>
        <v>612963.40119999996</v>
      </c>
      <c r="F25" s="25">
        <f t="shared" si="9"/>
        <v>130623712.15872532</v>
      </c>
      <c r="G25">
        <f t="shared" si="10"/>
        <v>97967784.119043991</v>
      </c>
      <c r="H25" s="25">
        <f t="shared" si="11"/>
        <v>10268717.472999999</v>
      </c>
      <c r="I25" s="25">
        <f t="shared" si="13"/>
        <v>88312030.047243983</v>
      </c>
      <c r="J25" s="1"/>
      <c r="K25" s="1"/>
      <c r="L25" s="1"/>
      <c r="M25" s="1"/>
      <c r="N25" s="1"/>
    </row>
    <row r="26" spans="1:14" x14ac:dyDescent="0.3">
      <c r="A26" s="1">
        <f t="shared" si="12"/>
        <v>7</v>
      </c>
      <c r="B26">
        <f>Φύλλο1!$M$15</f>
        <v>1194571820</v>
      </c>
      <c r="C26">
        <f t="shared" si="6"/>
        <v>1059227657.4508747</v>
      </c>
      <c r="D26" s="25">
        <f t="shared" si="8"/>
        <v>3285989.5913599986</v>
      </c>
      <c r="E26">
        <f t="shared" ref="E26:E29" si="14">SUM($D$3:$D$4)</f>
        <v>612963.40119999996</v>
      </c>
      <c r="F26" s="25">
        <f t="shared" si="9"/>
        <v>131445209.55656531</v>
      </c>
      <c r="G26">
        <f t="shared" si="10"/>
        <v>98583907.167423993</v>
      </c>
      <c r="H26" s="25">
        <f t="shared" si="11"/>
        <v>10268717.472999999</v>
      </c>
      <c r="I26" s="25">
        <f t="shared" si="13"/>
        <v>88928153.095623985</v>
      </c>
      <c r="J26" s="1"/>
      <c r="K26" s="1"/>
      <c r="L26" s="1"/>
      <c r="M26" s="1"/>
      <c r="N26" s="1"/>
    </row>
    <row r="27" spans="1:14" x14ac:dyDescent="0.3">
      <c r="A27" s="1">
        <f t="shared" si="12"/>
        <v>8</v>
      </c>
      <c r="B27">
        <f>Φύλλο1!$M$15</f>
        <v>1194571820</v>
      </c>
      <c r="C27">
        <f t="shared" si="6"/>
        <v>1059227657.4508747</v>
      </c>
      <c r="D27" s="25">
        <f t="shared" si="8"/>
        <v>2464492.1935199988</v>
      </c>
      <c r="E27">
        <f t="shared" si="14"/>
        <v>612963.40119999996</v>
      </c>
      <c r="F27" s="25">
        <f t="shared" si="9"/>
        <v>132266706.95440532</v>
      </c>
      <c r="G27">
        <f t="shared" si="10"/>
        <v>99200030.215803996</v>
      </c>
      <c r="H27" s="25">
        <f t="shared" si="11"/>
        <v>10268717.472999999</v>
      </c>
      <c r="I27" s="25">
        <f t="shared" si="13"/>
        <v>89544276.144003987</v>
      </c>
    </row>
    <row r="28" spans="1:14" x14ac:dyDescent="0.3">
      <c r="A28" s="1">
        <f t="shared" si="12"/>
        <v>9</v>
      </c>
      <c r="B28">
        <f>Φύλλο1!$M$15</f>
        <v>1194571820</v>
      </c>
      <c r="C28">
        <f t="shared" si="6"/>
        <v>1059227657.4508747</v>
      </c>
      <c r="D28" s="25">
        <f t="shared" si="8"/>
        <v>1642994.795679999</v>
      </c>
      <c r="E28">
        <f t="shared" si="14"/>
        <v>612963.40119999996</v>
      </c>
      <c r="F28" s="25">
        <f t="shared" si="9"/>
        <v>133088204.35224532</v>
      </c>
      <c r="G28">
        <f t="shared" si="10"/>
        <v>99816153.264183983</v>
      </c>
      <c r="H28" s="25">
        <f t="shared" si="11"/>
        <v>10268717.472999999</v>
      </c>
      <c r="I28" s="25">
        <f t="shared" si="13"/>
        <v>90160399.192383975</v>
      </c>
    </row>
    <row r="29" spans="1:14" x14ac:dyDescent="0.3">
      <c r="A29" s="1">
        <f t="shared" si="12"/>
        <v>10</v>
      </c>
      <c r="B29">
        <f>Φύλλο1!$M$15</f>
        <v>1194571820</v>
      </c>
      <c r="C29">
        <f t="shared" si="6"/>
        <v>1059227657.4508747</v>
      </c>
      <c r="D29" s="25">
        <f t="shared" si="8"/>
        <v>821497.39783999906</v>
      </c>
      <c r="E29">
        <f t="shared" si="14"/>
        <v>612963.40119999996</v>
      </c>
      <c r="F29" s="25">
        <f t="shared" si="9"/>
        <v>133909701.75008532</v>
      </c>
      <c r="G29">
        <f t="shared" si="10"/>
        <v>100432276.31256399</v>
      </c>
      <c r="H29" s="25">
        <f t="shared" si="11"/>
        <v>10268717.472999999</v>
      </c>
      <c r="I29" s="25">
        <f t="shared" si="13"/>
        <v>90776522.240763977</v>
      </c>
    </row>
    <row r="30" spans="1:14" x14ac:dyDescent="0.3">
      <c r="A30" s="7"/>
      <c r="B30" s="7"/>
      <c r="C30" s="7"/>
      <c r="E30" s="7"/>
      <c r="F30" s="7"/>
      <c r="G30" s="7"/>
      <c r="I30" s="7"/>
    </row>
    <row r="31" spans="1:14" x14ac:dyDescent="0.3">
      <c r="A31" s="7"/>
      <c r="B31" s="7"/>
      <c r="C31" s="7"/>
      <c r="E31" s="7"/>
      <c r="F31" s="7"/>
      <c r="G31" s="7"/>
      <c r="I31" s="7"/>
    </row>
    <row r="32" spans="1:14" x14ac:dyDescent="0.3">
      <c r="A32" s="7"/>
      <c r="B32" s="7"/>
      <c r="C32" s="7"/>
      <c r="E32" s="7"/>
      <c r="F32" s="7"/>
      <c r="G32" s="7"/>
      <c r="I32" s="7"/>
    </row>
    <row r="33" spans="1:9" x14ac:dyDescent="0.3">
      <c r="A33" s="7"/>
      <c r="B33" s="7"/>
      <c r="C33" s="7"/>
      <c r="E33" s="7"/>
      <c r="F33" s="7"/>
      <c r="G33" s="8" t="s">
        <v>92</v>
      </c>
      <c r="I33" s="9">
        <f>NPV(B13,I20:I29)+I19</f>
        <v>291047398.63804102</v>
      </c>
    </row>
    <row r="34" spans="1:9" x14ac:dyDescent="0.3">
      <c r="A34" s="7"/>
      <c r="B34" s="7"/>
      <c r="C34" s="7"/>
      <c r="E34" s="7"/>
      <c r="F34" s="7"/>
      <c r="G34" s="8"/>
      <c r="I34" s="8"/>
    </row>
    <row r="35" spans="1:9" x14ac:dyDescent="0.3">
      <c r="A35" s="7"/>
      <c r="B35" s="7"/>
      <c r="C35" s="7"/>
      <c r="E35" s="7"/>
      <c r="F35" s="7"/>
      <c r="G35" s="8" t="s">
        <v>93</v>
      </c>
      <c r="I35" s="10">
        <f>IRR(I19:I29)</f>
        <v>0.40464582138557015</v>
      </c>
    </row>
    <row r="36" spans="1:9" x14ac:dyDescent="0.3">
      <c r="A36" s="7"/>
      <c r="B36" s="7"/>
      <c r="C36" s="7"/>
      <c r="E36" s="7"/>
      <c r="F36" s="7"/>
      <c r="G36" s="8"/>
      <c r="I36" s="8"/>
    </row>
    <row r="37" spans="1:9" x14ac:dyDescent="0.3">
      <c r="A37" s="7"/>
      <c r="B37" s="7"/>
      <c r="C37" s="7"/>
      <c r="E37" s="7"/>
      <c r="F37" s="7"/>
      <c r="G37" s="8" t="s">
        <v>94</v>
      </c>
      <c r="I37" s="9">
        <f>PMT(B13,10,-I33)</f>
        <v>47366623.820875764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Φύλλο1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korina2001.KS@gmail.com</dc:creator>
  <cp:lastModifiedBy>Dell</cp:lastModifiedBy>
  <dcterms:created xsi:type="dcterms:W3CDTF">2023-05-08T08:15:29Z</dcterms:created>
  <dcterms:modified xsi:type="dcterms:W3CDTF">2023-05-08T22:36:49Z</dcterms:modified>
</cp:coreProperties>
</file>