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uagr-my.sharepoint.com/personal/ch19100_ntua_gr/Documents/Documents/8ο εξάμηνο/Σχεδιασμός ΙΙ/lab/LAB 3 MARCH2022/1. ENERGY INTEGRATION/"/>
    </mc:Choice>
  </mc:AlternateContent>
  <xr:revisionPtr revIDLastSave="25" documentId="8_{6C29F8FF-15CC-4291-9C0E-7962B38FE3D8}" xr6:coauthVersionLast="47" xr6:coauthVersionMax="47" xr10:uidLastSave="{FCE05FE6-C4A2-4F66-A4A2-E3EE12A79036}"/>
  <bookViews>
    <workbookView xWindow="-108" yWindow="-108" windowWidth="23256" windowHeight="12456" xr2:uid="{0AC440AE-FF1F-4CF2-9F7B-8D0CDB90B6E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27" i="1"/>
  <c r="C13" i="1"/>
  <c r="C26" i="1"/>
  <c r="C25" i="1"/>
  <c r="D22" i="1"/>
  <c r="D23" i="1"/>
  <c r="D21" i="1"/>
  <c r="D20" i="1"/>
  <c r="C11" i="1"/>
  <c r="D9" i="1"/>
  <c r="D8" i="1"/>
  <c r="C8" i="1"/>
  <c r="C7" i="1"/>
  <c r="D7" i="1"/>
  <c r="D6" i="1"/>
  <c r="C6" i="1"/>
  <c r="D5" i="1"/>
  <c r="C5" i="1"/>
  <c r="D4" i="1"/>
  <c r="D2" i="1"/>
  <c r="C2" i="1"/>
  <c r="E2" i="1" s="1"/>
  <c r="B21" i="1"/>
  <c r="B20" i="1"/>
  <c r="B17" i="1"/>
  <c r="B16" i="1"/>
  <c r="B19" i="1" s="1"/>
  <c r="B15" i="1"/>
  <c r="B14" i="1"/>
  <c r="B11" i="1"/>
  <c r="B10" i="1"/>
  <c r="B9" i="1"/>
  <c r="B8" i="1"/>
  <c r="B7" i="1"/>
  <c r="B6" i="1"/>
  <c r="B5" i="1"/>
  <c r="B4" i="1"/>
  <c r="B3" i="1"/>
  <c r="B2" i="1"/>
  <c r="F18" i="1"/>
  <c r="F2" i="1"/>
  <c r="F15" i="1"/>
  <c r="F21" i="1"/>
  <c r="I21" i="1" s="1"/>
  <c r="D11" i="1"/>
  <c r="F5" i="1"/>
  <c r="F6" i="1"/>
  <c r="F7" i="1"/>
  <c r="F8" i="1"/>
  <c r="G2" i="1" l="1"/>
  <c r="F4" i="1"/>
  <c r="C4" i="1"/>
  <c r="E4" i="1" s="1"/>
  <c r="G4" i="1" s="1"/>
  <c r="E8" i="1"/>
  <c r="G8" i="1" s="1"/>
  <c r="H8" i="1" s="1"/>
  <c r="F3" i="1"/>
  <c r="F11" i="1"/>
  <c r="F12" i="1"/>
  <c r="F9" i="1"/>
  <c r="F17" i="1"/>
  <c r="E21" i="1"/>
  <c r="G21" i="1" s="1"/>
  <c r="H21" i="1" s="1"/>
  <c r="E11" i="1"/>
  <c r="E7" i="1"/>
  <c r="G7" i="1" s="1"/>
  <c r="H7" i="1" s="1"/>
  <c r="E6" i="1"/>
  <c r="G6" i="1" s="1"/>
  <c r="H6" i="1" s="1"/>
  <c r="E5" i="1"/>
  <c r="G5" i="1" s="1"/>
  <c r="H5" i="1" s="1"/>
  <c r="F24" i="1"/>
  <c r="F16" i="1"/>
  <c r="C9" i="1"/>
  <c r="E9" i="1" s="1"/>
  <c r="F22" i="1"/>
  <c r="I22" i="1" s="1"/>
  <c r="G11" i="1" l="1"/>
  <c r="D17" i="1"/>
  <c r="F13" i="1"/>
  <c r="C3" i="1"/>
  <c r="D3" i="1"/>
  <c r="G9" i="1"/>
  <c r="C22" i="1"/>
  <c r="E22" i="1" s="1"/>
  <c r="G22" i="1" s="1"/>
  <c r="D12" i="1"/>
  <c r="C15" i="1"/>
  <c r="D26" i="1"/>
  <c r="E26" i="1" s="1"/>
  <c r="C12" i="1"/>
  <c r="D13" i="1"/>
  <c r="E13" i="1" s="1"/>
  <c r="C16" i="1"/>
  <c r="D15" i="1"/>
  <c r="F26" i="1"/>
  <c r="F10" i="1"/>
  <c r="E12" i="1" l="1"/>
  <c r="G12" i="1" s="1"/>
  <c r="G26" i="1"/>
  <c r="G13" i="1"/>
  <c r="E15" i="1"/>
  <c r="G15" i="1" s="1"/>
  <c r="D16" i="1"/>
  <c r="E16" i="1" s="1"/>
  <c r="G16" i="1" s="1"/>
  <c r="E3" i="1"/>
  <c r="G3" i="1" s="1"/>
  <c r="D18" i="1"/>
  <c r="E18" i="1" s="1"/>
  <c r="G18" i="1" s="1"/>
  <c r="H18" i="1" s="1"/>
  <c r="C17" i="1"/>
  <c r="E17" i="1" s="1"/>
  <c r="G17" i="1" s="1"/>
  <c r="C10" i="1"/>
  <c r="F19" i="1" l="1"/>
  <c r="F20" i="1"/>
  <c r="I20" i="1" s="1"/>
  <c r="F25" i="1"/>
  <c r="D10" i="1"/>
  <c r="E10" i="1" s="1"/>
  <c r="G10" i="1" s="1"/>
  <c r="F14" i="1" l="1"/>
  <c r="D24" i="1"/>
  <c r="C19" i="1"/>
  <c r="C20" i="1"/>
  <c r="E20" i="1" s="1"/>
  <c r="G20" i="1" s="1"/>
  <c r="D19" i="1"/>
  <c r="E19" i="1" l="1"/>
  <c r="G19" i="1" s="1"/>
  <c r="F27" i="1"/>
  <c r="D27" i="1"/>
  <c r="E27" i="1" s="1"/>
  <c r="C14" i="1"/>
  <c r="C23" i="1"/>
  <c r="E23" i="1" s="1"/>
  <c r="D14" i="1"/>
  <c r="F23" i="1"/>
  <c r="I23" i="1" s="1"/>
  <c r="J20" i="1" s="1"/>
  <c r="C24" i="1"/>
  <c r="E24" i="1" s="1"/>
  <c r="G24" i="1" s="1"/>
  <c r="D25" i="1"/>
  <c r="E25" i="1" s="1"/>
  <c r="G25" i="1" s="1"/>
  <c r="H25" i="1" s="1"/>
  <c r="E14" i="1" l="1"/>
  <c r="G14" i="1" s="1"/>
  <c r="G27" i="1"/>
  <c r="G23" i="1"/>
</calcChain>
</file>

<file path=xl/sharedStrings.xml><?xml version="1.0" encoding="utf-8"?>
<sst xmlns="http://schemas.openxmlformats.org/spreadsheetml/2006/main" count="62" uniqueCount="62">
  <si>
    <t>U</t>
  </si>
  <si>
    <t>Δτa</t>
  </si>
  <si>
    <t>ΔΤb</t>
  </si>
  <si>
    <t>ΔΤm</t>
  </si>
  <si>
    <t>H22 / COND1</t>
  </si>
  <si>
    <t>H22 / COND2</t>
  </si>
  <si>
    <t>S3 / COND3</t>
  </si>
  <si>
    <t>PFR3 / REB1</t>
  </si>
  <si>
    <t>PFR3 / REB2</t>
  </si>
  <si>
    <t>PFR3 / REB3</t>
  </si>
  <si>
    <t>PFR3 / COLREB</t>
  </si>
  <si>
    <t>OX1 / FORMIC</t>
  </si>
  <si>
    <t>OX1 / WATER</t>
  </si>
  <si>
    <t>H20 / CYCLOHEX</t>
  </si>
  <si>
    <t>METHANOL / PROD2</t>
  </si>
  <si>
    <t xml:space="preserve">PFR2 / METHANOL </t>
  </si>
  <si>
    <t>OX1 / H20</t>
  </si>
  <si>
    <t>PROD3 / S3</t>
  </si>
  <si>
    <t>PROD3 / CO2</t>
  </si>
  <si>
    <t>CO2 / S8</t>
  </si>
  <si>
    <t>PFR1 / CO2</t>
  </si>
  <si>
    <t>PROD3 / H22</t>
  </si>
  <si>
    <t>PROD3 / CU1</t>
  </si>
  <si>
    <t>COLCOND / CU2</t>
  </si>
  <si>
    <t>PROD2 / CU3</t>
  </si>
  <si>
    <t>H20 / CU4</t>
  </si>
  <si>
    <t>H22 / PFR1</t>
  </si>
  <si>
    <t>PFR2 / H22</t>
  </si>
  <si>
    <t>PFR2 / S3</t>
  </si>
  <si>
    <t>PFR2 / OX1</t>
  </si>
  <si>
    <t>Qex</t>
  </si>
  <si>
    <t>A(sqm)</t>
  </si>
  <si>
    <t xml:space="preserve"> </t>
  </si>
  <si>
    <t>F(kg/sec)</t>
  </si>
  <si>
    <t>Utilities(ευρω/χρονο)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</si>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</sst>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&#960;&#953;&#957;&#945;&#954;&#945;&#954;&#953;%20&#963;&#969;&#963;&#964;&#959;&#965;%20&#954;&#945;&#964;&#945;&#961;&#961;&#945;&#954;&#964;&#951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7">
          <cell r="E7">
            <v>389.85</v>
          </cell>
        </row>
        <row r="8">
          <cell r="D8">
            <v>19.850000000000023</v>
          </cell>
        </row>
        <row r="9">
          <cell r="D9">
            <v>-33.149999999999977</v>
          </cell>
          <cell r="E9">
            <v>276.85000000000002</v>
          </cell>
          <cell r="J9">
            <v>-6.5807197275461675</v>
          </cell>
          <cell r="K9">
            <v>6054.31</v>
          </cell>
        </row>
        <row r="10">
          <cell r="D10">
            <v>66.18300000000005</v>
          </cell>
          <cell r="J10">
            <v>48.414469708329598</v>
          </cell>
        </row>
        <row r="11">
          <cell r="D11">
            <v>-154.63999999999999</v>
          </cell>
          <cell r="J11">
            <v>30.340997510957244</v>
          </cell>
        </row>
        <row r="12">
          <cell r="D12">
            <v>20</v>
          </cell>
          <cell r="E12">
            <v>65</v>
          </cell>
          <cell r="K12">
            <v>15106.7</v>
          </cell>
        </row>
        <row r="13">
          <cell r="D13">
            <v>77.947000000000003</v>
          </cell>
          <cell r="E13">
            <v>78.974000000000046</v>
          </cell>
          <cell r="K13">
            <v>15106.5</v>
          </cell>
        </row>
        <row r="14">
          <cell r="D14">
            <v>77.94300000000004</v>
          </cell>
          <cell r="E14">
            <v>78.951999999999998</v>
          </cell>
          <cell r="K14">
            <v>15109.9</v>
          </cell>
        </row>
        <row r="15">
          <cell r="D15">
            <v>77.949000000000012</v>
          </cell>
          <cell r="E15">
            <v>78.987000000000023</v>
          </cell>
          <cell r="K15">
            <v>45538.7</v>
          </cell>
        </row>
        <row r="16">
          <cell r="D16">
            <v>100.11200000000002</v>
          </cell>
          <cell r="E16">
            <v>100.19800000000004</v>
          </cell>
        </row>
        <row r="17">
          <cell r="J17">
            <v>-65.575930645296751</v>
          </cell>
          <cell r="K17">
            <v>1131.29</v>
          </cell>
        </row>
        <row r="19">
          <cell r="J19">
            <v>89</v>
          </cell>
          <cell r="K19">
            <v>1963.4203315288257</v>
          </cell>
        </row>
        <row r="20">
          <cell r="J20">
            <v>33.264912095537817</v>
          </cell>
        </row>
        <row r="22">
          <cell r="J22">
            <v>190.36731333335103</v>
          </cell>
          <cell r="K22">
            <v>603.73599999999999</v>
          </cell>
        </row>
        <row r="25">
          <cell r="D25">
            <v>549.75599999999997</v>
          </cell>
          <cell r="E25">
            <v>391.85</v>
          </cell>
          <cell r="J25">
            <v>330</v>
          </cell>
          <cell r="K25">
            <v>6910.485243272954</v>
          </cell>
        </row>
        <row r="26">
          <cell r="D26">
            <v>78.963999999999999</v>
          </cell>
          <cell r="J26">
            <v>187.90954431918817</v>
          </cell>
        </row>
        <row r="27">
          <cell r="D27">
            <v>350</v>
          </cell>
          <cell r="E27">
            <v>125</v>
          </cell>
          <cell r="K27">
            <v>523.8847567270459</v>
          </cell>
        </row>
        <row r="28">
          <cell r="D28">
            <v>124.85000000000002</v>
          </cell>
        </row>
        <row r="29">
          <cell r="D29">
            <v>204.76400000000001</v>
          </cell>
          <cell r="E29">
            <v>25</v>
          </cell>
          <cell r="J29">
            <v>180</v>
          </cell>
          <cell r="K29">
            <v>1155.8801517366737</v>
          </cell>
        </row>
        <row r="30">
          <cell r="D30">
            <v>100.19800000000004</v>
          </cell>
          <cell r="E30">
            <v>-0.14999999999997726</v>
          </cell>
          <cell r="J30">
            <v>162.80419904374173</v>
          </cell>
        </row>
        <row r="31">
          <cell r="D31">
            <v>389.85</v>
          </cell>
          <cell r="E31">
            <v>388.83900000000006</v>
          </cell>
        </row>
        <row r="32">
          <cell r="D32">
            <v>350.33400000000006</v>
          </cell>
          <cell r="E32">
            <v>350</v>
          </cell>
          <cell r="J32">
            <v>109.51896507919163</v>
          </cell>
          <cell r="K32">
            <v>8075.2672258064467</v>
          </cell>
        </row>
        <row r="33">
          <cell r="D33">
            <v>125</v>
          </cell>
          <cell r="E33">
            <v>124.85000000000002</v>
          </cell>
          <cell r="J33">
            <v>115</v>
          </cell>
        </row>
        <row r="35">
          <cell r="D35">
            <v>67.614000000000033</v>
          </cell>
          <cell r="E35">
            <v>66.184000000000026</v>
          </cell>
          <cell r="J35">
            <v>100.99009827478611</v>
          </cell>
          <cell r="K35">
            <v>4492.3828648648641</v>
          </cell>
        </row>
        <row r="36">
          <cell r="D36">
            <v>67.613</v>
          </cell>
          <cell r="E36">
            <v>66.18300000000005</v>
          </cell>
          <cell r="J36">
            <v>99.049999999999983</v>
          </cell>
        </row>
        <row r="37">
          <cell r="D37">
            <v>80.25</v>
          </cell>
          <cell r="E37">
            <v>75.68300000000005</v>
          </cell>
        </row>
        <row r="38">
          <cell r="J38">
            <v>288.73833926972816</v>
          </cell>
          <cell r="K38">
            <v>10766.3</v>
          </cell>
        </row>
        <row r="40">
          <cell r="K40">
            <v>10766.3</v>
          </cell>
        </row>
        <row r="42">
          <cell r="J42">
            <v>92.091658392040273</v>
          </cell>
          <cell r="K42">
            <v>4687.0469160836947</v>
          </cell>
        </row>
        <row r="43">
          <cell r="J43">
            <v>90.99</v>
          </cell>
        </row>
        <row r="45">
          <cell r="K45">
            <v>14269.902993244992</v>
          </cell>
        </row>
        <row r="46">
          <cell r="K46">
            <v>35962.1</v>
          </cell>
        </row>
        <row r="47">
          <cell r="K47">
            <v>2682.0547567270469</v>
          </cell>
        </row>
        <row r="48">
          <cell r="K48">
            <v>5778.9238482633264</v>
          </cell>
        </row>
        <row r="50">
          <cell r="J50">
            <v>268.07409213526103</v>
          </cell>
          <cell r="K50">
            <v>19494.8</v>
          </cell>
        </row>
        <row r="51">
          <cell r="K51">
            <v>13406.043083916305</v>
          </cell>
        </row>
        <row r="52">
          <cell r="K52">
            <v>15438.192774193552</v>
          </cell>
        </row>
        <row r="53">
          <cell r="K53">
            <v>2178.3895167344999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9F7E-F1D7-4359-8651-83D80A991A79}">
  <dimension ref="A1:M27"/>
  <sheetViews>
    <sheetView tabSelected="1" topLeftCell="B4" workbookViewId="0">
      <selection activeCell="I23" sqref="I23"/>
    </sheetView>
  </sheetViews>
  <sheetFormatPr defaultRowHeight="14.4" x14ac:dyDescent="0.3"/>
  <cols>
    <col min="1" max="1" width="17.6640625" customWidth="1"/>
    <col min="2" max="2" width="12" bestFit="1" customWidth="1"/>
  </cols>
  <sheetData>
    <row r="1" spans="1:13" x14ac:dyDescent="0.3">
      <c r="B1" s="5" t="s">
        <v>0</v>
      </c>
      <c r="C1" s="6" t="s">
        <v>1</v>
      </c>
      <c r="D1" s="6" t="s">
        <v>2</v>
      </c>
      <c r="E1" s="6" t="s">
        <v>3</v>
      </c>
      <c r="F1" s="6" t="s">
        <v>30</v>
      </c>
      <c r="G1" s="6" t="s">
        <v>31</v>
      </c>
      <c r="I1" s="6" t="s">
        <v>33</v>
      </c>
      <c r="J1" s="6" t="s">
        <v>34</v>
      </c>
    </row>
    <row r="2" spans="1:13" x14ac:dyDescent="0.3">
      <c r="A2" s="1" t="s">
        <v>4</v>
      </c>
      <c r="B2">
        <f>1/(1/(0.9*2.75+0.1*7)+1/(0.9*3.75+0.1*7.5)+1/0.65+1/2)</f>
        <v>0.38523080404017551</v>
      </c>
      <c r="C2">
        <f>67.6+6.6</f>
        <v>74.199999999999989</v>
      </c>
      <c r="D2">
        <f>61.183+66.6</f>
        <v>127.78299999999999</v>
      </c>
      <c r="E2">
        <f>(C2-D2)/LN(C2/D2)</f>
        <v>98.576195953885616</v>
      </c>
      <c r="F2">
        <f>[1]Sheet1!$K$9</f>
        <v>6054.31</v>
      </c>
      <c r="G2">
        <f>F2/(E2*B2)</f>
        <v>159.43056770789997</v>
      </c>
      <c r="M2" t="s">
        <v>35</v>
      </c>
    </row>
    <row r="3" spans="1:13" x14ac:dyDescent="0.3">
      <c r="A3" s="1" t="s">
        <v>5</v>
      </c>
      <c r="B3">
        <f t="shared" ref="B3:B4" si="0">1/(1/(0.9*2.75+0.1*7)+1/(0.9*3.75+0.1*7.5)+1/0.65+1/2)</f>
        <v>0.38523080404017551</v>
      </c>
      <c r="C3" s="3">
        <f>[1]Sheet1!$D$35-[1]Sheet1!$J$10</f>
        <v>19.199530291670435</v>
      </c>
      <c r="D3">
        <f>[1]Sheet1!$E$35-[1]Sheet1!$J$9</f>
        <v>72.764719727546193</v>
      </c>
      <c r="E3">
        <f t="shared" ref="E3:E27" si="1">(C3-D3)/LN(C3/D3)</f>
        <v>40.203680878143146</v>
      </c>
      <c r="F3">
        <f>[1]Sheet1!$K$9</f>
        <v>6054.31</v>
      </c>
      <c r="G3">
        <f t="shared" ref="G3:G27" si="2">F3/(E3*B3)</f>
        <v>390.91094497163965</v>
      </c>
      <c r="M3" t="s">
        <v>36</v>
      </c>
    </row>
    <row r="4" spans="1:13" x14ac:dyDescent="0.3">
      <c r="A4" s="1" t="s">
        <v>6</v>
      </c>
      <c r="B4">
        <f t="shared" si="0"/>
        <v>0.38523080404017551</v>
      </c>
      <c r="C4">
        <f>[1]Sheet1!$D$36-[1]Sheet1!$J$11</f>
        <v>37.272002489042755</v>
      </c>
      <c r="D4">
        <f>[1]Sheet1!$E$36-[1]Sheet1!$D$9</f>
        <v>99.333000000000027</v>
      </c>
      <c r="E4">
        <f t="shared" si="1"/>
        <v>63.312340544202982</v>
      </c>
      <c r="F4">
        <f>[1]Sheet1!K9</f>
        <v>6054.31</v>
      </c>
      <c r="G4">
        <f t="shared" si="2"/>
        <v>248.2305779303901</v>
      </c>
      <c r="M4" t="s">
        <v>37</v>
      </c>
    </row>
    <row r="5" spans="1:13" x14ac:dyDescent="0.3">
      <c r="A5" s="1" t="s">
        <v>7</v>
      </c>
      <c r="B5">
        <f>1/(1/(0.1*2+0.9*6.5)+1/(0.1*3.75+0.9*3.75)+1/0.165+1/3.75)</f>
        <v>0.14794587544832083</v>
      </c>
      <c r="C5">
        <f>[1]Sheet1!$D$33-[1]Sheet1!$E$13</f>
        <v>46.025999999999954</v>
      </c>
      <c r="D5">
        <f>[1]Sheet1!$E$33-[1]Sheet1!$D$13</f>
        <v>46.90300000000002</v>
      </c>
      <c r="E5">
        <f t="shared" si="1"/>
        <v>46.463120546747653</v>
      </c>
      <c r="F5">
        <f>[1]Sheet1!$K$12</f>
        <v>15106.7</v>
      </c>
      <c r="G5">
        <f t="shared" si="2"/>
        <v>2197.6491946187916</v>
      </c>
      <c r="H5">
        <f>G5/3</f>
        <v>732.54973153959725</v>
      </c>
      <c r="M5" t="s">
        <v>38</v>
      </c>
    </row>
    <row r="6" spans="1:13" x14ac:dyDescent="0.3">
      <c r="A6" s="1" t="s">
        <v>8</v>
      </c>
      <c r="B6">
        <f t="shared" ref="B6:B7" si="3">1/(1/(0.1*2+0.9*6.5)+1/(0.1*3.75+0.9*3.75)+1/0.165+1/3.75)</f>
        <v>0.14794587544832083</v>
      </c>
      <c r="C6">
        <f>[1]Sheet1!$D$33-[1]Sheet1!$E$14</f>
        <v>46.048000000000002</v>
      </c>
      <c r="D6">
        <f>[1]Sheet1!$E$33-[1]Sheet1!$D$14</f>
        <v>46.906999999999982</v>
      </c>
      <c r="E6">
        <f t="shared" si="1"/>
        <v>46.476176962322164</v>
      </c>
      <c r="F6">
        <f>[1]Sheet1!$K$13</f>
        <v>15106.5</v>
      </c>
      <c r="G6">
        <f t="shared" si="2"/>
        <v>2197.0027286470677</v>
      </c>
      <c r="H6">
        <f>G6/3</f>
        <v>732.33424288235585</v>
      </c>
      <c r="M6" t="s">
        <v>39</v>
      </c>
    </row>
    <row r="7" spans="1:13" x14ac:dyDescent="0.3">
      <c r="A7" s="1" t="s">
        <v>9</v>
      </c>
      <c r="B7">
        <f t="shared" si="3"/>
        <v>0.14794587544832083</v>
      </c>
      <c r="C7">
        <f>[1]Sheet1!$D$33-[1]Sheet1!$E$15</f>
        <v>46.012999999999977</v>
      </c>
      <c r="D7">
        <f>[1]Sheet1!$E$33-[1]Sheet1!$D$15</f>
        <v>46.90100000000001</v>
      </c>
      <c r="E7">
        <f t="shared" si="1"/>
        <v>46.455585496251338</v>
      </c>
      <c r="F7">
        <f>[1]Sheet1!$K$14</f>
        <v>15109.9</v>
      </c>
      <c r="G7">
        <f t="shared" si="2"/>
        <v>2198.4712471002563</v>
      </c>
      <c r="H7">
        <f>G7/3</f>
        <v>732.82374903341872</v>
      </c>
      <c r="M7" t="s">
        <v>40</v>
      </c>
    </row>
    <row r="8" spans="1:13" x14ac:dyDescent="0.3">
      <c r="A8" s="1" t="s">
        <v>10</v>
      </c>
      <c r="B8">
        <f>1/(1/(2)+1/(0.1*3.75+0.9*3.75)+1/0.165+1/3.75)</f>
        <v>0.14096539940196498</v>
      </c>
      <c r="C8">
        <f>[1]Sheet1!$D$33-[1]Sheet1!$E$16</f>
        <v>24.801999999999964</v>
      </c>
      <c r="D8">
        <f>[1]Sheet1!$E$33-[1]Sheet1!$D$16</f>
        <v>24.738</v>
      </c>
      <c r="E8">
        <f t="shared" si="1"/>
        <v>24.769986219882597</v>
      </c>
      <c r="F8">
        <f>[1]Sheet1!$K$15</f>
        <v>45538.7</v>
      </c>
      <c r="G8">
        <f t="shared" si="2"/>
        <v>13041.944190484859</v>
      </c>
      <c r="H8">
        <f>G8/15</f>
        <v>869.46294603232388</v>
      </c>
      <c r="M8" t="s">
        <v>41</v>
      </c>
    </row>
    <row r="9" spans="1:13" x14ac:dyDescent="0.3">
      <c r="A9" s="1" t="s">
        <v>11</v>
      </c>
      <c r="B9">
        <f>1/(1/0.65+1/2+1/1.1+1/3.75)</f>
        <v>0.31111755747334835</v>
      </c>
      <c r="C9">
        <f>[1]Sheet1!$D$30-[1]Sheet1!$J$17</f>
        <v>165.77393064529679</v>
      </c>
      <c r="D9">
        <f>[1]Sheet1!$E$30-[1]Sheet1!$D$11</f>
        <v>154.49</v>
      </c>
      <c r="E9">
        <f t="shared" si="1"/>
        <v>160.06568183178749</v>
      </c>
      <c r="F9">
        <f>[1]Sheet1!$K$17</f>
        <v>1131.29</v>
      </c>
      <c r="G9">
        <f t="shared" si="2"/>
        <v>22.717011542463091</v>
      </c>
      <c r="M9" t="s">
        <v>42</v>
      </c>
    </row>
    <row r="10" spans="1:13" x14ac:dyDescent="0.3">
      <c r="A10" s="1" t="s">
        <v>12</v>
      </c>
      <c r="B10">
        <f>1/(1/0.65+1/2+1/6.25+1/3.75)</f>
        <v>0.40565841481173293</v>
      </c>
      <c r="C10">
        <f>-([1]Sheet1!$D$26-[1]Sheet1!$J$19)</f>
        <v>10.036000000000001</v>
      </c>
      <c r="D10">
        <f>[1]Sheet1!$J$20-[1]Sheet1!$J$17</f>
        <v>98.840842740834574</v>
      </c>
      <c r="E10">
        <f t="shared" si="1"/>
        <v>38.824635825886773</v>
      </c>
      <c r="F10">
        <f>[1]Sheet1!$K$19</f>
        <v>1963.4203315288257</v>
      </c>
      <c r="G10">
        <f t="shared" si="2"/>
        <v>124.66524758866375</v>
      </c>
      <c r="M10" t="s">
        <v>43</v>
      </c>
    </row>
    <row r="11" spans="1:13" x14ac:dyDescent="0.3">
      <c r="A11" s="1" t="s">
        <v>13</v>
      </c>
      <c r="B11">
        <f>1/(1/4+1/3.75+1/6.25+1/3.75)</f>
        <v>1.0600706713780919</v>
      </c>
      <c r="C11">
        <f>[1]Sheet1!$D$29-[1]Sheet1!$E$12</f>
        <v>139.76400000000001</v>
      </c>
      <c r="D11">
        <f>[1]Sheet1!$J$22-[1]Sheet1!$D$12</f>
        <v>170.36731333335103</v>
      </c>
      <c r="E11">
        <f t="shared" si="1"/>
        <v>154.56102784173706</v>
      </c>
      <c r="F11">
        <f>[1]Sheet1!$K$22</f>
        <v>603.73599999999999</v>
      </c>
      <c r="G11">
        <f t="shared" si="2"/>
        <v>3.6847858822244528</v>
      </c>
      <c r="M11" t="s">
        <v>44</v>
      </c>
    </row>
    <row r="12" spans="1:13" x14ac:dyDescent="0.3">
      <c r="A12" s="1" t="s">
        <v>14</v>
      </c>
      <c r="B12">
        <v>0.9</v>
      </c>
      <c r="C12">
        <f>[1]Sheet1!$D$27-[1]Sheet1!$J$25</f>
        <v>20</v>
      </c>
      <c r="D12">
        <f>[1]Sheet1!$J$26-[1]Sheet1!$D$10</f>
        <v>121.72654431918812</v>
      </c>
      <c r="E12">
        <f t="shared" si="1"/>
        <v>56.325592506103028</v>
      </c>
      <c r="F12">
        <f>[1]Sheet1!$K$25</f>
        <v>6910.485243272954</v>
      </c>
      <c r="G12">
        <f t="shared" si="2"/>
        <v>136.32021600372838</v>
      </c>
      <c r="M12" t="s">
        <v>45</v>
      </c>
    </row>
    <row r="13" spans="1:13" x14ac:dyDescent="0.3">
      <c r="A13" s="1" t="s">
        <v>15</v>
      </c>
      <c r="B13">
        <v>0.9</v>
      </c>
      <c r="C13">
        <f>10</f>
        <v>10</v>
      </c>
      <c r="D13">
        <f>[1]Sheet1!$E$32-[1]Sheet1!$J$25</f>
        <v>20</v>
      </c>
      <c r="E13">
        <f t="shared" si="1"/>
        <v>14.426950408889635</v>
      </c>
      <c r="F13">
        <f>[1]Sheet1!$K$27</f>
        <v>523.8847567270459</v>
      </c>
      <c r="G13">
        <f t="shared" si="2"/>
        <v>40.347693562631633</v>
      </c>
      <c r="M13" t="s">
        <v>46</v>
      </c>
    </row>
    <row r="14" spans="1:13" x14ac:dyDescent="0.3">
      <c r="A14" s="1" t="s">
        <v>16</v>
      </c>
      <c r="B14">
        <f>1/(1/0.65+1/2+1/6.25+1/3.75)</f>
        <v>0.40565841481173293</v>
      </c>
      <c r="C14">
        <f>[1]Sheet1!$J$22-[1]Sheet1!$J$29</f>
        <v>10.367313333351035</v>
      </c>
      <c r="D14">
        <f>[1]Sheet1!$J$30-[1]Sheet1!$J$19</f>
        <v>73.804199043741733</v>
      </c>
      <c r="E14">
        <f t="shared" si="1"/>
        <v>32.320283383298637</v>
      </c>
      <c r="F14">
        <f>[1]Sheet1!$K$29</f>
        <v>1155.8801517366737</v>
      </c>
      <c r="G14">
        <f t="shared" si="2"/>
        <v>88.161131819356342</v>
      </c>
      <c r="M14" t="s">
        <v>47</v>
      </c>
    </row>
    <row r="15" spans="1:13" x14ac:dyDescent="0.3">
      <c r="A15" s="1" t="s">
        <v>17</v>
      </c>
      <c r="B15">
        <f>1/(1/(0.5*7+0.5*2.75)+1/(0.5*7.5+0.5*3.75)+1/0.65+1/2)</f>
        <v>0.41298976350158845</v>
      </c>
      <c r="C15" s="3">
        <f>[1]Sheet1!$D$28-[1]Sheet1!$J$33</f>
        <v>9.8500000000000227</v>
      </c>
      <c r="D15">
        <f>[1]Sheet1!$J$32-[1]Sheet1!$J$11</f>
        <v>79.177967568234379</v>
      </c>
      <c r="E15">
        <f t="shared" si="1"/>
        <v>33.263161971269703</v>
      </c>
      <c r="F15">
        <f>[1]Sheet1!$K$32</f>
        <v>8075.2672258064467</v>
      </c>
      <c r="G15">
        <f t="shared" si="2"/>
        <v>587.83316522403845</v>
      </c>
      <c r="M15" t="s">
        <v>48</v>
      </c>
    </row>
    <row r="16" spans="1:13" x14ac:dyDescent="0.3">
      <c r="A16" s="1" t="s">
        <v>18</v>
      </c>
      <c r="B16">
        <f>1/(1/(0.5*7+0.5*2.75)+1/(0.5*7.5+0.5*3.75)+1/0.65+1/2)</f>
        <v>0.41298976350158845</v>
      </c>
      <c r="C16" s="4">
        <f>[1]Sheet1!$J$32-[1]Sheet1!$J$36</f>
        <v>10.468965079191648</v>
      </c>
      <c r="D16" s="4">
        <f>[1]Sheet1!$J$35-[1]Sheet1!$D$8</f>
        <v>81.140098274786084</v>
      </c>
      <c r="E16">
        <f t="shared" si="1"/>
        <v>34.511398252340733</v>
      </c>
      <c r="F16">
        <f>[1]Sheet1!$K$35</f>
        <v>4492.3828648648641</v>
      </c>
      <c r="G16">
        <f t="shared" si="2"/>
        <v>315.19180657346971</v>
      </c>
      <c r="M16" t="s">
        <v>49</v>
      </c>
    </row>
    <row r="17" spans="1:13" x14ac:dyDescent="0.3">
      <c r="A17" s="1" t="s">
        <v>19</v>
      </c>
      <c r="B17">
        <f>0.5/(1/0.65+1/2)</f>
        <v>0.24528301886792456</v>
      </c>
      <c r="C17" s="4">
        <f>[1]Sheet1!$D$25-[1]Sheet1!$J$38</f>
        <v>261.01766073027181</v>
      </c>
      <c r="D17">
        <f>[1]Sheet1!$E$25-[1]Sheet1!$J$36</f>
        <v>292.80000000000007</v>
      </c>
      <c r="E17">
        <f t="shared" si="1"/>
        <v>276.60457687552491</v>
      </c>
      <c r="F17">
        <f>[1]Sheet1!$K$38</f>
        <v>10766.3</v>
      </c>
      <c r="G17">
        <f t="shared" si="2"/>
        <v>158.68637250651645</v>
      </c>
      <c r="M17" t="s">
        <v>50</v>
      </c>
    </row>
    <row r="18" spans="1:13" x14ac:dyDescent="0.3">
      <c r="A18" s="1" t="s">
        <v>20</v>
      </c>
      <c r="B18">
        <v>0.16500000000000001</v>
      </c>
      <c r="C18">
        <v>10</v>
      </c>
      <c r="D18" s="4">
        <f>[1]Sheet1!$E$31-[1]Sheet1!$J$38</f>
        <v>100.1006607302719</v>
      </c>
      <c r="E18">
        <f t="shared" si="1"/>
        <v>39.113129519101626</v>
      </c>
      <c r="F18">
        <f>[1]Sheet1!$K$40</f>
        <v>10766.3</v>
      </c>
      <c r="G18">
        <f t="shared" si="2"/>
        <v>1668.2455183862703</v>
      </c>
      <c r="H18">
        <f>G18/2</f>
        <v>834.12275919313515</v>
      </c>
      <c r="M18" t="s">
        <v>51</v>
      </c>
    </row>
    <row r="19" spans="1:13" x14ac:dyDescent="0.3">
      <c r="A19" s="1" t="s">
        <v>21</v>
      </c>
      <c r="B19">
        <f>B16</f>
        <v>0.41298976350158845</v>
      </c>
      <c r="C19" s="4">
        <f>[1]Sheet1!$J$35-[1]Sheet1!$J$43</f>
        <v>10.000098274786112</v>
      </c>
      <c r="D19">
        <f>[1]Sheet1!$J$42-[1]Sheet1!$J$10</f>
        <v>43.677188683710675</v>
      </c>
      <c r="E19">
        <f t="shared" si="1"/>
        <v>22.843834737101872</v>
      </c>
      <c r="F19">
        <f>[1]Sheet1!$K$42</f>
        <v>4687.0469160836947</v>
      </c>
      <c r="G19">
        <f t="shared" si="2"/>
        <v>496.81077211166524</v>
      </c>
      <c r="M19" t="s">
        <v>52</v>
      </c>
    </row>
    <row r="20" spans="1:13" x14ac:dyDescent="0.3">
      <c r="A20" s="1" t="s">
        <v>22</v>
      </c>
      <c r="B20">
        <f>1/(1/(0.5*7+0.5*2.75)+1/(0.5*7.5+0.5*3.75)+1/6.25+1/3.75)</f>
        <v>1.2352195945945945</v>
      </c>
      <c r="C20">
        <f>[1]Sheet1!$J$42-82</f>
        <v>10.091658392040273</v>
      </c>
      <c r="D20">
        <f>65-15</f>
        <v>50</v>
      </c>
      <c r="E20">
        <f t="shared" si="1"/>
        <v>24.937822191117803</v>
      </c>
      <c r="F20">
        <f>[1]Sheet1!$K$45</f>
        <v>14269.902993244992</v>
      </c>
      <c r="G20">
        <f t="shared" si="2"/>
        <v>463.25308949795692</v>
      </c>
      <c r="I20">
        <f>F20/(82-15)/4.18</f>
        <v>50.953020757141303</v>
      </c>
      <c r="J20">
        <f>1.12*SUM(I20:I23)*3600*24*365/1000</f>
        <v>7410998.2393203359</v>
      </c>
      <c r="M20" t="s">
        <v>53</v>
      </c>
    </row>
    <row r="21" spans="1:13" x14ac:dyDescent="0.3">
      <c r="A21" s="1" t="s">
        <v>23</v>
      </c>
      <c r="B21">
        <f>1/(1/(0.85*2.75+0.15*0.25)+1/(0.85*3.75+0.15*2)+1/6.25+1/3.75)</f>
        <v>0.88147847602830831</v>
      </c>
      <c r="C21">
        <f>[1]Sheet1!$D$37-70.25</f>
        <v>10</v>
      </c>
      <c r="D21">
        <f>[1]Sheet1!$E$37-15</f>
        <v>60.68300000000005</v>
      </c>
      <c r="E21">
        <f t="shared" si="1"/>
        <v>28.109147772250704</v>
      </c>
      <c r="F21">
        <f>[1]Sheet1!$K$46</f>
        <v>35962.1</v>
      </c>
      <c r="G21">
        <f t="shared" si="2"/>
        <v>1451.3951033891728</v>
      </c>
      <c r="H21">
        <f>G21/2</f>
        <v>725.69755169458642</v>
      </c>
      <c r="I21">
        <f>F21/(70.25-15)/4.18</f>
        <v>155.71716209487107</v>
      </c>
      <c r="M21" t="s">
        <v>54</v>
      </c>
    </row>
    <row r="22" spans="1:13" x14ac:dyDescent="0.3">
      <c r="A22" s="1" t="s">
        <v>24</v>
      </c>
      <c r="B22">
        <v>0.9</v>
      </c>
      <c r="C22">
        <f>[1]Sheet1!$J$26-177.9</f>
        <v>10.009544319188166</v>
      </c>
      <c r="D22">
        <f>[1]Sheet1!$E$27-15</f>
        <v>110</v>
      </c>
      <c r="E22">
        <f t="shared" si="1"/>
        <v>41.715855054593256</v>
      </c>
      <c r="F22">
        <f>[1]Sheet1!$K$47</f>
        <v>2682.0547567270469</v>
      </c>
      <c r="G22">
        <f t="shared" si="2"/>
        <v>71.437127128470564</v>
      </c>
      <c r="I22">
        <f>F22/(4.18*(100-15)+2257.2+1.18*(177.9-100))</f>
        <v>0.99172938126041232</v>
      </c>
      <c r="J22" t="s">
        <v>61</v>
      </c>
      <c r="M22" t="s">
        <v>55</v>
      </c>
    </row>
    <row r="23" spans="1:13" x14ac:dyDescent="0.3">
      <c r="A23" s="1" t="s">
        <v>25</v>
      </c>
      <c r="B23">
        <v>3</v>
      </c>
      <c r="C23">
        <f>[1]Sheet1!$J$30-152.7</f>
        <v>10.104199043741744</v>
      </c>
      <c r="D23">
        <f>[1]Sheet1!$E$29-15</f>
        <v>10</v>
      </c>
      <c r="E23">
        <f t="shared" si="1"/>
        <v>10.052009511499813</v>
      </c>
      <c r="F23">
        <f>[1]Sheet1!$K$48</f>
        <v>5778.9238482633264</v>
      </c>
      <c r="G23">
        <f t="shared" si="2"/>
        <v>191.63411526992212</v>
      </c>
      <c r="I23">
        <f>F23/(4.18*(100-15)+2257.2+1.18*(152.7-100))</f>
        <v>2.160598981810697</v>
      </c>
      <c r="M23" t="s">
        <v>56</v>
      </c>
    </row>
    <row r="24" spans="1:13" x14ac:dyDescent="0.3">
      <c r="A24" s="1" t="s">
        <v>26</v>
      </c>
      <c r="B24">
        <v>0.16500000000000001</v>
      </c>
      <c r="C24">
        <f>[1]Sheet1!$D$31-[1]Sheet1!$J$50</f>
        <v>121.775907864739</v>
      </c>
      <c r="D24">
        <f>[1]Sheet1!$E$31-[1]Sheet1!$J$43</f>
        <v>297.84900000000005</v>
      </c>
      <c r="E24">
        <f t="shared" si="1"/>
        <v>196.86078118711723</v>
      </c>
      <c r="F24">
        <f>[1]Sheet1!$K$50</f>
        <v>19494.8</v>
      </c>
      <c r="G24">
        <f t="shared" si="2"/>
        <v>600.17186926633462</v>
      </c>
      <c r="M24" t="s">
        <v>57</v>
      </c>
    </row>
    <row r="25" spans="1:13" x14ac:dyDescent="0.3">
      <c r="A25" s="2" t="s">
        <v>27</v>
      </c>
      <c r="B25">
        <v>0.16500000000000001</v>
      </c>
      <c r="C25">
        <f>-([1]Sheet1!$D$32-[1]Sheet1!$E$7)</f>
        <v>39.515999999999963</v>
      </c>
      <c r="D25">
        <f>[1]Sheet1!$E$32-[1]Sheet1!$J$50</f>
        <v>81.925907864738974</v>
      </c>
      <c r="E25">
        <f t="shared" si="1"/>
        <v>58.166709815662927</v>
      </c>
      <c r="F25">
        <f>[1]Sheet1!$K$51</f>
        <v>13406.043083916305</v>
      </c>
      <c r="G25">
        <f t="shared" si="2"/>
        <v>1396.8255419743673</v>
      </c>
      <c r="H25">
        <f>G25/2</f>
        <v>698.41277098718365</v>
      </c>
      <c r="M25" t="s">
        <v>58</v>
      </c>
    </row>
    <row r="26" spans="1:13" x14ac:dyDescent="0.3">
      <c r="A26" s="1" t="s">
        <v>28</v>
      </c>
      <c r="B26">
        <v>0.16500000000000001</v>
      </c>
      <c r="C26">
        <f>[1]Sheet1!$D$32-[1]Sheet1!$E$9</f>
        <v>73.484000000000037</v>
      </c>
      <c r="D26">
        <f>[1]Sheet1!$E$32-[1]Sheet1!$J$33</f>
        <v>235</v>
      </c>
      <c r="E26">
        <f t="shared" si="1"/>
        <v>138.936365019307</v>
      </c>
      <c r="F26">
        <f>[1]Sheet1!$K$52</f>
        <v>15438.192774193552</v>
      </c>
      <c r="G26">
        <f t="shared" si="2"/>
        <v>673.43639427359494</v>
      </c>
      <c r="H26" t="s">
        <v>32</v>
      </c>
      <c r="M26" t="s">
        <v>59</v>
      </c>
    </row>
    <row r="27" spans="1:13" x14ac:dyDescent="0.3">
      <c r="A27" s="1" t="s">
        <v>29</v>
      </c>
      <c r="B27">
        <v>0.16500000000000001</v>
      </c>
      <c r="C27">
        <f>10</f>
        <v>10</v>
      </c>
      <c r="D27">
        <f>[1]Sheet1!$E$32-[1]Sheet1!$J$29</f>
        <v>170</v>
      </c>
      <c r="E27">
        <f t="shared" si="1"/>
        <v>56.472979818361786</v>
      </c>
      <c r="F27">
        <f>[1]Sheet1!$K$53</f>
        <v>2178.3895167344999</v>
      </c>
      <c r="G27">
        <f t="shared" si="2"/>
        <v>233.78190330925594</v>
      </c>
      <c r="M27" t="s">
        <v>60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Βασιλικη Λαχανα</cp:lastModifiedBy>
  <dcterms:created xsi:type="dcterms:W3CDTF">2023-05-07T22:25:13Z</dcterms:created>
  <dcterms:modified xsi:type="dcterms:W3CDTF">2023-05-08T22:37:50Z</dcterms:modified>
</cp:coreProperties>
</file>