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IMA\Desktop\"/>
    </mc:Choice>
  </mc:AlternateContent>
  <bookViews>
    <workbookView xWindow="0" yWindow="495" windowWidth="28800" windowHeight="17505"/>
  </bookViews>
  <sheets>
    <sheet name="Автоматизированный расчет" sheetId="3" r:id="rId1"/>
    <sheet name="Соответствие" sheetId="4" r:id="rId2"/>
    <sheet name="SummaryReport" sheetId="5" r:id="rId3"/>
    <sheet name="Шаблоны соотвествие профилю" sheetId="2" r:id="rId4"/>
  </sheets>
  <calcPr calcId="162913"/>
  <pivotCaches>
    <pivotCache cacheId="2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4" l="1"/>
  <c r="G37" i="3" l="1"/>
  <c r="B51" i="3"/>
  <c r="B52" i="3"/>
  <c r="B53" i="3"/>
  <c r="B54" i="3"/>
  <c r="B55" i="3"/>
  <c r="D51" i="3"/>
  <c r="F51" i="3" s="1"/>
  <c r="A3" i="4" l="1"/>
  <c r="A4" i="4"/>
  <c r="F38" i="3" s="1"/>
  <c r="H38" i="3" s="1"/>
  <c r="A5" i="4"/>
  <c r="A6" i="4"/>
  <c r="A7" i="4"/>
  <c r="A8" i="4"/>
  <c r="A9" i="4"/>
  <c r="A10" i="4"/>
  <c r="A11" i="4"/>
  <c r="A12" i="4"/>
  <c r="A2" i="4"/>
  <c r="F46" i="3" s="1"/>
  <c r="F35" i="3" l="1"/>
  <c r="H35" i="3" s="1"/>
  <c r="F44" i="3"/>
  <c r="F39" i="3"/>
  <c r="H39" i="3" s="1"/>
  <c r="F45" i="3"/>
  <c r="F40" i="3"/>
  <c r="H40" i="3" s="1"/>
  <c r="F36" i="3"/>
  <c r="F43" i="3"/>
  <c r="H43" i="3" s="1"/>
  <c r="F42" i="3"/>
  <c r="H42" i="3" s="1"/>
  <c r="F41" i="3"/>
  <c r="H41" i="3" s="1"/>
  <c r="F37" i="3"/>
  <c r="H37" i="3" s="1"/>
  <c r="E2" i="3"/>
  <c r="F2" i="3" s="1"/>
  <c r="D2" i="3"/>
  <c r="Q6" i="3"/>
  <c r="S7" i="3"/>
  <c r="D52" i="3"/>
  <c r="D53" i="3"/>
  <c r="H53" i="3" s="1"/>
  <c r="D54" i="3"/>
  <c r="H54" i="3" s="1"/>
  <c r="D55" i="3"/>
  <c r="D20" i="3"/>
  <c r="D18" i="3"/>
  <c r="D19" i="3"/>
  <c r="D21" i="3"/>
  <c r="C38" i="3"/>
  <c r="C45" i="3"/>
  <c r="C35" i="3"/>
  <c r="C44" i="3"/>
  <c r="C43" i="3"/>
  <c r="C36" i="3"/>
  <c r="C39" i="3"/>
  <c r="C41" i="3"/>
  <c r="C40" i="3"/>
  <c r="C42" i="3"/>
  <c r="C46" i="3"/>
  <c r="G46" i="3" l="1"/>
  <c r="G42" i="3"/>
  <c r="G40" i="3"/>
  <c r="G41" i="3"/>
  <c r="G39" i="3"/>
  <c r="G36" i="3"/>
  <c r="G43" i="3"/>
  <c r="I43" i="3" s="1"/>
  <c r="G44" i="3"/>
  <c r="I44" i="3" s="1"/>
  <c r="G35" i="3"/>
  <c r="G45" i="3"/>
  <c r="I45" i="3" s="1"/>
  <c r="G38" i="3"/>
  <c r="H2" i="3"/>
  <c r="E18" i="3"/>
  <c r="F18" i="3" s="1"/>
  <c r="H18" i="3" s="1"/>
  <c r="E21" i="3"/>
  <c r="F21" i="3" s="1"/>
  <c r="H21" i="3" s="1"/>
  <c r="E19" i="3"/>
  <c r="F19" i="3" s="1"/>
  <c r="H19" i="3" s="1"/>
  <c r="E20" i="3"/>
  <c r="F20" i="3" s="1"/>
  <c r="H20" i="3" s="1"/>
  <c r="F55" i="3"/>
  <c r="G55" i="3" s="1"/>
  <c r="F53" i="3"/>
  <c r="F54" i="3"/>
  <c r="G51" i="3"/>
  <c r="H51" i="3" s="1"/>
  <c r="I54" i="3"/>
  <c r="F52" i="3"/>
  <c r="G52" i="3" s="1"/>
  <c r="I53" i="3"/>
  <c r="B47" i="3"/>
  <c r="D8" i="3"/>
  <c r="D27" i="3"/>
  <c r="E27" i="3"/>
  <c r="F27" i="3" s="1"/>
  <c r="D22" i="3"/>
  <c r="D13" i="3"/>
  <c r="H55" i="3" l="1"/>
  <c r="I55" i="3" s="1"/>
  <c r="H52" i="3"/>
  <c r="I52" i="3" s="1"/>
  <c r="I51" i="3"/>
  <c r="G56" i="3"/>
  <c r="D44" i="3"/>
  <c r="D35" i="3"/>
  <c r="D45" i="3"/>
  <c r="D46" i="3"/>
  <c r="H27" i="3"/>
  <c r="D14" i="3"/>
  <c r="D16" i="3"/>
  <c r="D15" i="3"/>
  <c r="D17" i="3"/>
  <c r="D28" i="3"/>
  <c r="D29" i="3"/>
  <c r="D30" i="3"/>
  <c r="E3" i="3"/>
  <c r="F3" i="3" s="1"/>
  <c r="W2" i="3" l="1"/>
  <c r="V3" i="3" s="1"/>
  <c r="P3" i="3"/>
  <c r="Q3" i="3" s="1"/>
  <c r="E10" i="3" l="1"/>
  <c r="E8" i="3"/>
  <c r="F8" i="3" s="1"/>
  <c r="H8" i="3" s="1"/>
  <c r="P2" i="3"/>
  <c r="P4" i="3"/>
  <c r="Q4" i="3" s="1"/>
  <c r="P5" i="3"/>
  <c r="Q5" i="3" s="1"/>
  <c r="E22" i="3" s="1"/>
  <c r="F22" i="3" s="1"/>
  <c r="H22" i="3" s="1"/>
  <c r="D23" i="3"/>
  <c r="D26" i="3"/>
  <c r="D3" i="3"/>
  <c r="V2" i="3"/>
  <c r="S2" i="3"/>
  <c r="U2" i="3" s="1"/>
  <c r="S6" i="3"/>
  <c r="S3" i="3"/>
  <c r="U3" i="3" s="1"/>
  <c r="D10" i="3" s="1"/>
  <c r="S5" i="3" l="1"/>
  <c r="E13" i="3"/>
  <c r="F13" i="3" s="1"/>
  <c r="H13" i="3" s="1"/>
  <c r="S4" i="3"/>
  <c r="U4" i="3" s="1"/>
  <c r="I35" i="3"/>
  <c r="D36" i="3"/>
  <c r="U6" i="3"/>
  <c r="U5" i="3"/>
  <c r="D24" i="3" s="1"/>
  <c r="D5" i="3"/>
  <c r="I38" i="3"/>
  <c r="E30" i="3"/>
  <c r="F30" i="3" s="1"/>
  <c r="E17" i="3"/>
  <c r="F17" i="3" s="1"/>
  <c r="D4" i="3"/>
  <c r="D12" i="3"/>
  <c r="D7" i="3"/>
  <c r="D9" i="3"/>
  <c r="D25" i="3"/>
  <c r="D11" i="3"/>
  <c r="D6" i="3"/>
  <c r="E12" i="3"/>
  <c r="F12" i="3" s="1"/>
  <c r="E7" i="3"/>
  <c r="F7" i="3" s="1"/>
  <c r="E29" i="3"/>
  <c r="F29" i="3" s="1"/>
  <c r="E25" i="3"/>
  <c r="F25" i="3" s="1"/>
  <c r="E16" i="3"/>
  <c r="F16" i="3" s="1"/>
  <c r="E11" i="3"/>
  <c r="F11" i="3" s="1"/>
  <c r="E6" i="3"/>
  <c r="F6" i="3" s="1"/>
  <c r="E28" i="3"/>
  <c r="E24" i="3"/>
  <c r="F24" i="3" s="1"/>
  <c r="E15" i="3"/>
  <c r="E5" i="3"/>
  <c r="F5" i="3" s="1"/>
  <c r="H3" i="3"/>
  <c r="E26" i="3"/>
  <c r="E23" i="3"/>
  <c r="E14" i="3"/>
  <c r="F14" i="3" s="1"/>
  <c r="E9" i="3"/>
  <c r="F9" i="3" s="1"/>
  <c r="E4" i="3"/>
  <c r="F4" i="3" s="1"/>
  <c r="D39" i="3"/>
  <c r="V4" i="3"/>
  <c r="V6" i="3"/>
  <c r="V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F28" i="3" l="1"/>
  <c r="H28" i="3" s="1"/>
  <c r="F23" i="3"/>
  <c r="H23" i="3" s="1"/>
  <c r="F10" i="3"/>
  <c r="H10" i="3" s="1"/>
  <c r="F26" i="3"/>
  <c r="H26" i="3" s="1"/>
  <c r="F15" i="3"/>
  <c r="H15" i="3" s="1"/>
  <c r="C47" i="3"/>
  <c r="I46" i="3" s="1"/>
  <c r="D42" i="3"/>
  <c r="I41" i="3"/>
  <c r="I42" i="3"/>
  <c r="D43" i="3"/>
  <c r="I36" i="3"/>
  <c r="D38" i="3"/>
  <c r="I39" i="3"/>
  <c r="D40" i="3"/>
  <c r="D41" i="3"/>
  <c r="I40" i="3"/>
  <c r="U7" i="3"/>
  <c r="H24" i="3"/>
  <c r="H4" i="3"/>
  <c r="H5" i="3"/>
  <c r="H30" i="3"/>
  <c r="H12" i="3"/>
  <c r="H17" i="3"/>
  <c r="H7" i="3"/>
  <c r="H29" i="3"/>
  <c r="H16" i="3"/>
  <c r="H11" i="3"/>
  <c r="H9" i="3"/>
  <c r="H6" i="3"/>
  <c r="H14" i="3"/>
  <c r="H25" i="3"/>
  <c r="V7" i="3"/>
  <c r="I40" i="2"/>
  <c r="I44" i="2"/>
  <c r="I41" i="2"/>
  <c r="I32" i="2"/>
  <c r="I31" i="2"/>
  <c r="I30" i="2"/>
  <c r="I29" i="2"/>
  <c r="I28" i="2"/>
  <c r="I27" i="2"/>
  <c r="I26" i="2"/>
  <c r="D47" i="3" l="1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<sst xmlns="http://schemas.openxmlformats.org/spreadsheetml/2006/main" count="267" uniqueCount="119">
  <si>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</si>
  <si>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</si>
  <si>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</si>
  <si>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</si>
  <si>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</si>
  <si>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</si>
  <si>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</si>
  <si>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</si>
  <si>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</si>
  <si>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</si>
  <si>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</si>
  <si>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</si>
  <si>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</si>
  <si>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</si>
  <si>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</si>
  <si>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</si>
  <si>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</si>
  <si>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</si>
  <si>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</si>
  <si>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</si>
  <si>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</si>
  <si>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</si>
  <si>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</si>
  <si>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</si>
  <si>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</si>
  <si>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</si>
  <si>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</si>
  <si>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</si>
  <si>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</si>
  <si>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</si>
  <si>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</si>
  <si>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</si>
  <si>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</si>
  <si>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</si>
  <si>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</si>
  <si>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</si>
  <si>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</si>
  <si>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</si>
  <si>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</si>
  <si>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</si>
  <si>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</si>
  <si>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</si>
  <si>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</si>
  <si>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</si>
  <si>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</si>
  <si>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</si>
  <si>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</si>
  <si>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</si>
  <si>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</si>
  <si>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</si>
  <si>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</si>
  <si>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</si>
  <si>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</si>
  <si>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</si>
  <si>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</si>
  <si>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</si>
  <si>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</si>
  <si>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</si>
  <si>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</si>
  <si>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</si>
  <si>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</si>
  <si>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</si>
  <si>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</si>
  <si>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</si>
  <si>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</si>
  <si>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</si>
  <si>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</si>
  <si>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</si>
  <si>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</si>
  <si>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</si>
  <si>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Покупка билет</t>
  </si>
  <si>
    <t>Логин и логоут</t>
  </si>
  <si>
    <t>Удаление юрони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</si>
  <si>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</si>
  <si>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</si>
  <si>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</si>
  <si>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</si>
  <si>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</si>
  <si>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</si>
  <si>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</si>
  <si>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</si>
  <si>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</si>
  <si>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</si>
  <si>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</si>
  <si>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</si>
  <si>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</si>
  <si>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open_home_page</t>
  </si>
  <si>
    <t>SLA Status</t>
  </si>
  <si>
    <t>Minimum</t>
  </si>
  <si>
    <t>Average</t>
  </si>
  <si>
    <t>Maximum</t>
  </si>
  <si>
    <t>Std. Deviation</t>
  </si>
  <si>
    <t>90 Percent</t>
  </si>
  <si>
    <t>choose_flight</t>
  </si>
  <si>
    <t>No Data</t>
  </si>
  <si>
    <t>click_flights</t>
  </si>
  <si>
    <t>click_itinerary</t>
  </si>
  <si>
    <t>click_sign_off</t>
  </si>
  <si>
    <t>click_sign_up_now</t>
  </si>
  <si>
    <t>customer_profile</t>
  </si>
  <si>
    <t>delete_ticket</t>
  </si>
  <si>
    <t>fill_payment_details</t>
  </si>
  <si>
    <t>find_flight</t>
  </si>
  <si>
    <t>open_site</t>
  </si>
  <si>
    <t>UC01_registration</t>
  </si>
  <si>
    <t>UC02_BuyTicket</t>
  </si>
  <si>
    <t>UC03_ViewItinerary</t>
  </si>
  <si>
    <t>UC04_DeleteTicket</t>
  </si>
  <si>
    <t>UC05_BuyTicket_without_payment</t>
  </si>
  <si>
    <t>UC06_BuyTicket_without_view_receipt</t>
  </si>
  <si>
    <t>ScriptName</t>
  </si>
  <si>
    <t>Операций 20 мин</t>
  </si>
  <si>
    <t>Статистика операций 20 мин</t>
  </si>
  <si>
    <t>search_flights</t>
  </si>
  <si>
    <t>deleting_a_ticket</t>
  </si>
  <si>
    <t>Logout</t>
  </si>
  <si>
    <t>reg_user</t>
  </si>
  <si>
    <t>user_data</t>
  </si>
  <si>
    <t>reg_finish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</si>
</sst>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5">
    <xf numFmtId="0" fontId="0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3" fillId="0" borderId="0"/>
    <xf numFmtId="0" fontId="14" fillId="0" borderId="0" applyNumberFormat="0" applyFill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6" borderId="6" applyNumberFormat="0" applyAlignment="0" applyProtection="0"/>
    <xf numFmtId="0" fontId="19" fillId="7" borderId="7" applyNumberFormat="0" applyAlignment="0" applyProtection="0"/>
    <xf numFmtId="0" fontId="20" fillId="7" borderId="6" applyNumberFormat="0" applyAlignment="0" applyProtection="0"/>
    <xf numFmtId="0" fontId="21" fillId="0" borderId="8" applyNumberFormat="0" applyFill="0" applyAlignment="0" applyProtection="0"/>
    <xf numFmtId="0" fontId="22" fillId="8" borderId="9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11" applyNumberFormat="0" applyFill="0" applyAlignment="0" applyProtection="0"/>
    <xf numFmtId="0" fontId="25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5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5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5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5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5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9" fontId="26" fillId="0" borderId="0" applyFont="0" applyFill="0" applyBorder="0" applyAlignment="0" applyProtection="0"/>
  </cellStyleXfs>
  <cellXfs count="68">
    <xf numFmtId="0" fontId="0" fillId="0" borderId="0" xfId="0"/>
    <xf numFmtId="0" fontId="11" fillId="5" borderId="1" xfId="0" applyFont="1" applyFill="1" applyBorder="1" applyAlignment="1">
      <alignment horizontal="center" vertical="top" wrapText="1"/>
    </xf>
    <xf numFmtId="0" fontId="12" fillId="0" borderId="2" xfId="0" applyFont="1" applyBorder="1" applyAlignment="1">
      <alignment horizontal="left" vertical="top" wrapText="1"/>
    </xf>
    <xf numFmtId="0" fontId="10" fillId="0" borderId="2" xfId="4" applyFont="1" applyBorder="1" applyAlignment="1">
      <alignment horizontal="center" vertical="top"/>
    </xf>
    <xf numFmtId="0" fontId="11" fillId="0" borderId="2" xfId="0" applyFont="1" applyBorder="1" applyAlignment="1">
      <alignment horizontal="center" vertical="top"/>
    </xf>
    <xf numFmtId="10" fontId="11" fillId="0" borderId="2" xfId="0" applyNumberFormat="1" applyFont="1" applyBorder="1" applyAlignment="1">
      <alignment horizontal="center" vertical="top"/>
    </xf>
    <xf numFmtId="10" fontId="13" fillId="0" borderId="2" xfId="0" applyNumberFormat="1" applyFont="1" applyBorder="1" applyAlignment="1">
      <alignment horizontal="center" vertical="top"/>
    </xf>
    <xf numFmtId="10" fontId="13" fillId="0" borderId="2" xfId="0" applyNumberFormat="1" applyFont="1" applyBorder="1" applyAlignment="1">
      <alignment horizontal="left" vertical="top"/>
    </xf>
    <xf numFmtId="0" fontId="11" fillId="5" borderId="2" xfId="0" applyFont="1" applyFill="1" applyBorder="1" applyAlignment="1">
      <alignment horizontal="left" vertical="top"/>
    </xf>
    <xf numFmtId="0" fontId="2" fillId="0" borderId="2" xfId="42" applyBorder="1"/>
    <xf numFmtId="0" fontId="11" fillId="0" borderId="2" xfId="0" applyFont="1" applyBorder="1" applyAlignment="1">
      <alignment horizontal="left" vertical="top"/>
    </xf>
    <xf numFmtId="10" fontId="11" fillId="0" borderId="2" xfId="0" applyNumberFormat="1" applyFont="1" applyBorder="1" applyAlignment="1">
      <alignment horizontal="left" vertical="top"/>
    </xf>
    <xf numFmtId="0" fontId="10" fillId="0" borderId="2" xfId="4" applyFont="1" applyBorder="1" applyAlignment="1">
      <alignment horizontal="left" vertical="top"/>
    </xf>
    <xf numFmtId="0" fontId="12" fillId="0" borderId="2" xfId="0" applyFont="1" applyBorder="1" applyAlignment="1">
      <alignment horizontal="left" vertical="top"/>
    </xf>
    <xf numFmtId="0" fontId="2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7" fillId="0" borderId="0" xfId="0" applyFont="1"/>
    <xf numFmtId="1" fontId="27" fillId="0" borderId="0" xfId="0" applyNumberFormat="1" applyFon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1" fontId="4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6" fillId="0" borderId="2" xfId="0" applyFont="1" applyBorder="1" applyAlignment="1">
      <alignment vertical="center" wrapText="1"/>
    </xf>
    <xf numFmtId="0" fontId="0" fillId="40" borderId="2" xfId="0" applyFill="1" applyBorder="1"/>
    <xf numFmtId="0" fontId="0" fillId="0" borderId="2" xfId="0" applyFill="1" applyBorder="1"/>
    <xf numFmtId="0" fontId="0" fillId="37" borderId="14" xfId="0" applyFill="1" applyBorder="1"/>
    <xf numFmtId="0" fontId="0" fillId="35" borderId="14" xfId="0" applyFill="1" applyBorder="1"/>
    <xf numFmtId="9" fontId="0" fillId="0" borderId="0" xfId="44" applyFont="1"/>
    <xf numFmtId="0" fontId="0" fillId="0" borderId="0" xfId="0" applyAlignment="1">
      <alignment horizontal="center"/>
    </xf>
    <xf numFmtId="165" fontId="0" fillId="41" borderId="2" xfId="0" applyNumberFormat="1" applyFill="1" applyBorder="1"/>
    <xf numFmtId="165" fontId="0" fillId="41" borderId="2" xfId="0" quotePrefix="1" applyNumberFormat="1" applyFill="1" applyBorder="1"/>
    <xf numFmtId="0" fontId="0" fillId="0" borderId="0" xfId="0" applyFont="1"/>
    <xf numFmtId="9" fontId="0" fillId="0" borderId="0" xfId="0" applyNumberFormat="1" applyFont="1"/>
    <xf numFmtId="1" fontId="0" fillId="35" borderId="2" xfId="0" applyNumberFormat="1" applyFill="1" applyBorder="1"/>
    <xf numFmtId="0" fontId="6" fillId="0" borderId="12" xfId="0" applyFont="1" applyBorder="1" applyAlignment="1">
      <alignment vertical="center" wrapText="1"/>
    </xf>
    <xf numFmtId="0" fontId="6" fillId="39" borderId="17" xfId="0" applyFont="1" applyFill="1" applyBorder="1" applyAlignment="1">
      <alignment vertical="center" wrapText="1"/>
    </xf>
    <xf numFmtId="0" fontId="6" fillId="39" borderId="18" xfId="0" applyFont="1" applyFill="1" applyBorder="1" applyAlignment="1">
      <alignment vertical="center" wrapText="1"/>
    </xf>
    <xf numFmtId="0" fontId="4" fillId="39" borderId="18" xfId="0" applyFont="1" applyFill="1" applyBorder="1" applyAlignment="1">
      <alignment horizontal="center" vertical="center" wrapText="1"/>
    </xf>
    <xf numFmtId="0" fontId="4" fillId="39" borderId="17" xfId="0" applyFont="1" applyFill="1" applyBorder="1" applyAlignment="1">
      <alignment horizontal="left" vertical="center" wrapText="1"/>
    </xf>
    <xf numFmtId="0" fontId="4" fillId="35" borderId="17" xfId="0" applyFont="1" applyFill="1" applyBorder="1" applyAlignment="1">
      <alignment horizontal="left" vertical="center" wrapText="1"/>
    </xf>
    <xf numFmtId="0" fontId="5" fillId="39" borderId="19" xfId="0" applyFont="1" applyFill="1" applyBorder="1" applyAlignment="1">
      <alignment horizontal="left" vertical="center" wrapText="1"/>
    </xf>
    <xf numFmtId="0" fontId="4" fillId="39" borderId="20" xfId="0" applyFont="1" applyFill="1" applyBorder="1" applyAlignment="1">
      <alignment horizontal="center" vertical="center" wrapText="1"/>
    </xf>
    <xf numFmtId="165" fontId="0" fillId="35" borderId="0" xfId="0" applyNumberFormat="1" applyFill="1"/>
    <xf numFmtId="1" fontId="0" fillId="35" borderId="2" xfId="0" quotePrefix="1" applyNumberFormat="1" applyFill="1" applyBorder="1"/>
    <xf numFmtId="1" fontId="0" fillId="41" borderId="2" xfId="0" applyNumberFormat="1" applyFill="1" applyBorder="1"/>
    <xf numFmtId="0" fontId="0" fillId="40" borderId="0" xfId="0" applyFill="1"/>
    <xf numFmtId="0" fontId="0" fillId="0" borderId="21" xfId="0" applyBorder="1"/>
    <xf numFmtId="0" fontId="0" fillId="0" borderId="22" xfId="0" applyBorder="1"/>
    <xf numFmtId="0" fontId="0" fillId="0" borderId="23" xfId="0" applyBorder="1"/>
    <xf numFmtId="9" fontId="0" fillId="0" borderId="24" xfId="44" applyFont="1" applyBorder="1"/>
    <xf numFmtId="0" fontId="0" fillId="0" borderId="12" xfId="0" applyBorder="1"/>
    <xf numFmtId="9" fontId="0" fillId="0" borderId="0" xfId="44" applyFont="1" applyBorder="1"/>
    <xf numFmtId="0" fontId="6" fillId="0" borderId="24" xfId="0" applyFont="1" applyBorder="1" applyAlignment="1">
      <alignment vertical="center" wrapText="1"/>
    </xf>
    <xf numFmtId="9" fontId="0" fillId="0" borderId="25" xfId="44" applyFont="1" applyBorder="1"/>
    <xf numFmtId="0" fontId="6" fillId="0" borderId="12" xfId="0" applyFont="1" applyBorder="1" applyAlignment="1">
      <alignment wrapText="1"/>
    </xf>
    <xf numFmtId="0" fontId="6" fillId="0" borderId="0" xfId="0" applyFont="1" applyBorder="1" applyAlignment="1">
      <alignment vertical="center" wrapText="1"/>
    </xf>
    <xf numFmtId="1" fontId="0" fillId="36" borderId="2" xfId="0" applyNumberFormat="1" applyFill="1" applyBorder="1"/>
    <xf numFmtId="0" fontId="0" fillId="41" borderId="15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1" fillId="0" borderId="0" xfId="0" applyFont="1"/>
  </cellXfs>
  <cellStyles count="4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/>
    <cellStyle name="Обычный 3" xfId="42"/>
    <cellStyle name="Плохой" xfId="2" builtinId="27" customBuiltin="1"/>
    <cellStyle name="Пояснение" xfId="16" builtinId="53" customBuiltin="1"/>
    <cellStyle name="Примечание 2" xfId="43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MA" refreshedDate="44824.679949768521" createdVersion="6" refreshedVersion="6" minRefreshableVersion="3" recordCount="29">
  <cacheSource type="worksheet">
    <worksheetSource ref="A1:H30" sheet="Автоматизированный расчет"/>
  </cacheSource>
  <cacheFields count="8">
    <cacheField name="Script name" numFmtId="0">
      <sharedItems/>
    </cacheField>
    <cacheField name="transaction rq" numFmtId="0">
      <sharedItems count="11">
        <s v="Главная Welcome страница"/>
        <s v="Вход в систему"/>
        <s v="Заполнение полей для поиска билета "/>
        <s v="Выбор рейса из найденных "/>
        <s v="Оплата билета"/>
        <s v="Просмотр квитанций"/>
        <s v="Отмена бронирования "/>
        <s v="Выход из системы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minValue="163.74799999999999" maxValue="1412"/>
    </cacheField>
    <cacheField name="одним пользователем в минуту" numFmtId="2">
      <sharedItems containsSemiMixedTypes="0" containsString="0" containsNumber="1" minValue="4.2492917847025496E-2" maxValue="0.36641668905879771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2.0359998710533418" maxValue="11.6425730086349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s v="Покупка билета"/>
    <x v="0"/>
    <n v="1"/>
    <n v="3"/>
    <n v="1412"/>
    <n v="4.2492917847025496E-2"/>
    <n v="20"/>
    <n v="2.5495750708215299"/>
  </r>
  <r>
    <s v="Покупка билета"/>
    <x v="1"/>
    <n v="1"/>
    <n v="3"/>
    <n v="1412"/>
    <n v="4.2492917847025496E-2"/>
    <n v="20"/>
    <n v="2.5495750708215299"/>
  </r>
  <r>
    <s v="Покупка билета"/>
    <x v="2"/>
    <n v="1"/>
    <n v="3"/>
    <n v="1412"/>
    <n v="4.2492917847025496E-2"/>
    <n v="20"/>
    <n v="2.5495750708215299"/>
  </r>
  <r>
    <s v="Покупка билета"/>
    <x v="3"/>
    <n v="1"/>
    <n v="3"/>
    <n v="1412"/>
    <n v="4.2492917847025496E-2"/>
    <n v="20"/>
    <n v="2.5495750708215299"/>
  </r>
  <r>
    <s v="Покупка билета"/>
    <x v="4"/>
    <n v="1"/>
    <n v="3"/>
    <n v="1412"/>
    <n v="4.2492917847025496E-2"/>
    <n v="20"/>
    <n v="2.5495750708215299"/>
  </r>
  <r>
    <s v="Покупка билета"/>
    <x v="5"/>
    <n v="1"/>
    <n v="3"/>
    <n v="1412"/>
    <n v="4.2492917847025496E-2"/>
    <n v="20"/>
    <n v="2.5495750708215299"/>
  </r>
  <r>
    <s v="Удаление бронирования "/>
    <x v="0"/>
    <n v="1"/>
    <n v="1"/>
    <n v="386.58"/>
    <n v="0.15520720161415491"/>
    <n v="20"/>
    <n v="3.1041440322830982"/>
  </r>
  <r>
    <s v="Удаление бронирования "/>
    <x v="1"/>
    <n v="1"/>
    <n v="1"/>
    <n v="386.58"/>
    <n v="0.15520720161415491"/>
    <n v="20"/>
    <n v="3.1041440322830982"/>
  </r>
  <r>
    <s v="Удаление бронирования "/>
    <x v="5"/>
    <n v="1"/>
    <n v="1"/>
    <n v="386.58"/>
    <n v="0.15520720161415491"/>
    <n v="20"/>
    <n v="3.1041440322830982"/>
  </r>
  <r>
    <s v="Удаление бронирования "/>
    <x v="6"/>
    <n v="1"/>
    <n v="1"/>
    <n v="386.58"/>
    <n v="0.15520720161415491"/>
    <n v="20"/>
    <n v="3.1041440322830982"/>
  </r>
  <r>
    <s v="Удаление бронирования "/>
    <x v="7"/>
    <n v="1"/>
    <n v="1"/>
    <n v="386.58"/>
    <n v="0.15520720161415491"/>
    <n v="20"/>
    <n v="3.1041440322830982"/>
  </r>
  <r>
    <s v="Регистрация новых пользователей"/>
    <x v="0"/>
    <n v="1"/>
    <n v="2"/>
    <n v="535.70600000000002"/>
    <n v="0.11200173229345947"/>
    <n v="20"/>
    <n v="4.4800692917383786"/>
  </r>
  <r>
    <s v="Регистрация новых пользователей"/>
    <x v="8"/>
    <n v="1"/>
    <n v="2"/>
    <n v="535.70600000000002"/>
    <n v="0.11200173229345947"/>
    <n v="20"/>
    <n v="4.4800692917383786"/>
  </r>
  <r>
    <s v="Регистрация новых пользователей"/>
    <x v="9"/>
    <n v="1"/>
    <n v="2"/>
    <n v="535.70600000000002"/>
    <n v="0.11200173229345947"/>
    <n v="20"/>
    <n v="4.4800692917383786"/>
  </r>
  <r>
    <s v="Регистрация новых пользователей"/>
    <x v="10"/>
    <n v="1"/>
    <n v="2"/>
    <n v="535.70600000000002"/>
    <n v="0.11200173229345947"/>
    <n v="20"/>
    <n v="4.4800692917383786"/>
  </r>
  <r>
    <s v="Регистрация новых пользователей"/>
    <x v="7"/>
    <n v="1"/>
    <n v="2"/>
    <n v="535.70600000000002"/>
    <n v="0.11200173229345947"/>
    <n v="20"/>
    <n v="4.4800692917383786"/>
  </r>
  <r>
    <s v="Логин"/>
    <x v="0"/>
    <n v="1"/>
    <n v="1"/>
    <n v="163.74799999999999"/>
    <n v="0.36641668905879771"/>
    <n v="20"/>
    <n v="7.3283337811759539"/>
  </r>
  <r>
    <s v="Логин"/>
    <x v="1"/>
    <n v="1"/>
    <n v="1"/>
    <n v="163.74799999999999"/>
    <n v="0.36641668905879771"/>
    <n v="20"/>
    <n v="7.3283337811759539"/>
  </r>
  <r>
    <s v="Логин"/>
    <x v="2"/>
    <n v="1"/>
    <n v="1"/>
    <n v="163.74799999999999"/>
    <n v="0.36641668905879771"/>
    <n v="20"/>
    <n v="7.3283337811759539"/>
  </r>
  <r>
    <s v="Логин"/>
    <x v="7"/>
    <n v="1"/>
    <n v="1"/>
    <n v="163.74799999999999"/>
    <n v="0.36641668905879771"/>
    <n v="20"/>
    <n v="7.3283337811759539"/>
  </r>
  <r>
    <s v="Поиск билета без покупки"/>
    <x v="0"/>
    <n v="1"/>
    <n v="2"/>
    <n v="1178.7819999999999"/>
    <n v="5.0899996776333542E-2"/>
    <n v="20"/>
    <n v="2.0359998710533418"/>
  </r>
  <r>
    <s v="Поиск билета без покупки"/>
    <x v="1"/>
    <n v="1"/>
    <n v="2"/>
    <n v="1178.7819999999999"/>
    <n v="5.0899996776333542E-2"/>
    <n v="20"/>
    <n v="2.0359998710533418"/>
  </r>
  <r>
    <s v="Поиск билета без покупки"/>
    <x v="2"/>
    <n v="1"/>
    <n v="2"/>
    <n v="1178.7819999999999"/>
    <n v="5.0899996776333542E-2"/>
    <n v="20"/>
    <n v="2.0359998710533418"/>
  </r>
  <r>
    <s v="Поиск билета без покупки"/>
    <x v="3"/>
    <n v="1"/>
    <n v="2"/>
    <n v="1178.7819999999999"/>
    <n v="5.0899996776333542E-2"/>
    <n v="20"/>
    <n v="2.0359998710533418"/>
  </r>
  <r>
    <s v="Поиск билета без покупки"/>
    <x v="7"/>
    <n v="1"/>
    <n v="2"/>
    <n v="1178.7819999999999"/>
    <n v="5.0899996776333542E-2"/>
    <n v="20"/>
    <n v="2.0359998710533418"/>
  </r>
  <r>
    <s v="Ознакомление с путевым листом"/>
    <x v="0"/>
    <n v="1"/>
    <n v="2"/>
    <n v="206.14"/>
    <n v="0.29106432521587272"/>
    <n v="20"/>
    <n v="11.642573008634908"/>
  </r>
  <r>
    <s v="Ознакомление с путевым листом"/>
    <x v="1"/>
    <n v="1"/>
    <n v="2"/>
    <n v="206.14"/>
    <n v="0.29106432521587272"/>
    <n v="20"/>
    <n v="11.642573008634908"/>
  </r>
  <r>
    <s v="Ознакомление с путевым листом"/>
    <x v="5"/>
    <n v="1"/>
    <n v="2"/>
    <n v="206.14"/>
    <n v="0.29106432521587272"/>
    <n v="20"/>
    <n v="11.642573008634908"/>
  </r>
  <r>
    <s v="Ознакомление с путевым листом"/>
    <x v="7"/>
    <n v="1"/>
    <n v="2"/>
    <n v="206.14"/>
    <n v="0.29106432521587272"/>
    <n v="20"/>
    <n v="11.6425730086349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2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3" firstHeaderRow="1" firstDataRow="1" firstDataCol="1"/>
  <pivotFields count="8">
    <pivotField showAll="0"/>
    <pivotField axis="axisRow" showAll="0">
      <items count="12">
        <item x="1"/>
        <item x="3"/>
        <item x="7"/>
        <item x="2"/>
        <item x="4"/>
        <item x="6"/>
        <item x="5"/>
        <item x="0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6"/>
  <sheetViews>
    <sheetView tabSelected="1" topLeftCell="C1" zoomScale="80" zoomScaleNormal="80" workbookViewId="0">
      <selection activeCell="N16" sqref="N16"/>
    </sheetView>
  </sheetViews>
  <sheetFormatPr defaultColWidth="11.42578125" defaultRowHeight="15" x14ac:dyDescent="0.25"/>
  <cols>
    <col min="1" max="1" width="22.7109375" customWidth="1"/>
    <col min="2" max="2" width="31.42578125" bestFit="1" customWidth="1"/>
    <col min="3" max="3" width="18.140625" customWidth="1"/>
    <col min="4" max="4" width="17.85546875" customWidth="1"/>
    <col min="5" max="5" width="19.140625" bestFit="1" customWidth="1"/>
    <col min="6" max="6" width="22.85546875" customWidth="1"/>
    <col min="7" max="7" width="18.7109375" bestFit="1" customWidth="1"/>
    <col min="8" max="8" width="17" customWidth="1"/>
    <col min="9" max="9" width="49.5703125" bestFit="1" customWidth="1"/>
    <col min="10" max="10" width="21.7109375" bestFit="1" customWidth="1"/>
    <col min="11" max="11" width="18.7109375" customWidth="1"/>
    <col min="12" max="12" width="27.42578125" bestFit="1" customWidth="1"/>
    <col min="13" max="13" width="35.85546875" bestFit="1" customWidth="1"/>
    <col min="16" max="16" width="19.85546875" bestFit="1" customWidth="1"/>
    <col min="19" max="19" width="44" bestFit="1" customWidth="1"/>
  </cols>
  <sheetData>
    <row r="1" spans="1:24" x14ac:dyDescent="0.25">
      <c r="A1" t="s">
        <v>37</v>
      </c>
      <c r="B1" t="s">
        <v>38</v>
      </c>
      <c r="C1" t="s">
        <v>39</v>
      </c>
      <c r="D1" t="s">
        <v>43</v>
      </c>
      <c r="E1" t="s">
        <v>53</v>
      </c>
      <c r="F1" t="s">
        <v>54</v>
      </c>
      <c r="G1" t="s">
        <v>55</v>
      </c>
      <c r="H1" t="s">
        <v>7</v>
      </c>
      <c r="I1" s="16" t="s">
        <v>40</v>
      </c>
      <c r="J1" t="s">
        <v>52</v>
      </c>
      <c r="M1" t="s">
        <v>42</v>
      </c>
      <c r="N1" t="s">
        <v>44</v>
      </c>
      <c r="O1" t="s">
        <v>45</v>
      </c>
      <c r="P1" t="s">
        <v>56</v>
      </c>
      <c r="Q1" t="s">
        <v>46</v>
      </c>
      <c r="R1" t="s">
        <v>43</v>
      </c>
      <c r="S1" t="s">
        <v>47</v>
      </c>
      <c r="T1" s="22" t="s">
        <v>48</v>
      </c>
      <c r="U1" s="22" t="s">
        <v>49</v>
      </c>
      <c r="V1" s="38" t="s">
        <v>50</v>
      </c>
      <c r="X1" t="s">
        <v>51</v>
      </c>
    </row>
    <row r="2" spans="1:24" x14ac:dyDescent="0.25">
      <c r="A2" s="30" t="s">
        <v>8</v>
      </c>
      <c r="B2" s="30" t="s">
        <v>64</v>
      </c>
      <c r="C2" s="30">
        <v>1</v>
      </c>
      <c r="D2" s="53">
        <f t="shared" ref="D2:D11" si="0">VLOOKUP(A2,$M$1:$W$8,6,FALSE)</f>
        <v>3</v>
      </c>
      <c r="E2">
        <f>VLOOKUP(A2,$M$1:$W$8,5,FALSE)</f>
        <v>1412</v>
      </c>
      <c r="F2" s="21">
        <f>60/E2*C2</f>
        <v>4.2492917847025496E-2</v>
      </c>
      <c r="G2">
        <v>20</v>
      </c>
      <c r="H2" s="20">
        <f>D2*F2*G2</f>
        <v>2.5495750708215299</v>
      </c>
      <c r="I2" s="17" t="s">
        <v>0</v>
      </c>
      <c r="J2" s="15">
        <v>26.660625763968831</v>
      </c>
      <c r="K2" s="15"/>
      <c r="M2" t="s">
        <v>8</v>
      </c>
      <c r="N2" s="24">
        <v>1.4990000000000001</v>
      </c>
      <c r="O2" s="24">
        <v>705</v>
      </c>
      <c r="P2" s="31">
        <f>N2+O2</f>
        <v>706.49900000000002</v>
      </c>
      <c r="Q2" s="18">
        <v>1412</v>
      </c>
      <c r="R2" s="18">
        <v>3</v>
      </c>
      <c r="S2" s="19">
        <f>60/(Q2)</f>
        <v>4.2492917847025496E-2</v>
      </c>
      <c r="T2" s="22">
        <v>20</v>
      </c>
      <c r="U2" s="23">
        <f>ROUND(R2*S2*T2,0)</f>
        <v>3</v>
      </c>
      <c r="V2" s="39">
        <f>R2/W$2</f>
        <v>0.3</v>
      </c>
      <c r="W2">
        <f>SUM(R2:R6)</f>
        <v>10</v>
      </c>
    </row>
    <row r="3" spans="1:24" x14ac:dyDescent="0.25">
      <c r="A3" s="30" t="s">
        <v>8</v>
      </c>
      <c r="B3" s="30" t="s">
        <v>0</v>
      </c>
      <c r="C3" s="30">
        <v>1</v>
      </c>
      <c r="D3" s="53">
        <f t="shared" si="0"/>
        <v>3</v>
      </c>
      <c r="E3">
        <f>VLOOKUP(A3,$M$1:$W$8,5,FALSE)</f>
        <v>1412</v>
      </c>
      <c r="F3" s="21">
        <f>60/E3*C3</f>
        <v>4.2492917847025496E-2</v>
      </c>
      <c r="G3">
        <v>20</v>
      </c>
      <c r="H3" s="20">
        <f>D3*F3*G3</f>
        <v>2.5495750708215299</v>
      </c>
      <c r="I3" s="17" t="s">
        <v>12</v>
      </c>
      <c r="J3" s="15">
        <v>4.5855749418748717</v>
      </c>
      <c r="K3" s="15"/>
      <c r="M3" t="s">
        <v>9</v>
      </c>
      <c r="N3" s="24">
        <v>1.29</v>
      </c>
      <c r="O3" s="24">
        <v>192</v>
      </c>
      <c r="P3" s="31">
        <f t="shared" ref="P3:P5" si="1">N3+O3</f>
        <v>193.29</v>
      </c>
      <c r="Q3" s="40">
        <f t="shared" ref="Q3:Q6" si="2">P3*2</f>
        <v>386.58</v>
      </c>
      <c r="R3" s="18">
        <v>1</v>
      </c>
      <c r="S3" s="19">
        <f t="shared" ref="S3:S5" si="3">60/(Q3)</f>
        <v>0.15520720161415491</v>
      </c>
      <c r="T3" s="22">
        <v>20</v>
      </c>
      <c r="U3" s="23">
        <f t="shared" ref="U3:U5" si="4">ROUND(R3*S3*T3,0)</f>
        <v>3</v>
      </c>
      <c r="V3" s="39">
        <f>R3/W$2</f>
        <v>0.1</v>
      </c>
    </row>
    <row r="4" spans="1:24" x14ac:dyDescent="0.25">
      <c r="A4" s="30" t="s">
        <v>8</v>
      </c>
      <c r="B4" s="30" t="s">
        <v>11</v>
      </c>
      <c r="C4" s="30">
        <v>1</v>
      </c>
      <c r="D4" s="53">
        <f t="shared" si="0"/>
        <v>3</v>
      </c>
      <c r="E4">
        <f t="shared" ref="E4:E11" si="5">VLOOKUP(A4,$M$1:$W$8,5,FALSE)</f>
        <v>1412</v>
      </c>
      <c r="F4" s="21">
        <f t="shared" ref="F4:F30" si="6">60/E4*C4</f>
        <v>4.2492917847025496E-2</v>
      </c>
      <c r="G4">
        <v>20</v>
      </c>
      <c r="H4" s="20">
        <f t="shared" ref="H4:H30" si="7">D4*F4*G4</f>
        <v>2.5495750708215299</v>
      </c>
      <c r="I4" s="17" t="s">
        <v>6</v>
      </c>
      <c r="J4" s="15">
        <v>28.59111998488568</v>
      </c>
      <c r="K4" s="15"/>
      <c r="M4" t="s">
        <v>63</v>
      </c>
      <c r="N4" s="24">
        <v>0.85299999999999998</v>
      </c>
      <c r="O4" s="24">
        <v>267</v>
      </c>
      <c r="P4" s="31">
        <f t="shared" si="1"/>
        <v>267.85300000000001</v>
      </c>
      <c r="Q4" s="40">
        <f t="shared" si="2"/>
        <v>535.70600000000002</v>
      </c>
      <c r="R4" s="18">
        <v>2</v>
      </c>
      <c r="S4" s="19">
        <f t="shared" si="3"/>
        <v>0.11200173229345947</v>
      </c>
      <c r="T4" s="22">
        <v>20</v>
      </c>
      <c r="U4" s="23">
        <f t="shared" si="4"/>
        <v>4</v>
      </c>
      <c r="V4" s="39">
        <f t="shared" ref="V4:V5" si="8">R4/W$2</f>
        <v>0.2</v>
      </c>
    </row>
    <row r="5" spans="1:24" x14ac:dyDescent="0.25">
      <c r="A5" s="30" t="s">
        <v>8</v>
      </c>
      <c r="B5" s="30" t="s">
        <v>12</v>
      </c>
      <c r="C5" s="30">
        <v>1</v>
      </c>
      <c r="D5" s="53">
        <f t="shared" si="0"/>
        <v>3</v>
      </c>
      <c r="E5">
        <f t="shared" si="5"/>
        <v>1412</v>
      </c>
      <c r="F5" s="21">
        <f t="shared" si="6"/>
        <v>4.2492917847025496E-2</v>
      </c>
      <c r="G5">
        <v>20</v>
      </c>
      <c r="H5" s="20">
        <f t="shared" si="7"/>
        <v>2.5495750708215299</v>
      </c>
      <c r="I5" s="17" t="s">
        <v>11</v>
      </c>
      <c r="J5" s="15">
        <v>11.913908723050826</v>
      </c>
      <c r="K5" s="15"/>
      <c r="M5" t="s">
        <v>68</v>
      </c>
      <c r="N5" s="24">
        <v>1.391</v>
      </c>
      <c r="O5" s="24">
        <v>588</v>
      </c>
      <c r="P5" s="31">
        <f t="shared" si="1"/>
        <v>589.39099999999996</v>
      </c>
      <c r="Q5" s="18">
        <f t="shared" si="2"/>
        <v>1178.7819999999999</v>
      </c>
      <c r="R5" s="18">
        <v>2</v>
      </c>
      <c r="S5" s="19">
        <f t="shared" si="3"/>
        <v>5.0899996776333542E-2</v>
      </c>
      <c r="T5" s="22">
        <v>20</v>
      </c>
      <c r="U5" s="23">
        <f t="shared" si="4"/>
        <v>2</v>
      </c>
      <c r="V5" s="39">
        <f t="shared" si="8"/>
        <v>0.2</v>
      </c>
    </row>
    <row r="6" spans="1:24" x14ac:dyDescent="0.25">
      <c r="A6" s="30" t="s">
        <v>8</v>
      </c>
      <c r="B6" s="30" t="s">
        <v>3</v>
      </c>
      <c r="C6" s="30">
        <v>1</v>
      </c>
      <c r="D6" s="53">
        <f t="shared" si="0"/>
        <v>3</v>
      </c>
      <c r="E6">
        <f t="shared" si="5"/>
        <v>1412</v>
      </c>
      <c r="F6" s="21">
        <f t="shared" si="6"/>
        <v>4.2492917847025496E-2</v>
      </c>
      <c r="G6">
        <v>20</v>
      </c>
      <c r="H6" s="20">
        <f t="shared" si="7"/>
        <v>2.5495750708215299</v>
      </c>
      <c r="I6" s="17" t="s">
        <v>3</v>
      </c>
      <c r="J6" s="15">
        <v>2.5495750708215299</v>
      </c>
      <c r="K6" s="15"/>
      <c r="M6" t="s">
        <v>10</v>
      </c>
      <c r="N6" s="24">
        <v>1.07</v>
      </c>
      <c r="O6" s="24">
        <v>102</v>
      </c>
      <c r="P6" s="31">
        <v>103.07</v>
      </c>
      <c r="Q6" s="18">
        <f t="shared" si="2"/>
        <v>206.14</v>
      </c>
      <c r="R6" s="18">
        <v>2</v>
      </c>
      <c r="S6" s="19">
        <f>60/(Q6)</f>
        <v>0.29106432521587272</v>
      </c>
      <c r="T6" s="22">
        <v>20</v>
      </c>
      <c r="U6" s="23">
        <f>ROUND(R6*S6*T6,0)</f>
        <v>12</v>
      </c>
      <c r="V6" s="39">
        <f>R6/W$2</f>
        <v>0.2</v>
      </c>
    </row>
    <row r="7" spans="1:24" ht="15.75" thickBot="1" x14ac:dyDescent="0.3">
      <c r="A7" s="30" t="s">
        <v>8</v>
      </c>
      <c r="B7" s="30" t="s">
        <v>4</v>
      </c>
      <c r="C7" s="30">
        <v>1</v>
      </c>
      <c r="D7" s="54">
        <f t="shared" si="0"/>
        <v>3</v>
      </c>
      <c r="E7">
        <f t="shared" si="5"/>
        <v>1412</v>
      </c>
      <c r="F7" s="21">
        <f t="shared" si="6"/>
        <v>4.2492917847025496E-2</v>
      </c>
      <c r="G7">
        <v>20</v>
      </c>
      <c r="H7" s="20">
        <f t="shared" si="7"/>
        <v>2.5495750708215299</v>
      </c>
      <c r="I7" s="17" t="s">
        <v>13</v>
      </c>
      <c r="J7" s="15">
        <v>3.1041440322830982</v>
      </c>
      <c r="K7" s="15"/>
      <c r="M7" t="s">
        <v>69</v>
      </c>
      <c r="N7" s="24">
        <v>0.874</v>
      </c>
      <c r="O7" s="32">
        <v>81</v>
      </c>
      <c r="P7">
        <v>81.873999999999995</v>
      </c>
      <c r="Q7" s="18">
        <v>163.74799999999999</v>
      </c>
      <c r="R7" s="33">
        <v>1</v>
      </c>
      <c r="S7" s="19">
        <f>60/(Q7)</f>
        <v>0.36641668905879771</v>
      </c>
      <c r="T7" s="22"/>
      <c r="U7" s="23">
        <f>SUM(U2:U6)</f>
        <v>24</v>
      </c>
      <c r="V7" s="39">
        <f>SUM(V2:V6)</f>
        <v>1</v>
      </c>
    </row>
    <row r="8" spans="1:24" x14ac:dyDescent="0.25">
      <c r="A8" s="30" t="s">
        <v>9</v>
      </c>
      <c r="B8" s="30" t="s">
        <v>64</v>
      </c>
      <c r="C8" s="30">
        <v>1</v>
      </c>
      <c r="D8" s="55">
        <f t="shared" ref="D8" si="9">VLOOKUP(A8,$M$1:$W$8,6,FALSE)</f>
        <v>1</v>
      </c>
      <c r="E8" s="20">
        <f t="shared" ref="E8" si="10">VLOOKUP(A8,$M$1:$W$8,5,FALSE)</f>
        <v>386.58</v>
      </c>
      <c r="F8" s="21">
        <f t="shared" si="6"/>
        <v>0.15520720161415491</v>
      </c>
      <c r="G8">
        <v>20</v>
      </c>
      <c r="H8" s="20">
        <f t="shared" ref="H8" si="11">D8*F8*G8</f>
        <v>3.1041440322830982</v>
      </c>
      <c r="I8" s="17" t="s">
        <v>4</v>
      </c>
      <c r="J8" s="15">
        <v>17.296292111739536</v>
      </c>
      <c r="K8" s="15"/>
    </row>
    <row r="9" spans="1:24" x14ac:dyDescent="0.25">
      <c r="A9" s="30" t="s">
        <v>9</v>
      </c>
      <c r="B9" s="30" t="s">
        <v>0</v>
      </c>
      <c r="C9" s="30">
        <v>1</v>
      </c>
      <c r="D9" s="53">
        <f t="shared" si="0"/>
        <v>1</v>
      </c>
      <c r="E9" s="20">
        <f t="shared" si="5"/>
        <v>386.58</v>
      </c>
      <c r="F9" s="21">
        <f t="shared" si="6"/>
        <v>0.15520720161415491</v>
      </c>
      <c r="G9">
        <v>20</v>
      </c>
      <c r="H9" s="20">
        <f t="shared" si="7"/>
        <v>3.1041440322830982</v>
      </c>
      <c r="I9" s="17" t="s">
        <v>64</v>
      </c>
      <c r="J9" s="15">
        <v>31.140695055707209</v>
      </c>
      <c r="K9" s="15"/>
    </row>
    <row r="10" spans="1:24" x14ac:dyDescent="0.25">
      <c r="A10" s="30" t="s">
        <v>9</v>
      </c>
      <c r="B10" s="30" t="s">
        <v>4</v>
      </c>
      <c r="C10" s="30">
        <v>1</v>
      </c>
      <c r="D10" s="53">
        <f t="shared" si="0"/>
        <v>1</v>
      </c>
      <c r="E10" s="20">
        <f>VLOOKUP(A10,$M$1:$W$8,5,FALSE)</f>
        <v>386.58</v>
      </c>
      <c r="F10" s="21">
        <f t="shared" si="6"/>
        <v>0.15520720161415491</v>
      </c>
      <c r="G10">
        <v>20</v>
      </c>
      <c r="H10" s="20">
        <f t="shared" si="7"/>
        <v>3.1041440322830982</v>
      </c>
      <c r="I10" s="17" t="s">
        <v>66</v>
      </c>
      <c r="J10" s="15">
        <v>4.4800692917383786</v>
      </c>
    </row>
    <row r="11" spans="1:24" x14ac:dyDescent="0.25">
      <c r="A11" s="30" t="s">
        <v>9</v>
      </c>
      <c r="B11" s="30" t="s">
        <v>13</v>
      </c>
      <c r="C11" s="30">
        <v>1</v>
      </c>
      <c r="D11" s="53">
        <f t="shared" si="0"/>
        <v>1</v>
      </c>
      <c r="E11" s="20">
        <f t="shared" si="5"/>
        <v>386.58</v>
      </c>
      <c r="F11" s="21">
        <f t="shared" si="6"/>
        <v>0.15520720161415491</v>
      </c>
      <c r="G11">
        <v>20</v>
      </c>
      <c r="H11" s="20">
        <f t="shared" si="7"/>
        <v>3.1041440322830982</v>
      </c>
      <c r="I11" s="17" t="s">
        <v>65</v>
      </c>
      <c r="J11" s="15">
        <v>4.4800692917383786</v>
      </c>
    </row>
    <row r="12" spans="1:24" ht="15.75" thickBot="1" x14ac:dyDescent="0.3">
      <c r="A12" s="30" t="s">
        <v>9</v>
      </c>
      <c r="B12" s="30" t="s">
        <v>6</v>
      </c>
      <c r="C12" s="30">
        <v>1</v>
      </c>
      <c r="D12" s="54">
        <f t="shared" ref="D12:D30" si="12">VLOOKUP(A12,$M$1:$W$8,6,FALSE)</f>
        <v>1</v>
      </c>
      <c r="E12" s="20">
        <f t="shared" ref="E12:E30" si="13">VLOOKUP(A12,$M$1:$W$8,5,FALSE)</f>
        <v>386.58</v>
      </c>
      <c r="F12" s="21">
        <f t="shared" si="6"/>
        <v>0.15520720161415491</v>
      </c>
      <c r="G12">
        <v>20</v>
      </c>
      <c r="H12" s="20">
        <f t="shared" si="7"/>
        <v>3.1041440322830982</v>
      </c>
      <c r="I12" s="17" t="s">
        <v>67</v>
      </c>
      <c r="J12" s="15">
        <v>4.4800692917383786</v>
      </c>
    </row>
    <row r="13" spans="1:24" x14ac:dyDescent="0.25">
      <c r="A13" s="30" t="s">
        <v>63</v>
      </c>
      <c r="B13" s="30" t="s">
        <v>64</v>
      </c>
      <c r="C13" s="30">
        <v>1</v>
      </c>
      <c r="D13" s="55">
        <f t="shared" si="12"/>
        <v>2</v>
      </c>
      <c r="E13" s="20">
        <f t="shared" si="13"/>
        <v>535.70600000000002</v>
      </c>
      <c r="F13" s="21">
        <f t="shared" si="6"/>
        <v>0.11200173229345947</v>
      </c>
      <c r="G13">
        <v>20</v>
      </c>
      <c r="H13" s="20">
        <f t="shared" ref="H13" si="14">D13*F13*G13</f>
        <v>4.4800692917383786</v>
      </c>
      <c r="I13" s="17" t="s">
        <v>41</v>
      </c>
      <c r="J13" s="15">
        <v>139.28214355954671</v>
      </c>
    </row>
    <row r="14" spans="1:24" x14ac:dyDescent="0.25">
      <c r="A14" s="30" t="s">
        <v>63</v>
      </c>
      <c r="B14" s="30" t="s">
        <v>66</v>
      </c>
      <c r="C14" s="30">
        <v>1</v>
      </c>
      <c r="D14" s="53">
        <f t="shared" si="12"/>
        <v>2</v>
      </c>
      <c r="E14" s="20">
        <f t="shared" si="13"/>
        <v>535.70600000000002</v>
      </c>
      <c r="F14" s="21">
        <f t="shared" si="6"/>
        <v>0.11200173229345947</v>
      </c>
      <c r="G14">
        <v>20</v>
      </c>
      <c r="H14" s="20">
        <f t="shared" si="7"/>
        <v>4.4800692917383786</v>
      </c>
    </row>
    <row r="15" spans="1:24" x14ac:dyDescent="0.25">
      <c r="A15" s="30" t="s">
        <v>63</v>
      </c>
      <c r="B15" s="30" t="s">
        <v>65</v>
      </c>
      <c r="C15" s="30">
        <v>1</v>
      </c>
      <c r="D15" s="53">
        <f t="shared" si="12"/>
        <v>2</v>
      </c>
      <c r="E15" s="20">
        <f t="shared" si="13"/>
        <v>535.70600000000002</v>
      </c>
      <c r="F15" s="21">
        <f t="shared" si="6"/>
        <v>0.11200173229345947</v>
      </c>
      <c r="G15">
        <v>20</v>
      </c>
      <c r="H15" s="20">
        <f t="shared" si="7"/>
        <v>4.4800692917383786</v>
      </c>
    </row>
    <row r="16" spans="1:24" x14ac:dyDescent="0.25">
      <c r="A16" s="30" t="s">
        <v>63</v>
      </c>
      <c r="B16" s="30" t="s">
        <v>67</v>
      </c>
      <c r="C16" s="30">
        <v>1</v>
      </c>
      <c r="D16" s="53">
        <f t="shared" si="12"/>
        <v>2</v>
      </c>
      <c r="E16" s="20">
        <f t="shared" si="13"/>
        <v>535.70600000000002</v>
      </c>
      <c r="F16" s="21">
        <f t="shared" si="6"/>
        <v>0.11200173229345947</v>
      </c>
      <c r="G16">
        <v>20</v>
      </c>
      <c r="H16" s="20">
        <f t="shared" si="7"/>
        <v>4.4800692917383786</v>
      </c>
    </row>
    <row r="17" spans="1:8" ht="15.75" thickBot="1" x14ac:dyDescent="0.3">
      <c r="A17" s="30" t="s">
        <v>63</v>
      </c>
      <c r="B17" s="30" t="s">
        <v>6</v>
      </c>
      <c r="C17" s="30">
        <v>1</v>
      </c>
      <c r="D17" s="54">
        <f t="shared" si="12"/>
        <v>2</v>
      </c>
      <c r="E17" s="20">
        <f t="shared" si="13"/>
        <v>535.70600000000002</v>
      </c>
      <c r="F17" s="21">
        <f t="shared" si="6"/>
        <v>0.11200173229345947</v>
      </c>
      <c r="G17">
        <v>20</v>
      </c>
      <c r="H17" s="20">
        <f>D17*F17*G17</f>
        <v>4.4800692917383786</v>
      </c>
    </row>
    <row r="18" spans="1:8" ht="15.75" thickBot="1" x14ac:dyDescent="0.3">
      <c r="A18" s="30" t="s">
        <v>69</v>
      </c>
      <c r="B18" s="30" t="s">
        <v>64</v>
      </c>
      <c r="C18" s="30">
        <v>1</v>
      </c>
      <c r="D18" s="54">
        <f t="shared" ref="D18:D21" si="15">VLOOKUP(A18,$M$1:$W$8,6,FALSE)</f>
        <v>1</v>
      </c>
      <c r="E18">
        <f t="shared" ref="E18:E21" si="16">VLOOKUP(A18,$M$1:$W$8,5,FALSE)</f>
        <v>163.74799999999999</v>
      </c>
      <c r="F18" s="21">
        <f t="shared" ref="F18:F21" si="17">60/E18*C18</f>
        <v>0.36641668905879771</v>
      </c>
      <c r="G18">
        <v>20</v>
      </c>
      <c r="H18" s="20">
        <f t="shared" ref="H18:H21" si="18">D18*F18*G18</f>
        <v>7.3283337811759539</v>
      </c>
    </row>
    <row r="19" spans="1:8" ht="15.75" thickBot="1" x14ac:dyDescent="0.3">
      <c r="A19" s="30" t="s">
        <v>69</v>
      </c>
      <c r="B19" s="30" t="s">
        <v>0</v>
      </c>
      <c r="C19" s="30">
        <v>1</v>
      </c>
      <c r="D19" s="54">
        <f t="shared" si="15"/>
        <v>1</v>
      </c>
      <c r="E19">
        <f t="shared" si="16"/>
        <v>163.74799999999999</v>
      </c>
      <c r="F19" s="21">
        <f t="shared" si="17"/>
        <v>0.36641668905879771</v>
      </c>
      <c r="G19">
        <v>20</v>
      </c>
      <c r="H19" s="20">
        <f t="shared" si="18"/>
        <v>7.3283337811759539</v>
      </c>
    </row>
    <row r="20" spans="1:8" ht="15.75" thickBot="1" x14ac:dyDescent="0.3">
      <c r="A20" s="30" t="s">
        <v>69</v>
      </c>
      <c r="B20" s="30" t="s">
        <v>11</v>
      </c>
      <c r="C20" s="30">
        <v>1</v>
      </c>
      <c r="D20" s="54">
        <f t="shared" ref="D20" si="19">VLOOKUP(A20,$M$1:$W$8,6,FALSE)</f>
        <v>1</v>
      </c>
      <c r="E20">
        <f t="shared" ref="E20" si="20">VLOOKUP(A20,$M$1:$W$8,5,FALSE)</f>
        <v>163.74799999999999</v>
      </c>
      <c r="F20" s="21">
        <f t="shared" ref="F20" si="21">60/E20*C20</f>
        <v>0.36641668905879771</v>
      </c>
      <c r="G20">
        <v>20</v>
      </c>
      <c r="H20" s="20">
        <f t="shared" ref="H20" si="22">D20*F20*G20</f>
        <v>7.3283337811759539</v>
      </c>
    </row>
    <row r="21" spans="1:8" ht="15.75" thickBot="1" x14ac:dyDescent="0.3">
      <c r="A21" s="30" t="s">
        <v>69</v>
      </c>
      <c r="B21" s="30" t="s">
        <v>6</v>
      </c>
      <c r="C21" s="30">
        <v>1</v>
      </c>
      <c r="D21" s="54">
        <f t="shared" si="15"/>
        <v>1</v>
      </c>
      <c r="E21">
        <f t="shared" si="16"/>
        <v>163.74799999999999</v>
      </c>
      <c r="F21" s="21">
        <f t="shared" si="17"/>
        <v>0.36641668905879771</v>
      </c>
      <c r="G21">
        <v>20</v>
      </c>
      <c r="H21" s="20">
        <f t="shared" si="18"/>
        <v>7.3283337811759539</v>
      </c>
    </row>
    <row r="22" spans="1:8" x14ac:dyDescent="0.25">
      <c r="A22" s="30" t="s">
        <v>68</v>
      </c>
      <c r="B22" s="30" t="s">
        <v>64</v>
      </c>
      <c r="C22" s="30">
        <v>1</v>
      </c>
      <c r="D22" s="55">
        <f t="shared" si="12"/>
        <v>2</v>
      </c>
      <c r="E22">
        <f t="shared" si="13"/>
        <v>1178.7819999999999</v>
      </c>
      <c r="F22" s="21">
        <f t="shared" si="6"/>
        <v>5.0899996776333542E-2</v>
      </c>
      <c r="G22">
        <v>20</v>
      </c>
      <c r="H22" s="20">
        <f>D22*F22*G22</f>
        <v>2.0359998710533418</v>
      </c>
    </row>
    <row r="23" spans="1:8" x14ac:dyDescent="0.25">
      <c r="A23" s="30" t="s">
        <v>68</v>
      </c>
      <c r="B23" s="30" t="s">
        <v>0</v>
      </c>
      <c r="C23" s="30">
        <v>1</v>
      </c>
      <c r="D23" s="53">
        <f t="shared" si="12"/>
        <v>2</v>
      </c>
      <c r="E23">
        <f t="shared" si="13"/>
        <v>1178.7819999999999</v>
      </c>
      <c r="F23" s="21">
        <f t="shared" si="6"/>
        <v>5.0899996776333542E-2</v>
      </c>
      <c r="G23">
        <v>20</v>
      </c>
      <c r="H23" s="20">
        <f t="shared" si="7"/>
        <v>2.0359998710533418</v>
      </c>
    </row>
    <row r="24" spans="1:8" x14ac:dyDescent="0.25">
      <c r="A24" s="30" t="s">
        <v>68</v>
      </c>
      <c r="B24" s="30" t="s">
        <v>11</v>
      </c>
      <c r="C24" s="30">
        <v>1</v>
      </c>
      <c r="D24" s="53">
        <f t="shared" si="12"/>
        <v>2</v>
      </c>
      <c r="E24">
        <f t="shared" si="13"/>
        <v>1178.7819999999999</v>
      </c>
      <c r="F24" s="21">
        <f t="shared" si="6"/>
        <v>5.0899996776333542E-2</v>
      </c>
      <c r="G24">
        <v>20</v>
      </c>
      <c r="H24" s="20">
        <f t="shared" si="7"/>
        <v>2.0359998710533418</v>
      </c>
    </row>
    <row r="25" spans="1:8" x14ac:dyDescent="0.25">
      <c r="A25" s="30" t="s">
        <v>68</v>
      </c>
      <c r="B25" s="30" t="s">
        <v>12</v>
      </c>
      <c r="C25" s="30">
        <v>1</v>
      </c>
      <c r="D25" s="53">
        <f t="shared" si="12"/>
        <v>2</v>
      </c>
      <c r="E25">
        <f t="shared" si="13"/>
        <v>1178.7819999999999</v>
      </c>
      <c r="F25" s="21">
        <f t="shared" si="6"/>
        <v>5.0899996776333542E-2</v>
      </c>
      <c r="G25">
        <v>20</v>
      </c>
      <c r="H25" s="20">
        <f t="shared" si="7"/>
        <v>2.0359998710533418</v>
      </c>
    </row>
    <row r="26" spans="1:8" ht="15.75" thickBot="1" x14ac:dyDescent="0.3">
      <c r="A26" s="30" t="s">
        <v>68</v>
      </c>
      <c r="B26" s="30" t="s">
        <v>6</v>
      </c>
      <c r="C26" s="30">
        <v>1</v>
      </c>
      <c r="D26" s="53">
        <f t="shared" si="12"/>
        <v>2</v>
      </c>
      <c r="E26">
        <f t="shared" si="13"/>
        <v>1178.7819999999999</v>
      </c>
      <c r="F26" s="21">
        <f t="shared" si="6"/>
        <v>5.0899996776333542E-2</v>
      </c>
      <c r="G26">
        <v>20</v>
      </c>
      <c r="H26" s="20">
        <f t="shared" si="7"/>
        <v>2.0359998710533418</v>
      </c>
    </row>
    <row r="27" spans="1:8" x14ac:dyDescent="0.25">
      <c r="A27" s="30" t="s">
        <v>10</v>
      </c>
      <c r="B27" s="30" t="s">
        <v>64</v>
      </c>
      <c r="C27" s="30">
        <v>1</v>
      </c>
      <c r="D27" s="55">
        <f t="shared" si="12"/>
        <v>2</v>
      </c>
      <c r="E27">
        <f t="shared" si="13"/>
        <v>206.14</v>
      </c>
      <c r="F27" s="21">
        <f t="shared" si="6"/>
        <v>0.29106432521587272</v>
      </c>
      <c r="G27">
        <v>20</v>
      </c>
      <c r="H27" s="20">
        <f t="shared" ref="H27" si="23">D27*F27*G27</f>
        <v>11.642573008634908</v>
      </c>
    </row>
    <row r="28" spans="1:8" x14ac:dyDescent="0.25">
      <c r="A28" s="30" t="s">
        <v>10</v>
      </c>
      <c r="B28" s="30" t="s">
        <v>0</v>
      </c>
      <c r="C28" s="30">
        <v>1</v>
      </c>
      <c r="D28" s="53">
        <f t="shared" si="12"/>
        <v>2</v>
      </c>
      <c r="E28">
        <f t="shared" si="13"/>
        <v>206.14</v>
      </c>
      <c r="F28" s="21">
        <f t="shared" si="6"/>
        <v>0.29106432521587272</v>
      </c>
      <c r="G28">
        <v>20</v>
      </c>
      <c r="H28" s="20">
        <f t="shared" si="7"/>
        <v>11.642573008634908</v>
      </c>
    </row>
    <row r="29" spans="1:8" x14ac:dyDescent="0.25">
      <c r="A29" s="30" t="s">
        <v>10</v>
      </c>
      <c r="B29" s="30" t="s">
        <v>4</v>
      </c>
      <c r="C29" s="30">
        <v>1</v>
      </c>
      <c r="D29" s="53">
        <f t="shared" si="12"/>
        <v>2</v>
      </c>
      <c r="E29">
        <f t="shared" si="13"/>
        <v>206.14</v>
      </c>
      <c r="F29" s="21">
        <f t="shared" si="6"/>
        <v>0.29106432521587272</v>
      </c>
      <c r="G29">
        <v>20</v>
      </c>
      <c r="H29" s="20">
        <f t="shared" si="7"/>
        <v>11.642573008634908</v>
      </c>
    </row>
    <row r="30" spans="1:8" ht="15.75" thickBot="1" x14ac:dyDescent="0.3">
      <c r="A30" s="30" t="s">
        <v>10</v>
      </c>
      <c r="B30" s="30" t="s">
        <v>6</v>
      </c>
      <c r="C30" s="30">
        <v>1</v>
      </c>
      <c r="D30" s="54">
        <f t="shared" si="12"/>
        <v>2</v>
      </c>
      <c r="E30">
        <f t="shared" si="13"/>
        <v>206.14</v>
      </c>
      <c r="F30" s="21">
        <f t="shared" si="6"/>
        <v>0.29106432521587272</v>
      </c>
      <c r="G30">
        <v>20</v>
      </c>
      <c r="H30" s="20">
        <f t="shared" si="7"/>
        <v>11.642573008634908</v>
      </c>
    </row>
    <row r="32" spans="1:8" ht="15.75" thickBot="1" x14ac:dyDescent="0.3"/>
    <row r="33" spans="1:9" x14ac:dyDescent="0.25">
      <c r="A33" s="64" t="s">
        <v>83</v>
      </c>
      <c r="B33" s="65"/>
    </row>
    <row r="34" spans="1:9" ht="93.75" x14ac:dyDescent="0.3">
      <c r="A34" s="42" t="s">
        <v>82</v>
      </c>
      <c r="B34" s="43" t="s">
        <v>60</v>
      </c>
      <c r="C34" s="41" t="s">
        <v>58</v>
      </c>
      <c r="D34" s="59" t="s">
        <v>59</v>
      </c>
      <c r="E34" s="62"/>
      <c r="F34" s="61" t="s">
        <v>110</v>
      </c>
      <c r="G34" s="29" t="s">
        <v>57</v>
      </c>
      <c r="H34" s="29" t="s">
        <v>61</v>
      </c>
      <c r="I34" s="29" t="s">
        <v>62</v>
      </c>
    </row>
    <row r="35" spans="1:9" ht="37.5" x14ac:dyDescent="0.25">
      <c r="A35" s="42" t="s">
        <v>64</v>
      </c>
      <c r="B35" s="44">
        <v>520</v>
      </c>
      <c r="C35" s="28">
        <f>GETPIVOTDATA("Итого",$I$1,"transaction rq",A35)*3</f>
        <v>93.422085167121622</v>
      </c>
      <c r="D35" s="60">
        <f t="shared" ref="D35:D36" si="24">1-B35/C35</f>
        <v>-4.5661356634223953</v>
      </c>
      <c r="E35" s="58"/>
      <c r="F35" s="57" t="str">
        <f>VLOOKUP(A35,Соответствие!A:B,2,FALSE)</f>
        <v>open_home_page</v>
      </c>
      <c r="G35" s="63">
        <f>C35/3</f>
        <v>31.140695055707209</v>
      </c>
      <c r="H35" s="52">
        <f>VLOOKUP(F35,SummaryReport!A:J,8,FALSE)</f>
        <v>34</v>
      </c>
      <c r="I35" s="26">
        <f t="shared" ref="I35:I46" si="25">1-G35/H35</f>
        <v>8.4097204243905654E-2</v>
      </c>
    </row>
    <row r="36" spans="1:9" ht="18.75" x14ac:dyDescent="0.25">
      <c r="A36" s="45" t="s">
        <v>0</v>
      </c>
      <c r="B36" s="44">
        <v>422</v>
      </c>
      <c r="C36" s="28">
        <f t="shared" ref="C36:C46" si="26">GETPIVOTDATA("Итого",$I$1,"transaction rq",A36)*3</f>
        <v>79.9818772919065</v>
      </c>
      <c r="D36" s="60">
        <f t="shared" si="24"/>
        <v>-4.2761952368265161</v>
      </c>
      <c r="E36" s="58"/>
      <c r="F36" s="57" t="str">
        <f>VLOOKUP(A36,Соответствие!A:B,2,FALSE)</f>
        <v>login</v>
      </c>
      <c r="G36" s="63">
        <f t="shared" ref="G36:G46" si="27">C36/3</f>
        <v>26.660625763968834</v>
      </c>
      <c r="H36" s="52">
        <v>26</v>
      </c>
      <c r="I36" s="26">
        <f t="shared" si="25"/>
        <v>-2.5408683229570572E-2</v>
      </c>
    </row>
    <row r="37" spans="1:9" ht="56.25" x14ac:dyDescent="0.25">
      <c r="A37" s="46" t="s">
        <v>81</v>
      </c>
      <c r="B37" s="44">
        <v>305</v>
      </c>
      <c r="C37" s="28"/>
      <c r="D37" s="60"/>
      <c r="E37" s="58"/>
      <c r="F37" s="57" t="str">
        <f>VLOOKUP(A37,Соответствие!A:B,2,FALSE)</f>
        <v>click_flights</v>
      </c>
      <c r="G37" s="63">
        <f t="shared" si="27"/>
        <v>0</v>
      </c>
      <c r="H37" s="52">
        <f>VLOOKUP(F37,SummaryReport!A:J,8,FALSE)</f>
        <v>106</v>
      </c>
      <c r="I37" s="26"/>
    </row>
    <row r="38" spans="1:9" ht="56.25" x14ac:dyDescent="0.25">
      <c r="A38" s="45" t="s">
        <v>11</v>
      </c>
      <c r="B38" s="44">
        <v>282</v>
      </c>
      <c r="C38" s="28">
        <f t="shared" si="26"/>
        <v>35.741726169152479</v>
      </c>
      <c r="D38" s="56">
        <f t="shared" ref="D38:D47" si="28">1-B38/C38</f>
        <v>-6.8899379024224361</v>
      </c>
      <c r="E38" s="58"/>
      <c r="F38" s="57" t="str">
        <f>VLOOKUP(A38,Соответствие!A:B,2,FALSE)</f>
        <v>search_flights</v>
      </c>
      <c r="G38" s="63">
        <f t="shared" si="27"/>
        <v>11.913908723050826</v>
      </c>
      <c r="H38" s="52" t="e">
        <f>VLOOKUP(F38,SummaryReport!A:J,8,FALSE)</f>
        <v>#N/A</v>
      </c>
      <c r="I38" s="26" t="e">
        <f t="shared" si="25"/>
        <v>#N/A</v>
      </c>
    </row>
    <row r="39" spans="1:9" ht="37.5" x14ac:dyDescent="0.25">
      <c r="A39" s="45" t="s">
        <v>12</v>
      </c>
      <c r="B39" s="44">
        <v>270</v>
      </c>
      <c r="C39" s="28">
        <f t="shared" si="26"/>
        <v>13.756724825624616</v>
      </c>
      <c r="D39" s="56">
        <f t="shared" si="28"/>
        <v>-18.626764613120102</v>
      </c>
      <c r="E39" s="58"/>
      <c r="F39" s="57" t="str">
        <f>VLOOKUP(A39,Соответствие!A:B,2,FALSE)</f>
        <v>choose_flight</v>
      </c>
      <c r="G39" s="63">
        <f t="shared" si="27"/>
        <v>4.5855749418748717</v>
      </c>
      <c r="H39" s="52">
        <f>VLOOKUP(F39,SummaryReport!A:J,8,FALSE)</f>
        <v>92</v>
      </c>
      <c r="I39" s="26">
        <f t="shared" si="25"/>
        <v>0.95015679411005571</v>
      </c>
    </row>
    <row r="40" spans="1:9" ht="18.75" x14ac:dyDescent="0.25">
      <c r="A40" s="45" t="s">
        <v>3</v>
      </c>
      <c r="B40" s="44">
        <v>175</v>
      </c>
      <c r="C40" s="28">
        <f t="shared" si="26"/>
        <v>7.6487252124645897</v>
      </c>
      <c r="D40" s="56">
        <f t="shared" si="28"/>
        <v>-21.87962962962963</v>
      </c>
      <c r="E40" s="58"/>
      <c r="F40" s="57" t="str">
        <f>VLOOKUP(A40,Соответствие!A:B,2,FALSE)</f>
        <v>payment_details</v>
      </c>
      <c r="G40" s="63">
        <f t="shared" si="27"/>
        <v>2.5495750708215299</v>
      </c>
      <c r="H40" s="52" t="e">
        <f>VLOOKUP(F40,SummaryReport!A:J,8,FALSE)</f>
        <v>#N/A</v>
      </c>
      <c r="I40" s="26" t="e">
        <f t="shared" si="25"/>
        <v>#N/A</v>
      </c>
    </row>
    <row r="41" spans="1:9" ht="37.5" x14ac:dyDescent="0.25">
      <c r="A41" s="45" t="s">
        <v>4</v>
      </c>
      <c r="B41" s="44">
        <v>280</v>
      </c>
      <c r="C41" s="28">
        <f t="shared" si="26"/>
        <v>51.888876335218612</v>
      </c>
      <c r="D41" s="56">
        <f t="shared" si="28"/>
        <v>-4.3961469157880995</v>
      </c>
      <c r="E41" s="58"/>
      <c r="F41" s="57" t="str">
        <f>VLOOKUP(A41,Соответствие!A:B,2,FALSE)</f>
        <v>click_itinerary</v>
      </c>
      <c r="G41" s="63">
        <f t="shared" si="27"/>
        <v>17.296292111739536</v>
      </c>
      <c r="H41" s="52">
        <f>VLOOKUP(F41,SummaryReport!A:J,8,FALSE)</f>
        <v>95</v>
      </c>
      <c r="I41" s="26">
        <f t="shared" si="25"/>
        <v>0.81793376724484701</v>
      </c>
    </row>
    <row r="42" spans="1:9" ht="37.5" x14ac:dyDescent="0.25">
      <c r="A42" s="45" t="s">
        <v>13</v>
      </c>
      <c r="B42" s="44">
        <v>73</v>
      </c>
      <c r="C42" s="28">
        <f t="shared" si="26"/>
        <v>9.3124320968492942</v>
      </c>
      <c r="D42" s="56">
        <f t="shared" si="28"/>
        <v>-6.8389833333333332</v>
      </c>
      <c r="E42" s="58"/>
      <c r="F42" s="57" t="str">
        <f>VLOOKUP(A42,Соответствие!A:B,2,FALSE)</f>
        <v>deleting_a_ticket</v>
      </c>
      <c r="G42" s="63">
        <f t="shared" si="27"/>
        <v>3.1041440322830982</v>
      </c>
      <c r="H42" s="52" t="e">
        <f>VLOOKUP(F42,SummaryReport!A:J,8,FALSE)</f>
        <v>#N/A</v>
      </c>
      <c r="I42" s="26" t="e">
        <f t="shared" si="25"/>
        <v>#N/A</v>
      </c>
    </row>
    <row r="43" spans="1:9" ht="37.5" x14ac:dyDescent="0.25">
      <c r="A43" s="45" t="s">
        <v>6</v>
      </c>
      <c r="B43" s="44">
        <v>326</v>
      </c>
      <c r="C43" s="28">
        <f t="shared" si="26"/>
        <v>85.773359954657039</v>
      </c>
      <c r="D43" s="56">
        <f t="shared" si="28"/>
        <v>-2.8007138833355207</v>
      </c>
      <c r="E43" s="58"/>
      <c r="F43" s="57" t="str">
        <f>VLOOKUP(A43,Соответствие!A:B,2,FALSE)</f>
        <v>Logout</v>
      </c>
      <c r="G43" s="63">
        <f t="shared" si="27"/>
        <v>28.59111998488568</v>
      </c>
      <c r="H43" s="52" t="e">
        <f>VLOOKUP(F43,SummaryReport!A:J,8,FALSE)</f>
        <v>#N/A</v>
      </c>
      <c r="I43" s="26" t="e">
        <f t="shared" si="25"/>
        <v>#N/A</v>
      </c>
    </row>
    <row r="44" spans="1:9" ht="56.25" x14ac:dyDescent="0.25">
      <c r="A44" s="45" t="s">
        <v>66</v>
      </c>
      <c r="B44" s="44">
        <v>97</v>
      </c>
      <c r="C44" s="28">
        <f t="shared" si="26"/>
        <v>13.440207875215137</v>
      </c>
      <c r="D44" s="56">
        <f t="shared" si="28"/>
        <v>-6.2171502777777778</v>
      </c>
      <c r="E44" s="58"/>
      <c r="F44" s="57" t="str">
        <f>VLOOKUP(A44,Соответствие!A:B,2,FALSE)</f>
        <v>reg_user</v>
      </c>
      <c r="G44" s="63">
        <f t="shared" si="27"/>
        <v>4.4800692917383786</v>
      </c>
      <c r="H44" s="52"/>
      <c r="I44" s="26" t="e">
        <f t="shared" si="25"/>
        <v>#DIV/0!</v>
      </c>
    </row>
    <row r="45" spans="1:9" ht="37.5" x14ac:dyDescent="0.25">
      <c r="A45" s="45" t="s">
        <v>65</v>
      </c>
      <c r="B45" s="44">
        <v>97</v>
      </c>
      <c r="C45" s="28">
        <f t="shared" si="26"/>
        <v>13.440207875215137</v>
      </c>
      <c r="D45" s="56">
        <f t="shared" si="28"/>
        <v>-6.2171502777777778</v>
      </c>
      <c r="E45" s="58"/>
      <c r="F45" s="57" t="str">
        <f>VLOOKUP(A45,Соответствие!A:B,2,FALSE)</f>
        <v>user_data</v>
      </c>
      <c r="G45" s="63">
        <f t="shared" si="27"/>
        <v>4.4800692917383786</v>
      </c>
      <c r="H45" s="52"/>
      <c r="I45" s="26" t="e">
        <f t="shared" si="25"/>
        <v>#DIV/0!</v>
      </c>
    </row>
    <row r="46" spans="1:9" ht="75" x14ac:dyDescent="0.25">
      <c r="A46" s="45" t="s">
        <v>67</v>
      </c>
      <c r="B46" s="44">
        <v>97</v>
      </c>
      <c r="C46" s="28">
        <f t="shared" si="26"/>
        <v>13.440207875215137</v>
      </c>
      <c r="D46" s="56">
        <f t="shared" si="28"/>
        <v>-6.2171502777777778</v>
      </c>
      <c r="E46" s="58"/>
      <c r="F46" s="57" t="str">
        <f>VLOOKUP(A46,Соответствие!A:B,2,FALSE)</f>
        <v>reg_finish</v>
      </c>
      <c r="G46" s="63">
        <f t="shared" si="27"/>
        <v>4.4800692917383786</v>
      </c>
      <c r="H46" s="52"/>
      <c r="I46" s="26" t="e">
        <f t="shared" si="25"/>
        <v>#DIV/0!</v>
      </c>
    </row>
    <row r="47" spans="1:9" ht="19.5" thickBot="1" x14ac:dyDescent="0.3">
      <c r="A47" s="47" t="s">
        <v>7</v>
      </c>
      <c r="B47" s="48">
        <f>SUM(B35:B46)</f>
        <v>2944</v>
      </c>
      <c r="C47" s="27">
        <f>SUM(C35:C46)</f>
        <v>417.84643067864022</v>
      </c>
      <c r="D47" s="25">
        <f t="shared" si="28"/>
        <v>-6.0456507076500285</v>
      </c>
    </row>
    <row r="48" spans="1:9" x14ac:dyDescent="0.25">
      <c r="I48" s="35"/>
    </row>
    <row r="49" spans="1:9" x14ac:dyDescent="0.25">
      <c r="C49" s="35" t="s">
        <v>80</v>
      </c>
      <c r="D49" s="35"/>
      <c r="E49" s="35"/>
      <c r="F49" s="35"/>
      <c r="G49" s="35"/>
      <c r="H49" s="35"/>
    </row>
    <row r="50" spans="1:9" x14ac:dyDescent="0.25">
      <c r="B50" t="s">
        <v>112</v>
      </c>
      <c r="C50" t="s">
        <v>79</v>
      </c>
      <c r="D50" t="s">
        <v>75</v>
      </c>
      <c r="E50" t="s">
        <v>77</v>
      </c>
      <c r="F50" t="s">
        <v>76</v>
      </c>
      <c r="G50" t="s">
        <v>78</v>
      </c>
      <c r="H50" t="s">
        <v>111</v>
      </c>
    </row>
    <row r="51" spans="1:9" x14ac:dyDescent="0.25">
      <c r="A51" t="s">
        <v>70</v>
      </c>
      <c r="B51" s="36">
        <f>124/3</f>
        <v>41.333333333333336</v>
      </c>
      <c r="C51" s="40">
        <v>57</v>
      </c>
      <c r="D51" s="36">
        <f>60/C51</f>
        <v>1.0526315789473684</v>
      </c>
      <c r="E51" s="51">
        <v>20</v>
      </c>
      <c r="F51" s="49">
        <f>B51/(D51*E51)</f>
        <v>1.9633333333333336</v>
      </c>
      <c r="G51" s="20">
        <f>ROUND(F51,0)</f>
        <v>2</v>
      </c>
      <c r="H51" s="20">
        <f>G51*D51*E51</f>
        <v>42.105263157894733</v>
      </c>
      <c r="I51" s="34">
        <f>1-B51/H51</f>
        <v>1.8333333333333202E-2</v>
      </c>
    </row>
    <row r="52" spans="1:9" x14ac:dyDescent="0.25">
      <c r="A52" t="s">
        <v>71</v>
      </c>
      <c r="B52" s="36">
        <f>150/3</f>
        <v>50</v>
      </c>
      <c r="C52" s="40">
        <v>25</v>
      </c>
      <c r="D52" s="36">
        <f t="shared" ref="D52:D55" si="29">60/C52</f>
        <v>2.4</v>
      </c>
      <c r="E52" s="51">
        <v>20</v>
      </c>
      <c r="F52" s="49">
        <f>B52/(D52*E52)</f>
        <v>1.0416666666666667</v>
      </c>
      <c r="G52" s="20">
        <f t="shared" ref="G52:G55" si="30">ROUND(F52,0)</f>
        <v>1</v>
      </c>
      <c r="H52" s="20">
        <f t="shared" ref="H52:H55" si="31">G52*D52*E52</f>
        <v>48</v>
      </c>
      <c r="I52" s="34">
        <f>1-B52/H52</f>
        <v>-4.1666666666666741E-2</v>
      </c>
    </row>
    <row r="53" spans="1:9" x14ac:dyDescent="0.25">
      <c r="A53" t="s">
        <v>72</v>
      </c>
      <c r="B53" s="37">
        <f>30/3</f>
        <v>10</v>
      </c>
      <c r="C53" s="50">
        <v>115</v>
      </c>
      <c r="D53" s="36">
        <f t="shared" si="29"/>
        <v>0.52173913043478259</v>
      </c>
      <c r="E53" s="51">
        <v>20</v>
      </c>
      <c r="F53" s="49">
        <f>B53/(D53*E53)</f>
        <v>0.95833333333333337</v>
      </c>
      <c r="G53" s="20">
        <v>1</v>
      </c>
      <c r="H53" s="20">
        <f t="shared" si="31"/>
        <v>10.434782608695652</v>
      </c>
      <c r="I53" s="34">
        <f>1-B53/H53</f>
        <v>4.166666666666663E-2</v>
      </c>
    </row>
    <row r="54" spans="1:9" x14ac:dyDescent="0.25">
      <c r="A54" t="s">
        <v>73</v>
      </c>
      <c r="B54" s="36">
        <f>20/3</f>
        <v>6.666666666666667</v>
      </c>
      <c r="C54" s="40">
        <v>180</v>
      </c>
      <c r="D54" s="36">
        <f t="shared" si="29"/>
        <v>0.33333333333333331</v>
      </c>
      <c r="E54" s="51">
        <v>20</v>
      </c>
      <c r="F54" s="49">
        <f>B54/(D54*E54)</f>
        <v>1.0000000000000002</v>
      </c>
      <c r="G54" s="20">
        <v>1</v>
      </c>
      <c r="H54" s="20">
        <f t="shared" si="31"/>
        <v>6.6666666666666661</v>
      </c>
      <c r="I54" s="34">
        <f>1-B54/H54</f>
        <v>0</v>
      </c>
    </row>
    <row r="55" spans="1:9" x14ac:dyDescent="0.25">
      <c r="A55" t="s">
        <v>74</v>
      </c>
      <c r="B55" s="36">
        <f>120/3</f>
        <v>40</v>
      </c>
      <c r="C55" s="40">
        <v>30</v>
      </c>
      <c r="D55" s="36">
        <f t="shared" si="29"/>
        <v>2</v>
      </c>
      <c r="E55" s="51">
        <v>20</v>
      </c>
      <c r="F55" s="49">
        <f>B55/(D55*E55)</f>
        <v>1</v>
      </c>
      <c r="G55" s="20">
        <f t="shared" si="30"/>
        <v>1</v>
      </c>
      <c r="H55" s="20">
        <f t="shared" si="31"/>
        <v>40</v>
      </c>
      <c r="I55" s="34">
        <f>1-B55/H55</f>
        <v>0</v>
      </c>
    </row>
    <row r="56" spans="1:9" x14ac:dyDescent="0.25">
      <c r="G56" s="20">
        <f>SUM(G51:G55)</f>
        <v>6</v>
      </c>
    </row>
  </sheetData>
  <mergeCells count="1">
    <mergeCell ref="A33:B33"/>
  </mergeCell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9" sqref="A9"/>
    </sheetView>
  </sheetViews>
  <sheetFormatPr defaultRowHeight="15" x14ac:dyDescent="0.25"/>
  <cols>
    <col min="1" max="1" width="47.42578125" bestFit="1" customWidth="1"/>
    <col min="2" max="2" width="14.140625" bestFit="1" customWidth="1"/>
  </cols>
  <sheetData>
    <row r="1" spans="1:2" x14ac:dyDescent="0.25">
      <c r="A1" t="s">
        <v>84</v>
      </c>
      <c r="B1" t="s">
        <v>85</v>
      </c>
    </row>
    <row r="2" spans="1:2" x14ac:dyDescent="0.25">
      <c r="A2" t="str">
        <f>'Автоматизированный расчет'!A35</f>
        <v>Главная Welcome страница</v>
      </c>
      <c r="B2" t="s">
        <v>86</v>
      </c>
    </row>
    <row r="3" spans="1:2" x14ac:dyDescent="0.25">
      <c r="A3" t="str">
        <f>'Автоматизированный расчет'!A36</f>
        <v>Вход в систему</v>
      </c>
      <c r="B3" t="s">
        <v>24</v>
      </c>
    </row>
    <row r="4" spans="1:2" x14ac:dyDescent="0.25">
      <c r="A4" t="str">
        <f>'Автоматизированный расчет'!A37</f>
        <v>Переход на страницу поиска билетов</v>
      </c>
      <c r="B4" t="s">
        <v>95</v>
      </c>
    </row>
    <row r="5" spans="1:2" x14ac:dyDescent="0.25">
      <c r="A5" t="str">
        <f>'Автоматизированный расчет'!A38</f>
        <v xml:space="preserve">Заполнение полей для поиска билета </v>
      </c>
      <c r="B5" t="s">
        <v>113</v>
      </c>
    </row>
    <row r="6" spans="1:2" x14ac:dyDescent="0.25">
      <c r="A6" t="str">
        <f>'Автоматизированный расчет'!A39</f>
        <v xml:space="preserve">Выбор рейса из найденных </v>
      </c>
      <c r="B6" s="67" t="s">
        <v>93</v>
      </c>
    </row>
    <row r="7" spans="1:2" x14ac:dyDescent="0.25">
      <c r="A7" t="str">
        <f>'Автоматизированный расчет'!A40</f>
        <v>Оплата билета</v>
      </c>
      <c r="B7" s="67" t="s">
        <v>19</v>
      </c>
    </row>
    <row r="8" spans="1:2" x14ac:dyDescent="0.25">
      <c r="A8" t="str">
        <f>'Автоматизированный расчет'!A41</f>
        <v>Просмотр квитанций</v>
      </c>
      <c r="B8" s="67" t="s">
        <v>96</v>
      </c>
    </row>
    <row r="9" spans="1:2" x14ac:dyDescent="0.25">
      <c r="A9" t="str">
        <f>'Автоматизированный расчет'!A42</f>
        <v xml:space="preserve">Отмена бронирования </v>
      </c>
      <c r="B9" s="67" t="s">
        <v>114</v>
      </c>
    </row>
    <row r="10" spans="1:2" x14ac:dyDescent="0.25">
      <c r="A10" t="str">
        <f>'Автоматизированный расчет'!A43</f>
        <v>Выход из системы</v>
      </c>
      <c r="B10" s="67" t="s">
        <v>115</v>
      </c>
    </row>
    <row r="11" spans="1:2" x14ac:dyDescent="0.25">
      <c r="A11" t="str">
        <f>'Автоматизированный расчет'!A44</f>
        <v>Перход на страницу регистрации</v>
      </c>
      <c r="B11" s="67" t="s">
        <v>116</v>
      </c>
    </row>
    <row r="12" spans="1:2" x14ac:dyDescent="0.25">
      <c r="A12" t="str">
        <f>'Автоматизированный расчет'!A45</f>
        <v>Заполнение полей регистарции</v>
      </c>
      <c r="B12" s="67" t="s">
        <v>117</v>
      </c>
    </row>
    <row r="13" spans="1:2" x14ac:dyDescent="0.25">
      <c r="A13" t="str">
        <f>'Автоматизированный расчет'!A46</f>
        <v>Переход на следуюущий эран после регистарции</v>
      </c>
      <c r="B13" s="67" t="s">
        <v>118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J13" sqref="J13"/>
    </sheetView>
  </sheetViews>
  <sheetFormatPr defaultRowHeight="15" x14ac:dyDescent="0.25"/>
  <cols>
    <col min="1" max="1" width="36.42578125" bestFit="1" customWidth="1"/>
  </cols>
  <sheetData>
    <row r="1" spans="1:10" x14ac:dyDescent="0.25">
      <c r="A1" t="s">
        <v>27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28</v>
      </c>
      <c r="I1" t="s">
        <v>29</v>
      </c>
      <c r="J1" t="s">
        <v>30</v>
      </c>
    </row>
    <row r="2" spans="1:10" x14ac:dyDescent="0.25">
      <c r="A2" t="s">
        <v>93</v>
      </c>
      <c r="B2" t="s">
        <v>94</v>
      </c>
      <c r="C2">
        <v>0.106</v>
      </c>
      <c r="D2">
        <v>0.14000000000000001</v>
      </c>
      <c r="E2">
        <v>0.51</v>
      </c>
      <c r="F2">
        <v>0.05</v>
      </c>
      <c r="G2">
        <v>0.17899999999999999</v>
      </c>
      <c r="H2">
        <v>92</v>
      </c>
      <c r="I2">
        <v>0</v>
      </c>
      <c r="J2">
        <v>0</v>
      </c>
    </row>
    <row r="3" spans="1:10" x14ac:dyDescent="0.25">
      <c r="A3" t="s">
        <v>95</v>
      </c>
      <c r="B3" t="s">
        <v>94</v>
      </c>
      <c r="C3">
        <v>0.24299999999999999</v>
      </c>
      <c r="D3">
        <v>0.54</v>
      </c>
      <c r="E3">
        <v>14.148</v>
      </c>
      <c r="F3">
        <v>1.3879999999999999</v>
      </c>
      <c r="G3">
        <v>0.58399999999999996</v>
      </c>
      <c r="H3">
        <v>106</v>
      </c>
      <c r="I3">
        <v>0</v>
      </c>
      <c r="J3">
        <v>0</v>
      </c>
    </row>
    <row r="4" spans="1:10" x14ac:dyDescent="0.25">
      <c r="A4" t="s">
        <v>96</v>
      </c>
      <c r="B4" t="s">
        <v>94</v>
      </c>
      <c r="C4">
        <v>0.24299999999999999</v>
      </c>
      <c r="D4">
        <v>0.42599999999999999</v>
      </c>
      <c r="E4">
        <v>2.2069999999999999</v>
      </c>
      <c r="F4">
        <v>0.33300000000000002</v>
      </c>
      <c r="G4">
        <v>0.55000000000000004</v>
      </c>
      <c r="H4">
        <v>95</v>
      </c>
      <c r="I4">
        <v>0</v>
      </c>
      <c r="J4">
        <v>0</v>
      </c>
    </row>
    <row r="5" spans="1:10" x14ac:dyDescent="0.25">
      <c r="A5" t="s">
        <v>97</v>
      </c>
      <c r="B5" t="s">
        <v>94</v>
      </c>
      <c r="C5">
        <v>0.16600000000000001</v>
      </c>
      <c r="D5">
        <v>0.27</v>
      </c>
      <c r="E5">
        <v>2.63</v>
      </c>
      <c r="F5">
        <v>0.29699999999999999</v>
      </c>
      <c r="G5">
        <v>0.34499999999999997</v>
      </c>
      <c r="H5">
        <v>105</v>
      </c>
      <c r="I5">
        <v>0</v>
      </c>
      <c r="J5">
        <v>0</v>
      </c>
    </row>
    <row r="6" spans="1:10" x14ac:dyDescent="0.25">
      <c r="A6" t="s">
        <v>98</v>
      </c>
      <c r="B6" t="s">
        <v>94</v>
      </c>
      <c r="C6">
        <v>9.2999999999999999E-2</v>
      </c>
      <c r="D6">
        <v>0.14699999999999999</v>
      </c>
      <c r="E6">
        <v>0.50600000000000001</v>
      </c>
      <c r="F6">
        <v>7.6999999999999999E-2</v>
      </c>
      <c r="G6">
        <v>0.19800000000000001</v>
      </c>
      <c r="H6">
        <v>34</v>
      </c>
      <c r="I6">
        <v>0</v>
      </c>
      <c r="J6">
        <v>0</v>
      </c>
    </row>
    <row r="7" spans="1:10" x14ac:dyDescent="0.25">
      <c r="A7" t="s">
        <v>99</v>
      </c>
      <c r="B7" t="s">
        <v>94</v>
      </c>
      <c r="C7">
        <v>9.2999999999999999E-2</v>
      </c>
      <c r="D7">
        <v>0.13800000000000001</v>
      </c>
      <c r="E7">
        <v>0.45400000000000001</v>
      </c>
      <c r="F7">
        <v>8.2000000000000003E-2</v>
      </c>
      <c r="G7">
        <v>0.186</v>
      </c>
      <c r="H7">
        <v>34</v>
      </c>
      <c r="I7">
        <v>0</v>
      </c>
      <c r="J7">
        <v>0</v>
      </c>
    </row>
    <row r="8" spans="1:10" x14ac:dyDescent="0.25">
      <c r="A8" t="s">
        <v>100</v>
      </c>
      <c r="B8" t="s">
        <v>94</v>
      </c>
      <c r="C8">
        <v>0.115</v>
      </c>
      <c r="D8">
        <v>0.161</v>
      </c>
      <c r="E8">
        <v>0.41399999999999998</v>
      </c>
      <c r="F8">
        <v>6.6000000000000003E-2</v>
      </c>
      <c r="G8">
        <v>0.223</v>
      </c>
      <c r="H8">
        <v>25</v>
      </c>
      <c r="I8">
        <v>1</v>
      </c>
      <c r="J8">
        <v>0</v>
      </c>
    </row>
    <row r="9" spans="1:10" x14ac:dyDescent="0.25">
      <c r="A9" t="s">
        <v>101</v>
      </c>
      <c r="B9" t="s">
        <v>94</v>
      </c>
      <c r="C9">
        <v>0.114</v>
      </c>
      <c r="D9">
        <v>0.20699999999999999</v>
      </c>
      <c r="E9">
        <v>2.64</v>
      </c>
      <c r="F9">
        <v>0.33300000000000002</v>
      </c>
      <c r="G9">
        <v>0.26300000000000001</v>
      </c>
      <c r="H9">
        <v>57</v>
      </c>
      <c r="I9">
        <v>0</v>
      </c>
      <c r="J9">
        <v>0</v>
      </c>
    </row>
    <row r="10" spans="1:10" x14ac:dyDescent="0.25">
      <c r="A10" t="s">
        <v>102</v>
      </c>
      <c r="B10" t="s">
        <v>94</v>
      </c>
      <c r="C10">
        <v>0.104</v>
      </c>
      <c r="D10">
        <v>0.189</v>
      </c>
      <c r="E10">
        <v>2.1070000000000002</v>
      </c>
      <c r="F10">
        <v>0.25600000000000001</v>
      </c>
      <c r="G10">
        <v>0.184</v>
      </c>
      <c r="H10">
        <v>92</v>
      </c>
      <c r="I10">
        <v>0</v>
      </c>
      <c r="J10">
        <v>0</v>
      </c>
    </row>
    <row r="11" spans="1:10" x14ac:dyDescent="0.25">
      <c r="A11" t="s">
        <v>24</v>
      </c>
      <c r="B11" t="s">
        <v>94</v>
      </c>
      <c r="C11">
        <v>0.224</v>
      </c>
      <c r="D11">
        <v>0.48299999999999998</v>
      </c>
      <c r="E11">
        <v>8.968</v>
      </c>
      <c r="F11">
        <v>0.83099999999999996</v>
      </c>
      <c r="G11">
        <v>0.67900000000000005</v>
      </c>
      <c r="H11">
        <v>144</v>
      </c>
      <c r="I11">
        <v>0</v>
      </c>
      <c r="J11">
        <v>0</v>
      </c>
    </row>
    <row r="12" spans="1:10" x14ac:dyDescent="0.25">
      <c r="A12" t="s">
        <v>86</v>
      </c>
      <c r="B12" t="s">
        <v>94</v>
      </c>
      <c r="C12">
        <v>0.19900000000000001</v>
      </c>
      <c r="D12">
        <v>0.65200000000000002</v>
      </c>
      <c r="E12">
        <v>11.465</v>
      </c>
      <c r="F12">
        <v>1.899</v>
      </c>
      <c r="G12">
        <v>0.504</v>
      </c>
      <c r="H12">
        <v>34</v>
      </c>
      <c r="I12">
        <v>0</v>
      </c>
      <c r="J12">
        <v>0</v>
      </c>
    </row>
    <row r="13" spans="1:10" x14ac:dyDescent="0.25">
      <c r="A13" t="s">
        <v>103</v>
      </c>
      <c r="B13" t="s">
        <v>94</v>
      </c>
      <c r="C13">
        <v>0.152</v>
      </c>
      <c r="D13">
        <v>0.255</v>
      </c>
      <c r="E13">
        <v>2.6960000000000002</v>
      </c>
      <c r="F13">
        <v>0.20499999999999999</v>
      </c>
      <c r="G13">
        <v>0.34399999999999997</v>
      </c>
      <c r="H13">
        <v>178</v>
      </c>
      <c r="I13">
        <v>0</v>
      </c>
      <c r="J13">
        <v>0</v>
      </c>
    </row>
    <row r="14" spans="1:10" x14ac:dyDescent="0.25">
      <c r="A14" t="s">
        <v>104</v>
      </c>
      <c r="B14" t="s">
        <v>94</v>
      </c>
      <c r="C14">
        <v>0.77800000000000002</v>
      </c>
      <c r="D14">
        <v>1.446</v>
      </c>
      <c r="E14">
        <v>13.048999999999999</v>
      </c>
      <c r="F14">
        <v>2.1110000000000002</v>
      </c>
      <c r="G14">
        <v>1.623</v>
      </c>
      <c r="H14">
        <v>33</v>
      </c>
      <c r="I14">
        <v>0</v>
      </c>
      <c r="J14">
        <v>0</v>
      </c>
    </row>
    <row r="15" spans="1:10" x14ac:dyDescent="0.25">
      <c r="A15" t="s">
        <v>105</v>
      </c>
      <c r="B15" t="s">
        <v>94</v>
      </c>
      <c r="C15">
        <v>1.44</v>
      </c>
      <c r="D15">
        <v>2.3420000000000001</v>
      </c>
      <c r="E15">
        <v>19.016999999999999</v>
      </c>
      <c r="F15">
        <v>2.7629999999999999</v>
      </c>
      <c r="G15">
        <v>4.1509999999999998</v>
      </c>
      <c r="H15">
        <v>45</v>
      </c>
      <c r="I15">
        <v>0</v>
      </c>
      <c r="J15">
        <v>0</v>
      </c>
    </row>
    <row r="16" spans="1:10" x14ac:dyDescent="0.25">
      <c r="A16" t="s">
        <v>106</v>
      </c>
      <c r="B16" t="s">
        <v>94</v>
      </c>
      <c r="C16">
        <v>0.69399999999999995</v>
      </c>
      <c r="D16">
        <v>1.014</v>
      </c>
      <c r="E16">
        <v>2.077</v>
      </c>
      <c r="F16">
        <v>0.36599999999999999</v>
      </c>
      <c r="G16">
        <v>1.637</v>
      </c>
      <c r="H16">
        <v>24</v>
      </c>
      <c r="I16">
        <v>0</v>
      </c>
      <c r="J16">
        <v>0</v>
      </c>
    </row>
    <row r="17" spans="1:10" x14ac:dyDescent="0.25">
      <c r="A17" t="s">
        <v>107</v>
      </c>
      <c r="B17" t="s">
        <v>94</v>
      </c>
      <c r="C17">
        <v>0.98599999999999999</v>
      </c>
      <c r="D17">
        <v>1.61</v>
      </c>
      <c r="E17">
        <v>6.6539999999999999</v>
      </c>
      <c r="F17">
        <v>1.294</v>
      </c>
      <c r="G17">
        <v>1.9570000000000001</v>
      </c>
      <c r="H17">
        <v>25</v>
      </c>
      <c r="I17">
        <v>1</v>
      </c>
      <c r="J17">
        <v>0</v>
      </c>
    </row>
    <row r="18" spans="1:10" x14ac:dyDescent="0.25">
      <c r="A18" t="s">
        <v>108</v>
      </c>
      <c r="B18" t="s">
        <v>94</v>
      </c>
      <c r="C18">
        <v>1.109</v>
      </c>
      <c r="D18">
        <v>1.9690000000000001</v>
      </c>
      <c r="E18">
        <v>14.016999999999999</v>
      </c>
      <c r="F18">
        <v>2.3239999999999998</v>
      </c>
      <c r="G18">
        <v>3.5369999999999999</v>
      </c>
      <c r="H18">
        <v>35</v>
      </c>
      <c r="I18">
        <v>0</v>
      </c>
      <c r="J18">
        <v>0</v>
      </c>
    </row>
    <row r="19" spans="1:10" x14ac:dyDescent="0.25">
      <c r="A19" t="s">
        <v>109</v>
      </c>
      <c r="B19" t="s">
        <v>94</v>
      </c>
      <c r="C19">
        <v>1.56</v>
      </c>
      <c r="D19">
        <v>2.4740000000000002</v>
      </c>
      <c r="E19">
        <v>7.1920000000000002</v>
      </c>
      <c r="F19">
        <v>1.5089999999999999</v>
      </c>
      <c r="G19">
        <v>3.153</v>
      </c>
      <c r="H19">
        <v>12</v>
      </c>
      <c r="I19">
        <v>0</v>
      </c>
      <c r="J1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workbookViewId="0">
      <selection activeCell="H17" sqref="H17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66" t="s">
        <v>33</v>
      </c>
      <c r="F9" s="66"/>
      <c r="G9" s="66"/>
      <c r="H9" s="66"/>
      <c r="I9" s="66"/>
    </row>
    <row r="11" spans="5:9" ht="28.5" x14ac:dyDescent="0.25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.75" x14ac:dyDescent="0.25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 x14ac:dyDescent="0.25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66" t="s">
        <v>31</v>
      </c>
      <c r="F23" s="66"/>
      <c r="G23" s="66"/>
      <c r="H23" s="66"/>
      <c r="I23" s="66"/>
    </row>
    <row r="25" spans="5:9" x14ac:dyDescent="0.25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5.75" x14ac:dyDescent="0.25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66" t="s">
        <v>32</v>
      </c>
      <c r="F35" s="66"/>
      <c r="G35" s="66"/>
      <c r="H35" s="66"/>
      <c r="I35" s="66"/>
    </row>
    <row r="37" spans="5:15" x14ac:dyDescent="0.25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5.75" x14ac:dyDescent="0.25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5.75" x14ac:dyDescent="0.25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5.75" x14ac:dyDescent="0.25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Шаблоны соотвествие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DIMA</cp:lastModifiedBy>
  <dcterms:created xsi:type="dcterms:W3CDTF">2015-06-05T18:19:34Z</dcterms:created>
  <dcterms:modified xsi:type="dcterms:W3CDTF">2022-09-20T13:22:24Z</dcterms:modified>
</cp:coreProperties>
</file>