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ratégico" sheetId="1" r:id="rId3"/>
    <sheet state="visible" name="Tático" sheetId="2" r:id="rId4"/>
    <sheet state="visible" name="Adm-Fin" sheetId="3" r:id="rId5"/>
    <sheet state="visible" name="MKT" sheetId="4" r:id="rId6"/>
    <sheet state="visible" name="Pres" sheetId="5" r:id="rId7"/>
    <sheet state="visible" name="Proj" sheetId="6" r:id="rId8"/>
    <sheet state="visible" name="AeC" sheetId="7" r:id="rId9"/>
    <sheet state="visible" name="VP" sheetId="8" r:id="rId10"/>
  </sheets>
  <definedNames/>
  <calcPr/>
</workbook>
</file>

<file path=xl/sharedStrings.xml><?xml version="1.0" encoding="utf-8"?>
<sst xmlns="http://schemas.openxmlformats.org/spreadsheetml/2006/main" count="429" uniqueCount="204">
  <si>
    <t>Indicadores</t>
  </si>
  <si>
    <t xml:space="preserve">  </t>
  </si>
  <si>
    <t>1º Trimestre Total</t>
  </si>
  <si>
    <t>Abril</t>
  </si>
  <si>
    <t>Maio</t>
  </si>
  <si>
    <t>Junho</t>
  </si>
  <si>
    <t>2º Trimestre total</t>
  </si>
  <si>
    <t>Julho</t>
  </si>
  <si>
    <t>Agosto</t>
  </si>
  <si>
    <t>Setembro</t>
  </si>
  <si>
    <t>3º Trimestre Total</t>
  </si>
  <si>
    <t>Outubro</t>
  </si>
  <si>
    <t>Novembro</t>
  </si>
  <si>
    <t>Dezembro</t>
  </si>
  <si>
    <t>4º Trimestre Total</t>
  </si>
  <si>
    <t>Anual</t>
  </si>
  <si>
    <t>% Selo EJ</t>
  </si>
  <si>
    <t>Mercado</t>
  </si>
  <si>
    <t>Objetivo</t>
  </si>
  <si>
    <t>Responsável</t>
  </si>
  <si>
    <t>KPI</t>
  </si>
  <si>
    <t>Meta 1º</t>
  </si>
  <si>
    <t>1° Trimestre</t>
  </si>
  <si>
    <t>Meta 2º</t>
  </si>
  <si>
    <t>Entradas</t>
  </si>
  <si>
    <t>2° Trimestre</t>
  </si>
  <si>
    <t>Meta 3º</t>
  </si>
  <si>
    <t>3° Trimestre</t>
  </si>
  <si>
    <t>Meta 4º</t>
  </si>
  <si>
    <t>4° Trimestre</t>
  </si>
  <si>
    <t>Meta Anual</t>
  </si>
  <si>
    <t>Fortalecer nossa marca</t>
  </si>
  <si>
    <t>Bento</t>
  </si>
  <si>
    <t>Saídas</t>
  </si>
  <si>
    <t>Parceiros</t>
  </si>
  <si>
    <t>Apaixonar nossos clientes</t>
  </si>
  <si>
    <t>Caixa</t>
  </si>
  <si>
    <t>Charles</t>
  </si>
  <si>
    <t>%Auditoria</t>
  </si>
  <si>
    <t xml:space="preserve"> Satisfação do Cliente</t>
  </si>
  <si>
    <t>Alencar</t>
  </si>
  <si>
    <t>Clientes prospecção passiva</t>
  </si>
  <si>
    <t>Eventos de Mercado</t>
  </si>
  <si>
    <t>Clientes Fidelizados</t>
  </si>
  <si>
    <t>Propostas Apresentadas</t>
  </si>
  <si>
    <t>Funil de Vendas</t>
  </si>
  <si>
    <t>Cliente</t>
  </si>
  <si>
    <t>Prospecção</t>
  </si>
  <si>
    <t>Contrato Fechado</t>
  </si>
  <si>
    <t>Trimestre</t>
  </si>
  <si>
    <t>Cansar a equipe de vendas</t>
  </si>
  <si>
    <t>Nº de contatos</t>
  </si>
  <si>
    <t>Contatos</t>
  </si>
  <si>
    <t>Ter um front de alta performance</t>
  </si>
  <si>
    <t>Faturamento</t>
  </si>
  <si>
    <t>Mazzano</t>
  </si>
  <si>
    <t>Passiva</t>
  </si>
  <si>
    <t>Não</t>
  </si>
  <si>
    <t>Leads</t>
  </si>
  <si>
    <t>Serviços</t>
  </si>
  <si>
    <t>Prospects</t>
  </si>
  <si>
    <t>Hotel Manary</t>
  </si>
  <si>
    <t>Clientes prospecção ativa</t>
  </si>
  <si>
    <t>Ticket Médio</t>
  </si>
  <si>
    <t>Efetividade em negociação</t>
  </si>
  <si>
    <t>Pessoas</t>
  </si>
  <si>
    <t>Pão Petrópolis</t>
  </si>
  <si>
    <t>Ativa</t>
  </si>
  <si>
    <t>Pilhados em Resultado</t>
  </si>
  <si>
    <t>Lara</t>
  </si>
  <si>
    <t>Produtividade</t>
  </si>
  <si>
    <t>Contratantes de Prospecção Ativa</t>
  </si>
  <si>
    <t>Membros Capacitados e Pilhados</t>
  </si>
  <si>
    <t>PCO</t>
  </si>
  <si>
    <t>QLimpo</t>
  </si>
  <si>
    <t>Horas de Treinamento</t>
  </si>
  <si>
    <t>Desempenho de membros</t>
  </si>
  <si>
    <t>Turnover</t>
  </si>
  <si>
    <t>Fidelizada</t>
  </si>
  <si>
    <t>Execução</t>
  </si>
  <si>
    <t>Comparecimento em treinamentos</t>
  </si>
  <si>
    <t>Olimpo</t>
  </si>
  <si>
    <t>1 trimestre</t>
  </si>
  <si>
    <t>Projetos Eficientes</t>
  </si>
  <si>
    <t>2 tri</t>
  </si>
  <si>
    <t>Projetos entregues no prazo</t>
  </si>
  <si>
    <t>3 tri</t>
  </si>
  <si>
    <t>4 tri</t>
  </si>
  <si>
    <t>Casa dos Salgados</t>
  </si>
  <si>
    <t>Sim</t>
  </si>
  <si>
    <t>Eficiencia orçamentária</t>
  </si>
  <si>
    <t>Bomfrigo Alimentos</t>
  </si>
  <si>
    <t>Comparecimento em evento MEJ</t>
  </si>
  <si>
    <t>AK Camisetas</t>
  </si>
  <si>
    <t>Harmony Center</t>
  </si>
  <si>
    <t>Braseco</t>
  </si>
  <si>
    <t>Boa Esperança</t>
  </si>
  <si>
    <t>Hiper</t>
  </si>
  <si>
    <t>Deixar o Adm-Fin feliz</t>
  </si>
  <si>
    <t>Super show</t>
  </si>
  <si>
    <t>Luz</t>
  </si>
  <si>
    <t>Selo EJ</t>
  </si>
  <si>
    <t>Indiano</t>
  </si>
  <si>
    <t>Projetos de excelencia</t>
  </si>
  <si>
    <t>Tempo médio de projetos</t>
  </si>
  <si>
    <t>Cecafes</t>
  </si>
  <si>
    <t>Sustentabilidade Financeira</t>
  </si>
  <si>
    <t>Projetos auditados</t>
  </si>
  <si>
    <t>Soma</t>
  </si>
  <si>
    <t>total a</t>
  </si>
  <si>
    <t>total p</t>
  </si>
  <si>
    <t>total f</t>
  </si>
  <si>
    <t>Parcerias</t>
  </si>
  <si>
    <t>Comparecimento em Evento MEJ</t>
  </si>
  <si>
    <t>Eventos</t>
  </si>
  <si>
    <t>Descritivo</t>
  </si>
  <si>
    <t>% de membros</t>
  </si>
  <si>
    <t>1º T</t>
  </si>
  <si>
    <t>2º T</t>
  </si>
  <si>
    <t>3º T</t>
  </si>
  <si>
    <t>4º T</t>
  </si>
  <si>
    <t>Café com negócio</t>
  </si>
  <si>
    <t>Impulsiona</t>
  </si>
  <si>
    <t>Pulso 1</t>
  </si>
  <si>
    <t>Contratante</t>
  </si>
  <si>
    <t>Gerente</t>
  </si>
  <si>
    <t>NºConsultores</t>
  </si>
  <si>
    <t>Nº de serviços</t>
  </si>
  <si>
    <t>Descrição dos Serviços</t>
  </si>
  <si>
    <t>Data da assinatura do contrato</t>
  </si>
  <si>
    <t>Trimestre de assinatura</t>
  </si>
  <si>
    <t>Data de inicio da execução</t>
  </si>
  <si>
    <t>Data de encerramento prevista</t>
  </si>
  <si>
    <t>Data de encerramento Real</t>
  </si>
  <si>
    <t>Entregue no prazo</t>
  </si>
  <si>
    <t>Trimestre de encerramento</t>
  </si>
  <si>
    <t>Tempo do projeto em dias úteis</t>
  </si>
  <si>
    <t>Gastos Previstos</t>
  </si>
  <si>
    <t>Gastos Reais</t>
  </si>
  <si>
    <t>Tipo de Prospecção</t>
  </si>
  <si>
    <t>RC março</t>
  </si>
  <si>
    <t>NPS do Projeto</t>
  </si>
  <si>
    <t>Valor do Projeto</t>
  </si>
  <si>
    <t>promotor</t>
  </si>
  <si>
    <t>satiz</t>
  </si>
  <si>
    <t>detrat</t>
  </si>
  <si>
    <t>1 tri</t>
  </si>
  <si>
    <t>Favorito</t>
  </si>
  <si>
    <t>Charles e Bento</t>
  </si>
  <si>
    <t>Gestão de geradores e Análise de Quadro de transmissão automática</t>
  </si>
  <si>
    <t>Treinamentos</t>
  </si>
  <si>
    <t>Destine'18</t>
  </si>
  <si>
    <t>Promotor</t>
  </si>
  <si>
    <t>total</t>
  </si>
  <si>
    <t>Descrição</t>
  </si>
  <si>
    <t>Duração em horas</t>
  </si>
  <si>
    <t>% de Presentes</t>
  </si>
  <si>
    <t>Nº de membros/ano</t>
  </si>
  <si>
    <t>Portto</t>
  </si>
  <si>
    <t>RP Mossoró</t>
  </si>
  <si>
    <t>Impulso</t>
  </si>
  <si>
    <t>Arthur</t>
  </si>
  <si>
    <t>Análise tarifária, gestão energética, laudo técnico</t>
  </si>
  <si>
    <t>Gerenciamento do tempo</t>
  </si>
  <si>
    <t>62, 5</t>
  </si>
  <si>
    <t>Nº de desligamentos</t>
  </si>
  <si>
    <t>2 tri p</t>
  </si>
  <si>
    <t>3 tri p</t>
  </si>
  <si>
    <t>4 tri p</t>
  </si>
  <si>
    <t>1 tri d</t>
  </si>
  <si>
    <t>2 tri d</t>
  </si>
  <si>
    <t>3 tri d</t>
  </si>
  <si>
    <t>4 tri d</t>
  </si>
  <si>
    <t>BomFrigo</t>
  </si>
  <si>
    <t xml:space="preserve">Qualificação de Leads </t>
  </si>
  <si>
    <t>56, 25</t>
  </si>
  <si>
    <t>Evento mercado</t>
  </si>
  <si>
    <t>Total</t>
  </si>
  <si>
    <t>Nota na pesquisa de desempenho</t>
  </si>
  <si>
    <t>ArtKamizetas</t>
  </si>
  <si>
    <t>Análise tarifária</t>
  </si>
  <si>
    <t>CFP</t>
  </si>
  <si>
    <t>Harmony</t>
  </si>
  <si>
    <t>Bruno</t>
  </si>
  <si>
    <t>Análise tarifária, Estudo de viabilidade de geradores e gestão energética</t>
  </si>
  <si>
    <t>BRASECO</t>
  </si>
  <si>
    <t>Análise tarifária, Estudo de viabilidade de geradores, correção de fator de potência e laudo técnico</t>
  </si>
  <si>
    <t>Nota no PCO</t>
  </si>
  <si>
    <t>Super Show</t>
  </si>
  <si>
    <t>Estudo de viabilidade de geradores e gestão energética</t>
  </si>
  <si>
    <t>Comparecimento</t>
  </si>
  <si>
    <t>Horas</t>
  </si>
  <si>
    <t>gt</t>
  </si>
  <si>
    <t>dias de proj</t>
  </si>
  <si>
    <t>ultimo</t>
  </si>
  <si>
    <t>Sum</t>
  </si>
  <si>
    <t>soma</t>
  </si>
  <si>
    <t>x</t>
  </si>
  <si>
    <t>eficiencia orc</t>
  </si>
  <si>
    <t>1 tr</t>
  </si>
  <si>
    <t>data prevista</t>
  </si>
  <si>
    <t>ulti</t>
  </si>
  <si>
    <t>total/tri</t>
  </si>
  <si>
    <t>somas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</si>
</sst>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dd/mm/yyyy"/>
    <numFmt numFmtId="166" formatCode="&quot;R$&quot;#,##0"/>
    <numFmt numFmtId="167" formatCode="&quot;R$&quot;#,##0.00"/>
    <numFmt numFmtId="168" formatCode="M/d/yyyy"/>
    <numFmt numFmtId="169" formatCode="[$R$]#,##0.00"/>
  </numFmts>
  <fonts count="11">
    <font>
      <sz val="11.0"/>
      <color rgb="FF000000"/>
      <name val="Calibri"/>
    </font>
    <font>
      <color rgb="FFFFFFFF"/>
    </font>
    <font>
      <sz val="11.0"/>
      <color rgb="FFFFFFFF"/>
      <name val="Calibri"/>
    </font>
    <font/>
    <font>
      <sz val="11.0"/>
      <name val="Calibri"/>
    </font>
    <font>
      <color rgb="FF000000"/>
    </font>
    <font>
      <sz val="11.0"/>
      <color rgb="FF000000"/>
      <name val="Inconsolata"/>
    </font>
    <font>
      <sz val="11.0"/>
      <color rgb="FFFF0000"/>
      <name val="Calibri"/>
    </font>
    <font>
      <sz val="11.0"/>
      <color rgb="FFFFFFFF"/>
      <name val="Inconsolata"/>
    </font>
    <font>
      <b/>
      <color rgb="FFFFFFFF"/>
    </font>
    <font>
      <i/>
      <color rgb="FFFFFFFF"/>
    </font>
  </fonts>
  <fills count="9">
    <fill>
      <patternFill patternType="none"/>
    </fill>
    <fill>
      <patternFill patternType="lightGray"/>
    </fill>
    <fill>
      <patternFill patternType="solid">
        <fgColor rgb="FF006633"/>
        <bgColor rgb="FF006633"/>
      </patternFill>
    </fill>
    <fill>
      <patternFill patternType="solid">
        <fgColor rgb="FFFFFFFF"/>
        <bgColor rgb="FFFFFFFF"/>
      </patternFill>
    </fill>
    <fill>
      <patternFill patternType="solid">
        <fgColor rgb="FF319024"/>
        <bgColor rgb="FF319024"/>
      </patternFill>
    </fill>
    <fill>
      <patternFill patternType="solid">
        <fgColor rgb="FFCBCBCB"/>
        <bgColor rgb="FFCBCBCB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6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CCCCC"/>
      </right>
      <bottom style="thin">
        <color rgb="FFCCCCCC"/>
      </bottom>
    </border>
    <border>
      <left style="thin">
        <color rgb="FF000000"/>
      </left>
      <right style="thin">
        <color rgb="FF000000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right style="thin">
        <color rgb="FFCCCCCC"/>
      </right>
      <top style="thin">
        <color rgb="FF000000"/>
      </top>
      <bottom style="thin">
        <color rgb="FFCCCCCC"/>
      </bottom>
    </border>
    <border>
      <top style="thin">
        <color rgb="FF000000"/>
      </top>
    </border>
    <border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D9D9D9"/>
      </right>
      <bottom style="thin">
        <color rgb="FFD9D9D9"/>
      </bottom>
    </border>
    <border>
      <left style="thin">
        <color rgb="FFD9D9D9"/>
      </lef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D9D9D9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D9D9D9"/>
      </left>
      <right style="thin">
        <color rgb="FF000000"/>
      </right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000000"/>
      </right>
      <top style="thin">
        <color rgb="FFCCCCCC"/>
      </top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D9D9D9"/>
      </left>
      <top style="thin">
        <color rgb="FFD9D9D9"/>
      </top>
    </border>
    <border>
      <left style="thin">
        <color rgb="FF000000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000000"/>
      </bottom>
    </border>
    <border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000000"/>
      </left>
      <bottom style="thin">
        <color rgb="FFD9D9D9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bottom style="thin">
        <color rgb="FFD9D9D9"/>
      </bottom>
    </border>
    <border>
      <left style="thin">
        <color rgb="FF000000"/>
      </lef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</border>
    <border>
      <left style="thin">
        <color rgb="FF000000"/>
      </left>
      <top style="thin">
        <color rgb="FFD9D9D9"/>
      </top>
    </border>
    <border>
      <left style="thin">
        <color rgb="FFCCCCCC"/>
      </left>
      <right style="thin">
        <color rgb="FF000000"/>
      </right>
      <top style="thin">
        <color rgb="FFD9D9D9"/>
      </top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bottom style="thin">
        <color rgb="FFCCCCCC"/>
      </bottom>
    </border>
    <border>
      <left style="thin">
        <color rgb="FF000000"/>
      </left>
      <right style="thin">
        <color rgb="FFCCCCCC"/>
      </right>
      <bottom style="thin">
        <color rgb="FFCCCCCC"/>
      </bottom>
    </border>
    <border>
      <right style="thin">
        <color rgb="FF000000"/>
      </right>
    </border>
    <border>
      <left style="thin">
        <color rgb="FFCCCCCC"/>
      </left>
      <top style="thin">
        <color rgb="FFCCCCCC"/>
      </top>
      <bottom style="thin">
        <color rgb="FF000000"/>
      </bottom>
    </border>
    <border>
      <left style="thin">
        <color rgb="FF6C6C6C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6C6C6C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6C6C6C"/>
      </left>
      <right style="thin">
        <color rgb="FFD9D9D9"/>
      </right>
      <top style="thin">
        <color rgb="FFD9D9D9"/>
      </top>
      <bottom style="thin">
        <color rgb="FF000000"/>
      </bottom>
    </border>
    <border>
      <right style="thin">
        <color rgb="FFCCCCCC"/>
      </right>
      <bottom style="thin">
        <color rgb="FF000000"/>
      </bottom>
    </border>
  </borders>
  <cellStyleXfs count="1">
    <xf borderId="0" fillId="0" fontId="0" numFmtId="0" applyAlignment="1" applyFont="1"/>
  </cellStyleXfs>
  <cellXfs count="3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 shrinkToFit="0" vertical="bottom" wrapText="0"/>
    </xf>
    <xf borderId="0" fillId="3" fontId="3" numFmtId="0" xfId="0" applyAlignment="1" applyFill="1" applyFont="1">
      <alignment readingOrder="0"/>
    </xf>
    <xf borderId="2" fillId="2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4" fontId="2" numFmtId="0" xfId="0" applyAlignment="1" applyBorder="1" applyFill="1" applyFont="1">
      <alignment readingOrder="0" shrinkToFit="0" vertical="bottom" wrapText="0"/>
    </xf>
    <xf borderId="3" fillId="2" fontId="2" numFmtId="0" xfId="0" applyAlignment="1" applyBorder="1" applyFont="1">
      <alignment horizontal="center"/>
    </xf>
    <xf borderId="0" fillId="3" fontId="3" numFmtId="0" xfId="0" applyFont="1"/>
    <xf borderId="4" fillId="0" fontId="3" numFmtId="0" xfId="0" applyBorder="1" applyFont="1"/>
    <xf borderId="5" fillId="3" fontId="0" numFmtId="10" xfId="0" applyAlignment="1" applyBorder="1" applyFont="1" applyNumberFormat="1">
      <alignment readingOrder="0" shrinkToFit="0" vertical="bottom" wrapText="0"/>
    </xf>
    <xf borderId="6" fillId="4" fontId="4" numFmtId="0" xfId="0" applyAlignment="1" applyBorder="1" applyFont="1">
      <alignment horizontal="center"/>
    </xf>
    <xf borderId="7" fillId="3" fontId="0" numFmtId="10" xfId="0" applyAlignment="1" applyBorder="1" applyFont="1" applyNumberFormat="1">
      <alignment readingOrder="0" shrinkToFit="0" vertical="bottom" wrapText="0"/>
    </xf>
    <xf borderId="8" fillId="4" fontId="3" numFmtId="0" xfId="0" applyAlignment="1" applyBorder="1" applyFont="1">
      <alignment horizontal="center" readingOrder="0"/>
    </xf>
    <xf borderId="9" fillId="4" fontId="4" numFmtId="0" xfId="0" applyAlignment="1" applyBorder="1" applyFont="1">
      <alignment horizontal="center"/>
    </xf>
    <xf borderId="7" fillId="3" fontId="0" numFmtId="10" xfId="0" applyAlignment="1" applyBorder="1" applyFont="1" applyNumberFormat="1">
      <alignment shrinkToFit="0" vertical="bottom" wrapText="0"/>
    </xf>
    <xf borderId="3" fillId="4" fontId="3" numFmtId="0" xfId="0" applyAlignment="1" applyBorder="1" applyFont="1">
      <alignment horizontal="center" readingOrder="0"/>
    </xf>
    <xf borderId="10" fillId="4" fontId="4" numFmtId="0" xfId="0" applyAlignment="1" applyBorder="1" applyFont="1">
      <alignment horizontal="center"/>
    </xf>
    <xf borderId="11" fillId="3" fontId="0" numFmtId="10" xfId="0" applyAlignment="1" applyBorder="1" applyFont="1" applyNumberFormat="1">
      <alignment shrinkToFit="0" vertical="bottom" wrapText="0"/>
    </xf>
    <xf borderId="4" fillId="4" fontId="3" numFmtId="0" xfId="0" applyAlignment="1" applyBorder="1" applyFont="1">
      <alignment horizontal="center" readingOrder="0"/>
    </xf>
    <xf borderId="0" fillId="3" fontId="2" numFmtId="0" xfId="0" applyAlignment="1" applyFont="1">
      <alignment horizontal="center"/>
    </xf>
    <xf borderId="4" fillId="4" fontId="4" numFmtId="0" xfId="0" applyAlignment="1" applyBorder="1" applyFont="1">
      <alignment horizontal="center" readingOrder="0"/>
    </xf>
    <xf borderId="12" fillId="3" fontId="0" numFmtId="164" xfId="0" applyAlignment="1" applyBorder="1" applyFont="1" applyNumberFormat="1">
      <alignment readingOrder="0" shrinkToFit="0" vertical="bottom" wrapText="0"/>
    </xf>
    <xf borderId="3" fillId="4" fontId="4" numFmtId="0" xfId="0" applyAlignment="1" applyBorder="1" applyFont="1">
      <alignment horizontal="center"/>
    </xf>
    <xf borderId="13" fillId="3" fontId="0" numFmtId="164" xfId="0" applyAlignment="1" applyBorder="1" applyFont="1" applyNumberFormat="1">
      <alignment shrinkToFit="0" vertical="bottom" wrapText="0"/>
    </xf>
    <xf borderId="0" fillId="4" fontId="3" numFmtId="0" xfId="0" applyAlignment="1" applyFont="1">
      <alignment readingOrder="0"/>
    </xf>
    <xf borderId="13" fillId="3" fontId="0" numFmtId="164" xfId="0" applyAlignment="1" applyBorder="1" applyFont="1" applyNumberFormat="1">
      <alignment readingOrder="0" shrinkToFit="0" vertical="bottom" wrapText="0"/>
    </xf>
    <xf borderId="2" fillId="5" fontId="0" numFmtId="0" xfId="0" applyAlignment="1" applyBorder="1" applyFill="1" applyFont="1">
      <alignment horizontal="center"/>
    </xf>
    <xf borderId="3" fillId="4" fontId="4" numFmtId="0" xfId="0" applyAlignment="1" applyBorder="1" applyFont="1">
      <alignment horizontal="left"/>
    </xf>
    <xf borderId="3" fillId="4" fontId="3" numFmtId="0" xfId="0" applyAlignment="1" applyBorder="1" applyFont="1">
      <alignment readingOrder="0"/>
    </xf>
    <xf borderId="14" fillId="3" fontId="0" numFmtId="164" xfId="0" applyAlignment="1" applyBorder="1" applyFont="1" applyNumberFormat="1">
      <alignment shrinkToFit="0" vertical="bottom" wrapText="0"/>
    </xf>
    <xf borderId="1" fillId="6" fontId="3" numFmtId="0" xfId="0" applyAlignment="1" applyBorder="1" applyFill="1" applyFont="1">
      <alignment horizontal="center" readingOrder="0"/>
    </xf>
    <xf borderId="3" fillId="4" fontId="0" numFmtId="0" xfId="0" applyAlignment="1" applyBorder="1" applyFont="1">
      <alignment readingOrder="0" shrinkToFit="0" vertical="bottom" wrapText="0"/>
    </xf>
    <xf borderId="1" fillId="6" fontId="0" numFmtId="0" xfId="0" applyAlignment="1" applyBorder="1" applyFont="1">
      <alignment horizontal="left"/>
    </xf>
    <xf borderId="12" fillId="3" fontId="0" numFmtId="164" xfId="0" applyAlignment="1" applyBorder="1" applyFont="1" applyNumberFormat="1">
      <alignment shrinkToFit="0" vertical="bottom" wrapText="0"/>
    </xf>
    <xf borderId="15" fillId="5" fontId="0" numFmtId="0" xfId="0" applyAlignment="1" applyBorder="1" applyFont="1">
      <alignment horizontal="center"/>
    </xf>
    <xf borderId="16" fillId="6" fontId="5" numFmtId="0" xfId="0" applyAlignment="1" applyBorder="1" applyFont="1">
      <alignment horizontal="center" readingOrder="0"/>
    </xf>
    <xf borderId="17" fillId="0" fontId="3" numFmtId="0" xfId="0" applyBorder="1" applyFont="1"/>
    <xf borderId="11" fillId="6" fontId="0" numFmtId="0" xfId="0" applyAlignment="1" applyBorder="1" applyFont="1">
      <alignment horizontal="center" readingOrder="0"/>
    </xf>
    <xf borderId="1" fillId="6" fontId="3" numFmtId="0" xfId="0" applyAlignment="1" applyBorder="1" applyFont="1">
      <alignment readingOrder="0"/>
    </xf>
    <xf borderId="18" fillId="6" fontId="5" numFmtId="0" xfId="0" applyAlignment="1" applyBorder="1" applyFont="1">
      <alignment horizontal="center" readingOrder="0"/>
    </xf>
    <xf borderId="3" fillId="7" fontId="0" numFmtId="0" xfId="0" applyAlignment="1" applyBorder="1" applyFill="1" applyFont="1">
      <alignment horizontal="left"/>
    </xf>
    <xf borderId="19" fillId="6" fontId="0" numFmtId="0" xfId="0" applyAlignment="1" applyBorder="1" applyFont="1">
      <alignment horizontal="center"/>
    </xf>
    <xf borderId="20" fillId="6" fontId="5" numFmtId="10" xfId="0" applyAlignment="1" applyBorder="1" applyFont="1" applyNumberFormat="1">
      <alignment horizontal="center"/>
    </xf>
    <xf borderId="21" fillId="6" fontId="0" numFmtId="0" xfId="0" applyAlignment="1" applyBorder="1" applyFont="1">
      <alignment horizontal="center"/>
    </xf>
    <xf borderId="22" fillId="6" fontId="5" numFmtId="0" xfId="0" applyAlignment="1" applyBorder="1" applyFont="1">
      <alignment horizontal="center" readingOrder="0"/>
    </xf>
    <xf borderId="23" fillId="3" fontId="0" numFmtId="10" xfId="0" applyAlignment="1" applyBorder="1" applyFont="1" applyNumberFormat="1">
      <alignment readingOrder="0" shrinkToFit="0" vertical="bottom" wrapText="0"/>
    </xf>
    <xf borderId="18" fillId="6" fontId="0" numFmtId="0" xfId="0" applyAlignment="1" applyBorder="1" applyFont="1">
      <alignment horizontal="center"/>
    </xf>
    <xf borderId="24" fillId="3" fontId="0" numFmtId="10" xfId="0" applyAlignment="1" applyBorder="1" applyFont="1" applyNumberFormat="1">
      <alignment readingOrder="0" shrinkToFit="0" vertical="bottom" wrapText="0"/>
    </xf>
    <xf borderId="6" fillId="0" fontId="3" numFmtId="0" xfId="0" applyBorder="1" applyFont="1"/>
    <xf borderId="24" fillId="3" fontId="0" numFmtId="10" xfId="0" applyAlignment="1" applyBorder="1" applyFont="1" applyNumberFormat="1">
      <alignment shrinkToFit="0" vertical="bottom" wrapText="0"/>
    </xf>
    <xf borderId="1" fillId="3" fontId="0" numFmtId="0" xfId="0" applyAlignment="1" applyBorder="1" applyFont="1">
      <alignment horizontal="left"/>
    </xf>
    <xf borderId="12" fillId="3" fontId="5" numFmtId="0" xfId="0" applyAlignment="1" applyBorder="1" applyFont="1">
      <alignment horizontal="center"/>
    </xf>
    <xf borderId="25" fillId="3" fontId="0" numFmtId="10" xfId="0" applyAlignment="1" applyBorder="1" applyFont="1" applyNumberFormat="1">
      <alignment shrinkToFit="0" vertical="bottom" wrapText="0"/>
    </xf>
    <xf borderId="14" fillId="3" fontId="0" numFmtId="0" xfId="0" applyAlignment="1" applyBorder="1" applyFont="1">
      <alignment horizontal="center" readingOrder="0"/>
    </xf>
    <xf borderId="26" fillId="7" fontId="0" numFmtId="10" xfId="0" applyAlignment="1" applyBorder="1" applyFont="1" applyNumberFormat="1">
      <alignment horizontal="center" readingOrder="0"/>
    </xf>
    <xf borderId="27" fillId="3" fontId="5" numFmtId="0" xfId="0" applyAlignment="1" applyBorder="1" applyFont="1">
      <alignment horizontal="center"/>
    </xf>
    <xf borderId="28" fillId="3" fontId="6" numFmtId="0" xfId="0" applyAlignment="1" applyBorder="1" applyFont="1">
      <alignment horizontal="center"/>
    </xf>
    <xf borderId="26" fillId="6" fontId="0" numFmtId="10" xfId="0" applyAlignment="1" applyBorder="1" applyFont="1" applyNumberFormat="1">
      <alignment horizontal="center"/>
    </xf>
    <xf borderId="29" fillId="3" fontId="5" numFmtId="0" xfId="0" applyAlignment="1" applyBorder="1" applyFont="1">
      <alignment horizontal="center"/>
    </xf>
    <xf borderId="30" fillId="8" fontId="6" numFmtId="10" xfId="0" applyAlignment="1" applyBorder="1" applyFill="1" applyFont="1" applyNumberFormat="1">
      <alignment horizontal="center"/>
    </xf>
    <xf borderId="27" fillId="3" fontId="0" numFmtId="0" xfId="0" applyAlignment="1" applyBorder="1" applyFont="1">
      <alignment horizontal="center"/>
    </xf>
    <xf borderId="20" fillId="7" fontId="0" numFmtId="10" xfId="0" applyAlignment="1" applyBorder="1" applyFont="1" applyNumberFormat="1">
      <alignment horizontal="center" readingOrder="0" shrinkToFit="0" vertical="bottom" wrapText="0"/>
    </xf>
    <xf borderId="28" fillId="3" fontId="0" numFmtId="0" xfId="0" applyAlignment="1" applyBorder="1" applyFont="1">
      <alignment horizontal="center"/>
    </xf>
    <xf borderId="31" fillId="0" fontId="3" numFmtId="0" xfId="0" applyBorder="1" applyFont="1"/>
    <xf borderId="32" fillId="0" fontId="3" numFmtId="0" xfId="0" applyBorder="1" applyFont="1"/>
    <xf borderId="33" fillId="6" fontId="5" numFmtId="0" xfId="0" applyAlignment="1" applyBorder="1" applyFont="1">
      <alignment horizontal="center"/>
    </xf>
    <xf borderId="3" fillId="3" fontId="0" numFmtId="0" xfId="0" applyAlignment="1" applyBorder="1" applyFont="1">
      <alignment horizontal="left"/>
    </xf>
    <xf borderId="34" fillId="6" fontId="0" numFmtId="0" xfId="0" applyAlignment="1" applyBorder="1" applyFont="1">
      <alignment horizontal="center" readingOrder="0"/>
    </xf>
    <xf borderId="35" fillId="3" fontId="5" numFmtId="0" xfId="0" applyAlignment="1" applyBorder="1" applyFont="1">
      <alignment horizontal="center"/>
    </xf>
    <xf borderId="36" fillId="6" fontId="5" numFmtId="0" xfId="0" applyAlignment="1" applyBorder="1" applyFont="1">
      <alignment horizontal="center" readingOrder="0"/>
    </xf>
    <xf borderId="37" fillId="3" fontId="0" numFmtId="0" xfId="0" applyAlignment="1" applyBorder="1" applyFont="1">
      <alignment horizontal="center" readingOrder="0"/>
    </xf>
    <xf borderId="37" fillId="8" fontId="6" numFmtId="0" xfId="0" applyAlignment="1" applyBorder="1" applyFont="1">
      <alignment horizontal="center"/>
    </xf>
    <xf borderId="36" fillId="8" fontId="5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 shrinkToFit="0" vertical="bottom" wrapText="0"/>
    </xf>
    <xf borderId="38" fillId="8" fontId="6" numFmtId="0" xfId="0" applyAlignment="1" applyBorder="1" applyFont="1">
      <alignment horizontal="center"/>
    </xf>
    <xf borderId="10" fillId="0" fontId="3" numFmtId="0" xfId="0" applyBorder="1" applyFont="1"/>
    <xf borderId="39" fillId="8" fontId="5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 shrinkToFit="0" vertical="bottom" wrapText="0"/>
    </xf>
    <xf borderId="36" fillId="8" fontId="0" numFmtId="0" xfId="0" applyAlignment="1" applyBorder="1" applyFont="1">
      <alignment horizontal="center"/>
    </xf>
    <xf borderId="2" fillId="4" fontId="1" numFmtId="0" xfId="0" applyAlignment="1" applyBorder="1" applyFont="1">
      <alignment horizontal="center" readingOrder="0"/>
    </xf>
    <xf borderId="6" fillId="5" fontId="0" numFmtId="0" xfId="0" applyAlignment="1" applyBorder="1" applyFont="1">
      <alignment horizontal="center"/>
    </xf>
    <xf borderId="40" fillId="3" fontId="0" numFmtId="0" xfId="0" applyAlignment="1" applyBorder="1" applyFont="1">
      <alignment shrinkToFit="0" vertical="bottom" wrapText="0"/>
    </xf>
    <xf borderId="35" fillId="3" fontId="0" numFmtId="9" xfId="0" applyAlignment="1" applyBorder="1" applyFont="1" applyNumberFormat="1">
      <alignment horizontal="center" readingOrder="0" shrinkToFit="0" vertical="bottom" wrapText="0"/>
    </xf>
    <xf borderId="40" fillId="3" fontId="0" numFmtId="0" xfId="0" applyAlignment="1" applyBorder="1" applyFont="1">
      <alignment readingOrder="0" shrinkToFit="0" vertical="bottom" wrapText="0"/>
    </xf>
    <xf borderId="37" fillId="3" fontId="0" numFmtId="0" xfId="0" applyAlignment="1" applyBorder="1" applyFont="1">
      <alignment horizontal="center"/>
    </xf>
    <xf borderId="22" fillId="3" fontId="5" numFmtId="0" xfId="0" applyAlignment="1" applyBorder="1" applyFont="1">
      <alignment horizontal="center"/>
    </xf>
    <xf borderId="22" fillId="6" fontId="5" numFmtId="164" xfId="0" applyAlignment="1" applyBorder="1" applyFont="1" applyNumberFormat="1">
      <alignment horizontal="center" readingOrder="0"/>
    </xf>
    <xf borderId="21" fillId="3" fontId="0" numFmtId="0" xfId="0" applyAlignment="1" applyBorder="1" applyFont="1">
      <alignment horizontal="center" readingOrder="0"/>
    </xf>
    <xf borderId="19" fillId="7" fontId="0" numFmtId="164" xfId="0" applyAlignment="1" applyBorder="1" applyFont="1" applyNumberFormat="1">
      <alignment horizontal="center" readingOrder="0"/>
    </xf>
    <xf borderId="40" fillId="0" fontId="3" numFmtId="0" xfId="0" applyBorder="1" applyFont="1"/>
    <xf borderId="30" fillId="8" fontId="6" numFmtId="164" xfId="0" applyAlignment="1" applyBorder="1" applyFont="1" applyNumberFormat="1">
      <alignment horizontal="center"/>
    </xf>
    <xf borderId="22" fillId="8" fontId="5" numFmtId="164" xfId="0" applyAlignment="1" applyBorder="1" applyFont="1" applyNumberFormat="1">
      <alignment horizontal="center" readingOrder="0"/>
    </xf>
    <xf borderId="26" fillId="3" fontId="0" numFmtId="0" xfId="0" applyAlignment="1" applyBorder="1" applyFont="1">
      <alignment shrinkToFit="0" vertical="bottom" wrapText="0"/>
    </xf>
    <xf borderId="26" fillId="8" fontId="6" numFmtId="164" xfId="0" applyAlignment="1" applyBorder="1" applyFont="1" applyNumberFormat="1">
      <alignment horizontal="center"/>
    </xf>
    <xf borderId="22" fillId="8" fontId="3" numFmtId="0" xfId="0" applyAlignment="1" applyBorder="1" applyFont="1">
      <alignment readingOrder="0"/>
    </xf>
    <xf borderId="30" fillId="3" fontId="0" numFmtId="0" xfId="0" applyAlignment="1" applyBorder="1" applyFont="1">
      <alignment horizontal="center"/>
    </xf>
    <xf borderId="21" fillId="3" fontId="0" numFmtId="0" xfId="0" applyAlignment="1" applyBorder="1" applyFont="1">
      <alignment horizontal="center"/>
    </xf>
    <xf borderId="41" fillId="8" fontId="3" numFmtId="0" xfId="0" applyAlignment="1" applyBorder="1" applyFont="1">
      <alignment readingOrder="0"/>
    </xf>
    <xf borderId="22" fillId="3" fontId="0" numFmtId="0" xfId="0" applyAlignment="1" applyBorder="1" applyFont="1">
      <alignment horizontal="center"/>
    </xf>
    <xf borderId="40" fillId="8" fontId="3" numFmtId="0" xfId="0" applyAlignment="1" applyBorder="1" applyFont="1">
      <alignment readingOrder="0"/>
    </xf>
    <xf borderId="26" fillId="3" fontId="0" numFmtId="0" xfId="0" applyAlignment="1" applyBorder="1" applyFont="1">
      <alignment horizontal="center"/>
    </xf>
    <xf borderId="19" fillId="8" fontId="3" numFmtId="0" xfId="0" applyAlignment="1" applyBorder="1" applyFont="1">
      <alignment readingOrder="0"/>
    </xf>
    <xf borderId="29" fillId="6" fontId="5" numFmtId="0" xfId="0" applyAlignment="1" applyBorder="1" applyFont="1">
      <alignment horizontal="center"/>
    </xf>
    <xf borderId="27" fillId="3" fontId="0" numFmtId="0" xfId="0" applyAlignment="1" applyBorder="1" applyFont="1">
      <alignment readingOrder="0" shrinkToFit="0" vertical="bottom" wrapText="0"/>
    </xf>
    <xf borderId="42" fillId="6" fontId="0" numFmtId="0" xfId="0" applyAlignment="1" applyBorder="1" applyFont="1">
      <alignment horizontal="center" readingOrder="0"/>
    </xf>
    <xf borderId="42" fillId="8" fontId="0" numFmtId="0" xfId="0" applyAlignment="1" applyBorder="1" applyFont="1">
      <alignment horizontal="center"/>
    </xf>
    <xf borderId="43" fillId="8" fontId="6" numFmtId="164" xfId="0" applyAlignment="1" applyBorder="1" applyFont="1" applyNumberFormat="1">
      <alignment horizontal="center" readingOrder="0"/>
    </xf>
    <xf borderId="29" fillId="6" fontId="0" numFmtId="0" xfId="0" applyAlignment="1" applyBorder="1" applyFont="1">
      <alignment horizontal="center"/>
    </xf>
    <xf borderId="29" fillId="3" fontId="5" numFmtId="0" xfId="0" applyAlignment="1" applyBorder="1" applyFont="1">
      <alignment horizontal="center" readingOrder="0"/>
    </xf>
    <xf borderId="28" fillId="8" fontId="0" numFmtId="0" xfId="0" applyAlignment="1" applyBorder="1" applyFont="1">
      <alignment horizontal="center"/>
    </xf>
    <xf borderId="28" fillId="3" fontId="0" numFmtId="0" xfId="0" applyAlignment="1" applyBorder="1" applyFont="1">
      <alignment horizontal="center" readingOrder="0"/>
    </xf>
    <xf borderId="44" fillId="3" fontId="0" numFmtId="0" xfId="0" applyAlignment="1" applyBorder="1" applyFont="1">
      <alignment readingOrder="0" shrinkToFit="0" vertical="bottom" wrapText="0"/>
    </xf>
    <xf borderId="42" fillId="3" fontId="6" numFmtId="0" xfId="0" applyAlignment="1" applyBorder="1" applyFont="1">
      <alignment horizontal="center" readingOrder="0"/>
    </xf>
    <xf borderId="44" fillId="3" fontId="0" numFmtId="0" xfId="0" applyAlignment="1" applyBorder="1" applyFont="1">
      <alignment shrinkToFit="0" vertical="bottom" wrapText="0"/>
    </xf>
    <xf borderId="42" fillId="3" fontId="0" numFmtId="0" xfId="0" applyAlignment="1" applyBorder="1" applyFont="1">
      <alignment horizontal="center" readingOrder="0"/>
    </xf>
    <xf borderId="44" fillId="0" fontId="3" numFmtId="0" xfId="0" applyBorder="1" applyFont="1"/>
    <xf borderId="42" fillId="3" fontId="0" numFmtId="0" xfId="0" applyAlignment="1" applyBorder="1" applyFont="1">
      <alignment horizontal="center"/>
    </xf>
    <xf borderId="28" fillId="3" fontId="0" numFmtId="0" xfId="0" applyAlignment="1" applyBorder="1" applyFont="1">
      <alignment shrinkToFit="0" vertical="bottom" wrapText="0"/>
    </xf>
    <xf borderId="29" fillId="3" fontId="0" numFmtId="0" xfId="0" applyAlignment="1" applyBorder="1" applyFont="1">
      <alignment horizontal="center"/>
    </xf>
    <xf borderId="42" fillId="3" fontId="6" numFmtId="0" xfId="0" applyAlignment="1" applyBorder="1" applyFont="1">
      <alignment horizontal="center"/>
    </xf>
    <xf borderId="35" fillId="6" fontId="5" numFmtId="0" xfId="0" applyAlignment="1" applyBorder="1" applyFont="1">
      <alignment horizontal="center" readingOrder="0"/>
    </xf>
    <xf borderId="29" fillId="3" fontId="0" numFmtId="0" xfId="0" applyAlignment="1" applyBorder="1" applyFont="1">
      <alignment horizontal="center" readingOrder="0" shrinkToFit="0" vertical="bottom" wrapText="0"/>
    </xf>
    <xf borderId="45" fillId="6" fontId="0" numFmtId="0" xfId="0" applyAlignment="1" applyBorder="1" applyFont="1">
      <alignment horizontal="center" readingOrder="0"/>
    </xf>
    <xf borderId="29" fillId="6" fontId="5" numFmtId="164" xfId="0" applyAlignment="1" applyBorder="1" applyFont="1" applyNumberFormat="1">
      <alignment horizontal="center" readingOrder="0"/>
    </xf>
    <xf borderId="45" fillId="8" fontId="0" numFmtId="0" xfId="0" applyAlignment="1" applyBorder="1" applyFont="1">
      <alignment horizontal="center"/>
    </xf>
    <xf borderId="28" fillId="7" fontId="0" numFmtId="164" xfId="0" applyAlignment="1" applyBorder="1" applyFont="1" applyNumberFormat="1">
      <alignment horizontal="center" readingOrder="0"/>
    </xf>
    <xf borderId="29" fillId="3" fontId="0" numFmtId="0" xfId="0" applyAlignment="1" applyBorder="1" applyFont="1">
      <alignment readingOrder="0" shrinkToFit="0" vertical="bottom" wrapText="0"/>
    </xf>
    <xf borderId="35" fillId="6" fontId="0" numFmtId="0" xfId="0" applyAlignment="1" applyBorder="1" applyFont="1">
      <alignment horizontal="center"/>
    </xf>
    <xf borderId="29" fillId="7" fontId="0" numFmtId="164" xfId="0" applyAlignment="1" applyBorder="1" applyFont="1" applyNumberFormat="1">
      <alignment horizontal="center" readingOrder="0" shrinkToFit="0" vertical="bottom" wrapText="0"/>
    </xf>
    <xf borderId="37" fillId="8" fontId="0" numFmtId="0" xfId="0" applyAlignment="1" applyBorder="1" applyFont="1">
      <alignment horizontal="center"/>
    </xf>
    <xf borderId="44" fillId="3" fontId="3" numFmtId="0" xfId="0" applyAlignment="1" applyBorder="1" applyFont="1">
      <alignment readingOrder="0"/>
    </xf>
    <xf borderId="35" fillId="3" fontId="5" numFmtId="9" xfId="0" applyAlignment="1" applyBorder="1" applyFont="1" applyNumberFormat="1">
      <alignment horizontal="center" readingOrder="0"/>
    </xf>
    <xf borderId="1" fillId="4" fontId="4" numFmtId="0" xfId="0" applyAlignment="1" applyBorder="1" applyFont="1">
      <alignment horizontal="center"/>
    </xf>
    <xf borderId="37" fillId="3" fontId="0" numFmtId="9" xfId="0" applyAlignment="1" applyBorder="1" applyFont="1" applyNumberFormat="1">
      <alignment horizontal="center" readingOrder="0"/>
    </xf>
    <xf borderId="28" fillId="3" fontId="3" numFmtId="0" xfId="0" applyAlignment="1" applyBorder="1" applyFont="1">
      <alignment readingOrder="0"/>
    </xf>
    <xf borderId="38" fillId="3" fontId="6" numFmtId="0" xfId="0" applyAlignment="1" applyBorder="1" applyFont="1">
      <alignment horizontal="center"/>
    </xf>
    <xf borderId="35" fillId="3" fontId="5" numFmtId="0" xfId="0" applyAlignment="1" applyBorder="1" applyFont="1">
      <alignment horizontal="center" readingOrder="0"/>
    </xf>
    <xf borderId="44" fillId="3" fontId="7" numFmtId="0" xfId="0" applyAlignment="1" applyBorder="1" applyFont="1">
      <alignment readingOrder="0" shrinkToFit="0" vertical="bottom" wrapText="0"/>
    </xf>
    <xf borderId="1" fillId="4" fontId="3" numFmtId="0" xfId="0" applyAlignment="1" applyBorder="1" applyFont="1">
      <alignment horizontal="center" readingOrder="0"/>
    </xf>
    <xf borderId="37" fillId="3" fontId="0" numFmtId="10" xfId="0" applyAlignment="1" applyBorder="1" applyFont="1" applyNumberFormat="1">
      <alignment horizontal="center"/>
    </xf>
    <xf borderId="9" fillId="4" fontId="3" numFmtId="0" xfId="0" applyAlignment="1" applyBorder="1" applyFont="1">
      <alignment horizontal="center" readingOrder="0"/>
    </xf>
    <xf borderId="29" fillId="8" fontId="3" numFmtId="0" xfId="0" applyAlignment="1" applyBorder="1" applyFont="1">
      <alignment readingOrder="0"/>
    </xf>
    <xf borderId="8" fillId="4" fontId="4" numFmtId="0" xfId="0" applyAlignment="1" applyBorder="1" applyFont="1">
      <alignment horizontal="center"/>
    </xf>
    <xf borderId="44" fillId="8" fontId="3" numFmtId="0" xfId="0" applyAlignment="1" applyBorder="1" applyFont="1">
      <alignment readingOrder="0"/>
    </xf>
    <xf borderId="1" fillId="4" fontId="3" numFmtId="0" xfId="0" applyBorder="1" applyFont="1"/>
    <xf borderId="28" fillId="8" fontId="3" numFmtId="0" xfId="0" applyAlignment="1" applyBorder="1" applyFont="1">
      <alignment readingOrder="0"/>
    </xf>
    <xf borderId="3" fillId="6" fontId="0" numFmtId="0" xfId="0" applyAlignment="1" applyBorder="1" applyFont="1">
      <alignment horizontal="left"/>
    </xf>
    <xf borderId="1" fillId="4" fontId="2" numFmtId="0" xfId="0" applyAlignment="1" applyBorder="1" applyFont="1">
      <alignment readingOrder="0" shrinkToFit="0" vertical="bottom" wrapText="1"/>
    </xf>
    <xf borderId="8" fillId="4" fontId="4" numFmtId="0" xfId="0" applyAlignment="1" applyBorder="1" applyFont="1">
      <alignment horizontal="center" readingOrder="0"/>
    </xf>
    <xf borderId="46" fillId="3" fontId="0" numFmtId="0" xfId="0" applyAlignment="1" applyBorder="1" applyFont="1">
      <alignment readingOrder="0" shrinkToFit="0" vertical="bottom" wrapText="0"/>
    </xf>
    <xf borderId="47" fillId="3" fontId="0" numFmtId="0" xfId="0" applyAlignment="1" applyBorder="1" applyFont="1">
      <alignment readingOrder="0" shrinkToFit="0" vertical="bottom" wrapText="0"/>
    </xf>
    <xf borderId="48" fillId="4" fontId="4" numFmtId="0" xfId="0" applyAlignment="1" applyBorder="1" applyFont="1">
      <alignment horizontal="center"/>
    </xf>
    <xf borderId="47" fillId="0" fontId="3" numFmtId="0" xfId="0" applyBorder="1" applyFont="1"/>
    <xf borderId="49" fillId="6" fontId="3" numFmtId="0" xfId="0" applyAlignment="1" applyBorder="1" applyFont="1">
      <alignment horizontal="center"/>
    </xf>
    <xf borderId="47" fillId="3" fontId="0" numFmtId="0" xfId="0" applyAlignment="1" applyBorder="1" applyFont="1">
      <alignment shrinkToFit="0" vertical="bottom" wrapText="0"/>
    </xf>
    <xf borderId="20" fillId="6" fontId="5" numFmtId="0" xfId="0" applyAlignment="1" applyBorder="1" applyFont="1">
      <alignment horizontal="center"/>
    </xf>
    <xf borderId="43" fillId="6" fontId="3" numFmtId="0" xfId="0" applyAlignment="1" applyBorder="1" applyFont="1">
      <alignment horizontal="center"/>
    </xf>
    <xf borderId="30" fillId="6" fontId="0" numFmtId="0" xfId="0" applyAlignment="1" applyBorder="1" applyFont="1">
      <alignment horizontal="center"/>
    </xf>
    <xf borderId="26" fillId="6" fontId="0" numFmtId="0" xfId="0" applyAlignment="1" applyBorder="1" applyFont="1">
      <alignment horizontal="center" readingOrder="0"/>
    </xf>
    <xf borderId="37" fillId="3" fontId="0" numFmtId="0" xfId="0" applyAlignment="1" applyBorder="1" applyFont="1">
      <alignment shrinkToFit="0" vertical="bottom" wrapText="0"/>
    </xf>
    <xf borderId="22" fillId="6" fontId="3" numFmtId="0" xfId="0" applyAlignment="1" applyBorder="1" applyFont="1">
      <alignment horizontal="center"/>
    </xf>
    <xf borderId="29" fillId="3" fontId="3" numFmtId="0" xfId="0" applyAlignment="1" applyBorder="1" applyFont="1">
      <alignment readingOrder="0"/>
    </xf>
    <xf borderId="30" fillId="8" fontId="6" numFmtId="0" xfId="0" applyAlignment="1" applyBorder="1" applyFont="1">
      <alignment horizontal="center"/>
    </xf>
    <xf borderId="0" fillId="3" fontId="1" numFmtId="0" xfId="0" applyFont="1"/>
    <xf borderId="22" fillId="6" fontId="0" numFmtId="0" xfId="0" applyAlignment="1" applyBorder="1" applyFont="1">
      <alignment horizontal="center"/>
    </xf>
    <xf borderId="26" fillId="6" fontId="0" numFmtId="0" xfId="0" applyAlignment="1" applyBorder="1" applyFont="1">
      <alignment horizontal="center"/>
    </xf>
    <xf borderId="50" fillId="6" fontId="0" numFmtId="0" xfId="0" applyAlignment="1" applyBorder="1" applyFont="1">
      <alignment horizontal="center" readingOrder="0" shrinkToFit="0" vertical="bottom" wrapText="0"/>
    </xf>
    <xf borderId="51" fillId="3" fontId="3" numFmtId="0" xfId="0" applyAlignment="1" applyBorder="1" applyFont="1">
      <alignment horizontal="center"/>
    </xf>
    <xf borderId="52" fillId="6" fontId="0" numFmtId="0" xfId="0" applyAlignment="1" applyBorder="1" applyFont="1">
      <alignment horizontal="center"/>
    </xf>
    <xf borderId="53" fillId="3" fontId="0" numFmtId="9" xfId="0" applyAlignment="1" applyBorder="1" applyFont="1" applyNumberFormat="1">
      <alignment horizontal="center" readingOrder="0" shrinkToFit="0" vertical="bottom" wrapText="0"/>
    </xf>
    <xf borderId="54" fillId="3" fontId="0" numFmtId="0" xfId="0" applyAlignment="1" applyBorder="1" applyFont="1">
      <alignment horizontal="center"/>
    </xf>
    <xf borderId="39" fillId="6" fontId="5" numFmtId="10" xfId="0" applyAlignment="1" applyBorder="1" applyFont="1" applyNumberFormat="1">
      <alignment horizontal="center"/>
    </xf>
    <xf borderId="55" fillId="6" fontId="0" numFmtId="10" xfId="0" applyAlignment="1" applyBorder="1" applyFont="1" applyNumberFormat="1">
      <alignment horizontal="center" readingOrder="0"/>
    </xf>
    <xf borderId="38" fillId="8" fontId="6" numFmtId="10" xfId="0" applyAlignment="1" applyBorder="1" applyFont="1" applyNumberFormat="1">
      <alignment horizontal="center"/>
    </xf>
    <xf borderId="39" fillId="8" fontId="5" numFmtId="10" xfId="0" applyAlignment="1" applyBorder="1" applyFont="1" applyNumberFormat="1">
      <alignment horizontal="center"/>
    </xf>
    <xf borderId="0" fillId="3" fontId="1" numFmtId="0" xfId="0" applyAlignment="1" applyFont="1">
      <alignment readingOrder="0"/>
    </xf>
    <xf borderId="27" fillId="3" fontId="3" numFmtId="0" xfId="0" applyAlignment="1" applyBorder="1" applyFont="1">
      <alignment horizontal="center"/>
    </xf>
    <xf borderId="56" fillId="8" fontId="0" numFmtId="10" xfId="0" applyAlignment="1" applyBorder="1" applyFont="1" applyNumberFormat="1">
      <alignment horizontal="center" readingOrder="0" shrinkToFit="0" vertical="bottom" wrapText="0"/>
    </xf>
    <xf borderId="29" fillId="3" fontId="3" numFmtId="0" xfId="0" applyAlignment="1" applyBorder="1" applyFont="1">
      <alignment horizontal="center"/>
    </xf>
    <xf borderId="57" fillId="8" fontId="0" numFmtId="10" xfId="0" applyAlignment="1" applyBorder="1" applyFont="1" applyNumberFormat="1">
      <alignment horizontal="center"/>
    </xf>
    <xf borderId="0" fillId="3" fontId="2" numFmtId="0" xfId="0" applyAlignment="1" applyFont="1">
      <alignment shrinkToFit="0" vertical="bottom" wrapText="0"/>
    </xf>
    <xf borderId="51" fillId="6" fontId="3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14" fillId="6" fontId="0" numFmtId="0" xfId="0" applyAlignment="1" applyBorder="1" applyFont="1">
      <alignment horizontal="center"/>
    </xf>
    <xf borderId="27" fillId="6" fontId="3" numFmtId="0" xfId="0" applyAlignment="1" applyBorder="1" applyFont="1">
      <alignment horizontal="center"/>
    </xf>
    <xf borderId="26" fillId="6" fontId="0" numFmtId="10" xfId="0" applyAlignment="1" applyBorder="1" applyFont="1" applyNumberFormat="1">
      <alignment horizontal="center" readingOrder="0"/>
    </xf>
    <xf borderId="0" fillId="3" fontId="8" numFmtId="0" xfId="0" applyFont="1"/>
    <xf borderId="20" fillId="6" fontId="5" numFmtId="10" xfId="0" applyAlignment="1" applyBorder="1" applyFont="1" applyNumberFormat="1">
      <alignment horizontal="center" readingOrder="0"/>
    </xf>
    <xf borderId="42" fillId="8" fontId="6" numFmtId="0" xfId="0" applyAlignment="1" applyBorder="1" applyFont="1">
      <alignment horizontal="center"/>
    </xf>
    <xf borderId="0" fillId="3" fontId="8" numFmtId="0" xfId="0" applyFont="1"/>
    <xf borderId="29" fillId="8" fontId="3" numFmtId="0" xfId="0" applyAlignment="1" applyBorder="1" applyFont="1">
      <alignment horizontal="center"/>
    </xf>
    <xf borderId="28" fillId="8" fontId="6" numFmtId="0" xfId="0" applyAlignment="1" applyBorder="1" applyFont="1">
      <alignment horizontal="center"/>
    </xf>
    <xf borderId="20" fillId="6" fontId="0" numFmtId="10" xfId="0" applyAlignment="1" applyBorder="1" applyFont="1" applyNumberFormat="1">
      <alignment horizontal="center" readingOrder="0" shrinkToFit="0" vertical="bottom" wrapText="0"/>
    </xf>
    <xf borderId="27" fillId="8" fontId="3" numFmtId="0" xfId="0" applyAlignment="1" applyBorder="1" applyFont="1">
      <alignment horizontal="center"/>
    </xf>
    <xf borderId="29" fillId="8" fontId="0" numFmtId="0" xfId="0" applyAlignment="1" applyBorder="1" applyFont="1">
      <alignment horizontal="center"/>
    </xf>
    <xf borderId="39" fillId="3" fontId="5" numFmtId="10" xfId="0" applyAlignment="1" applyBorder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55" fillId="3" fontId="0" numFmtId="10" xfId="0" applyAlignment="1" applyBorder="1" applyFont="1" applyNumberFormat="1">
      <alignment horizontal="center" readingOrder="0"/>
    </xf>
    <xf borderId="39" fillId="3" fontId="5" numFmtId="10" xfId="0" applyAlignment="1" applyBorder="1" applyFont="1" applyNumberFormat="1">
      <alignment horizontal="center" readingOrder="0"/>
    </xf>
    <xf borderId="58" fillId="3" fontId="3" numFmtId="0" xfId="0" applyAlignment="1" applyBorder="1" applyFont="1">
      <alignment horizontal="center"/>
    </xf>
    <xf borderId="38" fillId="3" fontId="6" numFmtId="10" xfId="0" applyAlignment="1" applyBorder="1" applyFont="1" applyNumberFormat="1">
      <alignment horizontal="center"/>
    </xf>
    <xf borderId="25" fillId="3" fontId="0" numFmtId="10" xfId="0" applyAlignment="1" applyBorder="1" applyFont="1" applyNumberFormat="1">
      <alignment horizontal="center" readingOrder="0"/>
    </xf>
    <xf borderId="46" fillId="3" fontId="3" numFmtId="0" xfId="0" applyAlignment="1" applyBorder="1" applyFont="1">
      <alignment horizontal="center"/>
    </xf>
    <xf borderId="37" fillId="3" fontId="0" numFmtId="10" xfId="0" applyAlignment="1" applyBorder="1" applyFont="1" applyNumberFormat="1">
      <alignment horizontal="center" readingOrder="0"/>
    </xf>
    <xf borderId="39" fillId="3" fontId="0" numFmtId="10" xfId="0" applyAlignment="1" applyBorder="1" applyFont="1" applyNumberFormat="1">
      <alignment horizontal="center" readingOrder="0" shrinkToFit="0" vertical="bottom" wrapText="0"/>
    </xf>
    <xf borderId="35" fillId="3" fontId="3" numFmtId="0" xfId="0" applyAlignment="1" applyBorder="1" applyFont="1">
      <alignment horizontal="center"/>
    </xf>
    <xf borderId="55" fillId="3" fontId="0" numFmtId="10" xfId="0" applyAlignment="1" applyBorder="1" applyFont="1" applyNumberFormat="1">
      <alignment horizontal="center"/>
    </xf>
    <xf borderId="35" fillId="3" fontId="0" numFmtId="9" xfId="0" applyAlignment="1" applyBorder="1" applyFont="1" applyNumberFormat="1">
      <alignment horizontal="center"/>
    </xf>
    <xf borderId="22" fillId="6" fontId="5" numFmtId="10" xfId="0" applyAlignment="1" applyBorder="1" applyFont="1" applyNumberFormat="1">
      <alignment horizontal="center" readingOrder="0"/>
    </xf>
    <xf borderId="17" fillId="6" fontId="6" numFmtId="10" xfId="0" applyBorder="1" applyFont="1" applyNumberFormat="1"/>
    <xf borderId="49" fillId="6" fontId="3" numFmtId="0" xfId="0" applyAlignment="1" applyBorder="1" applyFont="1">
      <alignment horizontal="center" readingOrder="0"/>
    </xf>
    <xf borderId="19" fillId="6" fontId="5" numFmtId="10" xfId="0" applyAlignment="1" applyBorder="1" applyFont="1" applyNumberFormat="1">
      <alignment horizontal="center"/>
    </xf>
    <xf borderId="5" fillId="6" fontId="3" numFmtId="0" xfId="0" applyAlignment="1" applyBorder="1" applyFont="1">
      <alignment horizontal="center" readingOrder="0"/>
    </xf>
    <xf borderId="29" fillId="3" fontId="3" numFmtId="0" xfId="0" applyBorder="1" applyFont="1"/>
    <xf borderId="59" fillId="6" fontId="0" numFmtId="0" xfId="0" applyAlignment="1" applyBorder="1" applyFont="1">
      <alignment horizontal="center"/>
    </xf>
    <xf borderId="44" fillId="3" fontId="3" numFmtId="0" xfId="0" applyBorder="1" applyFont="1"/>
    <xf borderId="29" fillId="8" fontId="3" numFmtId="0" xfId="0" applyBorder="1" applyFont="1"/>
    <xf borderId="44" fillId="8" fontId="3" numFmtId="0" xfId="0" applyBorder="1" applyFont="1"/>
    <xf borderId="19" fillId="6" fontId="5" numFmtId="10" xfId="0" applyAlignment="1" applyBorder="1" applyFont="1" applyNumberFormat="1">
      <alignment horizontal="center" readingOrder="0"/>
    </xf>
    <xf borderId="22" fillId="6" fontId="0" numFmtId="10" xfId="0" applyAlignment="1" applyBorder="1" applyFont="1" applyNumberFormat="1">
      <alignment horizontal="center" readingOrder="0" shrinkToFit="0" vertical="bottom" wrapText="0"/>
    </xf>
    <xf borderId="19" fillId="6" fontId="0" numFmtId="10" xfId="0" applyAlignment="1" applyBorder="1" applyFont="1" applyNumberFormat="1">
      <alignment horizontal="center" readingOrder="0"/>
    </xf>
    <xf borderId="9" fillId="0" fontId="3" numFmtId="0" xfId="0" applyBorder="1" applyFont="1"/>
    <xf borderId="8" fillId="0" fontId="3" numFmtId="0" xfId="0" applyBorder="1" applyFont="1"/>
    <xf borderId="35" fillId="3" fontId="5" numFmtId="10" xfId="0" applyAlignment="1" applyBorder="1" applyFont="1" applyNumberFormat="1">
      <alignment horizontal="center"/>
    </xf>
    <xf borderId="0" fillId="6" fontId="6" numFmtId="0" xfId="0" applyFont="1"/>
    <xf borderId="60" fillId="6" fontId="3" numFmtId="0" xfId="0" applyAlignment="1" applyBorder="1" applyFont="1">
      <alignment horizontal="center" readingOrder="0"/>
    </xf>
    <xf borderId="45" fillId="3" fontId="6" numFmtId="10" xfId="0" applyAlignment="1" applyBorder="1" applyFont="1" applyNumberFormat="1">
      <alignment horizontal="center"/>
    </xf>
    <xf borderId="35" fillId="3" fontId="5" numFmtId="10" xfId="0" applyAlignment="1" applyBorder="1" applyFont="1" applyNumberFormat="1">
      <alignment horizontal="center" readingOrder="0"/>
    </xf>
    <xf borderId="49" fillId="6" fontId="0" numFmtId="0" xfId="0" applyAlignment="1" applyBorder="1" applyFont="1">
      <alignment horizontal="center"/>
    </xf>
    <xf borderId="8" fillId="3" fontId="6" numFmtId="10" xfId="0" applyBorder="1" applyFont="1" applyNumberFormat="1"/>
    <xf borderId="61" fillId="6" fontId="6" numFmtId="0" xfId="0" applyBorder="1" applyFont="1"/>
    <xf borderId="58" fillId="3" fontId="0" numFmtId="9" xfId="0" applyAlignment="1" applyBorder="1" applyFont="1" applyNumberFormat="1">
      <alignment horizontal="center"/>
    </xf>
    <xf borderId="35" fillId="3" fontId="0" numFmtId="10" xfId="0" applyAlignment="1" applyBorder="1" applyFont="1" applyNumberFormat="1">
      <alignment horizontal="center" readingOrder="0" shrinkToFit="0" vertical="bottom" wrapText="0"/>
    </xf>
    <xf borderId="23" fillId="3" fontId="0" numFmtId="9" xfId="0" applyAlignment="1" applyBorder="1" applyFont="1" applyNumberFormat="1">
      <alignment horizontal="center"/>
    </xf>
    <xf borderId="62" fillId="3" fontId="0" numFmtId="0" xfId="0" applyAlignment="1" applyBorder="1" applyFont="1">
      <alignment horizontal="center"/>
    </xf>
    <xf borderId="0" fillId="0" fontId="0" numFmtId="0" xfId="0" applyAlignment="1" applyFont="1">
      <alignment horizontal="left"/>
    </xf>
    <xf borderId="25" fillId="3" fontId="0" numFmtId="0" xfId="0" applyAlignment="1" applyBorder="1" applyFont="1">
      <alignment horizontal="center"/>
    </xf>
    <xf borderId="29" fillId="6" fontId="3" numFmtId="0" xfId="0" applyBorder="1" applyFont="1"/>
    <xf borderId="25" fillId="3" fontId="0" numFmtId="10" xfId="0" applyAlignment="1" applyBorder="1" applyFont="1" applyNumberFormat="1">
      <alignment horizontal="center"/>
    </xf>
    <xf borderId="35" fillId="8" fontId="3" numFmtId="0" xfId="0" applyBorder="1" applyFont="1"/>
    <xf borderId="47" fillId="8" fontId="3" numFmtId="0" xfId="0" applyBorder="1" applyFont="1"/>
    <xf borderId="37" fillId="8" fontId="3" numFmtId="0" xfId="0" applyAlignment="1" applyBorder="1" applyFont="1">
      <alignment readingOrder="0"/>
    </xf>
    <xf borderId="0" fillId="3" fontId="9" numFmtId="0" xfId="0" applyAlignment="1" applyFont="1">
      <alignment readingOrder="0"/>
    </xf>
    <xf borderId="0" fillId="3" fontId="9" numFmtId="0" xfId="0" applyFont="1"/>
    <xf borderId="0" fillId="0" fontId="9" numFmtId="0" xfId="0" applyFont="1"/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5" numFmtId="0" xfId="0" applyFont="1"/>
    <xf borderId="3" fillId="2" fontId="2" numFmtId="0" xfId="0" applyAlignment="1" applyBorder="1" applyFont="1">
      <alignment horizontal="center" readingOrder="0" vertical="bottom"/>
    </xf>
    <xf borderId="31" fillId="4" fontId="2" numFmtId="0" xfId="0" applyAlignment="1" applyBorder="1" applyFont="1">
      <alignment horizontal="center" vertical="bottom"/>
    </xf>
    <xf borderId="48" fillId="4" fontId="2" numFmtId="0" xfId="0" applyAlignment="1" applyBorder="1" applyFont="1">
      <alignment horizontal="center" vertical="bottom"/>
    </xf>
    <xf borderId="2" fillId="4" fontId="2" numFmtId="0" xfId="0" applyAlignment="1" applyBorder="1" applyFont="1">
      <alignment horizontal="center" readingOrder="0" shrinkToFit="0" vertical="bottom" wrapText="0"/>
    </xf>
    <xf borderId="22" fillId="3" fontId="4" numFmtId="0" xfId="0" applyAlignment="1" applyBorder="1" applyFont="1">
      <alignment readingOrder="0" vertical="bottom"/>
    </xf>
    <xf borderId="19" fillId="3" fontId="3" numFmtId="0" xfId="0" applyAlignment="1" applyBorder="1" applyFont="1">
      <alignment readingOrder="0"/>
    </xf>
    <xf borderId="63" fillId="3" fontId="0" numFmtId="0" xfId="0" applyAlignment="1" applyBorder="1" applyFont="1">
      <alignment readingOrder="0" shrinkToFit="0" vertical="bottom" wrapText="0"/>
    </xf>
    <xf borderId="18" fillId="3" fontId="0" numFmtId="0" xfId="0" applyAlignment="1" applyBorder="1" applyFont="1">
      <alignment readingOrder="0" shrinkToFit="0" vertical="bottom" wrapText="0"/>
    </xf>
    <xf borderId="21" fillId="3" fontId="3" numFmtId="0" xfId="0" applyAlignment="1" applyBorder="1" applyFont="1">
      <alignment readingOrder="0"/>
    </xf>
    <xf borderId="19" fillId="3" fontId="0" numFmtId="10" xfId="0" applyAlignment="1" applyBorder="1" applyFont="1" applyNumberFormat="1">
      <alignment readingOrder="0" shrinkToFit="0" vertical="bottom" wrapText="0"/>
    </xf>
    <xf borderId="0" fillId="0" fontId="1" numFmtId="10" xfId="0" applyFont="1" applyNumberFormat="1"/>
    <xf borderId="29" fillId="6" fontId="4" numFmtId="0" xfId="0" applyAlignment="1" applyBorder="1" applyFont="1">
      <alignment vertical="bottom"/>
    </xf>
    <xf borderId="1" fillId="2" fontId="2" numFmtId="0" xfId="0" applyAlignment="1" applyBorder="1" applyFont="1">
      <alignment readingOrder="0" shrinkToFit="0" vertical="bottom" wrapText="1"/>
    </xf>
    <xf borderId="64" fillId="6" fontId="0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1"/>
    </xf>
    <xf borderId="27" fillId="6" fontId="0" numFmtId="0" xfId="0" applyAlignment="1" applyBorder="1" applyFont="1">
      <alignment readingOrder="0" shrinkToFit="0" vertical="bottom" wrapText="0"/>
    </xf>
    <xf borderId="0" fillId="3" fontId="8" numFmtId="0" xfId="0" applyAlignment="1" applyFont="1">
      <alignment readingOrder="0"/>
    </xf>
    <xf borderId="42" fillId="8" fontId="3" numFmtId="0" xfId="0" applyAlignment="1" applyBorder="1" applyFont="1">
      <alignment readingOrder="0"/>
    </xf>
    <xf borderId="20" fillId="3" fontId="0" numFmtId="0" xfId="0" applyAlignment="1" applyBorder="1" applyFont="1">
      <alignment readingOrder="0" shrinkToFit="0" vertical="bottom" wrapText="0"/>
    </xf>
    <xf borderId="28" fillId="6" fontId="0" numFmtId="10" xfId="0" applyAlignment="1" applyBorder="1" applyFont="1" applyNumberFormat="1">
      <alignment readingOrder="0" shrinkToFit="0" vertical="bottom" wrapText="0"/>
    </xf>
    <xf borderId="0" fillId="3" fontId="6" numFmtId="0" xfId="0" applyAlignment="1" applyFont="1">
      <alignment readingOrder="0"/>
    </xf>
    <xf borderId="40" fillId="3" fontId="0" numFmtId="0" xfId="0" applyAlignment="1" applyBorder="1" applyFont="1">
      <alignment readingOrder="0" shrinkToFit="0" vertical="center" wrapText="1"/>
    </xf>
    <xf borderId="44" fillId="3" fontId="0" numFmtId="165" xfId="0" applyAlignment="1" applyBorder="1" applyFont="1" applyNumberFormat="1">
      <alignment readingOrder="0" shrinkToFit="0" vertical="bottom" wrapText="0"/>
    </xf>
    <xf borderId="29" fillId="3" fontId="4" numFmtId="0" xfId="0" applyAlignment="1" applyBorder="1" applyFont="1">
      <alignment vertical="bottom"/>
    </xf>
    <xf borderId="40" fillId="3" fontId="3" numFmtId="0" xfId="0" applyAlignment="1" applyBorder="1" applyFont="1">
      <alignment readingOrder="0"/>
    </xf>
    <xf borderId="64" fillId="3" fontId="0" numFmtId="0" xfId="0" applyAlignment="1" applyBorder="1" applyFont="1">
      <alignment readingOrder="0" shrinkToFit="0" vertical="bottom" wrapText="0"/>
    </xf>
    <xf borderId="41" fillId="3" fontId="3" numFmtId="0" xfId="0" applyAlignment="1" applyBorder="1" applyFont="1">
      <alignment readingOrder="0"/>
    </xf>
    <xf borderId="3" fillId="2" fontId="1" numFmtId="0" xfId="0" applyAlignment="1" applyBorder="1" applyFont="1">
      <alignment horizontal="center" readingOrder="0"/>
    </xf>
    <xf borderId="26" fillId="3" fontId="0" numFmtId="166" xfId="0" applyAlignment="1" applyBorder="1" applyFont="1" applyNumberFormat="1">
      <alignment readingOrder="0" shrinkToFit="0" vertical="bottom" wrapText="0"/>
    </xf>
    <xf borderId="42" fillId="3" fontId="3" numFmtId="0" xfId="0" applyAlignment="1" applyBorder="1" applyFont="1">
      <alignment readingOrder="0"/>
    </xf>
    <xf borderId="28" fillId="3" fontId="0" numFmtId="10" xfId="0" applyAlignment="1" applyBorder="1" applyFont="1" applyNumberFormat="1">
      <alignment readingOrder="0" shrinkToFit="0" vertical="bottom" wrapText="0"/>
    </xf>
    <xf borderId="3" fillId="4" fontId="2" numFmtId="0" xfId="0" applyAlignment="1" applyBorder="1" applyFont="1">
      <alignment readingOrder="0" shrinkToFit="0" vertical="bottom" wrapText="0"/>
    </xf>
    <xf borderId="0" fillId="3" fontId="8" numFmtId="10" xfId="0" applyFont="1" applyNumberFormat="1"/>
    <xf borderId="22" fillId="3" fontId="0" numFmtId="0" xfId="0" applyAlignment="1" applyBorder="1" applyFont="1">
      <alignment readingOrder="0" shrinkToFit="0" vertical="bottom" wrapText="0"/>
    </xf>
    <xf borderId="28" fillId="6" fontId="0" numFmtId="10" xfId="0" applyAlignment="1" applyBorder="1" applyFont="1" applyNumberFormat="1">
      <alignment shrinkToFit="0" vertical="bottom" wrapText="0"/>
    </xf>
    <xf borderId="41" fillId="3" fontId="0" numFmtId="0" xfId="0" applyAlignment="1" applyBorder="1" applyFont="1">
      <alignment readingOrder="0" shrinkToFit="0" vertical="bottom" wrapText="0"/>
    </xf>
    <xf borderId="29" fillId="7" fontId="0" numFmtId="0" xfId="0" applyAlignment="1" applyBorder="1" applyFont="1">
      <alignment readingOrder="0" shrinkToFit="0" vertical="bottom" wrapText="0"/>
    </xf>
    <xf borderId="44" fillId="7" fontId="0" numFmtId="0" xfId="0" applyAlignment="1" applyBorder="1" applyFont="1">
      <alignment readingOrder="0" shrinkToFit="0" vertical="bottom" wrapText="0"/>
    </xf>
    <xf borderId="41" fillId="3" fontId="0" numFmtId="0" xfId="0" applyAlignment="1" applyBorder="1" applyFont="1">
      <alignment shrinkToFit="0" vertical="bottom" wrapText="0"/>
    </xf>
    <xf borderId="44" fillId="7" fontId="0" numFmtId="0" xfId="0" applyAlignment="1" applyBorder="1" applyFont="1">
      <alignment readingOrder="0" shrinkToFit="0" vertical="bottom" wrapText="1"/>
    </xf>
    <xf borderId="44" fillId="7" fontId="0" numFmtId="165" xfId="0" applyAlignment="1" applyBorder="1" applyFont="1" applyNumberFormat="1">
      <alignment readingOrder="0" shrinkToFit="0" vertical="bottom" wrapText="0"/>
    </xf>
    <xf borderId="28" fillId="3" fontId="0" numFmtId="10" xfId="0" applyAlignment="1" applyBorder="1" applyFont="1" applyNumberFormat="1">
      <alignment shrinkToFit="0" vertical="bottom" wrapText="0"/>
    </xf>
    <xf borderId="19" fillId="0" fontId="3" numFmtId="0" xfId="0" applyBorder="1" applyFont="1"/>
    <xf borderId="44" fillId="6" fontId="0" numFmtId="165" xfId="0" applyAlignment="1" applyBorder="1" applyFont="1" applyNumberFormat="1">
      <alignment readingOrder="0" shrinkToFit="0" vertical="bottom" wrapText="0"/>
    </xf>
    <xf borderId="49" fillId="6" fontId="3" numFmtId="0" xfId="0" applyAlignment="1" applyBorder="1" applyFont="1">
      <alignment readingOrder="0"/>
    </xf>
    <xf borderId="27" fillId="6" fontId="0" numFmtId="0" xfId="0" applyAlignment="1" applyBorder="1" applyFont="1">
      <alignment shrinkToFit="0" vertical="bottom" wrapText="0"/>
    </xf>
    <xf borderId="65" fillId="6" fontId="3" numFmtId="0" xfId="0" applyAlignment="1" applyBorder="1" applyFont="1">
      <alignment readingOrder="0"/>
    </xf>
    <xf borderId="27" fillId="3" fontId="0" numFmtId="0" xfId="0" applyAlignment="1" applyBorder="1" applyFont="1">
      <alignment shrinkToFit="0" vertical="bottom" wrapText="0"/>
    </xf>
    <xf borderId="11" fillId="8" fontId="3" numFmtId="0" xfId="0" applyAlignment="1" applyBorder="1" applyFont="1">
      <alignment readingOrder="0"/>
    </xf>
    <xf borderId="44" fillId="7" fontId="0" numFmtId="166" xfId="0" applyAlignment="1" applyBorder="1" applyFont="1" applyNumberFormat="1">
      <alignment readingOrder="0" shrinkToFit="0" vertical="bottom" wrapText="0"/>
    </xf>
    <xf borderId="44" fillId="7" fontId="0" numFmtId="0" xfId="0" applyAlignment="1" applyBorder="1" applyFont="1">
      <alignment shrinkToFit="0" vertical="bottom" wrapText="0"/>
    </xf>
    <xf borderId="44" fillId="8" fontId="0" numFmtId="0" xfId="0" applyAlignment="1" applyBorder="1" applyFont="1">
      <alignment readingOrder="0" shrinkToFit="0" vertical="bottom" wrapText="0"/>
    </xf>
    <xf borderId="35" fillId="3" fontId="4" numFmtId="0" xfId="0" applyAlignment="1" applyBorder="1" applyFont="1">
      <alignment vertical="bottom"/>
    </xf>
    <xf borderId="28" fillId="7" fontId="0" numFmtId="167" xfId="0" applyAlignment="1" applyBorder="1" applyFont="1" applyNumberFormat="1">
      <alignment readingOrder="0" shrinkToFit="0" vertical="bottom" wrapText="0"/>
    </xf>
    <xf borderId="37" fillId="3" fontId="3" numFmtId="0" xfId="0" applyAlignment="1" applyBorder="1" applyFont="1">
      <alignment readingOrder="0"/>
    </xf>
    <xf borderId="44" fillId="3" fontId="0" numFmtId="0" xfId="0" applyAlignment="1" applyBorder="1" applyFont="1">
      <alignment readingOrder="0" shrinkToFit="0" vertical="bottom" wrapText="1"/>
    </xf>
    <xf borderId="66" fillId="3" fontId="0" numFmtId="0" xfId="0" applyAlignment="1" applyBorder="1" applyFont="1">
      <alignment shrinkToFit="0" vertical="bottom" wrapText="0"/>
    </xf>
    <xf borderId="44" fillId="3" fontId="0" numFmtId="166" xfId="0" applyAlignment="1" applyBorder="1" applyFont="1" applyNumberFormat="1">
      <alignment readingOrder="0" shrinkToFit="0" vertical="bottom" wrapText="0"/>
    </xf>
    <xf borderId="46" fillId="3" fontId="0" numFmtId="0" xfId="0" applyAlignment="1" applyBorder="1" applyFont="1">
      <alignment shrinkToFit="0" vertical="bottom" wrapText="0"/>
    </xf>
    <xf borderId="28" fillId="3" fontId="0" numFmtId="167" xfId="0" applyAlignment="1" applyBorder="1" applyFont="1" applyNumberFormat="1">
      <alignment readingOrder="0" shrinkToFit="0" vertical="bottom" wrapText="0"/>
    </xf>
    <xf borderId="45" fillId="3" fontId="3" numFmtId="0" xfId="0" applyAlignment="1" applyBorder="1" applyFont="1">
      <alignment readingOrder="0"/>
    </xf>
    <xf borderId="37" fillId="3" fontId="0" numFmtId="10" xfId="0" applyAlignment="1" applyBorder="1" applyFont="1" applyNumberFormat="1">
      <alignment shrinkToFit="0" vertical="bottom" wrapText="0"/>
    </xf>
    <xf borderId="28" fillId="0" fontId="3" numFmtId="0" xfId="0" applyBorder="1" applyFont="1"/>
    <xf borderId="51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4" fillId="3" fontId="3" numFmtId="0" xfId="0" applyAlignment="1" applyBorder="1" applyFont="1">
      <alignment readingOrder="0"/>
    </xf>
    <xf borderId="3" fillId="4" fontId="2" numFmtId="0" xfId="0" applyAlignment="1" applyBorder="1" applyFont="1">
      <alignment readingOrder="0" shrinkToFit="0" vertical="bottom" wrapText="1"/>
    </xf>
    <xf borderId="51" fillId="6" fontId="3" numFmtId="0" xfId="0" applyAlignment="1" applyBorder="1" applyFont="1">
      <alignment readingOrder="0"/>
    </xf>
    <xf borderId="13" fillId="6" fontId="3" numFmtId="0" xfId="0" applyAlignment="1" applyBorder="1" applyFont="1">
      <alignment readingOrder="0"/>
    </xf>
    <xf borderId="44" fillId="3" fontId="0" numFmtId="0" xfId="0" applyAlignment="1" applyBorder="1" applyFont="1">
      <alignment readingOrder="0" shrinkToFit="0" vertical="center" wrapText="1"/>
    </xf>
    <xf borderId="44" fillId="3" fontId="0" numFmtId="168" xfId="0" applyAlignment="1" applyBorder="1" applyFont="1" applyNumberFormat="1">
      <alignment shrinkToFit="0" vertical="bottom" wrapText="0"/>
    </xf>
    <xf borderId="28" fillId="7" fontId="0" numFmtId="169" xfId="0" applyAlignment="1" applyBorder="1" applyFont="1" applyNumberFormat="1">
      <alignment readingOrder="0" shrinkToFit="0" vertical="bottom" wrapText="0"/>
    </xf>
    <xf borderId="14" fillId="8" fontId="3" numFmtId="0" xfId="0" applyAlignment="1" applyBorder="1" applyFont="1">
      <alignment readingOrder="0"/>
    </xf>
    <xf borderId="44" fillId="7" fontId="0" numFmtId="0" xfId="0" applyAlignment="1" applyBorder="1" applyFont="1">
      <alignment readingOrder="0" shrinkToFit="0" vertical="center" wrapText="1"/>
    </xf>
    <xf borderId="35" fillId="3" fontId="0" numFmtId="0" xfId="0" applyAlignment="1" applyBorder="1" applyFont="1">
      <alignment shrinkToFit="0" vertical="bottom" wrapText="0"/>
    </xf>
    <xf borderId="44" fillId="7" fontId="0" numFmtId="168" xfId="0" applyAlignment="1" applyBorder="1" applyFont="1" applyNumberFormat="1">
      <alignment shrinkToFit="0" vertical="bottom" wrapText="0"/>
    </xf>
    <xf borderId="67" fillId="3" fontId="0" numFmtId="0" xfId="0" applyAlignment="1" applyBorder="1" applyFont="1">
      <alignment shrinkToFit="0" vertical="bottom" wrapText="0"/>
    </xf>
    <xf borderId="48" fillId="0" fontId="3" numFmtId="0" xfId="0" applyBorder="1" applyFont="1"/>
    <xf borderId="51" fillId="0" fontId="3" numFmtId="0" xfId="0" applyBorder="1" applyFont="1"/>
    <xf borderId="28" fillId="3" fontId="0" numFmtId="164" xfId="0" applyAlignment="1" applyBorder="1" applyFont="1" applyNumberFormat="1">
      <alignment readingOrder="0" shrinkToFit="0" vertical="bottom" wrapText="0"/>
    </xf>
    <xf borderId="13" fillId="3" fontId="0" numFmtId="0" xfId="0" applyAlignment="1" applyBorder="1" applyFont="1">
      <alignment shrinkToFit="0" vertical="bottom" wrapText="0"/>
    </xf>
    <xf borderId="29" fillId="7" fontId="0" numFmtId="0" xfId="0" applyAlignment="1" applyBorder="1" applyFont="1">
      <alignment shrinkToFit="0" vertical="bottom" wrapText="0"/>
    </xf>
    <xf borderId="13" fillId="3" fontId="0" numFmtId="10" xfId="0" applyAlignment="1" applyBorder="1" applyFont="1" applyNumberFormat="1">
      <alignment shrinkToFit="0" vertical="bottom" wrapText="0"/>
    </xf>
    <xf borderId="44" fillId="8" fontId="0" numFmtId="0" xfId="0" applyAlignment="1" applyBorder="1" applyFont="1">
      <alignment shrinkToFit="0" vertical="bottom" wrapText="0"/>
    </xf>
    <xf borderId="28" fillId="7" fontId="0" numFmtId="0" xfId="0" applyAlignment="1" applyBorder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vertical="bottom" wrapText="0"/>
    </xf>
    <xf borderId="29" fillId="3" fontId="0" numFmtId="0" xfId="0" applyAlignment="1" applyBorder="1" applyFont="1">
      <alignment shrinkToFit="0" vertical="bottom" wrapText="0"/>
    </xf>
    <xf borderId="0" fillId="3" fontId="0" numFmtId="0" xfId="0" applyAlignment="1" applyFont="1">
      <alignment readingOrder="0" shrinkToFit="0" vertical="bottom" wrapText="0"/>
    </xf>
    <xf borderId="51" fillId="6" fontId="0" numFmtId="0" xfId="0" applyAlignment="1" applyBorder="1" applyFont="1">
      <alignment shrinkToFit="0" vertical="bottom" wrapText="0"/>
    </xf>
    <xf borderId="13" fillId="6" fontId="3" numFmtId="0" xfId="0" applyBorder="1" applyFont="1"/>
    <xf borderId="13" fillId="6" fontId="3" numFmtId="10" xfId="0" applyBorder="1" applyFont="1" applyNumberFormat="1"/>
    <xf borderId="0" fillId="0" fontId="5" numFmtId="0" xfId="0" applyAlignment="1" applyFont="1">
      <alignment readingOrder="0"/>
    </xf>
    <xf borderId="13" fillId="0" fontId="3" numFmtId="0" xfId="0" applyBorder="1" applyFont="1"/>
    <xf borderId="13" fillId="0" fontId="3" numFmtId="10" xfId="0" applyBorder="1" applyFont="1" applyNumberFormat="1"/>
    <xf borderId="0" fillId="3" fontId="6" numFmtId="0" xfId="0" applyFont="1"/>
    <xf borderId="51" fillId="6" fontId="3" numFmtId="0" xfId="0" applyBorder="1" applyFont="1"/>
    <xf borderId="35" fillId="7" fontId="0" numFmtId="0" xfId="0" applyAlignment="1" applyBorder="1" applyFont="1">
      <alignment shrinkToFit="0" vertical="bottom" wrapText="0"/>
    </xf>
    <xf borderId="47" fillId="7" fontId="0" numFmtId="0" xfId="0" applyAlignment="1" applyBorder="1" applyFont="1">
      <alignment shrinkToFit="0" vertical="bottom" wrapText="0"/>
    </xf>
    <xf borderId="47" fillId="8" fontId="3" numFmtId="0" xfId="0" applyAlignment="1" applyBorder="1" applyFont="1">
      <alignment readingOrder="0"/>
    </xf>
    <xf borderId="47" fillId="7" fontId="0" numFmtId="168" xfId="0" applyAlignment="1" applyBorder="1" applyFont="1" applyNumberFormat="1">
      <alignment shrinkToFit="0" vertical="bottom" wrapText="0"/>
    </xf>
    <xf borderId="47" fillId="8" fontId="0" numFmtId="0" xfId="0" applyAlignment="1" applyBorder="1" applyFont="1">
      <alignment shrinkToFit="0" vertical="bottom" wrapText="0"/>
    </xf>
    <xf borderId="37" fillId="7" fontId="0" numFmtId="0" xfId="0" applyAlignment="1" applyBorder="1" applyFont="1">
      <alignment shrinkToFit="0" vertical="bottom" wrapText="0"/>
    </xf>
    <xf borderId="58" fillId="6" fontId="3" numFmtId="0" xfId="0" applyBorder="1" applyFont="1"/>
    <xf borderId="24" fillId="6" fontId="3" numFmtId="0" xfId="0" applyBorder="1" applyFont="1"/>
    <xf borderId="24" fillId="6" fontId="3" numFmtId="10" xfId="0" applyBorder="1" applyFont="1" applyNumberFormat="1"/>
    <xf borderId="25" fillId="8" fontId="3" numFmtId="0" xfId="0" applyAlignment="1" applyBorder="1" applyFont="1">
      <alignment readingOrder="0"/>
    </xf>
    <xf borderId="0" fillId="3" fontId="8" numFmtId="167" xfId="0" applyFont="1" applyNumberFormat="1"/>
    <xf borderId="0" fillId="3" fontId="8" numFmtId="169" xfId="0" applyFont="1" applyNumberFormat="1"/>
    <xf borderId="0" fillId="3" fontId="8" numFmtId="164" xfId="0" applyFont="1" applyNumberFormat="1"/>
    <xf borderId="0" fillId="3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5" width="8.71"/>
    <col customWidth="1" min="6" max="6" width="11.43"/>
    <col customWidth="1" min="7" max="7" width="28.57"/>
    <col customWidth="1" min="8" max="8" width="9.43"/>
    <col customWidth="1" min="9" max="9" width="11.71"/>
    <col customWidth="1" min="10" max="10" width="10.43"/>
    <col customWidth="1" min="11" max="11" width="11.71"/>
    <col customWidth="1" min="12" max="12" width="10.43"/>
    <col customWidth="1" min="13" max="13" width="11.14"/>
    <col customWidth="1" min="14" max="14" width="9.43"/>
    <col customWidth="1" min="15" max="15" width="11.14"/>
    <col customWidth="1" min="16" max="16" width="10.71"/>
    <col customWidth="1" min="17" max="17" width="11.29"/>
    <col customWidth="1" min="18" max="26" width="8.71"/>
  </cols>
  <sheetData>
    <row r="1">
      <c r="A1" s="3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20"/>
      <c r="U1" s="8"/>
      <c r="V1" s="8"/>
      <c r="W1" s="8"/>
      <c r="X1" s="8"/>
      <c r="Y1" s="8"/>
      <c r="Z1" s="8"/>
    </row>
    <row r="2">
      <c r="A2" s="8"/>
      <c r="B2" s="7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>
      <c r="A3" s="8"/>
      <c r="B3" s="23" t="s">
        <v>18</v>
      </c>
      <c r="C3" s="9"/>
      <c r="D3" s="9"/>
      <c r="E3" s="9"/>
      <c r="F3" s="25" t="s">
        <v>19</v>
      </c>
      <c r="G3" s="28" t="s">
        <v>20</v>
      </c>
      <c r="H3" s="29" t="s">
        <v>21</v>
      </c>
      <c r="I3" s="17" t="s">
        <v>22</v>
      </c>
      <c r="J3" s="29" t="s">
        <v>23</v>
      </c>
      <c r="K3" s="17" t="s">
        <v>25</v>
      </c>
      <c r="L3" s="29" t="s">
        <v>26</v>
      </c>
      <c r="M3" s="17" t="s">
        <v>27</v>
      </c>
      <c r="N3" s="29" t="s">
        <v>28</v>
      </c>
      <c r="O3" s="17" t="s">
        <v>29</v>
      </c>
      <c r="P3" s="32" t="s">
        <v>30</v>
      </c>
      <c r="Q3" s="17" t="s">
        <v>15</v>
      </c>
    </row>
    <row r="4">
      <c r="A4" s="8"/>
      <c r="B4" s="35" t="s">
        <v>35</v>
      </c>
      <c r="C4" s="37"/>
      <c r="D4" s="37"/>
      <c r="E4" s="37"/>
      <c r="F4" s="39" t="s">
        <v>37</v>
      </c>
      <c r="G4" s="41" t="s">
        <v>39</v>
      </c>
      <c r="H4" s="43"/>
      <c r="I4" s="55">
        <f>IF(Proj!X3&lt;&gt;0,(Proj!T27-Proj!X27)/Proj!X3,"")</f>
        <v>1</v>
      </c>
      <c r="J4" s="43"/>
      <c r="K4" s="58">
        <f>IF(Proj!Y3&lt;&gt;0,(Proj!U27-Proj!Y27)/Proj!Y3,"")</f>
        <v>1</v>
      </c>
      <c r="L4" s="43"/>
      <c r="M4" s="60" t="str">
        <f>IF(Proj!Z3&lt;&gt;0,(Proj!V27-Proj!Z27)/Proj!Z3,"")</f>
        <v/>
      </c>
      <c r="N4" s="43"/>
      <c r="O4" s="58" t="str">
        <f>IF(Proj!AA3&lt;&gt;0,(Proj!W27-Proj!AA27)/Proj!AA3,"")</f>
        <v/>
      </c>
      <c r="P4" s="62">
        <v>0.8</v>
      </c>
      <c r="Q4" s="58">
        <f>IF(SUM(Proj!U3:W3)&lt;&gt;0,(Proj!U3-Proj!W3)/SUM(Proj!U3:W3),"")</f>
        <v>1</v>
      </c>
      <c r="R4" s="8"/>
    </row>
    <row r="5">
      <c r="A5" s="8"/>
      <c r="B5" s="65"/>
      <c r="F5" s="39" t="s">
        <v>37</v>
      </c>
      <c r="G5" s="67" t="s">
        <v>43</v>
      </c>
      <c r="H5" s="69"/>
      <c r="I5" s="71">
        <f>MKT!O42</f>
        <v>0</v>
      </c>
      <c r="J5" s="69"/>
      <c r="K5" s="71">
        <f>MKT!P42</f>
        <v>0</v>
      </c>
      <c r="L5" s="69"/>
      <c r="M5" s="71">
        <f>MKT!Q42</f>
        <v>0</v>
      </c>
      <c r="N5" s="69"/>
      <c r="O5" s="71">
        <f>MKT!R42</f>
        <v>0</v>
      </c>
      <c r="P5" s="83">
        <v>0.2</v>
      </c>
      <c r="Q5" s="85">
        <f>MKT!O43</f>
        <v>0</v>
      </c>
      <c r="R5" s="8"/>
    </row>
    <row r="6">
      <c r="A6" s="8"/>
      <c r="B6" s="35" t="s">
        <v>53</v>
      </c>
      <c r="C6" s="37"/>
      <c r="D6" s="37"/>
      <c r="E6" s="37"/>
      <c r="F6" s="39" t="s">
        <v>40</v>
      </c>
      <c r="G6" s="41" t="s">
        <v>54</v>
      </c>
      <c r="H6" s="87">
        <v>7500.0</v>
      </c>
      <c r="I6" s="89">
        <f>Proj!I47</f>
        <v>4090.98</v>
      </c>
      <c r="J6" s="87">
        <v>16360.0</v>
      </c>
      <c r="K6" s="91">
        <f>Proj!J47</f>
        <v>21362.85</v>
      </c>
      <c r="L6" s="92">
        <v>16360.0</v>
      </c>
      <c r="M6" s="91">
        <f>Proj!K47</f>
        <v>0</v>
      </c>
      <c r="N6" s="92">
        <v>8190.0</v>
      </c>
      <c r="O6" s="94">
        <f>Proj!N47</f>
        <v>0</v>
      </c>
      <c r="P6" s="107">
        <v>45000.0</v>
      </c>
      <c r="Q6" s="94">
        <f>Proj!I48</f>
        <v>25453.83</v>
      </c>
      <c r="R6" s="8"/>
    </row>
    <row r="7">
      <c r="A7" s="8"/>
      <c r="B7" s="65"/>
      <c r="F7" s="39" t="s">
        <v>40</v>
      </c>
      <c r="G7" s="67" t="s">
        <v>59</v>
      </c>
      <c r="H7" s="109">
        <v>5.0</v>
      </c>
      <c r="I7" s="111">
        <f>Proj!E47</f>
        <v>3</v>
      </c>
      <c r="J7" s="109">
        <v>11.0</v>
      </c>
      <c r="K7" s="113">
        <f>Proj!F47</f>
        <v>13</v>
      </c>
      <c r="L7" s="109">
        <v>11.0</v>
      </c>
      <c r="M7" s="120">
        <f>Proj!G47</f>
        <v>0</v>
      </c>
      <c r="N7" s="109">
        <v>5.0</v>
      </c>
      <c r="O7" s="120">
        <f>Proj!H47</f>
        <v>0</v>
      </c>
      <c r="P7" s="122">
        <v>30.0</v>
      </c>
      <c r="Q7" s="57">
        <f>Proj!E48</f>
        <v>16</v>
      </c>
      <c r="R7" s="8"/>
    </row>
    <row r="8">
      <c r="A8" s="8"/>
      <c r="B8" s="65"/>
      <c r="F8" s="39" t="s">
        <v>40</v>
      </c>
      <c r="G8" s="41" t="s">
        <v>63</v>
      </c>
      <c r="H8" s="124">
        <v>1500.0</v>
      </c>
      <c r="I8" s="126">
        <f>IF(I7&lt;&gt;0, divide(I6,I7),"")</f>
        <v>1363.66</v>
      </c>
      <c r="J8" s="124">
        <v>1500.0</v>
      </c>
      <c r="K8" s="126">
        <f>IF(K7&lt;&gt;0, divide(K6,K7),"")</f>
        <v>1643.296154</v>
      </c>
      <c r="L8" s="124">
        <v>1500.0</v>
      </c>
      <c r="M8" s="126" t="str">
        <f>IF(M7&lt;&gt;0, divide(M6,M7),"")</f>
        <v/>
      </c>
      <c r="N8" s="124">
        <v>1500.0</v>
      </c>
      <c r="O8" s="126" t="str">
        <f>IF(O7&lt;&gt;0, divide(O6,O7),"")</f>
        <v/>
      </c>
      <c r="P8" s="129">
        <v>1500.0</v>
      </c>
      <c r="Q8" s="126">
        <f>IF(Q7&lt;&gt;0, divide(Q6,Q7),"")</f>
        <v>1590.864375</v>
      </c>
      <c r="R8" s="8"/>
    </row>
    <row r="9">
      <c r="A9" s="8"/>
      <c r="B9" s="65"/>
      <c r="F9" s="39" t="s">
        <v>40</v>
      </c>
      <c r="G9" s="67" t="s">
        <v>64</v>
      </c>
      <c r="H9" s="132">
        <v>0.25</v>
      </c>
      <c r="I9" s="134">
        <f>IF(MKT!H5&lt;&gt;0,divide(SUM(MKT!G42,MKT!K42,MKT!O42),MKT!H5),"")</f>
        <v>0.1666666667</v>
      </c>
      <c r="J9" s="132">
        <v>0.25</v>
      </c>
      <c r="K9" s="134">
        <f>IF(MKT!L5&lt;&gt;0,divide(SUM(MKT!H42,MKT!L42,MKT!P42),MKT!L5),"")</f>
        <v>0.5555555556</v>
      </c>
      <c r="L9" s="132">
        <v>0.25</v>
      </c>
      <c r="M9" s="136" t="str">
        <f>IF(MKT!P5&lt;&gt;0,divide(SUM(MKT!I42,MKT!M42,MKT!Q42),MKT!P5),"")</f>
        <v/>
      </c>
      <c r="N9" s="137"/>
      <c r="O9" s="136" t="str">
        <f>IF(MKT!T5&lt;&gt;0,divide(SUM(MKT!J42,MKT!N42,MKT!R42),MKT!T5),"")</f>
        <v/>
      </c>
      <c r="P9" s="83">
        <v>0.25</v>
      </c>
      <c r="Q9" s="140">
        <f>IF('Tático'!N9&lt;&gt;0,divide(SUM(MKT!G43,MKT!K43,MKT!O43),'Tático'!N9),"")</f>
        <v>0.4</v>
      </c>
      <c r="R9" s="8"/>
    </row>
    <row r="10">
      <c r="A10" s="8"/>
      <c r="B10" s="7" t="s">
        <v>65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76"/>
      <c r="R10" s="8"/>
    </row>
    <row r="11">
      <c r="A11" s="8"/>
      <c r="B11" s="23" t="s">
        <v>18</v>
      </c>
      <c r="C11" s="9"/>
      <c r="D11" s="9"/>
      <c r="E11" s="9"/>
      <c r="F11" s="145"/>
      <c r="G11" s="28" t="s">
        <v>20</v>
      </c>
      <c r="H11" s="29" t="s">
        <v>21</v>
      </c>
      <c r="I11" s="17" t="s">
        <v>22</v>
      </c>
      <c r="J11" s="29" t="s">
        <v>23</v>
      </c>
      <c r="K11" s="17" t="s">
        <v>25</v>
      </c>
      <c r="L11" s="29" t="s">
        <v>26</v>
      </c>
      <c r="M11" s="17" t="s">
        <v>27</v>
      </c>
      <c r="N11" s="29" t="s">
        <v>28</v>
      </c>
      <c r="O11" s="17" t="s">
        <v>29</v>
      </c>
      <c r="P11" s="32" t="s">
        <v>30</v>
      </c>
      <c r="Q11" s="17" t="s">
        <v>15</v>
      </c>
      <c r="R11" s="8"/>
    </row>
    <row r="12">
      <c r="A12" s="8"/>
      <c r="B12" s="35" t="s">
        <v>68</v>
      </c>
      <c r="C12" s="37"/>
      <c r="D12" s="37"/>
      <c r="E12" s="37"/>
      <c r="F12" s="39" t="s">
        <v>69</v>
      </c>
      <c r="G12" s="147" t="s">
        <v>70</v>
      </c>
      <c r="H12" s="156"/>
      <c r="I12" s="159">
        <f>IF(AeC!H3&lt;&gt;0,I7*Proj!A47/AeC!H3,"")</f>
        <v>0.5625</v>
      </c>
      <c r="J12" s="156"/>
      <c r="K12" s="159">
        <f>IF(AeC!L3&lt;&gt;0,K7*Proj!B47/AeC!L3,"")</f>
        <v>1.654545455</v>
      </c>
      <c r="L12" s="156"/>
      <c r="M12" s="163" t="str">
        <f>IF(AeC!P3&lt;&gt;0,M7*Proj!C47/AeC!P3,"")</f>
        <v/>
      </c>
      <c r="N12" s="156"/>
      <c r="O12" s="166" t="str">
        <f>IF(AeC!T3&lt;&gt;0,O7*Proj!D47/AeC!T3,"")</f>
        <v/>
      </c>
      <c r="P12" s="167">
        <v>0.97</v>
      </c>
      <c r="Q12" s="169" t="str">
        <f>IF(AeC!U3&lt;&gt;0,Proj!B48*Q7/AeC!U3,"")</f>
        <v/>
      </c>
      <c r="R12" s="8"/>
    </row>
    <row r="13">
      <c r="A13" s="8"/>
      <c r="B13" s="65"/>
      <c r="F13" s="39" t="s">
        <v>69</v>
      </c>
      <c r="G13" s="67" t="s">
        <v>76</v>
      </c>
      <c r="H13" s="59"/>
      <c r="I13" s="111">
        <v>0.0</v>
      </c>
      <c r="J13" s="59"/>
      <c r="K13" s="63"/>
      <c r="L13" s="59"/>
      <c r="M13" s="63"/>
      <c r="N13" s="59"/>
      <c r="O13" s="63"/>
      <c r="P13" s="170">
        <v>0.0</v>
      </c>
      <c r="Q13" s="171">
        <f>SUM(I13,O13)</f>
        <v>0</v>
      </c>
      <c r="R13" s="8"/>
    </row>
    <row r="14">
      <c r="A14" s="8"/>
      <c r="B14" s="65"/>
      <c r="F14" s="39" t="s">
        <v>69</v>
      </c>
      <c r="G14" s="147" t="s">
        <v>77</v>
      </c>
      <c r="H14" s="172"/>
      <c r="I14" s="173">
        <f>(0+AeC!H4)/2*AeC!H3</f>
        <v>0</v>
      </c>
      <c r="J14" s="172"/>
      <c r="K14" s="174">
        <f>(AeC!L3-AeC!H3+AeC!L4)/(2*AeC!L3)</f>
        <v>0.2045454545</v>
      </c>
      <c r="L14" s="175"/>
      <c r="M14" s="174" t="str">
        <f>IF(AeC!P3&lt;&gt;0,(AeC!P3-AeC!L3+AeC!P4)/(2*AeC!P3),"")</f>
        <v/>
      </c>
      <c r="N14" s="175"/>
      <c r="O14" s="174" t="str">
        <f>IF(AeC!T3&lt;&gt;0,(AeC!T3-AeC!P3+AeC!T4)/2*AeC!T3,"")</f>
        <v/>
      </c>
      <c r="P14" s="178">
        <v>0.33</v>
      </c>
      <c r="Q14" s="180">
        <f>(AeC!U3-AeC!H3+AeC!U4)/2*AeC!U3</f>
        <v>0</v>
      </c>
      <c r="R14" s="8"/>
    </row>
    <row r="15">
      <c r="A15" s="8"/>
      <c r="B15" s="7" t="s">
        <v>79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76"/>
      <c r="R15" s="8"/>
    </row>
    <row r="16">
      <c r="A16" s="8"/>
      <c r="B16" s="23" t="s">
        <v>18</v>
      </c>
      <c r="C16" s="9"/>
      <c r="D16" s="9"/>
      <c r="E16" s="9"/>
      <c r="F16" s="145"/>
      <c r="G16" s="28" t="s">
        <v>20</v>
      </c>
      <c r="H16" s="29" t="s">
        <v>21</v>
      </c>
      <c r="I16" s="17" t="s">
        <v>22</v>
      </c>
      <c r="J16" s="29" t="s">
        <v>23</v>
      </c>
      <c r="K16" s="17" t="s">
        <v>25</v>
      </c>
      <c r="L16" s="29" t="s">
        <v>26</v>
      </c>
      <c r="M16" s="17" t="s">
        <v>27</v>
      </c>
      <c r="N16" s="29" t="s">
        <v>28</v>
      </c>
      <c r="O16" s="17" t="s">
        <v>29</v>
      </c>
      <c r="P16" s="32" t="s">
        <v>30</v>
      </c>
      <c r="Q16" s="17" t="s">
        <v>15</v>
      </c>
      <c r="R16" s="8"/>
    </row>
    <row r="17">
      <c r="A17" s="8"/>
      <c r="B17" s="35" t="s">
        <v>83</v>
      </c>
      <c r="C17" s="37"/>
      <c r="D17" s="37"/>
      <c r="E17" s="37"/>
      <c r="F17" s="39" t="s">
        <v>37</v>
      </c>
      <c r="G17" s="147" t="s">
        <v>85</v>
      </c>
      <c r="H17" s="43"/>
      <c r="I17" s="186">
        <f>IF(Proj!J73&lt;&gt;0,Proj!J72/Proj!J73,"")</f>
        <v>1</v>
      </c>
      <c r="J17" s="188"/>
      <c r="K17" s="60">
        <f>IF(Proj!K73&lt;&gt;0,Proj!K72/Proj!K73,"")</f>
        <v>1</v>
      </c>
      <c r="L17" s="188"/>
      <c r="M17" s="60" t="str">
        <f>IF(Proj!L73&lt;&gt;0,Proj!L72/Proj!L73,"")</f>
        <v/>
      </c>
      <c r="N17" s="188"/>
      <c r="O17" s="60" t="str">
        <f>IF(Proj!M73&lt;&gt;0,Proj!M72/Proj!M73,"")</f>
        <v/>
      </c>
      <c r="P17" s="193">
        <v>0.8</v>
      </c>
      <c r="Q17" s="58">
        <f>IF(SUM(Proj!J73:M73)&lt;&gt;0,SUM(Proj!J72:M72)/SUM(Proj!J73:M73),"")</f>
        <v>1</v>
      </c>
      <c r="R17" s="8"/>
    </row>
    <row r="18">
      <c r="A18" s="8"/>
      <c r="B18" s="65"/>
      <c r="F18" s="39" t="s">
        <v>37</v>
      </c>
      <c r="G18" s="67" t="s">
        <v>90</v>
      </c>
      <c r="H18" s="196"/>
      <c r="I18" s="198">
        <f>IF(Proj!S53&lt;&gt;0,Proj!S52/Proj!S53,"")</f>
        <v>0</v>
      </c>
      <c r="J18" s="199"/>
      <c r="K18" s="201">
        <f>IF(Proj!T53&lt;&gt;0,Proj!T52/Proj!T53,"")</f>
        <v>0</v>
      </c>
      <c r="L18" s="199"/>
      <c r="M18" s="201" t="str">
        <f>IF(Proj!U53&lt;&gt;0,Proj!U52/Proj!U53,"")</f>
        <v/>
      </c>
      <c r="N18" s="199"/>
      <c r="O18" s="201" t="str">
        <f>IF(Proj!V53&lt;&gt;0,Proj!V52/Proj!V53,"")</f>
        <v/>
      </c>
      <c r="P18" s="205">
        <v>0.67</v>
      </c>
      <c r="Q18" s="207">
        <f>IF(SUM(Proj!S53:V53)&lt;&gt;0,SUM(Proj!S52:V52)/SUM(Proj!S53:V53),"")</f>
        <v>0</v>
      </c>
      <c r="R18" s="8"/>
    </row>
    <row r="19">
      <c r="A19" s="8"/>
      <c r="B19" s="35" t="s">
        <v>98</v>
      </c>
      <c r="C19" s="37"/>
      <c r="D19" s="37"/>
      <c r="E19" s="37"/>
      <c r="F19" s="39" t="s">
        <v>100</v>
      </c>
      <c r="G19" s="147" t="s">
        <v>101</v>
      </c>
      <c r="H19" s="209">
        <v>1.0</v>
      </c>
      <c r="I19" s="210">
        <f>'Adm-Fin'!C3</f>
        <v>0.9230769231</v>
      </c>
      <c r="J19" s="209">
        <v>1.0</v>
      </c>
      <c r="K19" s="212">
        <f>'Adm-Fin'!G3</f>
        <v>1</v>
      </c>
      <c r="L19" s="209">
        <v>1.0</v>
      </c>
      <c r="M19" s="212">
        <f>'Adm-Fin'!K3</f>
        <v>1</v>
      </c>
      <c r="N19" s="209">
        <v>1.0</v>
      </c>
      <c r="O19" s="219">
        <f>'Adm-Fin'!O3</f>
        <v>1</v>
      </c>
      <c r="P19" s="220">
        <v>1.0</v>
      </c>
      <c r="Q19" s="221">
        <f>'Adm-Fin'!P3</f>
        <v>1</v>
      </c>
      <c r="R19" s="8"/>
    </row>
    <row r="20" ht="15.75" customHeight="1">
      <c r="A20" s="8"/>
      <c r="B20" s="222"/>
      <c r="C20" s="223"/>
      <c r="D20" s="223"/>
      <c r="E20" s="223"/>
      <c r="F20" s="39" t="s">
        <v>100</v>
      </c>
      <c r="G20" s="67" t="s">
        <v>106</v>
      </c>
      <c r="H20" s="224">
        <f>IF(NOT('Adm-Fin'!C4=""),DIVIDE('Adm-Fin'!C4,'Adm-Fin'!C5),"")</f>
        <v>1.917989606</v>
      </c>
      <c r="I20" s="227">
        <f>IF(NOT('Adm-Fin'!C4=0),DIVIDE('Adm-Fin'!C4,'Adm-Fin'!C5),"")</f>
        <v>1.917989606</v>
      </c>
      <c r="J20" s="228">
        <v>1.1</v>
      </c>
      <c r="K20" s="230">
        <f>IF(NOT('Adm-Fin'!G4=0),DIVIDE('Adm-Fin'!G4,'Adm-Fin'!G5),"")</f>
        <v>1.193853167</v>
      </c>
      <c r="L20" s="228">
        <v>1.1</v>
      </c>
      <c r="M20" s="227" t="str">
        <f>IF(NOT('Adm-Fin'!K4=0),DIVIDE('Adm-Fin'!K4,'Adm-Fin'!K5),"")</f>
        <v/>
      </c>
      <c r="N20" s="228">
        <v>1.1</v>
      </c>
      <c r="O20" s="227" t="str">
        <f>IF(NOT('Adm-Fin'!O4=0),DIVIDE('Adm-Fin'!O4,'Adm-Fin'!O5),"")</f>
        <v/>
      </c>
      <c r="P20" s="233">
        <v>1.1</v>
      </c>
      <c r="Q20" s="140">
        <f>IF('Adm-Fin'!P4&lt;&gt;0,divide('Adm-Fin'!P4,'Adm-Fin'!P5),"")</f>
        <v>1.471003531</v>
      </c>
      <c r="R20" s="8"/>
    </row>
    <row r="21" ht="15.75" customHeight="1">
      <c r="A21" s="8"/>
      <c r="F21" s="236"/>
    </row>
    <row r="22" ht="15.75" customHeight="1">
      <c r="A22" s="8"/>
      <c r="F22" s="236"/>
    </row>
    <row r="23" ht="15.75" customHeight="1">
      <c r="A23" s="8"/>
      <c r="F23" s="236"/>
    </row>
    <row r="24" ht="15.75" customHeight="1">
      <c r="A24" s="8"/>
      <c r="F24" s="236"/>
    </row>
    <row r="25" ht="15.75" customHeight="1">
      <c r="A25" s="8"/>
      <c r="F25" s="236"/>
    </row>
    <row r="26" ht="15.75" customHeight="1">
      <c r="A26" s="8"/>
      <c r="F26" s="236"/>
    </row>
    <row r="27" ht="15.75" customHeight="1">
      <c r="A27" s="8"/>
      <c r="F27" s="236"/>
    </row>
    <row r="28" ht="15.75" customHeight="1">
      <c r="A28" s="8"/>
      <c r="F28" s="236"/>
    </row>
    <row r="29" ht="15.75" customHeight="1">
      <c r="A29" s="8"/>
      <c r="F29" s="236"/>
    </row>
    <row r="30" ht="15.75" customHeight="1">
      <c r="A30" s="8"/>
      <c r="F30" s="236"/>
    </row>
    <row r="31" ht="15.75" customHeight="1">
      <c r="A31" s="8"/>
      <c r="F31" s="236"/>
    </row>
    <row r="32" ht="15.75" customHeight="1">
      <c r="A32" s="8"/>
      <c r="F32" s="236"/>
    </row>
    <row r="33" ht="15.75" customHeight="1">
      <c r="A33" s="8"/>
      <c r="F33" s="236"/>
    </row>
    <row r="34" ht="15.75" customHeight="1">
      <c r="A34" s="8"/>
      <c r="F34" s="236"/>
    </row>
    <row r="35" ht="15.75" customHeight="1">
      <c r="A35" s="8"/>
      <c r="F35" s="236"/>
    </row>
    <row r="36" ht="15.75" customHeight="1">
      <c r="A36" s="8"/>
      <c r="F36" s="236"/>
    </row>
    <row r="37" ht="15.75" customHeight="1">
      <c r="A37" s="8"/>
      <c r="F37" s="236"/>
    </row>
    <row r="38" ht="15.75" customHeight="1">
      <c r="A38" s="8"/>
      <c r="F38" s="236"/>
    </row>
    <row r="39" ht="15.75" customHeight="1">
      <c r="A39" s="8"/>
      <c r="F39" s="236"/>
    </row>
    <row r="40" ht="15.75" customHeight="1">
      <c r="A40" s="8"/>
      <c r="F40" s="236"/>
    </row>
    <row r="41" ht="15.75" customHeight="1">
      <c r="A41" s="8"/>
      <c r="F41" s="236"/>
    </row>
    <row r="42" ht="15.75" customHeight="1">
      <c r="A42" s="8"/>
      <c r="F42" s="236"/>
    </row>
    <row r="43" ht="15.75" customHeight="1">
      <c r="A43" s="8"/>
      <c r="F43" s="236"/>
    </row>
    <row r="44" ht="15.75" customHeight="1">
      <c r="A44" s="8"/>
      <c r="F44" s="236"/>
    </row>
    <row r="45" ht="15.75" customHeight="1">
      <c r="A45" s="8"/>
      <c r="F45" s="236"/>
    </row>
    <row r="46" ht="15.75" customHeight="1">
      <c r="A46" s="8"/>
      <c r="F46" s="236"/>
    </row>
    <row r="47" ht="15.75" customHeight="1">
      <c r="A47" s="8"/>
      <c r="F47" s="236"/>
    </row>
    <row r="48" ht="15.75" customHeight="1">
      <c r="A48" s="8"/>
      <c r="F48" s="236"/>
    </row>
    <row r="49" ht="15.75" customHeight="1">
      <c r="A49" s="8"/>
      <c r="F49" s="236"/>
    </row>
    <row r="50" ht="15.75" customHeight="1">
      <c r="A50" s="8"/>
      <c r="F50" s="236"/>
    </row>
    <row r="51" ht="15.75" customHeight="1">
      <c r="A51" s="8"/>
      <c r="F51" s="236"/>
    </row>
    <row r="52" ht="15.75" customHeight="1">
      <c r="A52" s="8"/>
      <c r="F52" s="236"/>
    </row>
    <row r="53" ht="15.75" customHeight="1">
      <c r="A53" s="8"/>
      <c r="F53" s="236"/>
    </row>
    <row r="54" ht="15.75" customHeight="1">
      <c r="A54" s="8"/>
      <c r="F54" s="236"/>
    </row>
    <row r="55" ht="15.75" customHeight="1">
      <c r="A55" s="8"/>
      <c r="F55" s="236"/>
    </row>
    <row r="56" ht="15.75" customHeight="1">
      <c r="A56" s="8"/>
      <c r="F56" s="236"/>
    </row>
    <row r="57" ht="15.75" customHeight="1">
      <c r="A57" s="8"/>
      <c r="F57" s="236"/>
    </row>
    <row r="58" ht="15.75" customHeight="1">
      <c r="A58" s="8"/>
      <c r="F58" s="236"/>
    </row>
    <row r="59" ht="15.75" customHeight="1">
      <c r="A59" s="8"/>
      <c r="F59" s="236"/>
    </row>
    <row r="60" ht="15.75" customHeight="1">
      <c r="A60" s="8"/>
      <c r="F60" s="236"/>
    </row>
    <row r="61" ht="15.75" customHeight="1">
      <c r="A61" s="8"/>
      <c r="F61" s="236"/>
    </row>
    <row r="62" ht="15.75" customHeight="1">
      <c r="A62" s="8"/>
      <c r="F62" s="236"/>
    </row>
    <row r="63" ht="15.75" customHeight="1">
      <c r="A63" s="8"/>
      <c r="F63" s="236"/>
    </row>
    <row r="64" ht="15.75" customHeight="1">
      <c r="A64" s="8"/>
      <c r="F64" s="236"/>
    </row>
    <row r="65" ht="15.75" customHeight="1">
      <c r="A65" s="8"/>
      <c r="F65" s="236"/>
    </row>
    <row r="66" ht="15.75" customHeight="1">
      <c r="A66" s="8"/>
      <c r="F66" s="236"/>
    </row>
    <row r="67" ht="15.75" customHeight="1">
      <c r="A67" s="8"/>
      <c r="F67" s="236"/>
    </row>
    <row r="68" ht="15.75" customHeight="1">
      <c r="A68" s="8"/>
      <c r="F68" s="236"/>
    </row>
    <row r="69" ht="15.75" customHeight="1">
      <c r="A69" s="8"/>
      <c r="F69" s="236"/>
    </row>
    <row r="70" ht="15.75" customHeight="1">
      <c r="A70" s="8"/>
      <c r="F70" s="236"/>
    </row>
    <row r="71" ht="15.75" customHeight="1">
      <c r="A71" s="8"/>
      <c r="F71" s="236"/>
    </row>
    <row r="72" ht="15.75" customHeight="1">
      <c r="A72" s="8"/>
      <c r="F72" s="236"/>
    </row>
    <row r="73" ht="15.75" customHeight="1">
      <c r="A73" s="8"/>
      <c r="F73" s="236"/>
    </row>
    <row r="74" ht="15.75" customHeight="1">
      <c r="A74" s="8"/>
      <c r="F74" s="236"/>
    </row>
    <row r="75" ht="15.75" customHeight="1">
      <c r="A75" s="8"/>
      <c r="F75" s="236"/>
    </row>
    <row r="76" ht="15.75" customHeight="1">
      <c r="A76" s="8"/>
      <c r="F76" s="236"/>
    </row>
    <row r="77" ht="15.75" customHeight="1">
      <c r="A77" s="8"/>
      <c r="F77" s="236"/>
    </row>
    <row r="78" ht="15.75" customHeight="1">
      <c r="A78" s="8"/>
      <c r="F78" s="236"/>
    </row>
    <row r="79" ht="15.75" customHeight="1">
      <c r="A79" s="8"/>
      <c r="F79" s="236"/>
    </row>
    <row r="80" ht="15.75" customHeight="1">
      <c r="A80" s="8"/>
      <c r="F80" s="236"/>
    </row>
    <row r="81" ht="15.75" customHeight="1">
      <c r="A81" s="8"/>
      <c r="F81" s="236"/>
    </row>
    <row r="82" ht="15.75" customHeight="1">
      <c r="A82" s="8"/>
      <c r="F82" s="236"/>
    </row>
    <row r="83" ht="15.75" customHeight="1">
      <c r="A83" s="8"/>
      <c r="F83" s="236"/>
    </row>
    <row r="84" ht="15.75" customHeight="1">
      <c r="A84" s="8"/>
      <c r="F84" s="236"/>
    </row>
    <row r="85" ht="15.75" customHeight="1">
      <c r="A85" s="8"/>
      <c r="F85" s="236"/>
    </row>
    <row r="86" ht="15.75" customHeight="1">
      <c r="A86" s="8"/>
      <c r="F86" s="236"/>
    </row>
    <row r="87" ht="15.75" customHeight="1">
      <c r="A87" s="8"/>
      <c r="F87" s="236"/>
    </row>
    <row r="88" ht="15.75" customHeight="1">
      <c r="A88" s="8"/>
      <c r="F88" s="236"/>
    </row>
    <row r="89" ht="15.75" customHeight="1">
      <c r="A89" s="8"/>
      <c r="F89" s="236"/>
    </row>
    <row r="90" ht="15.75" customHeight="1">
      <c r="A90" s="8"/>
      <c r="F90" s="236"/>
    </row>
    <row r="91" ht="15.75" customHeight="1">
      <c r="A91" s="8"/>
      <c r="F91" s="236"/>
    </row>
    <row r="92" ht="15.75" customHeight="1">
      <c r="A92" s="8"/>
      <c r="F92" s="236"/>
    </row>
    <row r="93" ht="15.75" customHeight="1">
      <c r="A93" s="8"/>
      <c r="F93" s="236"/>
    </row>
    <row r="94" ht="15.75" customHeight="1">
      <c r="A94" s="8"/>
      <c r="F94" s="236"/>
    </row>
    <row r="95" ht="15.75" customHeight="1">
      <c r="A95" s="8"/>
      <c r="F95" s="236"/>
    </row>
    <row r="96" ht="15.75" customHeight="1">
      <c r="A96" s="8"/>
      <c r="F96" s="236"/>
    </row>
    <row r="97" ht="15.75" customHeight="1">
      <c r="A97" s="8"/>
      <c r="F97" s="236"/>
    </row>
    <row r="98" ht="15.75" customHeight="1">
      <c r="A98" s="8"/>
      <c r="F98" s="236"/>
    </row>
    <row r="99" ht="15.75" customHeight="1">
      <c r="A99" s="8"/>
      <c r="F99" s="236"/>
    </row>
    <row r="100" ht="15.75" customHeight="1">
      <c r="A100" s="8"/>
      <c r="F100" s="236"/>
    </row>
    <row r="101" ht="15.75" customHeight="1">
      <c r="A101" s="8"/>
      <c r="F101" s="236"/>
    </row>
    <row r="102" ht="15.75" customHeight="1">
      <c r="A102" s="8"/>
      <c r="F102" s="236"/>
    </row>
    <row r="103" ht="15.75" customHeight="1">
      <c r="A103" s="8"/>
      <c r="F103" s="236"/>
    </row>
    <row r="104" ht="15.75" customHeight="1">
      <c r="A104" s="8"/>
      <c r="F104" s="236"/>
    </row>
    <row r="105" ht="15.75" customHeight="1">
      <c r="A105" s="8"/>
      <c r="F105" s="236"/>
    </row>
    <row r="106" ht="15.75" customHeight="1">
      <c r="A106" s="8"/>
      <c r="F106" s="236"/>
    </row>
    <row r="107" ht="15.75" customHeight="1">
      <c r="A107" s="8"/>
      <c r="F107" s="236"/>
    </row>
    <row r="108" ht="15.75" customHeight="1">
      <c r="A108" s="8"/>
      <c r="F108" s="236"/>
    </row>
    <row r="109" ht="15.75" customHeight="1">
      <c r="A109" s="8"/>
      <c r="F109" s="236"/>
    </row>
    <row r="110" ht="15.75" customHeight="1">
      <c r="A110" s="8"/>
      <c r="F110" s="236"/>
    </row>
    <row r="111" ht="15.75" customHeight="1">
      <c r="A111" s="8"/>
      <c r="F111" s="236"/>
    </row>
    <row r="112" ht="15.75" customHeight="1">
      <c r="A112" s="8"/>
      <c r="F112" s="236"/>
    </row>
    <row r="113" ht="15.75" customHeight="1">
      <c r="A113" s="8"/>
      <c r="F113" s="236"/>
    </row>
    <row r="114" ht="15.75" customHeight="1">
      <c r="A114" s="8"/>
      <c r="F114" s="236"/>
    </row>
    <row r="115" ht="15.75" customHeight="1">
      <c r="A115" s="8"/>
      <c r="F115" s="236"/>
    </row>
    <row r="116" ht="15.75" customHeight="1">
      <c r="A116" s="8"/>
      <c r="F116" s="236"/>
    </row>
    <row r="117" ht="15.75" customHeight="1">
      <c r="A117" s="8"/>
      <c r="F117" s="236"/>
    </row>
    <row r="118" ht="15.75" customHeight="1">
      <c r="A118" s="8"/>
      <c r="F118" s="236"/>
    </row>
    <row r="119" ht="15.75" customHeight="1">
      <c r="A119" s="8"/>
      <c r="F119" s="236"/>
    </row>
    <row r="120" ht="15.75" customHeight="1">
      <c r="A120" s="8"/>
      <c r="F120" s="236"/>
    </row>
    <row r="121" ht="15.75" customHeight="1">
      <c r="A121" s="8"/>
      <c r="F121" s="236"/>
    </row>
    <row r="122" ht="15.75" customHeight="1">
      <c r="A122" s="8"/>
      <c r="F122" s="236"/>
    </row>
    <row r="123" ht="15.75" customHeight="1">
      <c r="A123" s="8"/>
      <c r="F123" s="236"/>
    </row>
    <row r="124" ht="15.75" customHeight="1">
      <c r="A124" s="8"/>
      <c r="F124" s="236"/>
    </row>
    <row r="125" ht="15.75" customHeight="1">
      <c r="A125" s="8"/>
      <c r="F125" s="236"/>
    </row>
    <row r="126" ht="15.75" customHeight="1">
      <c r="A126" s="8"/>
      <c r="F126" s="236"/>
    </row>
    <row r="127" ht="15.75" customHeight="1">
      <c r="A127" s="8"/>
      <c r="F127" s="236"/>
    </row>
    <row r="128" ht="15.75" customHeight="1">
      <c r="A128" s="8"/>
      <c r="F128" s="236"/>
    </row>
    <row r="129" ht="15.75" customHeight="1">
      <c r="A129" s="8"/>
      <c r="F129" s="236"/>
    </row>
    <row r="130" ht="15.75" customHeight="1">
      <c r="A130" s="8"/>
      <c r="F130" s="236"/>
    </row>
    <row r="131" ht="15.75" customHeight="1">
      <c r="A131" s="8"/>
      <c r="F131" s="236"/>
    </row>
    <row r="132" ht="15.75" customHeight="1">
      <c r="A132" s="8"/>
      <c r="F132" s="236"/>
    </row>
    <row r="133" ht="15.75" customHeight="1">
      <c r="A133" s="8"/>
      <c r="F133" s="236"/>
    </row>
    <row r="134" ht="15.75" customHeight="1">
      <c r="A134" s="8"/>
      <c r="F134" s="236"/>
    </row>
    <row r="135" ht="15.75" customHeight="1">
      <c r="A135" s="8"/>
      <c r="F135" s="236"/>
    </row>
    <row r="136" ht="15.75" customHeight="1">
      <c r="A136" s="8"/>
      <c r="F136" s="236"/>
    </row>
    <row r="137" ht="15.75" customHeight="1">
      <c r="A137" s="8"/>
      <c r="F137" s="236"/>
    </row>
    <row r="138" ht="15.75" customHeight="1">
      <c r="A138" s="8"/>
      <c r="F138" s="236"/>
    </row>
    <row r="139" ht="15.75" customHeight="1">
      <c r="A139" s="8"/>
      <c r="F139" s="236"/>
    </row>
    <row r="140" ht="15.75" customHeight="1">
      <c r="A140" s="8"/>
      <c r="F140" s="236"/>
    </row>
    <row r="141" ht="15.75" customHeight="1">
      <c r="A141" s="8"/>
      <c r="F141" s="236"/>
    </row>
    <row r="142" ht="15.75" customHeight="1">
      <c r="A142" s="8"/>
      <c r="F142" s="236"/>
    </row>
    <row r="143" ht="15.75" customHeight="1">
      <c r="A143" s="8"/>
      <c r="F143" s="236"/>
    </row>
    <row r="144" ht="15.75" customHeight="1">
      <c r="A144" s="8"/>
      <c r="F144" s="236"/>
    </row>
    <row r="145" ht="15.75" customHeight="1">
      <c r="A145" s="8"/>
      <c r="F145" s="236"/>
    </row>
    <row r="146" ht="15.75" customHeight="1">
      <c r="A146" s="8"/>
      <c r="F146" s="236"/>
    </row>
    <row r="147" ht="15.75" customHeight="1">
      <c r="A147" s="8"/>
      <c r="F147" s="236"/>
    </row>
    <row r="148" ht="15.75" customHeight="1">
      <c r="A148" s="8"/>
      <c r="F148" s="236"/>
    </row>
    <row r="149" ht="15.75" customHeight="1">
      <c r="A149" s="8"/>
      <c r="F149" s="236"/>
    </row>
    <row r="150" ht="15.75" customHeight="1">
      <c r="A150" s="8"/>
      <c r="F150" s="236"/>
    </row>
    <row r="151" ht="15.75" customHeight="1">
      <c r="A151" s="8"/>
      <c r="F151" s="236"/>
    </row>
    <row r="152" ht="15.75" customHeight="1">
      <c r="A152" s="8"/>
      <c r="F152" s="236"/>
    </row>
    <row r="153" ht="15.75" customHeight="1">
      <c r="A153" s="8"/>
      <c r="F153" s="236"/>
    </row>
    <row r="154" ht="15.75" customHeight="1">
      <c r="A154" s="8"/>
      <c r="F154" s="236"/>
    </row>
    <row r="155" ht="15.75" customHeight="1">
      <c r="A155" s="8"/>
      <c r="F155" s="236"/>
    </row>
    <row r="156" ht="15.75" customHeight="1">
      <c r="A156" s="8"/>
      <c r="F156" s="236"/>
    </row>
    <row r="157" ht="15.75" customHeight="1">
      <c r="A157" s="8"/>
      <c r="F157" s="236"/>
    </row>
    <row r="158" ht="15.75" customHeight="1">
      <c r="A158" s="8"/>
      <c r="F158" s="236"/>
    </row>
    <row r="159" ht="15.75" customHeight="1">
      <c r="A159" s="8"/>
      <c r="F159" s="236"/>
    </row>
    <row r="160" ht="15.75" customHeight="1">
      <c r="A160" s="8"/>
      <c r="F160" s="236"/>
    </row>
    <row r="161" ht="15.75" customHeight="1">
      <c r="A161" s="8"/>
      <c r="F161" s="236"/>
    </row>
    <row r="162" ht="15.75" customHeight="1">
      <c r="A162" s="8"/>
      <c r="F162" s="236"/>
    </row>
    <row r="163" ht="15.75" customHeight="1">
      <c r="A163" s="8"/>
      <c r="F163" s="236"/>
    </row>
    <row r="164" ht="15.75" customHeight="1">
      <c r="A164" s="8"/>
      <c r="F164" s="236"/>
    </row>
    <row r="165" ht="15.75" customHeight="1">
      <c r="A165" s="8"/>
      <c r="F165" s="236"/>
    </row>
    <row r="166" ht="15.75" customHeight="1">
      <c r="A166" s="8"/>
      <c r="F166" s="236"/>
    </row>
    <row r="167" ht="15.75" customHeight="1">
      <c r="A167" s="8"/>
      <c r="F167" s="236"/>
    </row>
    <row r="168" ht="15.75" customHeight="1">
      <c r="A168" s="8"/>
      <c r="F168" s="236"/>
    </row>
    <row r="169" ht="15.75" customHeight="1">
      <c r="A169" s="8"/>
      <c r="F169" s="236"/>
    </row>
    <row r="170" ht="15.75" customHeight="1">
      <c r="A170" s="8"/>
      <c r="F170" s="236"/>
    </row>
    <row r="171" ht="15.75" customHeight="1">
      <c r="A171" s="8"/>
      <c r="F171" s="236"/>
    </row>
    <row r="172" ht="15.75" customHeight="1">
      <c r="A172" s="8"/>
      <c r="F172" s="236"/>
    </row>
    <row r="173" ht="15.75" customHeight="1">
      <c r="A173" s="8"/>
      <c r="F173" s="236"/>
    </row>
    <row r="174" ht="15.75" customHeight="1">
      <c r="A174" s="8"/>
      <c r="F174" s="236"/>
    </row>
    <row r="175" ht="15.75" customHeight="1">
      <c r="A175" s="8"/>
      <c r="F175" s="236"/>
    </row>
    <row r="176" ht="15.75" customHeight="1">
      <c r="A176" s="8"/>
      <c r="F176" s="236"/>
    </row>
    <row r="177" ht="15.75" customHeight="1">
      <c r="A177" s="8"/>
      <c r="F177" s="236"/>
    </row>
    <row r="178" ht="15.75" customHeight="1">
      <c r="A178" s="8"/>
      <c r="F178" s="236"/>
    </row>
    <row r="179" ht="15.75" customHeight="1">
      <c r="A179" s="8"/>
      <c r="F179" s="236"/>
    </row>
    <row r="180" ht="15.75" customHeight="1">
      <c r="A180" s="8"/>
      <c r="F180" s="236"/>
    </row>
    <row r="181" ht="15.75" customHeight="1">
      <c r="A181" s="8"/>
      <c r="F181" s="236"/>
    </row>
    <row r="182" ht="15.75" customHeight="1">
      <c r="A182" s="8"/>
      <c r="F182" s="236"/>
    </row>
    <row r="183" ht="15.75" customHeight="1">
      <c r="A183" s="8"/>
      <c r="F183" s="236"/>
    </row>
    <row r="184" ht="15.75" customHeight="1">
      <c r="A184" s="8"/>
      <c r="F184" s="236"/>
    </row>
    <row r="185" ht="15.75" customHeight="1">
      <c r="A185" s="8"/>
      <c r="F185" s="236"/>
    </row>
    <row r="186" ht="15.75" customHeight="1">
      <c r="A186" s="8"/>
      <c r="F186" s="236"/>
    </row>
    <row r="187" ht="15.75" customHeight="1">
      <c r="A187" s="8"/>
      <c r="F187" s="236"/>
    </row>
    <row r="188" ht="15.75" customHeight="1">
      <c r="A188" s="8"/>
      <c r="F188" s="236"/>
    </row>
    <row r="189" ht="15.75" customHeight="1">
      <c r="A189" s="8"/>
      <c r="F189" s="236"/>
    </row>
    <row r="190" ht="15.75" customHeight="1">
      <c r="A190" s="8"/>
      <c r="F190" s="236"/>
    </row>
    <row r="191" ht="15.75" customHeight="1">
      <c r="A191" s="8"/>
      <c r="F191" s="236"/>
    </row>
    <row r="192" ht="15.75" customHeight="1">
      <c r="A192" s="8"/>
      <c r="F192" s="236"/>
    </row>
    <row r="193" ht="15.75" customHeight="1">
      <c r="A193" s="8"/>
      <c r="F193" s="236"/>
    </row>
    <row r="194" ht="15.75" customHeight="1">
      <c r="A194" s="8"/>
      <c r="F194" s="236"/>
    </row>
    <row r="195" ht="15.75" customHeight="1">
      <c r="A195" s="8"/>
      <c r="F195" s="236"/>
    </row>
    <row r="196" ht="15.75" customHeight="1">
      <c r="A196" s="8"/>
      <c r="F196" s="236"/>
    </row>
    <row r="197" ht="15.75" customHeight="1">
      <c r="A197" s="8"/>
      <c r="F197" s="236"/>
    </row>
    <row r="198" ht="15.75" customHeight="1">
      <c r="A198" s="8"/>
      <c r="F198" s="236"/>
    </row>
    <row r="199" ht="15.75" customHeight="1">
      <c r="A199" s="8"/>
      <c r="F199" s="236"/>
    </row>
    <row r="200" ht="15.75" customHeight="1">
      <c r="A200" s="8"/>
      <c r="F200" s="236"/>
    </row>
    <row r="201" ht="15.75" customHeight="1">
      <c r="A201" s="8"/>
      <c r="F201" s="236"/>
    </row>
    <row r="202" ht="15.75" customHeight="1">
      <c r="A202" s="8"/>
      <c r="F202" s="236"/>
    </row>
    <row r="203" ht="15.75" customHeight="1">
      <c r="A203" s="8"/>
      <c r="F203" s="236"/>
    </row>
    <row r="204" ht="15.75" customHeight="1">
      <c r="A204" s="8"/>
      <c r="F204" s="236"/>
    </row>
    <row r="205" ht="15.75" customHeight="1">
      <c r="A205" s="8"/>
      <c r="F205" s="236"/>
    </row>
    <row r="206" ht="15.75" customHeight="1">
      <c r="A206" s="8"/>
      <c r="F206" s="236"/>
    </row>
    <row r="207" ht="15.75" customHeight="1">
      <c r="A207" s="8"/>
      <c r="F207" s="236"/>
    </row>
    <row r="208" ht="15.75" customHeight="1">
      <c r="A208" s="8"/>
      <c r="F208" s="236"/>
    </row>
    <row r="209" ht="15.75" customHeight="1">
      <c r="A209" s="8"/>
      <c r="F209" s="236"/>
    </row>
    <row r="210" ht="15.75" customHeight="1">
      <c r="A210" s="8"/>
      <c r="F210" s="236"/>
    </row>
    <row r="211" ht="15.75" customHeight="1">
      <c r="A211" s="8"/>
      <c r="F211" s="236"/>
    </row>
    <row r="212" ht="15.75" customHeight="1">
      <c r="A212" s="8"/>
      <c r="F212" s="236"/>
    </row>
    <row r="213" ht="15.75" customHeight="1">
      <c r="A213" s="8"/>
      <c r="F213" s="236"/>
    </row>
    <row r="214" ht="15.75" customHeight="1">
      <c r="A214" s="8"/>
      <c r="F214" s="236"/>
    </row>
    <row r="215" ht="15.75" customHeight="1">
      <c r="A215" s="8"/>
      <c r="F215" s="236"/>
    </row>
    <row r="216" ht="15.75" customHeight="1">
      <c r="A216" s="8"/>
      <c r="F216" s="236"/>
    </row>
    <row r="217" ht="15.75" customHeight="1">
      <c r="A217" s="8"/>
      <c r="F217" s="236"/>
    </row>
    <row r="218" ht="15.75" customHeight="1">
      <c r="A218" s="8"/>
      <c r="F218" s="236"/>
    </row>
    <row r="219" ht="15.75" customHeight="1">
      <c r="A219" s="8"/>
      <c r="F219" s="236"/>
    </row>
    <row r="220" ht="15.75" customHeight="1">
      <c r="A220" s="8"/>
      <c r="F220" s="236"/>
    </row>
    <row r="221" ht="15.75" customHeight="1">
      <c r="A221" s="8"/>
      <c r="F221" s="236"/>
    </row>
    <row r="222" ht="15.75" customHeight="1">
      <c r="A222" s="8"/>
      <c r="F222" s="236"/>
    </row>
    <row r="223" ht="15.75" customHeight="1">
      <c r="A223" s="8"/>
      <c r="F223" s="236"/>
    </row>
    <row r="224" ht="15.75" customHeight="1">
      <c r="A224" s="8"/>
      <c r="F224" s="236"/>
    </row>
    <row r="225" ht="15.75" customHeight="1">
      <c r="A225" s="8"/>
      <c r="F225" s="236"/>
    </row>
    <row r="226" ht="15.75" customHeight="1">
      <c r="A226" s="8"/>
      <c r="F226" s="236"/>
    </row>
    <row r="227" ht="15.75" customHeight="1">
      <c r="A227" s="8"/>
      <c r="F227" s="236"/>
    </row>
    <row r="228" ht="15.75" customHeight="1">
      <c r="A228" s="8"/>
      <c r="F228" s="236"/>
    </row>
    <row r="229" ht="15.75" customHeight="1">
      <c r="A229" s="8"/>
      <c r="F229" s="236"/>
    </row>
    <row r="230" ht="15.75" customHeight="1">
      <c r="A230" s="8"/>
      <c r="F230" s="236"/>
    </row>
    <row r="231" ht="15.75" customHeight="1">
      <c r="A231" s="8"/>
      <c r="F231" s="236"/>
    </row>
    <row r="232" ht="15.75" customHeight="1">
      <c r="A232" s="8"/>
      <c r="F232" s="236"/>
    </row>
    <row r="233" ht="15.75" customHeight="1">
      <c r="A233" s="8"/>
      <c r="F233" s="236"/>
    </row>
    <row r="234" ht="15.75" customHeight="1">
      <c r="A234" s="8"/>
      <c r="F234" s="236"/>
    </row>
    <row r="235" ht="15.75" customHeight="1">
      <c r="A235" s="8"/>
      <c r="F235" s="236"/>
    </row>
    <row r="236" ht="15.75" customHeight="1">
      <c r="A236" s="8"/>
      <c r="F236" s="236"/>
    </row>
    <row r="237" ht="15.75" customHeight="1">
      <c r="A237" s="8"/>
      <c r="F237" s="236"/>
    </row>
    <row r="238" ht="15.75" customHeight="1">
      <c r="A238" s="8"/>
      <c r="F238" s="236"/>
    </row>
    <row r="239" ht="15.75" customHeight="1">
      <c r="A239" s="8"/>
      <c r="F239" s="236"/>
    </row>
    <row r="240" ht="15.75" customHeight="1">
      <c r="A240" s="8"/>
      <c r="F240" s="236"/>
    </row>
    <row r="241" ht="15.75" customHeight="1">
      <c r="A241" s="8"/>
      <c r="F241" s="236"/>
    </row>
    <row r="242" ht="15.75" customHeight="1">
      <c r="A242" s="8"/>
      <c r="F242" s="236"/>
    </row>
    <row r="243" ht="15.75" customHeight="1">
      <c r="A243" s="8"/>
      <c r="F243" s="236"/>
    </row>
    <row r="244" ht="15.75" customHeight="1">
      <c r="A244" s="8"/>
      <c r="F244" s="236"/>
    </row>
    <row r="245" ht="15.75" customHeight="1">
      <c r="A245" s="8"/>
      <c r="F245" s="236"/>
    </row>
    <row r="246" ht="15.75" customHeight="1">
      <c r="A246" s="8"/>
      <c r="F246" s="236"/>
    </row>
    <row r="247" ht="15.75" customHeight="1">
      <c r="A247" s="8"/>
      <c r="F247" s="236"/>
    </row>
    <row r="248" ht="15.75" customHeight="1">
      <c r="A248" s="8"/>
      <c r="F248" s="236"/>
    </row>
    <row r="249" ht="15.75" customHeight="1">
      <c r="A249" s="8"/>
      <c r="F249" s="236"/>
    </row>
    <row r="250" ht="15.75" customHeight="1">
      <c r="A250" s="8"/>
      <c r="F250" s="236"/>
    </row>
    <row r="251" ht="15.75" customHeight="1">
      <c r="A251" s="8"/>
      <c r="F251" s="236"/>
    </row>
    <row r="252" ht="15.75" customHeight="1">
      <c r="A252" s="8"/>
      <c r="F252" s="236"/>
    </row>
    <row r="253" ht="15.75" customHeight="1">
      <c r="A253" s="8"/>
      <c r="F253" s="236"/>
    </row>
    <row r="254" ht="15.75" customHeight="1">
      <c r="A254" s="8"/>
      <c r="F254" s="236"/>
    </row>
    <row r="255" ht="15.75" customHeight="1">
      <c r="A255" s="8"/>
      <c r="F255" s="236"/>
    </row>
    <row r="256" ht="15.75" customHeight="1">
      <c r="A256" s="8"/>
      <c r="F256" s="236"/>
    </row>
    <row r="257" ht="15.75" customHeight="1">
      <c r="A257" s="8"/>
      <c r="F257" s="236"/>
    </row>
    <row r="258" ht="15.75" customHeight="1">
      <c r="A258" s="8"/>
      <c r="F258" s="236"/>
    </row>
    <row r="259" ht="15.75" customHeight="1">
      <c r="A259" s="8"/>
      <c r="F259" s="236"/>
    </row>
    <row r="260" ht="15.75" customHeight="1">
      <c r="A260" s="8"/>
      <c r="F260" s="236"/>
    </row>
    <row r="261" ht="15.75" customHeight="1">
      <c r="A261" s="8"/>
      <c r="F261" s="236"/>
    </row>
    <row r="262" ht="15.75" customHeight="1">
      <c r="A262" s="8"/>
      <c r="F262" s="236"/>
    </row>
    <row r="263" ht="15.75" customHeight="1">
      <c r="A263" s="8"/>
      <c r="F263" s="236"/>
    </row>
    <row r="264" ht="15.75" customHeight="1">
      <c r="A264" s="8"/>
      <c r="F264" s="236"/>
    </row>
    <row r="265" ht="15.75" customHeight="1">
      <c r="A265" s="8"/>
      <c r="F265" s="236"/>
    </row>
    <row r="266" ht="15.75" customHeight="1">
      <c r="A266" s="8"/>
      <c r="F266" s="236"/>
    </row>
    <row r="267" ht="15.75" customHeight="1">
      <c r="A267" s="8"/>
      <c r="F267" s="236"/>
    </row>
    <row r="268" ht="15.75" customHeight="1">
      <c r="A268" s="8"/>
      <c r="F268" s="236"/>
    </row>
    <row r="269" ht="15.75" customHeight="1">
      <c r="A269" s="8"/>
      <c r="F269" s="236"/>
    </row>
    <row r="270" ht="15.75" customHeight="1">
      <c r="A270" s="8"/>
      <c r="F270" s="236"/>
    </row>
    <row r="271" ht="15.75" customHeight="1">
      <c r="A271" s="8"/>
      <c r="F271" s="236"/>
    </row>
    <row r="272" ht="15.75" customHeight="1">
      <c r="A272" s="8"/>
      <c r="F272" s="236"/>
    </row>
    <row r="273" ht="15.75" customHeight="1">
      <c r="A273" s="8"/>
      <c r="F273" s="236"/>
    </row>
    <row r="274" ht="15.75" customHeight="1">
      <c r="A274" s="8"/>
      <c r="F274" s="236"/>
    </row>
    <row r="275" ht="15.75" customHeight="1">
      <c r="A275" s="8"/>
      <c r="F275" s="236"/>
    </row>
    <row r="276" ht="15.75" customHeight="1">
      <c r="A276" s="8"/>
      <c r="F276" s="236"/>
    </row>
    <row r="277" ht="15.75" customHeight="1">
      <c r="A277" s="8"/>
      <c r="F277" s="236"/>
    </row>
    <row r="278" ht="15.75" customHeight="1">
      <c r="A278" s="8"/>
      <c r="F278" s="236"/>
    </row>
    <row r="279" ht="15.75" customHeight="1">
      <c r="A279" s="8"/>
      <c r="F279" s="236"/>
    </row>
    <row r="280" ht="15.75" customHeight="1">
      <c r="A280" s="8"/>
      <c r="F280" s="236"/>
    </row>
    <row r="281" ht="15.75" customHeight="1">
      <c r="A281" s="8"/>
      <c r="F281" s="236"/>
    </row>
    <row r="282" ht="15.75" customHeight="1">
      <c r="A282" s="8"/>
      <c r="F282" s="236"/>
    </row>
    <row r="283" ht="15.75" customHeight="1">
      <c r="A283" s="8"/>
      <c r="F283" s="236"/>
    </row>
    <row r="284" ht="15.75" customHeight="1">
      <c r="A284" s="8"/>
      <c r="F284" s="236"/>
    </row>
    <row r="285" ht="15.75" customHeight="1">
      <c r="A285" s="8"/>
      <c r="F285" s="236"/>
    </row>
    <row r="286" ht="15.75" customHeight="1">
      <c r="A286" s="8"/>
      <c r="F286" s="236"/>
    </row>
    <row r="287" ht="15.75" customHeight="1">
      <c r="A287" s="8"/>
      <c r="F287" s="236"/>
    </row>
    <row r="288" ht="15.75" customHeight="1">
      <c r="A288" s="8"/>
      <c r="F288" s="236"/>
    </row>
    <row r="289" ht="15.75" customHeight="1">
      <c r="A289" s="8"/>
      <c r="F289" s="236"/>
    </row>
    <row r="290" ht="15.75" customHeight="1">
      <c r="A290" s="8"/>
      <c r="F290" s="236"/>
    </row>
    <row r="291" ht="15.75" customHeight="1">
      <c r="A291" s="8"/>
      <c r="F291" s="236"/>
    </row>
    <row r="292" ht="15.75" customHeight="1">
      <c r="A292" s="8"/>
      <c r="F292" s="236"/>
    </row>
    <row r="293" ht="15.75" customHeight="1">
      <c r="A293" s="8"/>
      <c r="F293" s="236"/>
    </row>
    <row r="294" ht="15.75" customHeight="1">
      <c r="A294" s="8"/>
      <c r="F294" s="236"/>
    </row>
    <row r="295" ht="15.75" customHeight="1">
      <c r="A295" s="8"/>
      <c r="F295" s="236"/>
    </row>
    <row r="296" ht="15.75" customHeight="1">
      <c r="A296" s="8"/>
      <c r="F296" s="236"/>
    </row>
    <row r="297" ht="15.75" customHeight="1">
      <c r="A297" s="8"/>
      <c r="F297" s="236"/>
    </row>
    <row r="298" ht="15.75" customHeight="1">
      <c r="A298" s="8"/>
      <c r="F298" s="236"/>
    </row>
    <row r="299" ht="15.75" customHeight="1">
      <c r="A299" s="8"/>
      <c r="F299" s="236"/>
    </row>
    <row r="300" ht="15.75" customHeight="1">
      <c r="A300" s="8"/>
      <c r="F300" s="236"/>
    </row>
    <row r="301" ht="15.75" customHeight="1">
      <c r="A301" s="8"/>
      <c r="F301" s="236"/>
    </row>
    <row r="302" ht="15.75" customHeight="1">
      <c r="A302" s="8"/>
      <c r="F302" s="236"/>
    </row>
    <row r="303" ht="15.75" customHeight="1">
      <c r="A303" s="8"/>
      <c r="F303" s="236"/>
    </row>
    <row r="304" ht="15.75" customHeight="1">
      <c r="A304" s="8"/>
      <c r="F304" s="236"/>
    </row>
    <row r="305" ht="15.75" customHeight="1">
      <c r="A305" s="8"/>
      <c r="F305" s="236"/>
    </row>
    <row r="306" ht="15.75" customHeight="1">
      <c r="A306" s="8"/>
      <c r="F306" s="236"/>
    </row>
    <row r="307" ht="15.75" customHeight="1">
      <c r="A307" s="8"/>
      <c r="F307" s="236"/>
    </row>
    <row r="308" ht="15.75" customHeight="1">
      <c r="A308" s="8"/>
      <c r="F308" s="236"/>
    </row>
    <row r="309" ht="15.75" customHeight="1">
      <c r="A309" s="8"/>
      <c r="F309" s="236"/>
    </row>
    <row r="310" ht="15.75" customHeight="1">
      <c r="A310" s="8"/>
      <c r="F310" s="236"/>
    </row>
    <row r="311" ht="15.75" customHeight="1">
      <c r="A311" s="8"/>
      <c r="F311" s="236"/>
    </row>
    <row r="312" ht="15.75" customHeight="1">
      <c r="A312" s="8"/>
      <c r="F312" s="236"/>
    </row>
    <row r="313" ht="15.75" customHeight="1">
      <c r="A313" s="8"/>
      <c r="F313" s="236"/>
    </row>
    <row r="314" ht="15.75" customHeight="1">
      <c r="A314" s="8"/>
      <c r="F314" s="236"/>
    </row>
    <row r="315" ht="15.75" customHeight="1">
      <c r="A315" s="8"/>
      <c r="F315" s="236"/>
    </row>
    <row r="316" ht="15.75" customHeight="1">
      <c r="A316" s="8"/>
      <c r="F316" s="236"/>
    </row>
    <row r="317" ht="15.75" customHeight="1">
      <c r="A317" s="8"/>
      <c r="F317" s="236"/>
    </row>
    <row r="318" ht="15.75" customHeight="1">
      <c r="A318" s="8"/>
      <c r="F318" s="236"/>
    </row>
    <row r="319" ht="15.75" customHeight="1">
      <c r="A319" s="8"/>
      <c r="F319" s="236"/>
    </row>
    <row r="320" ht="15.75" customHeight="1">
      <c r="A320" s="8"/>
      <c r="F320" s="236"/>
    </row>
    <row r="321" ht="15.75" customHeight="1">
      <c r="A321" s="8"/>
      <c r="F321" s="236"/>
    </row>
    <row r="322" ht="15.75" customHeight="1">
      <c r="A322" s="8"/>
      <c r="F322" s="236"/>
    </row>
    <row r="323" ht="15.75" customHeight="1">
      <c r="A323" s="8"/>
      <c r="F323" s="236"/>
    </row>
    <row r="324" ht="15.75" customHeight="1">
      <c r="A324" s="8"/>
      <c r="F324" s="236"/>
    </row>
    <row r="325" ht="15.75" customHeight="1">
      <c r="A325" s="8"/>
      <c r="F325" s="236"/>
    </row>
    <row r="326" ht="15.75" customHeight="1">
      <c r="A326" s="8"/>
      <c r="F326" s="236"/>
    </row>
    <row r="327" ht="15.75" customHeight="1">
      <c r="A327" s="8"/>
      <c r="F327" s="236"/>
    </row>
    <row r="328" ht="15.75" customHeight="1">
      <c r="A328" s="8"/>
      <c r="F328" s="236"/>
    </row>
    <row r="329" ht="15.75" customHeight="1">
      <c r="A329" s="8"/>
      <c r="F329" s="236"/>
    </row>
    <row r="330" ht="15.75" customHeight="1">
      <c r="A330" s="8"/>
      <c r="F330" s="236"/>
    </row>
    <row r="331" ht="15.75" customHeight="1">
      <c r="A331" s="8"/>
      <c r="F331" s="236"/>
    </row>
    <row r="332" ht="15.75" customHeight="1">
      <c r="A332" s="8"/>
      <c r="F332" s="236"/>
    </row>
    <row r="333" ht="15.75" customHeight="1">
      <c r="A333" s="8"/>
      <c r="F333" s="236"/>
    </row>
    <row r="334" ht="15.75" customHeight="1">
      <c r="A334" s="8"/>
      <c r="F334" s="236"/>
    </row>
    <row r="335" ht="15.75" customHeight="1">
      <c r="A335" s="8"/>
      <c r="F335" s="236"/>
    </row>
    <row r="336" ht="15.75" customHeight="1">
      <c r="A336" s="8"/>
      <c r="F336" s="236"/>
    </row>
    <row r="337" ht="15.75" customHeight="1">
      <c r="A337" s="8"/>
      <c r="F337" s="236"/>
    </row>
    <row r="338" ht="15.75" customHeight="1">
      <c r="A338" s="8"/>
      <c r="F338" s="236"/>
    </row>
    <row r="339" ht="15.75" customHeight="1">
      <c r="A339" s="8"/>
      <c r="F339" s="236"/>
    </row>
    <row r="340" ht="15.75" customHeight="1">
      <c r="A340" s="8"/>
      <c r="F340" s="236"/>
    </row>
    <row r="341" ht="15.75" customHeight="1">
      <c r="A341" s="8"/>
      <c r="F341" s="236"/>
    </row>
    <row r="342" ht="15.75" customHeight="1">
      <c r="A342" s="8"/>
      <c r="F342" s="236"/>
    </row>
    <row r="343" ht="15.75" customHeight="1">
      <c r="A343" s="8"/>
      <c r="F343" s="236"/>
    </row>
    <row r="344" ht="15.75" customHeight="1">
      <c r="A344" s="8"/>
      <c r="F344" s="236"/>
    </row>
    <row r="345" ht="15.75" customHeight="1">
      <c r="A345" s="8"/>
      <c r="F345" s="236"/>
    </row>
    <row r="346" ht="15.75" customHeight="1">
      <c r="A346" s="8"/>
      <c r="F346" s="236"/>
    </row>
    <row r="347" ht="15.75" customHeight="1">
      <c r="A347" s="8"/>
      <c r="F347" s="236"/>
    </row>
    <row r="348" ht="15.75" customHeight="1">
      <c r="A348" s="8"/>
      <c r="F348" s="236"/>
    </row>
    <row r="349" ht="15.75" customHeight="1">
      <c r="A349" s="8"/>
      <c r="F349" s="236"/>
    </row>
    <row r="350" ht="15.75" customHeight="1">
      <c r="A350" s="8"/>
      <c r="F350" s="236"/>
    </row>
    <row r="351" ht="15.75" customHeight="1">
      <c r="A351" s="8"/>
      <c r="F351" s="236"/>
    </row>
    <row r="352" ht="15.75" customHeight="1">
      <c r="A352" s="8"/>
      <c r="F352" s="236"/>
    </row>
    <row r="353" ht="15.75" customHeight="1">
      <c r="A353" s="8"/>
      <c r="F353" s="236"/>
    </row>
    <row r="354" ht="15.75" customHeight="1">
      <c r="A354" s="8"/>
      <c r="F354" s="236"/>
    </row>
    <row r="355" ht="15.75" customHeight="1">
      <c r="A355" s="8"/>
      <c r="F355" s="236"/>
    </row>
    <row r="356" ht="15.75" customHeight="1">
      <c r="A356" s="8"/>
      <c r="F356" s="236"/>
    </row>
    <row r="357" ht="15.75" customHeight="1">
      <c r="A357" s="8"/>
      <c r="F357" s="236"/>
    </row>
    <row r="358" ht="15.75" customHeight="1">
      <c r="A358" s="8"/>
      <c r="F358" s="236"/>
    </row>
    <row r="359" ht="15.75" customHeight="1">
      <c r="A359" s="8"/>
      <c r="F359" s="236"/>
    </row>
    <row r="360" ht="15.75" customHeight="1">
      <c r="A360" s="8"/>
      <c r="F360" s="236"/>
    </row>
    <row r="361" ht="15.75" customHeight="1">
      <c r="A361" s="8"/>
      <c r="F361" s="236"/>
    </row>
    <row r="362" ht="15.75" customHeight="1">
      <c r="A362" s="8"/>
      <c r="F362" s="236"/>
    </row>
    <row r="363" ht="15.75" customHeight="1">
      <c r="A363" s="8"/>
      <c r="F363" s="236"/>
    </row>
    <row r="364" ht="15.75" customHeight="1">
      <c r="A364" s="8"/>
      <c r="F364" s="236"/>
    </row>
    <row r="365" ht="15.75" customHeight="1">
      <c r="A365" s="8"/>
      <c r="F365" s="236"/>
    </row>
    <row r="366" ht="15.75" customHeight="1">
      <c r="A366" s="8"/>
      <c r="F366" s="236"/>
    </row>
    <row r="367" ht="15.75" customHeight="1">
      <c r="A367" s="8"/>
      <c r="F367" s="236"/>
    </row>
    <row r="368" ht="15.75" customHeight="1">
      <c r="A368" s="8"/>
      <c r="F368" s="236"/>
    </row>
    <row r="369" ht="15.75" customHeight="1">
      <c r="A369" s="8"/>
      <c r="F369" s="236"/>
    </row>
    <row r="370" ht="15.75" customHeight="1">
      <c r="A370" s="8"/>
      <c r="F370" s="236"/>
    </row>
    <row r="371" ht="15.75" customHeight="1">
      <c r="A371" s="8"/>
      <c r="F371" s="236"/>
    </row>
    <row r="372" ht="15.75" customHeight="1">
      <c r="A372" s="8"/>
      <c r="F372" s="236"/>
    </row>
    <row r="373" ht="15.75" customHeight="1">
      <c r="A373" s="8"/>
      <c r="F373" s="236"/>
    </row>
    <row r="374" ht="15.75" customHeight="1">
      <c r="A374" s="8"/>
      <c r="F374" s="236"/>
    </row>
    <row r="375" ht="15.75" customHeight="1">
      <c r="A375" s="8"/>
      <c r="F375" s="236"/>
    </row>
    <row r="376" ht="15.75" customHeight="1">
      <c r="A376" s="8"/>
      <c r="F376" s="236"/>
    </row>
    <row r="377" ht="15.75" customHeight="1">
      <c r="A377" s="8"/>
      <c r="F377" s="236"/>
    </row>
    <row r="378" ht="15.75" customHeight="1">
      <c r="A378" s="8"/>
      <c r="F378" s="236"/>
    </row>
    <row r="379" ht="15.75" customHeight="1">
      <c r="A379" s="8"/>
      <c r="F379" s="236"/>
    </row>
    <row r="380" ht="15.75" customHeight="1">
      <c r="A380" s="8"/>
      <c r="F380" s="236"/>
    </row>
    <row r="381" ht="15.75" customHeight="1">
      <c r="A381" s="8"/>
      <c r="F381" s="236"/>
    </row>
    <row r="382" ht="15.75" customHeight="1">
      <c r="A382" s="8"/>
      <c r="F382" s="236"/>
    </row>
    <row r="383" ht="15.75" customHeight="1">
      <c r="A383" s="8"/>
      <c r="F383" s="236"/>
    </row>
    <row r="384" ht="15.75" customHeight="1">
      <c r="A384" s="8"/>
      <c r="F384" s="236"/>
    </row>
    <row r="385" ht="15.75" customHeight="1">
      <c r="A385" s="8"/>
      <c r="F385" s="236"/>
    </row>
    <row r="386" ht="15.75" customHeight="1">
      <c r="A386" s="8"/>
      <c r="F386" s="236"/>
    </row>
    <row r="387" ht="15.75" customHeight="1">
      <c r="A387" s="8"/>
      <c r="F387" s="236"/>
    </row>
    <row r="388" ht="15.75" customHeight="1">
      <c r="A388" s="8"/>
      <c r="F388" s="236"/>
    </row>
    <row r="389" ht="15.75" customHeight="1">
      <c r="A389" s="8"/>
      <c r="F389" s="236"/>
    </row>
    <row r="390" ht="15.75" customHeight="1">
      <c r="A390" s="8"/>
      <c r="F390" s="236"/>
    </row>
    <row r="391" ht="15.75" customHeight="1">
      <c r="A391" s="8"/>
      <c r="F391" s="236"/>
    </row>
    <row r="392" ht="15.75" customHeight="1">
      <c r="A392" s="8"/>
      <c r="F392" s="236"/>
    </row>
    <row r="393" ht="15.75" customHeight="1">
      <c r="A393" s="8"/>
      <c r="F393" s="236"/>
    </row>
    <row r="394" ht="15.75" customHeight="1">
      <c r="A394" s="8"/>
      <c r="F394" s="236"/>
    </row>
    <row r="395" ht="15.75" customHeight="1">
      <c r="A395" s="8"/>
      <c r="F395" s="236"/>
    </row>
    <row r="396" ht="15.75" customHeight="1">
      <c r="A396" s="8"/>
      <c r="F396" s="236"/>
    </row>
    <row r="397" ht="15.75" customHeight="1">
      <c r="A397" s="8"/>
      <c r="F397" s="236"/>
    </row>
    <row r="398" ht="15.75" customHeight="1">
      <c r="A398" s="8"/>
      <c r="F398" s="236"/>
    </row>
    <row r="399" ht="15.75" customHeight="1">
      <c r="A399" s="8"/>
      <c r="F399" s="236"/>
    </row>
    <row r="400" ht="15.75" customHeight="1">
      <c r="A400" s="8"/>
      <c r="F400" s="236"/>
    </row>
    <row r="401" ht="15.75" customHeight="1">
      <c r="A401" s="8"/>
      <c r="F401" s="236"/>
    </row>
    <row r="402" ht="15.75" customHeight="1">
      <c r="A402" s="8"/>
      <c r="F402" s="236"/>
    </row>
    <row r="403" ht="15.75" customHeight="1">
      <c r="A403" s="8"/>
      <c r="F403" s="236"/>
    </row>
    <row r="404" ht="15.75" customHeight="1">
      <c r="A404" s="8"/>
      <c r="F404" s="236"/>
    </row>
    <row r="405" ht="15.75" customHeight="1">
      <c r="A405" s="8"/>
      <c r="F405" s="236"/>
    </row>
    <row r="406" ht="15.75" customHeight="1">
      <c r="A406" s="8"/>
      <c r="F406" s="236"/>
    </row>
    <row r="407" ht="15.75" customHeight="1">
      <c r="A407" s="8"/>
      <c r="F407" s="236"/>
    </row>
    <row r="408" ht="15.75" customHeight="1">
      <c r="A408" s="8"/>
      <c r="F408" s="236"/>
    </row>
    <row r="409" ht="15.75" customHeight="1">
      <c r="A409" s="8"/>
      <c r="F409" s="236"/>
    </row>
    <row r="410" ht="15.75" customHeight="1">
      <c r="A410" s="8"/>
      <c r="F410" s="236"/>
    </row>
    <row r="411" ht="15.75" customHeight="1">
      <c r="A411" s="8"/>
      <c r="F411" s="236"/>
    </row>
    <row r="412" ht="15.75" customHeight="1">
      <c r="A412" s="8"/>
      <c r="F412" s="236"/>
    </row>
    <row r="413" ht="15.75" customHeight="1">
      <c r="A413" s="8"/>
      <c r="F413" s="236"/>
    </row>
    <row r="414" ht="15.75" customHeight="1">
      <c r="A414" s="8"/>
      <c r="F414" s="236"/>
    </row>
    <row r="415" ht="15.75" customHeight="1">
      <c r="A415" s="8"/>
      <c r="F415" s="236"/>
    </row>
    <row r="416" ht="15.75" customHeight="1">
      <c r="A416" s="8"/>
      <c r="F416" s="236"/>
    </row>
    <row r="417" ht="15.75" customHeight="1">
      <c r="A417" s="8"/>
      <c r="F417" s="236"/>
    </row>
    <row r="418" ht="15.75" customHeight="1">
      <c r="A418" s="8"/>
      <c r="F418" s="236"/>
    </row>
    <row r="419" ht="15.75" customHeight="1">
      <c r="A419" s="8"/>
      <c r="F419" s="236"/>
    </row>
    <row r="420" ht="15.75" customHeight="1">
      <c r="A420" s="8"/>
      <c r="F420" s="236"/>
    </row>
    <row r="421" ht="15.75" customHeight="1">
      <c r="A421" s="8"/>
      <c r="F421" s="236"/>
    </row>
    <row r="422" ht="15.75" customHeight="1">
      <c r="A422" s="8"/>
      <c r="F422" s="236"/>
    </row>
    <row r="423" ht="15.75" customHeight="1">
      <c r="A423" s="8"/>
      <c r="F423" s="236"/>
    </row>
    <row r="424" ht="15.75" customHeight="1">
      <c r="A424" s="8"/>
      <c r="F424" s="236"/>
    </row>
    <row r="425" ht="15.75" customHeight="1">
      <c r="A425" s="8"/>
      <c r="F425" s="236"/>
    </row>
    <row r="426" ht="15.75" customHeight="1">
      <c r="A426" s="8"/>
      <c r="F426" s="236"/>
    </row>
    <row r="427" ht="15.75" customHeight="1">
      <c r="A427" s="8"/>
      <c r="F427" s="236"/>
    </row>
    <row r="428" ht="15.75" customHeight="1">
      <c r="A428" s="8"/>
      <c r="F428" s="236"/>
    </row>
    <row r="429" ht="15.75" customHeight="1">
      <c r="A429" s="8"/>
      <c r="F429" s="236"/>
    </row>
    <row r="430" ht="15.75" customHeight="1">
      <c r="A430" s="8"/>
      <c r="F430" s="236"/>
    </row>
    <row r="431" ht="15.75" customHeight="1">
      <c r="A431" s="8"/>
      <c r="F431" s="236"/>
    </row>
    <row r="432" ht="15.75" customHeight="1">
      <c r="A432" s="8"/>
      <c r="F432" s="236"/>
    </row>
    <row r="433" ht="15.75" customHeight="1">
      <c r="A433" s="8"/>
      <c r="F433" s="236"/>
    </row>
    <row r="434" ht="15.75" customHeight="1">
      <c r="A434" s="8"/>
      <c r="F434" s="236"/>
    </row>
    <row r="435" ht="15.75" customHeight="1">
      <c r="A435" s="8"/>
      <c r="F435" s="236"/>
    </row>
    <row r="436" ht="15.75" customHeight="1">
      <c r="A436" s="8"/>
      <c r="F436" s="236"/>
    </row>
    <row r="437" ht="15.75" customHeight="1">
      <c r="A437" s="8"/>
      <c r="F437" s="236"/>
    </row>
    <row r="438" ht="15.75" customHeight="1">
      <c r="A438" s="8"/>
      <c r="F438" s="236"/>
    </row>
    <row r="439" ht="15.75" customHeight="1">
      <c r="A439" s="8"/>
      <c r="F439" s="236"/>
    </row>
    <row r="440" ht="15.75" customHeight="1">
      <c r="A440" s="8"/>
      <c r="F440" s="236"/>
    </row>
    <row r="441" ht="15.75" customHeight="1">
      <c r="A441" s="8"/>
      <c r="F441" s="236"/>
    </row>
    <row r="442" ht="15.75" customHeight="1">
      <c r="A442" s="8"/>
      <c r="F442" s="236"/>
    </row>
    <row r="443" ht="15.75" customHeight="1">
      <c r="A443" s="8"/>
      <c r="F443" s="236"/>
    </row>
    <row r="444" ht="15.75" customHeight="1">
      <c r="A444" s="8"/>
      <c r="F444" s="236"/>
    </row>
    <row r="445" ht="15.75" customHeight="1">
      <c r="A445" s="8"/>
      <c r="F445" s="236"/>
    </row>
    <row r="446" ht="15.75" customHeight="1">
      <c r="A446" s="8"/>
      <c r="F446" s="236"/>
    </row>
    <row r="447" ht="15.75" customHeight="1">
      <c r="A447" s="8"/>
      <c r="F447" s="236"/>
    </row>
    <row r="448" ht="15.75" customHeight="1">
      <c r="A448" s="8"/>
      <c r="F448" s="236"/>
    </row>
    <row r="449" ht="15.75" customHeight="1">
      <c r="A449" s="8"/>
      <c r="F449" s="236"/>
    </row>
    <row r="450" ht="15.75" customHeight="1">
      <c r="A450" s="8"/>
      <c r="F450" s="236"/>
    </row>
    <row r="451" ht="15.75" customHeight="1">
      <c r="A451" s="8"/>
      <c r="F451" s="236"/>
    </row>
    <row r="452" ht="15.75" customHeight="1">
      <c r="A452" s="8"/>
      <c r="F452" s="236"/>
    </row>
    <row r="453" ht="15.75" customHeight="1">
      <c r="A453" s="8"/>
      <c r="F453" s="236"/>
    </row>
    <row r="454" ht="15.75" customHeight="1">
      <c r="A454" s="8"/>
      <c r="F454" s="236"/>
    </row>
    <row r="455" ht="15.75" customHeight="1">
      <c r="A455" s="8"/>
      <c r="F455" s="236"/>
    </row>
    <row r="456" ht="15.75" customHeight="1">
      <c r="A456" s="8"/>
      <c r="F456" s="236"/>
    </row>
    <row r="457" ht="15.75" customHeight="1">
      <c r="A457" s="8"/>
      <c r="F457" s="236"/>
    </row>
    <row r="458" ht="15.75" customHeight="1">
      <c r="A458" s="8"/>
      <c r="F458" s="236"/>
    </row>
    <row r="459" ht="15.75" customHeight="1">
      <c r="A459" s="8"/>
      <c r="F459" s="236"/>
    </row>
    <row r="460" ht="15.75" customHeight="1">
      <c r="A460" s="8"/>
      <c r="F460" s="236"/>
    </row>
    <row r="461" ht="15.75" customHeight="1">
      <c r="A461" s="8"/>
      <c r="F461" s="236"/>
    </row>
    <row r="462" ht="15.75" customHeight="1">
      <c r="A462" s="8"/>
      <c r="F462" s="236"/>
    </row>
    <row r="463" ht="15.75" customHeight="1">
      <c r="A463" s="8"/>
      <c r="F463" s="236"/>
    </row>
    <row r="464" ht="15.75" customHeight="1">
      <c r="A464" s="8"/>
      <c r="F464" s="236"/>
    </row>
    <row r="465" ht="15.75" customHeight="1">
      <c r="A465" s="8"/>
      <c r="F465" s="236"/>
    </row>
    <row r="466" ht="15.75" customHeight="1">
      <c r="A466" s="8"/>
      <c r="F466" s="236"/>
    </row>
    <row r="467" ht="15.75" customHeight="1">
      <c r="A467" s="8"/>
      <c r="F467" s="236"/>
    </row>
    <row r="468" ht="15.75" customHeight="1">
      <c r="A468" s="8"/>
      <c r="F468" s="236"/>
    </row>
    <row r="469" ht="15.75" customHeight="1">
      <c r="A469" s="8"/>
      <c r="F469" s="236"/>
    </row>
    <row r="470" ht="15.75" customHeight="1">
      <c r="A470" s="8"/>
      <c r="F470" s="236"/>
    </row>
    <row r="471" ht="15.75" customHeight="1">
      <c r="A471" s="8"/>
      <c r="F471" s="236"/>
    </row>
    <row r="472" ht="15.75" customHeight="1">
      <c r="A472" s="8"/>
      <c r="F472" s="236"/>
    </row>
    <row r="473" ht="15.75" customHeight="1">
      <c r="A473" s="8"/>
      <c r="F473" s="236"/>
    </row>
    <row r="474" ht="15.75" customHeight="1">
      <c r="A474" s="8"/>
      <c r="F474" s="236"/>
    </row>
    <row r="475" ht="15.75" customHeight="1">
      <c r="A475" s="8"/>
      <c r="F475" s="236"/>
    </row>
    <row r="476" ht="15.75" customHeight="1">
      <c r="A476" s="8"/>
      <c r="F476" s="236"/>
    </row>
    <row r="477" ht="15.75" customHeight="1">
      <c r="A477" s="8"/>
      <c r="F477" s="236"/>
    </row>
    <row r="478" ht="15.75" customHeight="1">
      <c r="A478" s="8"/>
      <c r="F478" s="236"/>
    </row>
    <row r="479" ht="15.75" customHeight="1">
      <c r="A479" s="8"/>
      <c r="F479" s="236"/>
    </row>
    <row r="480" ht="15.75" customHeight="1">
      <c r="A480" s="8"/>
      <c r="F480" s="236"/>
    </row>
    <row r="481" ht="15.75" customHeight="1">
      <c r="A481" s="8"/>
      <c r="F481" s="236"/>
    </row>
    <row r="482" ht="15.75" customHeight="1">
      <c r="A482" s="8"/>
      <c r="F482" s="236"/>
    </row>
    <row r="483" ht="15.75" customHeight="1">
      <c r="A483" s="8"/>
      <c r="F483" s="236"/>
    </row>
    <row r="484" ht="15.75" customHeight="1">
      <c r="A484" s="8"/>
      <c r="F484" s="236"/>
    </row>
    <row r="485" ht="15.75" customHeight="1">
      <c r="A485" s="8"/>
      <c r="F485" s="236"/>
    </row>
    <row r="486" ht="15.75" customHeight="1">
      <c r="A486" s="8"/>
      <c r="F486" s="236"/>
    </row>
    <row r="487" ht="15.75" customHeight="1">
      <c r="A487" s="8"/>
      <c r="F487" s="236"/>
    </row>
    <row r="488" ht="15.75" customHeight="1">
      <c r="A488" s="8"/>
      <c r="F488" s="236"/>
    </row>
    <row r="489" ht="15.75" customHeight="1">
      <c r="A489" s="8"/>
      <c r="F489" s="236"/>
    </row>
    <row r="490" ht="15.75" customHeight="1">
      <c r="A490" s="8"/>
      <c r="F490" s="236"/>
    </row>
    <row r="491" ht="15.75" customHeight="1">
      <c r="A491" s="8"/>
      <c r="F491" s="236"/>
    </row>
    <row r="492" ht="15.75" customHeight="1">
      <c r="A492" s="8"/>
      <c r="F492" s="236"/>
    </row>
    <row r="493" ht="15.75" customHeight="1">
      <c r="A493" s="8"/>
      <c r="F493" s="236"/>
    </row>
    <row r="494" ht="15.75" customHeight="1">
      <c r="A494" s="8"/>
      <c r="F494" s="236"/>
    </row>
    <row r="495" ht="15.75" customHeight="1">
      <c r="A495" s="8"/>
      <c r="F495" s="236"/>
    </row>
    <row r="496" ht="15.75" customHeight="1">
      <c r="A496" s="8"/>
      <c r="F496" s="236"/>
    </row>
    <row r="497" ht="15.75" customHeight="1">
      <c r="A497" s="8"/>
      <c r="F497" s="236"/>
    </row>
    <row r="498" ht="15.75" customHeight="1">
      <c r="A498" s="8"/>
      <c r="F498" s="236"/>
    </row>
    <row r="499" ht="15.75" customHeight="1">
      <c r="A499" s="8"/>
      <c r="F499" s="236"/>
    </row>
    <row r="500" ht="15.75" customHeight="1">
      <c r="A500" s="8"/>
      <c r="F500" s="236"/>
    </row>
    <row r="501" ht="15.75" customHeight="1">
      <c r="A501" s="8"/>
      <c r="F501" s="236"/>
    </row>
    <row r="502" ht="15.75" customHeight="1">
      <c r="A502" s="8"/>
      <c r="F502" s="236"/>
    </row>
    <row r="503" ht="15.75" customHeight="1">
      <c r="A503" s="8"/>
      <c r="F503" s="236"/>
    </row>
    <row r="504" ht="15.75" customHeight="1">
      <c r="A504" s="8"/>
      <c r="F504" s="236"/>
    </row>
    <row r="505" ht="15.75" customHeight="1">
      <c r="A505" s="8"/>
      <c r="F505" s="236"/>
    </row>
    <row r="506" ht="15.75" customHeight="1">
      <c r="A506" s="8"/>
      <c r="F506" s="236"/>
    </row>
    <row r="507" ht="15.75" customHeight="1">
      <c r="A507" s="8"/>
      <c r="F507" s="236"/>
    </row>
    <row r="508" ht="15.75" customHeight="1">
      <c r="A508" s="8"/>
      <c r="F508" s="236"/>
    </row>
    <row r="509" ht="15.75" customHeight="1">
      <c r="A509" s="8"/>
      <c r="F509" s="236"/>
    </row>
    <row r="510" ht="15.75" customHeight="1">
      <c r="A510" s="8"/>
      <c r="F510" s="236"/>
    </row>
    <row r="511" ht="15.75" customHeight="1">
      <c r="A511" s="8"/>
      <c r="F511" s="236"/>
    </row>
    <row r="512" ht="15.75" customHeight="1">
      <c r="A512" s="8"/>
      <c r="F512" s="236"/>
    </row>
    <row r="513" ht="15.75" customHeight="1">
      <c r="A513" s="8"/>
      <c r="F513" s="236"/>
    </row>
    <row r="514" ht="15.75" customHeight="1">
      <c r="A514" s="8"/>
      <c r="F514" s="236"/>
    </row>
    <row r="515" ht="15.75" customHeight="1">
      <c r="A515" s="8"/>
      <c r="F515" s="236"/>
    </row>
    <row r="516" ht="15.75" customHeight="1">
      <c r="A516" s="8"/>
      <c r="F516" s="236"/>
    </row>
    <row r="517" ht="15.75" customHeight="1">
      <c r="A517" s="8"/>
      <c r="F517" s="236"/>
    </row>
    <row r="518" ht="15.75" customHeight="1">
      <c r="A518" s="8"/>
      <c r="F518" s="236"/>
    </row>
    <row r="519" ht="15.75" customHeight="1">
      <c r="A519" s="8"/>
      <c r="F519" s="236"/>
    </row>
    <row r="520" ht="15.75" customHeight="1">
      <c r="A520" s="8"/>
      <c r="F520" s="236"/>
    </row>
    <row r="521" ht="15.75" customHeight="1">
      <c r="A521" s="8"/>
      <c r="F521" s="236"/>
    </row>
    <row r="522" ht="15.75" customHeight="1">
      <c r="A522" s="8"/>
      <c r="F522" s="236"/>
    </row>
    <row r="523" ht="15.75" customHeight="1">
      <c r="A523" s="8"/>
      <c r="F523" s="236"/>
    </row>
    <row r="524" ht="15.75" customHeight="1">
      <c r="A524" s="8"/>
      <c r="F524" s="236"/>
    </row>
    <row r="525" ht="15.75" customHeight="1">
      <c r="A525" s="8"/>
      <c r="F525" s="236"/>
    </row>
    <row r="526" ht="15.75" customHeight="1">
      <c r="A526" s="8"/>
      <c r="F526" s="236"/>
    </row>
    <row r="527" ht="15.75" customHeight="1">
      <c r="A527" s="8"/>
      <c r="F527" s="236"/>
    </row>
    <row r="528" ht="15.75" customHeight="1">
      <c r="A528" s="8"/>
      <c r="F528" s="236"/>
    </row>
    <row r="529" ht="15.75" customHeight="1">
      <c r="A529" s="8"/>
      <c r="F529" s="236"/>
    </row>
    <row r="530" ht="15.75" customHeight="1">
      <c r="A530" s="8"/>
      <c r="F530" s="236"/>
    </row>
    <row r="531" ht="15.75" customHeight="1">
      <c r="A531" s="8"/>
      <c r="F531" s="236"/>
    </row>
    <row r="532" ht="15.75" customHeight="1">
      <c r="A532" s="8"/>
      <c r="F532" s="236"/>
    </row>
    <row r="533" ht="15.75" customHeight="1">
      <c r="A533" s="8"/>
      <c r="F533" s="236"/>
    </row>
    <row r="534" ht="15.75" customHeight="1">
      <c r="A534" s="8"/>
      <c r="F534" s="236"/>
    </row>
    <row r="535" ht="15.75" customHeight="1">
      <c r="A535" s="8"/>
      <c r="F535" s="236"/>
    </row>
    <row r="536" ht="15.75" customHeight="1">
      <c r="A536" s="8"/>
      <c r="F536" s="236"/>
    </row>
    <row r="537" ht="15.75" customHeight="1">
      <c r="A537" s="8"/>
      <c r="F537" s="236"/>
    </row>
    <row r="538" ht="15.75" customHeight="1">
      <c r="A538" s="8"/>
      <c r="F538" s="236"/>
    </row>
    <row r="539" ht="15.75" customHeight="1">
      <c r="A539" s="8"/>
      <c r="F539" s="236"/>
    </row>
    <row r="540" ht="15.75" customHeight="1">
      <c r="A540" s="8"/>
      <c r="F540" s="236"/>
    </row>
    <row r="541" ht="15.75" customHeight="1">
      <c r="A541" s="8"/>
      <c r="F541" s="236"/>
    </row>
    <row r="542" ht="15.75" customHeight="1">
      <c r="A542" s="8"/>
      <c r="F542" s="236"/>
    </row>
    <row r="543" ht="15.75" customHeight="1">
      <c r="A543" s="8"/>
      <c r="F543" s="236"/>
    </row>
    <row r="544" ht="15.75" customHeight="1">
      <c r="A544" s="8"/>
      <c r="F544" s="236"/>
    </row>
    <row r="545" ht="15.75" customHeight="1">
      <c r="A545" s="8"/>
      <c r="F545" s="236"/>
    </row>
    <row r="546" ht="15.75" customHeight="1">
      <c r="A546" s="8"/>
      <c r="F546" s="236"/>
    </row>
    <row r="547" ht="15.75" customHeight="1">
      <c r="A547" s="8"/>
      <c r="F547" s="236"/>
    </row>
    <row r="548" ht="15.75" customHeight="1">
      <c r="A548" s="8"/>
      <c r="F548" s="236"/>
    </row>
    <row r="549" ht="15.75" customHeight="1">
      <c r="A549" s="8"/>
      <c r="F549" s="236"/>
    </row>
    <row r="550" ht="15.75" customHeight="1">
      <c r="A550" s="8"/>
      <c r="F550" s="236"/>
    </row>
    <row r="551" ht="15.75" customHeight="1">
      <c r="A551" s="8"/>
      <c r="F551" s="236"/>
    </row>
    <row r="552" ht="15.75" customHeight="1">
      <c r="A552" s="8"/>
      <c r="F552" s="236"/>
    </row>
    <row r="553" ht="15.75" customHeight="1">
      <c r="A553" s="8"/>
      <c r="F553" s="236"/>
    </row>
    <row r="554" ht="15.75" customHeight="1">
      <c r="A554" s="8"/>
      <c r="F554" s="236"/>
    </row>
    <row r="555" ht="15.75" customHeight="1">
      <c r="A555" s="8"/>
      <c r="F555" s="236"/>
    </row>
    <row r="556" ht="15.75" customHeight="1">
      <c r="A556" s="8"/>
      <c r="F556" s="236"/>
    </row>
    <row r="557" ht="15.75" customHeight="1">
      <c r="A557" s="8"/>
      <c r="F557" s="236"/>
    </row>
    <row r="558" ht="15.75" customHeight="1">
      <c r="A558" s="8"/>
      <c r="F558" s="236"/>
    </row>
    <row r="559" ht="15.75" customHeight="1">
      <c r="A559" s="8"/>
      <c r="F559" s="236"/>
    </row>
    <row r="560" ht="15.75" customHeight="1">
      <c r="A560" s="8"/>
      <c r="F560" s="236"/>
    </row>
    <row r="561" ht="15.75" customHeight="1">
      <c r="A561" s="8"/>
      <c r="F561" s="236"/>
    </row>
    <row r="562" ht="15.75" customHeight="1">
      <c r="A562" s="8"/>
      <c r="F562" s="236"/>
    </row>
    <row r="563" ht="15.75" customHeight="1">
      <c r="A563" s="8"/>
      <c r="F563" s="236"/>
    </row>
    <row r="564" ht="15.75" customHeight="1">
      <c r="A564" s="8"/>
      <c r="F564" s="236"/>
    </row>
    <row r="565" ht="15.75" customHeight="1">
      <c r="A565" s="8"/>
      <c r="F565" s="236"/>
    </row>
    <row r="566" ht="15.75" customHeight="1">
      <c r="A566" s="8"/>
      <c r="F566" s="236"/>
    </row>
    <row r="567" ht="15.75" customHeight="1">
      <c r="A567" s="8"/>
      <c r="F567" s="236"/>
    </row>
    <row r="568" ht="15.75" customHeight="1">
      <c r="A568" s="8"/>
      <c r="F568" s="236"/>
    </row>
    <row r="569" ht="15.75" customHeight="1">
      <c r="A569" s="8"/>
      <c r="F569" s="236"/>
    </row>
    <row r="570" ht="15.75" customHeight="1">
      <c r="A570" s="8"/>
      <c r="F570" s="236"/>
    </row>
    <row r="571" ht="15.75" customHeight="1">
      <c r="A571" s="8"/>
      <c r="F571" s="236"/>
    </row>
    <row r="572" ht="15.75" customHeight="1">
      <c r="A572" s="8"/>
      <c r="F572" s="236"/>
    </row>
    <row r="573" ht="15.75" customHeight="1">
      <c r="A573" s="8"/>
      <c r="F573" s="236"/>
    </row>
    <row r="574" ht="15.75" customHeight="1">
      <c r="A574" s="8"/>
      <c r="F574" s="236"/>
    </row>
    <row r="575" ht="15.75" customHeight="1">
      <c r="A575" s="8"/>
      <c r="F575" s="236"/>
    </row>
    <row r="576" ht="15.75" customHeight="1">
      <c r="A576" s="8"/>
      <c r="F576" s="236"/>
    </row>
    <row r="577" ht="15.75" customHeight="1">
      <c r="A577" s="8"/>
      <c r="F577" s="236"/>
    </row>
    <row r="578" ht="15.75" customHeight="1">
      <c r="A578" s="8"/>
      <c r="F578" s="236"/>
    </row>
    <row r="579" ht="15.75" customHeight="1">
      <c r="A579" s="8"/>
      <c r="F579" s="236"/>
    </row>
    <row r="580" ht="15.75" customHeight="1">
      <c r="A580" s="8"/>
      <c r="F580" s="236"/>
    </row>
    <row r="581" ht="15.75" customHeight="1">
      <c r="A581" s="8"/>
      <c r="F581" s="236"/>
    </row>
    <row r="582" ht="15.75" customHeight="1">
      <c r="A582" s="8"/>
      <c r="F582" s="236"/>
    </row>
    <row r="583" ht="15.75" customHeight="1">
      <c r="A583" s="8"/>
      <c r="F583" s="236"/>
    </row>
    <row r="584" ht="15.75" customHeight="1">
      <c r="A584" s="8"/>
      <c r="F584" s="236"/>
    </row>
    <row r="585" ht="15.75" customHeight="1">
      <c r="A585" s="8"/>
      <c r="F585" s="236"/>
    </row>
    <row r="586" ht="15.75" customHeight="1">
      <c r="A586" s="8"/>
      <c r="F586" s="236"/>
    </row>
    <row r="587" ht="15.75" customHeight="1">
      <c r="A587" s="8"/>
      <c r="F587" s="236"/>
    </row>
    <row r="588" ht="15.75" customHeight="1">
      <c r="A588" s="8"/>
      <c r="F588" s="236"/>
    </row>
    <row r="589" ht="15.75" customHeight="1">
      <c r="A589" s="8"/>
      <c r="F589" s="236"/>
    </row>
    <row r="590" ht="15.75" customHeight="1">
      <c r="A590" s="8"/>
      <c r="F590" s="236"/>
    </row>
    <row r="591" ht="15.75" customHeight="1">
      <c r="A591" s="8"/>
      <c r="F591" s="236"/>
    </row>
    <row r="592" ht="15.75" customHeight="1">
      <c r="A592" s="8"/>
      <c r="F592" s="236"/>
    </row>
    <row r="593" ht="15.75" customHeight="1">
      <c r="A593" s="8"/>
      <c r="F593" s="236"/>
    </row>
    <row r="594" ht="15.75" customHeight="1">
      <c r="A594" s="8"/>
      <c r="F594" s="236"/>
    </row>
    <row r="595" ht="15.75" customHeight="1">
      <c r="A595" s="8"/>
      <c r="F595" s="236"/>
    </row>
    <row r="596" ht="15.75" customHeight="1">
      <c r="A596" s="8"/>
      <c r="F596" s="236"/>
    </row>
    <row r="597" ht="15.75" customHeight="1">
      <c r="A597" s="8"/>
      <c r="F597" s="236"/>
    </row>
    <row r="598" ht="15.75" customHeight="1">
      <c r="A598" s="8"/>
      <c r="F598" s="236"/>
    </row>
    <row r="599" ht="15.75" customHeight="1">
      <c r="A599" s="8"/>
      <c r="F599" s="236"/>
    </row>
    <row r="600" ht="15.75" customHeight="1">
      <c r="A600" s="8"/>
      <c r="F600" s="236"/>
    </row>
    <row r="601" ht="15.75" customHeight="1">
      <c r="A601" s="8"/>
      <c r="F601" s="236"/>
    </row>
    <row r="602" ht="15.75" customHeight="1">
      <c r="A602" s="8"/>
      <c r="F602" s="236"/>
    </row>
    <row r="603" ht="15.75" customHeight="1">
      <c r="A603" s="8"/>
      <c r="F603" s="236"/>
    </row>
    <row r="604" ht="15.75" customHeight="1">
      <c r="A604" s="8"/>
      <c r="F604" s="236"/>
    </row>
    <row r="605" ht="15.75" customHeight="1">
      <c r="A605" s="8"/>
      <c r="F605" s="236"/>
    </row>
    <row r="606" ht="15.75" customHeight="1">
      <c r="A606" s="8"/>
      <c r="F606" s="236"/>
    </row>
    <row r="607" ht="15.75" customHeight="1">
      <c r="A607" s="8"/>
      <c r="F607" s="236"/>
    </row>
    <row r="608" ht="15.75" customHeight="1">
      <c r="A608" s="8"/>
      <c r="F608" s="236"/>
    </row>
    <row r="609" ht="15.75" customHeight="1">
      <c r="A609" s="8"/>
      <c r="F609" s="236"/>
    </row>
    <row r="610" ht="15.75" customHeight="1">
      <c r="A610" s="8"/>
      <c r="F610" s="236"/>
    </row>
    <row r="611" ht="15.75" customHeight="1">
      <c r="A611" s="8"/>
      <c r="F611" s="236"/>
    </row>
    <row r="612" ht="15.75" customHeight="1">
      <c r="A612" s="8"/>
      <c r="F612" s="236"/>
    </row>
    <row r="613" ht="15.75" customHeight="1">
      <c r="A613" s="8"/>
      <c r="F613" s="236"/>
    </row>
    <row r="614" ht="15.75" customHeight="1">
      <c r="A614" s="8"/>
      <c r="F614" s="236"/>
    </row>
    <row r="615" ht="15.75" customHeight="1">
      <c r="A615" s="8"/>
      <c r="F615" s="236"/>
    </row>
    <row r="616" ht="15.75" customHeight="1">
      <c r="A616" s="8"/>
      <c r="F616" s="236"/>
    </row>
    <row r="617" ht="15.75" customHeight="1">
      <c r="A617" s="8"/>
      <c r="F617" s="236"/>
    </row>
    <row r="618" ht="15.75" customHeight="1">
      <c r="A618" s="8"/>
      <c r="F618" s="236"/>
    </row>
    <row r="619" ht="15.75" customHeight="1">
      <c r="A619" s="8"/>
      <c r="F619" s="236"/>
    </row>
    <row r="620" ht="15.75" customHeight="1">
      <c r="A620" s="8"/>
      <c r="F620" s="236"/>
    </row>
    <row r="621" ht="15.75" customHeight="1">
      <c r="A621" s="8"/>
      <c r="F621" s="236"/>
    </row>
    <row r="622" ht="15.75" customHeight="1">
      <c r="A622" s="8"/>
      <c r="F622" s="236"/>
    </row>
    <row r="623" ht="15.75" customHeight="1">
      <c r="A623" s="8"/>
      <c r="F623" s="236"/>
    </row>
    <row r="624" ht="15.75" customHeight="1">
      <c r="A624" s="8"/>
      <c r="F624" s="236"/>
    </row>
    <row r="625" ht="15.75" customHeight="1">
      <c r="A625" s="8"/>
      <c r="F625" s="236"/>
    </row>
    <row r="626" ht="15.75" customHeight="1">
      <c r="A626" s="8"/>
      <c r="F626" s="236"/>
    </row>
    <row r="627" ht="15.75" customHeight="1">
      <c r="A627" s="8"/>
      <c r="F627" s="236"/>
    </row>
    <row r="628" ht="15.75" customHeight="1">
      <c r="A628" s="8"/>
      <c r="F628" s="236"/>
    </row>
    <row r="629" ht="15.75" customHeight="1">
      <c r="A629" s="8"/>
      <c r="F629" s="236"/>
    </row>
    <row r="630" ht="15.75" customHeight="1">
      <c r="A630" s="8"/>
      <c r="F630" s="236"/>
    </row>
    <row r="631" ht="15.75" customHeight="1">
      <c r="A631" s="8"/>
      <c r="F631" s="236"/>
    </row>
    <row r="632" ht="15.75" customHeight="1">
      <c r="A632" s="8"/>
      <c r="F632" s="236"/>
    </row>
    <row r="633" ht="15.75" customHeight="1">
      <c r="A633" s="8"/>
      <c r="F633" s="236"/>
    </row>
    <row r="634" ht="15.75" customHeight="1">
      <c r="A634" s="8"/>
      <c r="F634" s="236"/>
    </row>
    <row r="635" ht="15.75" customHeight="1">
      <c r="A635" s="8"/>
      <c r="F635" s="236"/>
    </row>
    <row r="636" ht="15.75" customHeight="1">
      <c r="A636" s="8"/>
      <c r="F636" s="236"/>
    </row>
    <row r="637" ht="15.75" customHeight="1">
      <c r="A637" s="8"/>
      <c r="F637" s="236"/>
    </row>
    <row r="638" ht="15.75" customHeight="1">
      <c r="A638" s="8"/>
      <c r="F638" s="236"/>
    </row>
    <row r="639" ht="15.75" customHeight="1">
      <c r="A639" s="8"/>
      <c r="F639" s="236"/>
    </row>
    <row r="640" ht="15.75" customHeight="1">
      <c r="A640" s="8"/>
      <c r="F640" s="236"/>
    </row>
    <row r="641" ht="15.75" customHeight="1">
      <c r="A641" s="8"/>
      <c r="F641" s="236"/>
    </row>
    <row r="642" ht="15.75" customHeight="1">
      <c r="A642" s="8"/>
      <c r="F642" s="236"/>
    </row>
    <row r="643" ht="15.75" customHeight="1">
      <c r="A643" s="8"/>
      <c r="F643" s="236"/>
    </row>
    <row r="644" ht="15.75" customHeight="1">
      <c r="A644" s="8"/>
      <c r="F644" s="236"/>
    </row>
    <row r="645" ht="15.75" customHeight="1">
      <c r="A645" s="8"/>
      <c r="F645" s="236"/>
    </row>
    <row r="646" ht="15.75" customHeight="1">
      <c r="A646" s="8"/>
      <c r="F646" s="236"/>
    </row>
    <row r="647" ht="15.75" customHeight="1">
      <c r="A647" s="8"/>
      <c r="F647" s="236"/>
    </row>
    <row r="648" ht="15.75" customHeight="1">
      <c r="A648" s="8"/>
      <c r="F648" s="236"/>
    </row>
    <row r="649" ht="15.75" customHeight="1">
      <c r="A649" s="8"/>
      <c r="F649" s="236"/>
    </row>
    <row r="650" ht="15.75" customHeight="1">
      <c r="A650" s="8"/>
      <c r="F650" s="236"/>
    </row>
    <row r="651" ht="15.75" customHeight="1">
      <c r="A651" s="8"/>
      <c r="F651" s="236"/>
    </row>
    <row r="652" ht="15.75" customHeight="1">
      <c r="A652" s="8"/>
      <c r="F652" s="236"/>
    </row>
    <row r="653" ht="15.75" customHeight="1">
      <c r="A653" s="8"/>
      <c r="F653" s="236"/>
    </row>
    <row r="654" ht="15.75" customHeight="1">
      <c r="A654" s="8"/>
      <c r="F654" s="236"/>
    </row>
    <row r="655" ht="15.75" customHeight="1">
      <c r="A655" s="8"/>
      <c r="F655" s="236"/>
    </row>
    <row r="656" ht="15.75" customHeight="1">
      <c r="A656" s="8"/>
      <c r="F656" s="236"/>
    </row>
    <row r="657" ht="15.75" customHeight="1">
      <c r="A657" s="8"/>
      <c r="F657" s="236"/>
    </row>
    <row r="658" ht="15.75" customHeight="1">
      <c r="A658" s="8"/>
      <c r="F658" s="236"/>
    </row>
    <row r="659" ht="15.75" customHeight="1">
      <c r="A659" s="8"/>
      <c r="F659" s="236"/>
    </row>
    <row r="660" ht="15.75" customHeight="1">
      <c r="A660" s="8"/>
      <c r="F660" s="236"/>
    </row>
    <row r="661" ht="15.75" customHeight="1">
      <c r="A661" s="8"/>
      <c r="F661" s="236"/>
    </row>
    <row r="662" ht="15.75" customHeight="1">
      <c r="A662" s="8"/>
      <c r="F662" s="236"/>
    </row>
    <row r="663" ht="15.75" customHeight="1">
      <c r="A663" s="8"/>
      <c r="F663" s="236"/>
    </row>
    <row r="664" ht="15.75" customHeight="1">
      <c r="A664" s="8"/>
      <c r="F664" s="236"/>
    </row>
    <row r="665" ht="15.75" customHeight="1">
      <c r="A665" s="8"/>
      <c r="F665" s="236"/>
    </row>
    <row r="666" ht="15.75" customHeight="1">
      <c r="A666" s="8"/>
      <c r="F666" s="236"/>
    </row>
    <row r="667" ht="15.75" customHeight="1">
      <c r="A667" s="8"/>
      <c r="F667" s="236"/>
    </row>
    <row r="668" ht="15.75" customHeight="1">
      <c r="A668" s="8"/>
      <c r="F668" s="236"/>
    </row>
    <row r="669" ht="15.75" customHeight="1">
      <c r="A669" s="8"/>
      <c r="F669" s="236"/>
    </row>
    <row r="670" ht="15.75" customHeight="1">
      <c r="A670" s="8"/>
      <c r="F670" s="236"/>
    </row>
    <row r="671" ht="15.75" customHeight="1">
      <c r="A671" s="8"/>
      <c r="F671" s="236"/>
    </row>
    <row r="672" ht="15.75" customHeight="1">
      <c r="A672" s="8"/>
      <c r="F672" s="236"/>
    </row>
    <row r="673" ht="15.75" customHeight="1">
      <c r="A673" s="8"/>
      <c r="F673" s="236"/>
    </row>
    <row r="674" ht="15.75" customHeight="1">
      <c r="A674" s="8"/>
      <c r="F674" s="236"/>
    </row>
    <row r="675" ht="15.75" customHeight="1">
      <c r="A675" s="8"/>
      <c r="F675" s="236"/>
    </row>
    <row r="676" ht="15.75" customHeight="1">
      <c r="A676" s="8"/>
      <c r="F676" s="236"/>
    </row>
    <row r="677" ht="15.75" customHeight="1">
      <c r="A677" s="8"/>
      <c r="F677" s="236"/>
    </row>
    <row r="678" ht="15.75" customHeight="1">
      <c r="A678" s="8"/>
      <c r="F678" s="236"/>
    </row>
    <row r="679" ht="15.75" customHeight="1">
      <c r="A679" s="8"/>
      <c r="F679" s="236"/>
    </row>
    <row r="680" ht="15.75" customHeight="1">
      <c r="A680" s="8"/>
      <c r="F680" s="236"/>
    </row>
    <row r="681" ht="15.75" customHeight="1">
      <c r="A681" s="8"/>
      <c r="F681" s="236"/>
    </row>
    <row r="682" ht="15.75" customHeight="1">
      <c r="A682" s="8"/>
      <c r="F682" s="236"/>
    </row>
    <row r="683" ht="15.75" customHeight="1">
      <c r="A683" s="8"/>
      <c r="F683" s="236"/>
    </row>
    <row r="684" ht="15.75" customHeight="1">
      <c r="A684" s="8"/>
      <c r="F684" s="236"/>
    </row>
    <row r="685" ht="15.75" customHeight="1">
      <c r="A685" s="8"/>
      <c r="F685" s="236"/>
    </row>
    <row r="686" ht="15.75" customHeight="1">
      <c r="A686" s="8"/>
      <c r="F686" s="236"/>
    </row>
    <row r="687" ht="15.75" customHeight="1">
      <c r="A687" s="8"/>
      <c r="F687" s="236"/>
    </row>
    <row r="688" ht="15.75" customHeight="1">
      <c r="A688" s="8"/>
      <c r="F688" s="236"/>
    </row>
    <row r="689" ht="15.75" customHeight="1">
      <c r="A689" s="8"/>
      <c r="F689" s="236"/>
    </row>
    <row r="690" ht="15.75" customHeight="1">
      <c r="A690" s="8"/>
      <c r="F690" s="236"/>
    </row>
    <row r="691" ht="15.75" customHeight="1">
      <c r="A691" s="8"/>
      <c r="F691" s="236"/>
    </row>
    <row r="692" ht="15.75" customHeight="1">
      <c r="A692" s="8"/>
      <c r="F692" s="236"/>
    </row>
    <row r="693" ht="15.75" customHeight="1">
      <c r="A693" s="8"/>
      <c r="F693" s="236"/>
    </row>
    <row r="694" ht="15.75" customHeight="1">
      <c r="A694" s="8"/>
      <c r="F694" s="236"/>
    </row>
    <row r="695" ht="15.75" customHeight="1">
      <c r="A695" s="8"/>
      <c r="F695" s="236"/>
    </row>
    <row r="696" ht="15.75" customHeight="1">
      <c r="A696" s="8"/>
      <c r="F696" s="236"/>
    </row>
    <row r="697" ht="15.75" customHeight="1">
      <c r="A697" s="8"/>
      <c r="F697" s="236"/>
    </row>
    <row r="698" ht="15.75" customHeight="1">
      <c r="A698" s="8"/>
      <c r="F698" s="236"/>
    </row>
    <row r="699" ht="15.75" customHeight="1">
      <c r="A699" s="8"/>
      <c r="F699" s="236"/>
    </row>
    <row r="700" ht="15.75" customHeight="1">
      <c r="A700" s="8"/>
      <c r="F700" s="236"/>
    </row>
    <row r="701" ht="15.75" customHeight="1">
      <c r="A701" s="8"/>
      <c r="F701" s="236"/>
    </row>
    <row r="702" ht="15.75" customHeight="1">
      <c r="A702" s="8"/>
      <c r="F702" s="236"/>
    </row>
    <row r="703" ht="15.75" customHeight="1">
      <c r="A703" s="8"/>
      <c r="F703" s="236"/>
    </row>
    <row r="704" ht="15.75" customHeight="1">
      <c r="A704" s="8"/>
      <c r="F704" s="236"/>
    </row>
    <row r="705" ht="15.75" customHeight="1">
      <c r="A705" s="8"/>
      <c r="F705" s="236"/>
    </row>
    <row r="706" ht="15.75" customHeight="1">
      <c r="A706" s="8"/>
      <c r="F706" s="236"/>
    </row>
    <row r="707" ht="15.75" customHeight="1">
      <c r="A707" s="8"/>
      <c r="F707" s="236"/>
    </row>
    <row r="708" ht="15.75" customHeight="1">
      <c r="A708" s="8"/>
      <c r="F708" s="236"/>
    </row>
    <row r="709" ht="15.75" customHeight="1">
      <c r="A709" s="8"/>
      <c r="F709" s="236"/>
    </row>
    <row r="710" ht="15.75" customHeight="1">
      <c r="A710" s="8"/>
      <c r="F710" s="236"/>
    </row>
    <row r="711" ht="15.75" customHeight="1">
      <c r="A711" s="8"/>
      <c r="F711" s="236"/>
    </row>
    <row r="712" ht="15.75" customHeight="1">
      <c r="A712" s="8"/>
      <c r="F712" s="236"/>
    </row>
    <row r="713" ht="15.75" customHeight="1">
      <c r="A713" s="8"/>
      <c r="F713" s="236"/>
    </row>
    <row r="714" ht="15.75" customHeight="1">
      <c r="A714" s="8"/>
      <c r="F714" s="236"/>
    </row>
    <row r="715" ht="15.75" customHeight="1">
      <c r="A715" s="8"/>
      <c r="F715" s="236"/>
    </row>
    <row r="716" ht="15.75" customHeight="1">
      <c r="A716" s="8"/>
      <c r="F716" s="236"/>
    </row>
    <row r="717" ht="15.75" customHeight="1">
      <c r="A717" s="8"/>
      <c r="F717" s="236"/>
    </row>
    <row r="718" ht="15.75" customHeight="1">
      <c r="A718" s="8"/>
      <c r="F718" s="236"/>
    </row>
    <row r="719" ht="15.75" customHeight="1">
      <c r="A719" s="8"/>
      <c r="F719" s="236"/>
    </row>
    <row r="720" ht="15.75" customHeight="1">
      <c r="A720" s="8"/>
      <c r="F720" s="236"/>
    </row>
    <row r="721" ht="15.75" customHeight="1">
      <c r="A721" s="8"/>
      <c r="F721" s="236"/>
    </row>
    <row r="722" ht="15.75" customHeight="1">
      <c r="A722" s="8"/>
      <c r="F722" s="236"/>
    </row>
    <row r="723" ht="15.75" customHeight="1">
      <c r="A723" s="8"/>
      <c r="F723" s="236"/>
    </row>
    <row r="724" ht="15.75" customHeight="1">
      <c r="A724" s="8"/>
      <c r="F724" s="236"/>
    </row>
    <row r="725" ht="15.75" customHeight="1">
      <c r="A725" s="8"/>
      <c r="F725" s="236"/>
    </row>
    <row r="726" ht="15.75" customHeight="1">
      <c r="A726" s="8"/>
      <c r="F726" s="236"/>
    </row>
    <row r="727" ht="15.75" customHeight="1">
      <c r="A727" s="8"/>
      <c r="F727" s="236"/>
    </row>
    <row r="728" ht="15.75" customHeight="1">
      <c r="A728" s="8"/>
      <c r="F728" s="236"/>
    </row>
    <row r="729" ht="15.75" customHeight="1">
      <c r="A729" s="8"/>
      <c r="F729" s="236"/>
    </row>
    <row r="730" ht="15.75" customHeight="1">
      <c r="A730" s="8"/>
      <c r="F730" s="236"/>
    </row>
    <row r="731" ht="15.75" customHeight="1">
      <c r="A731" s="8"/>
      <c r="F731" s="236"/>
    </row>
    <row r="732" ht="15.75" customHeight="1">
      <c r="A732" s="8"/>
      <c r="F732" s="236"/>
    </row>
    <row r="733" ht="15.75" customHeight="1">
      <c r="A733" s="8"/>
      <c r="F733" s="236"/>
    </row>
    <row r="734" ht="15.75" customHeight="1">
      <c r="A734" s="8"/>
      <c r="F734" s="236"/>
    </row>
    <row r="735" ht="15.75" customHeight="1">
      <c r="A735" s="8"/>
      <c r="F735" s="236"/>
    </row>
    <row r="736" ht="15.75" customHeight="1">
      <c r="A736" s="8"/>
      <c r="F736" s="236"/>
    </row>
    <row r="737" ht="15.75" customHeight="1">
      <c r="A737" s="8"/>
      <c r="F737" s="236"/>
    </row>
    <row r="738" ht="15.75" customHeight="1">
      <c r="A738" s="8"/>
      <c r="F738" s="236"/>
    </row>
    <row r="739" ht="15.75" customHeight="1">
      <c r="A739" s="8"/>
      <c r="F739" s="236"/>
    </row>
    <row r="740" ht="15.75" customHeight="1">
      <c r="A740" s="8"/>
      <c r="F740" s="236"/>
    </row>
    <row r="741" ht="15.75" customHeight="1">
      <c r="A741" s="8"/>
      <c r="F741" s="236"/>
    </row>
    <row r="742" ht="15.75" customHeight="1">
      <c r="A742" s="8"/>
      <c r="F742" s="236"/>
    </row>
    <row r="743" ht="15.75" customHeight="1">
      <c r="A743" s="8"/>
      <c r="F743" s="236"/>
    </row>
    <row r="744" ht="15.75" customHeight="1">
      <c r="A744" s="8"/>
      <c r="F744" s="236"/>
    </row>
    <row r="745" ht="15.75" customHeight="1">
      <c r="A745" s="8"/>
      <c r="F745" s="236"/>
    </row>
    <row r="746" ht="15.75" customHeight="1">
      <c r="A746" s="8"/>
      <c r="F746" s="236"/>
    </row>
    <row r="747" ht="15.75" customHeight="1">
      <c r="A747" s="8"/>
      <c r="F747" s="236"/>
    </row>
    <row r="748" ht="15.75" customHeight="1">
      <c r="A748" s="8"/>
      <c r="F748" s="236"/>
    </row>
    <row r="749" ht="15.75" customHeight="1">
      <c r="A749" s="8"/>
      <c r="F749" s="236"/>
    </row>
    <row r="750" ht="15.75" customHeight="1">
      <c r="A750" s="8"/>
      <c r="F750" s="236"/>
    </row>
    <row r="751" ht="15.75" customHeight="1">
      <c r="A751" s="8"/>
      <c r="F751" s="236"/>
    </row>
    <row r="752" ht="15.75" customHeight="1">
      <c r="A752" s="8"/>
      <c r="F752" s="236"/>
    </row>
    <row r="753" ht="15.75" customHeight="1">
      <c r="A753" s="8"/>
      <c r="F753" s="236"/>
    </row>
    <row r="754" ht="15.75" customHeight="1">
      <c r="A754" s="8"/>
      <c r="F754" s="236"/>
    </row>
    <row r="755" ht="15.75" customHeight="1">
      <c r="A755" s="8"/>
      <c r="F755" s="236"/>
    </row>
    <row r="756" ht="15.75" customHeight="1">
      <c r="A756" s="8"/>
      <c r="F756" s="236"/>
    </row>
    <row r="757" ht="15.75" customHeight="1">
      <c r="A757" s="8"/>
      <c r="F757" s="236"/>
    </row>
    <row r="758" ht="15.75" customHeight="1">
      <c r="A758" s="8"/>
      <c r="F758" s="236"/>
    </row>
    <row r="759" ht="15.75" customHeight="1">
      <c r="A759" s="8"/>
      <c r="F759" s="236"/>
    </row>
    <row r="760" ht="15.75" customHeight="1">
      <c r="A760" s="8"/>
      <c r="F760" s="236"/>
    </row>
    <row r="761" ht="15.75" customHeight="1">
      <c r="A761" s="8"/>
      <c r="F761" s="236"/>
    </row>
    <row r="762" ht="15.75" customHeight="1">
      <c r="A762" s="8"/>
      <c r="F762" s="236"/>
    </row>
    <row r="763" ht="15.75" customHeight="1">
      <c r="A763" s="8"/>
      <c r="F763" s="236"/>
    </row>
    <row r="764" ht="15.75" customHeight="1">
      <c r="A764" s="8"/>
      <c r="F764" s="236"/>
    </row>
    <row r="765" ht="15.75" customHeight="1">
      <c r="A765" s="8"/>
      <c r="F765" s="236"/>
    </row>
    <row r="766" ht="15.75" customHeight="1">
      <c r="A766" s="8"/>
      <c r="F766" s="236"/>
    </row>
    <row r="767" ht="15.75" customHeight="1">
      <c r="A767" s="8"/>
      <c r="F767" s="236"/>
    </row>
    <row r="768" ht="15.75" customHeight="1">
      <c r="A768" s="8"/>
      <c r="F768" s="236"/>
    </row>
    <row r="769" ht="15.75" customHeight="1">
      <c r="A769" s="8"/>
      <c r="F769" s="236"/>
    </row>
    <row r="770" ht="15.75" customHeight="1">
      <c r="A770" s="8"/>
      <c r="F770" s="236"/>
    </row>
    <row r="771" ht="15.75" customHeight="1">
      <c r="A771" s="8"/>
      <c r="F771" s="236"/>
    </row>
    <row r="772" ht="15.75" customHeight="1">
      <c r="A772" s="8"/>
      <c r="F772" s="236"/>
    </row>
    <row r="773" ht="15.75" customHeight="1">
      <c r="A773" s="8"/>
      <c r="F773" s="236"/>
    </row>
    <row r="774" ht="15.75" customHeight="1">
      <c r="A774" s="8"/>
      <c r="F774" s="236"/>
    </row>
    <row r="775" ht="15.75" customHeight="1">
      <c r="A775" s="8"/>
      <c r="F775" s="236"/>
    </row>
    <row r="776" ht="15.75" customHeight="1">
      <c r="A776" s="8"/>
      <c r="F776" s="236"/>
    </row>
    <row r="777" ht="15.75" customHeight="1">
      <c r="A777" s="8"/>
      <c r="F777" s="236"/>
    </row>
    <row r="778" ht="15.75" customHeight="1">
      <c r="A778" s="8"/>
      <c r="F778" s="236"/>
    </row>
    <row r="779" ht="15.75" customHeight="1">
      <c r="A779" s="8"/>
      <c r="F779" s="236"/>
    </row>
    <row r="780" ht="15.75" customHeight="1">
      <c r="A780" s="8"/>
      <c r="F780" s="236"/>
    </row>
    <row r="781" ht="15.75" customHeight="1">
      <c r="A781" s="8"/>
      <c r="F781" s="236"/>
    </row>
    <row r="782" ht="15.75" customHeight="1">
      <c r="A782" s="8"/>
      <c r="F782" s="236"/>
    </row>
    <row r="783" ht="15.75" customHeight="1">
      <c r="A783" s="8"/>
      <c r="F783" s="236"/>
    </row>
    <row r="784" ht="15.75" customHeight="1">
      <c r="A784" s="8"/>
      <c r="F784" s="236"/>
    </row>
    <row r="785" ht="15.75" customHeight="1">
      <c r="A785" s="8"/>
      <c r="F785" s="236"/>
    </row>
    <row r="786" ht="15.75" customHeight="1">
      <c r="A786" s="8"/>
      <c r="F786" s="236"/>
    </row>
    <row r="787" ht="15.75" customHeight="1">
      <c r="A787" s="8"/>
      <c r="F787" s="236"/>
    </row>
    <row r="788" ht="15.75" customHeight="1">
      <c r="A788" s="8"/>
      <c r="F788" s="236"/>
    </row>
    <row r="789" ht="15.75" customHeight="1">
      <c r="A789" s="8"/>
      <c r="F789" s="236"/>
    </row>
    <row r="790" ht="15.75" customHeight="1">
      <c r="A790" s="8"/>
      <c r="F790" s="236"/>
    </row>
    <row r="791" ht="15.75" customHeight="1">
      <c r="A791" s="8"/>
      <c r="F791" s="236"/>
    </row>
    <row r="792" ht="15.75" customHeight="1">
      <c r="A792" s="8"/>
      <c r="F792" s="236"/>
    </row>
    <row r="793" ht="15.75" customHeight="1">
      <c r="A793" s="8"/>
      <c r="F793" s="236"/>
    </row>
    <row r="794" ht="15.75" customHeight="1">
      <c r="A794" s="8"/>
      <c r="F794" s="236"/>
    </row>
    <row r="795" ht="15.75" customHeight="1">
      <c r="A795" s="8"/>
      <c r="F795" s="236"/>
    </row>
    <row r="796" ht="15.75" customHeight="1">
      <c r="A796" s="8"/>
      <c r="F796" s="236"/>
    </row>
    <row r="797" ht="15.75" customHeight="1">
      <c r="A797" s="8"/>
      <c r="F797" s="236"/>
    </row>
    <row r="798" ht="15.75" customHeight="1">
      <c r="A798" s="8"/>
      <c r="F798" s="236"/>
    </row>
    <row r="799" ht="15.75" customHeight="1">
      <c r="A799" s="8"/>
      <c r="F799" s="236"/>
    </row>
    <row r="800" ht="15.75" customHeight="1">
      <c r="A800" s="8"/>
      <c r="F800" s="236"/>
    </row>
    <row r="801" ht="15.75" customHeight="1">
      <c r="A801" s="8"/>
      <c r="F801" s="236"/>
    </row>
    <row r="802" ht="15.75" customHeight="1">
      <c r="A802" s="8"/>
      <c r="F802" s="236"/>
    </row>
    <row r="803" ht="15.75" customHeight="1">
      <c r="A803" s="8"/>
      <c r="F803" s="236"/>
    </row>
    <row r="804" ht="15.75" customHeight="1">
      <c r="A804" s="8"/>
      <c r="F804" s="236"/>
    </row>
    <row r="805" ht="15.75" customHeight="1">
      <c r="A805" s="8"/>
      <c r="F805" s="236"/>
    </row>
    <row r="806" ht="15.75" customHeight="1">
      <c r="A806" s="8"/>
      <c r="F806" s="236"/>
    </row>
    <row r="807" ht="15.75" customHeight="1">
      <c r="A807" s="8"/>
      <c r="F807" s="236"/>
    </row>
    <row r="808" ht="15.75" customHeight="1">
      <c r="A808" s="8"/>
      <c r="F808" s="236"/>
    </row>
    <row r="809" ht="15.75" customHeight="1">
      <c r="A809" s="8"/>
      <c r="F809" s="236"/>
    </row>
    <row r="810" ht="15.75" customHeight="1">
      <c r="A810" s="8"/>
      <c r="F810" s="236"/>
    </row>
    <row r="811" ht="15.75" customHeight="1">
      <c r="A811" s="8"/>
      <c r="F811" s="236"/>
    </row>
    <row r="812" ht="15.75" customHeight="1">
      <c r="A812" s="8"/>
      <c r="F812" s="236"/>
    </row>
    <row r="813" ht="15.75" customHeight="1">
      <c r="A813" s="8"/>
      <c r="F813" s="236"/>
    </row>
    <row r="814" ht="15.75" customHeight="1">
      <c r="A814" s="8"/>
      <c r="F814" s="236"/>
    </row>
    <row r="815" ht="15.75" customHeight="1">
      <c r="A815" s="8"/>
      <c r="F815" s="236"/>
    </row>
    <row r="816" ht="15.75" customHeight="1">
      <c r="A816" s="8"/>
      <c r="F816" s="236"/>
    </row>
    <row r="817" ht="15.75" customHeight="1">
      <c r="A817" s="8"/>
      <c r="F817" s="236"/>
    </row>
    <row r="818" ht="15.75" customHeight="1">
      <c r="A818" s="8"/>
      <c r="F818" s="236"/>
    </row>
    <row r="819" ht="15.75" customHeight="1">
      <c r="A819" s="8"/>
      <c r="F819" s="236"/>
    </row>
    <row r="820" ht="15.75" customHeight="1">
      <c r="A820" s="8"/>
      <c r="F820" s="236"/>
    </row>
    <row r="821" ht="15.75" customHeight="1">
      <c r="A821" s="8"/>
      <c r="F821" s="236"/>
    </row>
    <row r="822" ht="15.75" customHeight="1">
      <c r="A822" s="8"/>
      <c r="F822" s="236"/>
    </row>
    <row r="823" ht="15.75" customHeight="1">
      <c r="A823" s="8"/>
      <c r="F823" s="236"/>
    </row>
    <row r="824" ht="15.75" customHeight="1">
      <c r="A824" s="8"/>
      <c r="F824" s="236"/>
    </row>
    <row r="825" ht="15.75" customHeight="1">
      <c r="A825" s="8"/>
      <c r="F825" s="236"/>
    </row>
    <row r="826" ht="15.75" customHeight="1">
      <c r="A826" s="8"/>
      <c r="F826" s="236"/>
    </row>
    <row r="827" ht="15.75" customHeight="1">
      <c r="A827" s="8"/>
      <c r="F827" s="236"/>
    </row>
    <row r="828" ht="15.75" customHeight="1">
      <c r="A828" s="8"/>
      <c r="F828" s="236"/>
    </row>
    <row r="829" ht="15.75" customHeight="1">
      <c r="A829" s="8"/>
      <c r="F829" s="236"/>
    </row>
    <row r="830" ht="15.75" customHeight="1">
      <c r="A830" s="8"/>
      <c r="F830" s="236"/>
    </row>
    <row r="831" ht="15.75" customHeight="1">
      <c r="A831" s="8"/>
      <c r="F831" s="236"/>
    </row>
    <row r="832" ht="15.75" customHeight="1">
      <c r="A832" s="8"/>
      <c r="F832" s="236"/>
    </row>
    <row r="833" ht="15.75" customHeight="1">
      <c r="A833" s="8"/>
      <c r="F833" s="236"/>
    </row>
    <row r="834" ht="15.75" customHeight="1">
      <c r="A834" s="8"/>
      <c r="F834" s="236"/>
    </row>
    <row r="835" ht="15.75" customHeight="1">
      <c r="A835" s="8"/>
      <c r="F835" s="236"/>
    </row>
    <row r="836" ht="15.75" customHeight="1">
      <c r="A836" s="8"/>
      <c r="F836" s="236"/>
    </row>
    <row r="837" ht="15.75" customHeight="1">
      <c r="A837" s="8"/>
      <c r="F837" s="236"/>
    </row>
    <row r="838" ht="15.75" customHeight="1">
      <c r="A838" s="8"/>
      <c r="F838" s="236"/>
    </row>
    <row r="839" ht="15.75" customHeight="1">
      <c r="A839" s="8"/>
      <c r="F839" s="236"/>
    </row>
    <row r="840" ht="15.75" customHeight="1">
      <c r="A840" s="8"/>
      <c r="F840" s="236"/>
    </row>
    <row r="841" ht="15.75" customHeight="1">
      <c r="A841" s="8"/>
      <c r="F841" s="236"/>
    </row>
    <row r="842" ht="15.75" customHeight="1">
      <c r="A842" s="8"/>
      <c r="F842" s="236"/>
    </row>
    <row r="843" ht="15.75" customHeight="1">
      <c r="A843" s="8"/>
      <c r="F843" s="236"/>
    </row>
    <row r="844" ht="15.75" customHeight="1">
      <c r="A844" s="8"/>
      <c r="F844" s="236"/>
    </row>
    <row r="845" ht="15.75" customHeight="1">
      <c r="A845" s="8"/>
      <c r="F845" s="236"/>
    </row>
    <row r="846" ht="15.75" customHeight="1">
      <c r="A846" s="8"/>
      <c r="F846" s="236"/>
    </row>
    <row r="847" ht="15.75" customHeight="1">
      <c r="A847" s="8"/>
      <c r="F847" s="236"/>
    </row>
    <row r="848" ht="15.75" customHeight="1">
      <c r="A848" s="8"/>
      <c r="F848" s="236"/>
    </row>
    <row r="849" ht="15.75" customHeight="1">
      <c r="A849" s="8"/>
      <c r="F849" s="236"/>
    </row>
    <row r="850" ht="15.75" customHeight="1">
      <c r="A850" s="8"/>
      <c r="F850" s="236"/>
    </row>
    <row r="851" ht="15.75" customHeight="1">
      <c r="A851" s="8"/>
      <c r="F851" s="236"/>
    </row>
    <row r="852" ht="15.75" customHeight="1">
      <c r="A852" s="8"/>
      <c r="F852" s="236"/>
    </row>
    <row r="853" ht="15.75" customHeight="1">
      <c r="A853" s="8"/>
      <c r="F853" s="236"/>
    </row>
    <row r="854" ht="15.75" customHeight="1">
      <c r="A854" s="8"/>
      <c r="F854" s="236"/>
    </row>
    <row r="855" ht="15.75" customHeight="1">
      <c r="A855" s="8"/>
      <c r="F855" s="236"/>
    </row>
    <row r="856" ht="15.75" customHeight="1">
      <c r="A856" s="8"/>
      <c r="F856" s="236"/>
    </row>
    <row r="857" ht="15.75" customHeight="1">
      <c r="A857" s="8"/>
      <c r="F857" s="236"/>
    </row>
    <row r="858" ht="15.75" customHeight="1">
      <c r="A858" s="8"/>
      <c r="F858" s="236"/>
    </row>
    <row r="859" ht="15.75" customHeight="1">
      <c r="A859" s="8"/>
      <c r="F859" s="236"/>
    </row>
    <row r="860" ht="15.75" customHeight="1">
      <c r="A860" s="8"/>
      <c r="F860" s="236"/>
    </row>
    <row r="861" ht="15.75" customHeight="1">
      <c r="A861" s="8"/>
      <c r="F861" s="236"/>
    </row>
    <row r="862" ht="15.75" customHeight="1">
      <c r="A862" s="8"/>
      <c r="F862" s="236"/>
    </row>
    <row r="863" ht="15.75" customHeight="1">
      <c r="A863" s="8"/>
      <c r="F863" s="236"/>
    </row>
    <row r="864" ht="15.75" customHeight="1">
      <c r="A864" s="8"/>
      <c r="F864" s="236"/>
    </row>
    <row r="865" ht="15.75" customHeight="1">
      <c r="A865" s="8"/>
      <c r="F865" s="236"/>
    </row>
    <row r="866" ht="15.75" customHeight="1">
      <c r="A866" s="8"/>
      <c r="F866" s="236"/>
    </row>
    <row r="867" ht="15.75" customHeight="1">
      <c r="A867" s="8"/>
      <c r="F867" s="236"/>
    </row>
    <row r="868" ht="15.75" customHeight="1">
      <c r="A868" s="8"/>
      <c r="F868" s="236"/>
    </row>
    <row r="869" ht="15.75" customHeight="1">
      <c r="A869" s="8"/>
      <c r="F869" s="236"/>
    </row>
    <row r="870" ht="15.75" customHeight="1">
      <c r="A870" s="8"/>
      <c r="F870" s="236"/>
    </row>
    <row r="871" ht="15.75" customHeight="1">
      <c r="A871" s="8"/>
      <c r="F871" s="236"/>
    </row>
    <row r="872" ht="15.75" customHeight="1">
      <c r="A872" s="8"/>
      <c r="F872" s="236"/>
    </row>
    <row r="873" ht="15.75" customHeight="1">
      <c r="A873" s="8"/>
      <c r="F873" s="236"/>
    </row>
    <row r="874" ht="15.75" customHeight="1">
      <c r="A874" s="8"/>
      <c r="F874" s="236"/>
    </row>
    <row r="875" ht="15.75" customHeight="1">
      <c r="A875" s="8"/>
      <c r="F875" s="236"/>
    </row>
    <row r="876" ht="15.75" customHeight="1">
      <c r="A876" s="8"/>
      <c r="F876" s="236"/>
    </row>
    <row r="877" ht="15.75" customHeight="1">
      <c r="A877" s="8"/>
      <c r="F877" s="236"/>
    </row>
    <row r="878" ht="15.75" customHeight="1">
      <c r="A878" s="8"/>
      <c r="F878" s="236"/>
    </row>
    <row r="879" ht="15.75" customHeight="1">
      <c r="A879" s="8"/>
      <c r="F879" s="236"/>
    </row>
    <row r="880" ht="15.75" customHeight="1">
      <c r="A880" s="8"/>
      <c r="F880" s="236"/>
    </row>
    <row r="881" ht="15.75" customHeight="1">
      <c r="A881" s="8"/>
      <c r="F881" s="236"/>
    </row>
    <row r="882" ht="15.75" customHeight="1">
      <c r="A882" s="8"/>
      <c r="F882" s="236"/>
    </row>
    <row r="883" ht="15.75" customHeight="1">
      <c r="A883" s="8"/>
      <c r="F883" s="236"/>
    </row>
    <row r="884" ht="15.75" customHeight="1">
      <c r="A884" s="8"/>
      <c r="F884" s="236"/>
    </row>
    <row r="885" ht="15.75" customHeight="1">
      <c r="A885" s="8"/>
      <c r="F885" s="236"/>
    </row>
    <row r="886" ht="15.75" customHeight="1">
      <c r="A886" s="8"/>
      <c r="F886" s="236"/>
    </row>
    <row r="887" ht="15.75" customHeight="1">
      <c r="A887" s="8"/>
      <c r="F887" s="236"/>
    </row>
    <row r="888" ht="15.75" customHeight="1">
      <c r="A888" s="8"/>
      <c r="F888" s="236"/>
    </row>
    <row r="889" ht="15.75" customHeight="1">
      <c r="A889" s="8"/>
      <c r="F889" s="236"/>
    </row>
    <row r="890" ht="15.75" customHeight="1">
      <c r="A890" s="8"/>
      <c r="F890" s="236"/>
    </row>
    <row r="891" ht="15.75" customHeight="1">
      <c r="A891" s="8"/>
      <c r="F891" s="236"/>
    </row>
    <row r="892" ht="15.75" customHeight="1">
      <c r="A892" s="8"/>
      <c r="F892" s="236"/>
    </row>
    <row r="893" ht="15.75" customHeight="1">
      <c r="A893" s="8"/>
      <c r="F893" s="236"/>
    </row>
    <row r="894" ht="15.75" customHeight="1">
      <c r="A894" s="8"/>
      <c r="F894" s="236"/>
    </row>
    <row r="895" ht="15.75" customHeight="1">
      <c r="A895" s="8"/>
      <c r="F895" s="236"/>
    </row>
    <row r="896" ht="15.75" customHeight="1">
      <c r="A896" s="8"/>
      <c r="F896" s="236"/>
    </row>
    <row r="897" ht="15.75" customHeight="1">
      <c r="A897" s="8"/>
      <c r="F897" s="236"/>
    </row>
    <row r="898" ht="15.75" customHeight="1">
      <c r="A898" s="8"/>
      <c r="F898" s="236"/>
    </row>
    <row r="899" ht="15.75" customHeight="1">
      <c r="A899" s="8"/>
      <c r="F899" s="236"/>
    </row>
    <row r="900" ht="15.75" customHeight="1">
      <c r="A900" s="8"/>
      <c r="F900" s="236"/>
    </row>
    <row r="901" ht="15.75" customHeight="1">
      <c r="A901" s="8"/>
      <c r="F901" s="236"/>
    </row>
    <row r="902" ht="15.75" customHeight="1">
      <c r="A902" s="8"/>
      <c r="F902" s="236"/>
    </row>
    <row r="903" ht="15.75" customHeight="1">
      <c r="A903" s="8"/>
      <c r="F903" s="236"/>
    </row>
    <row r="904" ht="15.75" customHeight="1">
      <c r="A904" s="8"/>
      <c r="F904" s="236"/>
    </row>
    <row r="905" ht="15.75" customHeight="1">
      <c r="A905" s="8"/>
      <c r="F905" s="236"/>
    </row>
    <row r="906" ht="15.75" customHeight="1">
      <c r="A906" s="8"/>
      <c r="F906" s="236"/>
    </row>
    <row r="907" ht="15.75" customHeight="1">
      <c r="A907" s="8"/>
      <c r="F907" s="236"/>
    </row>
    <row r="908" ht="15.75" customHeight="1">
      <c r="A908" s="8"/>
      <c r="F908" s="236"/>
    </row>
    <row r="909" ht="15.75" customHeight="1">
      <c r="A909" s="8"/>
      <c r="F909" s="236"/>
    </row>
    <row r="910" ht="15.75" customHeight="1">
      <c r="A910" s="8"/>
      <c r="F910" s="236"/>
    </row>
    <row r="911" ht="15.75" customHeight="1">
      <c r="A911" s="8"/>
      <c r="F911" s="236"/>
    </row>
    <row r="912" ht="15.75" customHeight="1">
      <c r="A912" s="8"/>
      <c r="F912" s="236"/>
    </row>
    <row r="913" ht="15.75" customHeight="1">
      <c r="A913" s="8"/>
      <c r="F913" s="236"/>
    </row>
    <row r="914" ht="15.75" customHeight="1">
      <c r="A914" s="8"/>
      <c r="F914" s="236"/>
    </row>
    <row r="915" ht="15.75" customHeight="1">
      <c r="A915" s="8"/>
      <c r="F915" s="236"/>
    </row>
    <row r="916" ht="15.75" customHeight="1">
      <c r="A916" s="8"/>
      <c r="F916" s="236"/>
    </row>
    <row r="917" ht="15.75" customHeight="1">
      <c r="A917" s="8"/>
      <c r="F917" s="236"/>
    </row>
    <row r="918" ht="15.75" customHeight="1">
      <c r="A918" s="8"/>
      <c r="F918" s="236"/>
    </row>
    <row r="919" ht="15.75" customHeight="1">
      <c r="A919" s="8"/>
      <c r="F919" s="236"/>
    </row>
    <row r="920" ht="15.75" customHeight="1">
      <c r="A920" s="8"/>
      <c r="F920" s="236"/>
    </row>
    <row r="921" ht="15.75" customHeight="1">
      <c r="A921" s="8"/>
      <c r="F921" s="236"/>
    </row>
    <row r="922" ht="15.75" customHeight="1">
      <c r="A922" s="8"/>
      <c r="F922" s="236"/>
    </row>
    <row r="923" ht="15.75" customHeight="1">
      <c r="A923" s="8"/>
      <c r="F923" s="236"/>
    </row>
    <row r="924" ht="15.75" customHeight="1">
      <c r="A924" s="8"/>
      <c r="F924" s="236"/>
    </row>
    <row r="925" ht="15.75" customHeight="1">
      <c r="A925" s="8"/>
      <c r="F925" s="236"/>
    </row>
    <row r="926" ht="15.75" customHeight="1">
      <c r="A926" s="8"/>
      <c r="F926" s="236"/>
    </row>
    <row r="927" ht="15.75" customHeight="1">
      <c r="A927" s="8"/>
      <c r="F927" s="236"/>
    </row>
    <row r="928" ht="15.75" customHeight="1">
      <c r="A928" s="8"/>
      <c r="F928" s="236"/>
    </row>
    <row r="929" ht="15.75" customHeight="1">
      <c r="A929" s="8"/>
      <c r="F929" s="236"/>
    </row>
    <row r="930" ht="15.75" customHeight="1">
      <c r="A930" s="8"/>
      <c r="F930" s="236"/>
    </row>
    <row r="931" ht="15.75" customHeight="1">
      <c r="A931" s="8"/>
      <c r="F931" s="236"/>
    </row>
    <row r="932" ht="15.75" customHeight="1">
      <c r="A932" s="8"/>
      <c r="F932" s="236"/>
    </row>
    <row r="933" ht="15.75" customHeight="1">
      <c r="A933" s="8"/>
      <c r="F933" s="236"/>
    </row>
    <row r="934" ht="15.75" customHeight="1">
      <c r="A934" s="8"/>
      <c r="F934" s="236"/>
    </row>
    <row r="935" ht="15.75" customHeight="1">
      <c r="A935" s="8"/>
      <c r="F935" s="236"/>
    </row>
    <row r="936" ht="15.75" customHeight="1">
      <c r="A936" s="8"/>
      <c r="F936" s="236"/>
    </row>
    <row r="937" ht="15.75" customHeight="1">
      <c r="A937" s="8"/>
      <c r="F937" s="236"/>
    </row>
    <row r="938" ht="15.75" customHeight="1">
      <c r="A938" s="8"/>
      <c r="F938" s="236"/>
    </row>
    <row r="939" ht="15.75" customHeight="1">
      <c r="A939" s="8"/>
      <c r="F939" s="236"/>
    </row>
    <row r="940" ht="15.75" customHeight="1">
      <c r="A940" s="8"/>
      <c r="F940" s="236"/>
    </row>
    <row r="941" ht="15.75" customHeight="1">
      <c r="A941" s="8"/>
      <c r="F941" s="236"/>
    </row>
    <row r="942" ht="15.75" customHeight="1">
      <c r="A942" s="8"/>
      <c r="F942" s="236"/>
    </row>
    <row r="943" ht="15.75" customHeight="1">
      <c r="A943" s="8"/>
      <c r="F943" s="236"/>
    </row>
    <row r="944" ht="15.75" customHeight="1">
      <c r="A944" s="8"/>
      <c r="F944" s="236"/>
    </row>
    <row r="945" ht="15.75" customHeight="1">
      <c r="A945" s="8"/>
      <c r="F945" s="236"/>
    </row>
    <row r="946" ht="15.75" customHeight="1">
      <c r="A946" s="8"/>
      <c r="F946" s="236"/>
    </row>
    <row r="947" ht="15.75" customHeight="1">
      <c r="A947" s="8"/>
      <c r="F947" s="236"/>
    </row>
    <row r="948" ht="15.75" customHeight="1">
      <c r="A948" s="8"/>
      <c r="F948" s="236"/>
    </row>
    <row r="949" ht="15.75" customHeight="1">
      <c r="A949" s="8"/>
      <c r="F949" s="236"/>
    </row>
    <row r="950" ht="15.75" customHeight="1">
      <c r="A950" s="8"/>
      <c r="F950" s="236"/>
    </row>
    <row r="951" ht="15.75" customHeight="1">
      <c r="A951" s="8"/>
      <c r="F951" s="236"/>
    </row>
    <row r="952" ht="15.75" customHeight="1">
      <c r="A952" s="8"/>
      <c r="F952" s="236"/>
    </row>
    <row r="953" ht="15.75" customHeight="1">
      <c r="A953" s="8"/>
      <c r="F953" s="236"/>
    </row>
    <row r="954" ht="15.75" customHeight="1">
      <c r="A954" s="8"/>
      <c r="F954" s="236"/>
    </row>
    <row r="955" ht="15.75" customHeight="1">
      <c r="A955" s="8"/>
      <c r="F955" s="236"/>
    </row>
    <row r="956" ht="15.75" customHeight="1">
      <c r="A956" s="8"/>
      <c r="F956" s="236"/>
    </row>
    <row r="957" ht="15.75" customHeight="1">
      <c r="A957" s="8"/>
      <c r="F957" s="236"/>
    </row>
    <row r="958" ht="15.75" customHeight="1">
      <c r="A958" s="8"/>
      <c r="F958" s="236"/>
    </row>
    <row r="959" ht="15.75" customHeight="1">
      <c r="A959" s="8"/>
      <c r="F959" s="236"/>
    </row>
    <row r="960" ht="15.75" customHeight="1">
      <c r="A960" s="8"/>
      <c r="F960" s="236"/>
    </row>
    <row r="961" ht="15.75" customHeight="1">
      <c r="A961" s="8"/>
      <c r="F961" s="236"/>
    </row>
    <row r="962" ht="15.75" customHeight="1">
      <c r="A962" s="8"/>
      <c r="F962" s="236"/>
    </row>
    <row r="963" ht="15.75" customHeight="1">
      <c r="A963" s="8"/>
      <c r="F963" s="236"/>
    </row>
    <row r="964" ht="15.75" customHeight="1">
      <c r="A964" s="8"/>
      <c r="F964" s="236"/>
    </row>
    <row r="965" ht="15.75" customHeight="1">
      <c r="A965" s="8"/>
      <c r="F965" s="236"/>
    </row>
    <row r="966" ht="15.75" customHeight="1">
      <c r="A966" s="8"/>
      <c r="F966" s="236"/>
    </row>
    <row r="967" ht="15.75" customHeight="1">
      <c r="A967" s="8"/>
      <c r="F967" s="236"/>
    </row>
    <row r="968" ht="15.75" customHeight="1">
      <c r="A968" s="8"/>
      <c r="F968" s="236"/>
    </row>
    <row r="969" ht="15.75" customHeight="1">
      <c r="A969" s="8"/>
      <c r="F969" s="236"/>
    </row>
    <row r="970" ht="15.75" customHeight="1">
      <c r="A970" s="8"/>
      <c r="F970" s="236"/>
    </row>
    <row r="971" ht="15.75" customHeight="1">
      <c r="A971" s="8"/>
      <c r="F971" s="236"/>
    </row>
    <row r="972" ht="15.75" customHeight="1">
      <c r="A972" s="8"/>
      <c r="F972" s="236"/>
    </row>
    <row r="973" ht="15.75" customHeight="1">
      <c r="A973" s="8"/>
      <c r="F973" s="236"/>
    </row>
    <row r="974" ht="15.75" customHeight="1">
      <c r="A974" s="8"/>
      <c r="F974" s="236"/>
    </row>
    <row r="975" ht="15.75" customHeight="1">
      <c r="A975" s="8"/>
      <c r="F975" s="236"/>
    </row>
    <row r="976" ht="15.75" customHeight="1">
      <c r="A976" s="8"/>
      <c r="F976" s="236"/>
    </row>
    <row r="977" ht="15.75" customHeight="1">
      <c r="A977" s="8"/>
      <c r="F977" s="236"/>
    </row>
    <row r="978" ht="15.75" customHeight="1">
      <c r="A978" s="8"/>
      <c r="F978" s="236"/>
    </row>
    <row r="979" ht="15.75" customHeight="1">
      <c r="A979" s="8"/>
      <c r="F979" s="236"/>
    </row>
    <row r="980" ht="15.75" customHeight="1">
      <c r="A980" s="8"/>
      <c r="F980" s="236"/>
    </row>
    <row r="981" ht="15.75" customHeight="1">
      <c r="A981" s="8"/>
      <c r="F981" s="236"/>
    </row>
    <row r="982" ht="15.75" customHeight="1">
      <c r="A982" s="8"/>
      <c r="F982" s="236"/>
    </row>
    <row r="983" ht="15.75" customHeight="1">
      <c r="A983" s="8"/>
      <c r="F983" s="236"/>
    </row>
    <row r="984" ht="15.75" customHeight="1">
      <c r="A984" s="8"/>
      <c r="F984" s="236"/>
    </row>
    <row r="985" ht="15.75" customHeight="1">
      <c r="A985" s="8"/>
      <c r="F985" s="236"/>
    </row>
    <row r="986" ht="15.75" customHeight="1">
      <c r="A986" s="8"/>
      <c r="F986" s="236"/>
    </row>
    <row r="987" ht="15.75" customHeight="1">
      <c r="A987" s="8"/>
      <c r="F987" s="236"/>
    </row>
    <row r="988" ht="15.75" customHeight="1">
      <c r="A988" s="8"/>
      <c r="F988" s="236"/>
    </row>
    <row r="989" ht="15.75" customHeight="1">
      <c r="A989" s="8"/>
      <c r="F989" s="236"/>
    </row>
    <row r="990" ht="15.75" customHeight="1">
      <c r="A990" s="8"/>
      <c r="F990" s="236"/>
    </row>
    <row r="991" ht="15.75" customHeight="1">
      <c r="A991" s="8"/>
      <c r="F991" s="236"/>
    </row>
    <row r="992" ht="15.75" customHeight="1">
      <c r="A992" s="8"/>
      <c r="F992" s="236"/>
    </row>
    <row r="993" ht="15.75" customHeight="1">
      <c r="A993" s="8"/>
      <c r="F993" s="236"/>
    </row>
    <row r="994" ht="15.75" customHeight="1">
      <c r="A994" s="8"/>
      <c r="F994" s="236"/>
    </row>
    <row r="995" ht="15.75" customHeight="1">
      <c r="A995" s="8"/>
      <c r="F995" s="236"/>
    </row>
    <row r="996" ht="15.75" customHeight="1">
      <c r="A996" s="8"/>
    </row>
    <row r="997" ht="15.75" customHeight="1">
      <c r="A997" s="8"/>
    </row>
  </sheetData>
  <mergeCells count="11">
    <mergeCell ref="B4:E5"/>
    <mergeCell ref="B6:E9"/>
    <mergeCell ref="B16:E16"/>
    <mergeCell ref="B15:Q15"/>
    <mergeCell ref="B3:E3"/>
    <mergeCell ref="B2:Q2"/>
    <mergeCell ref="B17:E18"/>
    <mergeCell ref="B19:E20"/>
    <mergeCell ref="B11:E11"/>
    <mergeCell ref="B12:E14"/>
    <mergeCell ref="B10:Q10"/>
  </mergeCells>
  <dataValidations>
    <dataValidation type="list" allowBlank="1" sqref="F4:F9 F12:F14 F17:F20">
      <formula1>"Bento,Charles,Alencar,Luz,Lara,Aline"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0.71"/>
    <col customWidth="1" min="3" max="3" width="12.71"/>
    <col customWidth="1" min="4" max="4" width="32.14"/>
    <col customWidth="1" min="5" max="5" width="7.86"/>
    <col customWidth="1" min="6" max="6" width="11.14"/>
    <col customWidth="1" min="7" max="7" width="7.86"/>
    <col customWidth="1" min="8" max="8" width="11.14"/>
    <col customWidth="1" min="9" max="9" width="7.86"/>
    <col customWidth="1" min="10" max="10" width="11.14"/>
    <col customWidth="1" min="11" max="11" width="7.86"/>
    <col customWidth="1" min="12" max="12" width="11.14"/>
    <col customWidth="1" min="13" max="13" width="10.71"/>
    <col customWidth="1" min="14" max="25" width="8.71"/>
  </cols>
  <sheetData>
    <row r="1">
      <c r="J1" s="5"/>
    </row>
    <row r="2">
      <c r="B2" s="7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8"/>
    </row>
    <row r="3">
      <c r="B3" s="11" t="s">
        <v>18</v>
      </c>
      <c r="C3" s="13" t="s">
        <v>19</v>
      </c>
      <c r="D3" s="14" t="s">
        <v>20</v>
      </c>
      <c r="E3" s="16" t="s">
        <v>21</v>
      </c>
      <c r="F3" s="17" t="s">
        <v>22</v>
      </c>
      <c r="G3" s="19" t="s">
        <v>23</v>
      </c>
      <c r="H3" s="17" t="s">
        <v>25</v>
      </c>
      <c r="I3" s="19" t="s">
        <v>26</v>
      </c>
      <c r="J3" s="17" t="s">
        <v>27</v>
      </c>
      <c r="K3" s="19" t="s">
        <v>28</v>
      </c>
      <c r="L3" s="17" t="s">
        <v>29</v>
      </c>
      <c r="M3" s="21" t="s">
        <v>30</v>
      </c>
      <c r="N3" s="17" t="s">
        <v>15</v>
      </c>
      <c r="O3" s="8"/>
    </row>
    <row r="4">
      <c r="B4" s="27" t="s">
        <v>31</v>
      </c>
      <c r="C4" s="31" t="s">
        <v>32</v>
      </c>
      <c r="D4" s="33" t="s">
        <v>34</v>
      </c>
      <c r="E4" s="36">
        <v>1.0</v>
      </c>
      <c r="F4" s="38">
        <f>Pres!J19</f>
        <v>1</v>
      </c>
      <c r="G4" s="40">
        <v>1.0</v>
      </c>
      <c r="H4" s="42">
        <f>Pres!K19</f>
        <v>0</v>
      </c>
      <c r="I4" s="40">
        <v>2.0</v>
      </c>
      <c r="J4" s="44">
        <f>Pres!L19</f>
        <v>0</v>
      </c>
      <c r="K4" s="45">
        <v>1.0</v>
      </c>
      <c r="L4" s="42">
        <f>Pres!M19</f>
        <v>0</v>
      </c>
      <c r="M4" s="47">
        <v>5.0</v>
      </c>
      <c r="N4" s="42">
        <f>Pres!K21</f>
        <v>1</v>
      </c>
      <c r="O4" s="8"/>
    </row>
    <row r="5">
      <c r="B5" s="49"/>
      <c r="C5" s="31" t="s">
        <v>40</v>
      </c>
      <c r="D5" s="51" t="s">
        <v>41</v>
      </c>
      <c r="E5" s="52"/>
      <c r="F5" s="54">
        <f>MKT!K42</f>
        <v>0</v>
      </c>
      <c r="G5" s="56"/>
      <c r="H5" s="57">
        <f>MKT!L42</f>
        <v>1</v>
      </c>
      <c r="I5" s="56"/>
      <c r="J5" s="57">
        <f>MKT!M42</f>
        <v>0</v>
      </c>
      <c r="K5" s="59"/>
      <c r="L5" s="57">
        <f>MKT!N42</f>
        <v>0</v>
      </c>
      <c r="M5" s="61">
        <v>4.0</v>
      </c>
      <c r="N5" s="63">
        <f>MKT!K43</f>
        <v>1</v>
      </c>
      <c r="O5" s="8"/>
    </row>
    <row r="6">
      <c r="B6" s="64"/>
      <c r="C6" s="31" t="s">
        <v>32</v>
      </c>
      <c r="D6" s="33" t="s">
        <v>42</v>
      </c>
      <c r="E6" s="66"/>
      <c r="F6" s="68">
        <f>Pres!C37</f>
        <v>0</v>
      </c>
      <c r="G6" s="70">
        <v>1.0</v>
      </c>
      <c r="H6" s="72">
        <f>Pres!D37</f>
        <v>1</v>
      </c>
      <c r="I6" s="73">
        <v>1.0</v>
      </c>
      <c r="J6" s="75">
        <f>Pres!E37</f>
        <v>0</v>
      </c>
      <c r="K6" s="77">
        <v>1.0</v>
      </c>
      <c r="L6" s="72">
        <f>Pres!F37</f>
        <v>0</v>
      </c>
      <c r="M6" s="79">
        <v>3.0</v>
      </c>
      <c r="N6" s="72">
        <f>Pres!D39</f>
        <v>1</v>
      </c>
      <c r="O6" s="8"/>
    </row>
    <row r="7">
      <c r="B7" s="81" t="s">
        <v>50</v>
      </c>
      <c r="C7" s="31" t="s">
        <v>40</v>
      </c>
      <c r="D7" s="51" t="s">
        <v>52</v>
      </c>
      <c r="E7" s="86"/>
      <c r="F7" s="88">
        <f>MKT!H3</f>
        <v>42</v>
      </c>
      <c r="G7" s="86"/>
      <c r="H7" s="96">
        <f>MKT!L3</f>
        <v>77</v>
      </c>
      <c r="I7" s="86"/>
      <c r="J7" s="97">
        <f>MKT!P3</f>
        <v>0</v>
      </c>
      <c r="K7" s="86"/>
      <c r="L7" s="96">
        <f>MKT!T3</f>
        <v>0</v>
      </c>
      <c r="M7" s="99">
        <v>112.0</v>
      </c>
      <c r="N7" s="101">
        <f>MKT!U3</f>
        <v>119</v>
      </c>
      <c r="O7" s="8"/>
    </row>
    <row r="8">
      <c r="B8" s="49"/>
      <c r="C8" s="31" t="s">
        <v>40</v>
      </c>
      <c r="D8" s="33" t="s">
        <v>58</v>
      </c>
      <c r="E8" s="103"/>
      <c r="F8" s="105">
        <f>MKT!H4</f>
        <v>35</v>
      </c>
      <c r="G8" s="103"/>
      <c r="H8" s="106">
        <f>MKT!L4</f>
        <v>10</v>
      </c>
      <c r="I8" s="103"/>
      <c r="J8" s="106">
        <f>MKT!P4</f>
        <v>0</v>
      </c>
      <c r="K8" s="103"/>
      <c r="L8" s="106">
        <f>MKT!T4</f>
        <v>0</v>
      </c>
      <c r="M8" s="108">
        <v>45.0</v>
      </c>
      <c r="N8" s="110">
        <f>MKT!U4</f>
        <v>45</v>
      </c>
      <c r="O8" s="8"/>
    </row>
    <row r="9">
      <c r="B9" s="49"/>
      <c r="C9" s="31" t="s">
        <v>40</v>
      </c>
      <c r="D9" s="51" t="s">
        <v>60</v>
      </c>
      <c r="E9" s="109">
        <v>5.0</v>
      </c>
      <c r="F9" s="115">
        <f>MKT!H5</f>
        <v>6</v>
      </c>
      <c r="G9" s="109">
        <v>12.0</v>
      </c>
      <c r="H9" s="117">
        <f>MKT!L5</f>
        <v>9</v>
      </c>
      <c r="I9" s="109">
        <v>12.0</v>
      </c>
      <c r="J9" s="117">
        <f>MKT!P5</f>
        <v>0</v>
      </c>
      <c r="K9" s="109">
        <v>4.0</v>
      </c>
      <c r="L9" s="117">
        <f>MKT!T5</f>
        <v>0</v>
      </c>
      <c r="M9" s="119">
        <v>32.0</v>
      </c>
      <c r="N9" s="63">
        <f>MKT!U5</f>
        <v>15</v>
      </c>
      <c r="O9" s="8"/>
    </row>
    <row r="10">
      <c r="B10" s="64"/>
      <c r="C10" s="31" t="s">
        <v>40</v>
      </c>
      <c r="D10" s="33" t="s">
        <v>62</v>
      </c>
      <c r="E10" s="121">
        <v>1.0</v>
      </c>
      <c r="F10" s="123">
        <f>MKT!H6</f>
        <v>1</v>
      </c>
      <c r="G10" s="121">
        <v>3.0</v>
      </c>
      <c r="H10" s="125">
        <f>MKT!L6</f>
        <v>6</v>
      </c>
      <c r="I10" s="121">
        <v>3.0</v>
      </c>
      <c r="J10" s="125">
        <f>MKT!P6</f>
        <v>0</v>
      </c>
      <c r="K10" s="121">
        <v>1.0</v>
      </c>
      <c r="L10" s="125">
        <f>MKT!T6</f>
        <v>0</v>
      </c>
      <c r="M10" s="128">
        <v>8.0</v>
      </c>
      <c r="N10" s="130">
        <f>MKT!U6</f>
        <v>5</v>
      </c>
      <c r="O10" s="8"/>
    </row>
    <row r="11">
      <c r="B11" s="7" t="s">
        <v>65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76"/>
      <c r="O11" s="8"/>
    </row>
    <row r="12">
      <c r="B12" s="133" t="s">
        <v>18</v>
      </c>
      <c r="C12" s="139" t="s">
        <v>19</v>
      </c>
      <c r="D12" s="23" t="s">
        <v>20</v>
      </c>
      <c r="E12" s="141" t="s">
        <v>21</v>
      </c>
      <c r="F12" s="143" t="s">
        <v>22</v>
      </c>
      <c r="G12" s="13" t="s">
        <v>23</v>
      </c>
      <c r="H12" s="143" t="s">
        <v>25</v>
      </c>
      <c r="I12" s="13" t="s">
        <v>26</v>
      </c>
      <c r="J12" s="143" t="s">
        <v>27</v>
      </c>
      <c r="K12" s="13" t="s">
        <v>28</v>
      </c>
      <c r="L12" s="143" t="s">
        <v>29</v>
      </c>
      <c r="M12" s="149" t="s">
        <v>30</v>
      </c>
      <c r="N12" s="152" t="s">
        <v>15</v>
      </c>
      <c r="O12" s="8"/>
    </row>
    <row r="13">
      <c r="B13" s="27" t="s">
        <v>72</v>
      </c>
      <c r="C13" s="31" t="s">
        <v>69</v>
      </c>
      <c r="D13" s="33" t="s">
        <v>73</v>
      </c>
      <c r="E13" s="154"/>
      <c r="F13" s="38">
        <v>0.0</v>
      </c>
      <c r="G13" s="157"/>
      <c r="H13" s="158"/>
      <c r="I13" s="161"/>
      <c r="J13" s="42"/>
      <c r="K13" s="157"/>
      <c r="L13" s="158"/>
      <c r="M13" s="165">
        <v>0.0</v>
      </c>
      <c r="N13" s="42">
        <f>SUM(F13,L13)</f>
        <v>0</v>
      </c>
      <c r="O13" s="8"/>
    </row>
    <row r="14">
      <c r="B14" s="49"/>
      <c r="C14" s="31" t="s">
        <v>69</v>
      </c>
      <c r="D14" s="51" t="s">
        <v>75</v>
      </c>
      <c r="E14" s="168"/>
      <c r="F14" s="54">
        <f>AeC!L28</f>
        <v>2</v>
      </c>
      <c r="G14" s="177"/>
      <c r="H14" s="120">
        <f>AeC!M28</f>
        <v>2</v>
      </c>
      <c r="I14" s="179"/>
      <c r="J14" s="57">
        <f>AeC!N28</f>
        <v>0</v>
      </c>
      <c r="K14" s="177"/>
      <c r="L14" s="120">
        <f>AeC!O28</f>
        <v>0</v>
      </c>
      <c r="M14" s="119">
        <v>30.0</v>
      </c>
      <c r="N14" s="57">
        <f>AeC!L29</f>
        <v>4</v>
      </c>
      <c r="O14" s="8"/>
    </row>
    <row r="15">
      <c r="B15" s="49"/>
      <c r="C15" s="31" t="s">
        <v>69</v>
      </c>
      <c r="D15" s="33" t="s">
        <v>80</v>
      </c>
      <c r="E15" s="182"/>
      <c r="F15" s="184">
        <f>AeC!G28</f>
        <v>59.365</v>
      </c>
      <c r="G15" s="185"/>
      <c r="H15" s="189">
        <f>AeC!H28</f>
        <v>77.27</v>
      </c>
      <c r="I15" s="191"/>
      <c r="J15" s="192" t="str">
        <f>AeC!I28</f>
        <v/>
      </c>
      <c r="K15" s="194"/>
      <c r="L15" s="189" t="str">
        <f>AeC!J28</f>
        <v/>
      </c>
      <c r="M15" s="195">
        <v>60.0</v>
      </c>
      <c r="N15" s="197">
        <f>AeC!H29</f>
        <v>65.33333333</v>
      </c>
      <c r="O15" s="8"/>
    </row>
    <row r="16">
      <c r="B16" s="64"/>
      <c r="C16" s="31" t="s">
        <v>32</v>
      </c>
      <c r="D16" s="51" t="s">
        <v>92</v>
      </c>
      <c r="E16" s="200"/>
      <c r="F16" s="202">
        <f>Pres!N19</f>
        <v>0.59375</v>
      </c>
      <c r="G16" s="203"/>
      <c r="H16" s="204">
        <f>Pres!O19</f>
        <v>0.7017045455</v>
      </c>
      <c r="I16" s="206"/>
      <c r="J16" s="204" t="str">
        <f>Pres!P19</f>
        <v/>
      </c>
      <c r="K16" s="203"/>
      <c r="L16" s="201" t="str">
        <f>Pres!Q19</f>
        <v/>
      </c>
      <c r="M16" s="208">
        <v>0.5</v>
      </c>
      <c r="N16" s="140">
        <f>Pres!O21</f>
        <v>0.6477272727</v>
      </c>
      <c r="O16" s="8"/>
    </row>
    <row r="17">
      <c r="B17" s="7" t="s">
        <v>79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76"/>
      <c r="O17" s="8"/>
    </row>
    <row r="18">
      <c r="B18" s="133" t="s">
        <v>18</v>
      </c>
      <c r="C18" s="139" t="s">
        <v>19</v>
      </c>
      <c r="D18" s="23" t="s">
        <v>20</v>
      </c>
      <c r="E18" s="141" t="s">
        <v>21</v>
      </c>
      <c r="F18" s="143" t="s">
        <v>22</v>
      </c>
      <c r="G18" s="13" t="s">
        <v>23</v>
      </c>
      <c r="H18" s="143" t="s">
        <v>25</v>
      </c>
      <c r="I18" s="13" t="s">
        <v>26</v>
      </c>
      <c r="J18" s="143" t="s">
        <v>27</v>
      </c>
      <c r="K18" s="13" t="s">
        <v>28</v>
      </c>
      <c r="L18" s="143" t="s">
        <v>29</v>
      </c>
      <c r="M18" s="149" t="s">
        <v>30</v>
      </c>
      <c r="N18" s="152" t="s">
        <v>15</v>
      </c>
      <c r="O18" s="8"/>
    </row>
    <row r="19">
      <c r="B19" s="27" t="s">
        <v>103</v>
      </c>
      <c r="C19" s="31" t="s">
        <v>37</v>
      </c>
      <c r="D19" s="33" t="s">
        <v>104</v>
      </c>
      <c r="E19" s="211">
        <v>30.0</v>
      </c>
      <c r="F19" s="38">
        <f>Proj!O49</f>
        <v>35</v>
      </c>
      <c r="G19" s="213">
        <v>30.0</v>
      </c>
      <c r="H19" s="215">
        <f>Proj!P49</f>
        <v>46.75</v>
      </c>
      <c r="I19" s="211">
        <v>30.0</v>
      </c>
      <c r="J19" s="225" t="str">
        <f>Proj!Q49</f>
        <v/>
      </c>
      <c r="K19" s="226">
        <v>30.0</v>
      </c>
      <c r="L19" s="225" t="str">
        <f>Proj!R49</f>
        <v/>
      </c>
      <c r="M19" s="229">
        <v>30.0</v>
      </c>
      <c r="N19" s="231">
        <f>Proj!O50</f>
        <v>47</v>
      </c>
      <c r="O19" s="8"/>
    </row>
    <row r="20">
      <c r="B20" s="64"/>
      <c r="C20" s="31" t="s">
        <v>37</v>
      </c>
      <c r="D20" s="51" t="s">
        <v>107</v>
      </c>
      <c r="E20" s="232">
        <v>1.0</v>
      </c>
      <c r="F20" s="202">
        <v>1.0</v>
      </c>
      <c r="G20" s="234">
        <v>1.0</v>
      </c>
      <c r="H20" s="235"/>
      <c r="I20" s="232">
        <v>1.0</v>
      </c>
      <c r="J20" s="237"/>
      <c r="K20" s="234">
        <v>1.0</v>
      </c>
      <c r="L20" s="235"/>
      <c r="M20" s="232">
        <v>1.0</v>
      </c>
      <c r="N20" s="239">
        <f>SUM(F20,L20)</f>
        <v>1</v>
      </c>
      <c r="O20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7">
    <mergeCell ref="B19:B20"/>
    <mergeCell ref="B13:B16"/>
    <mergeCell ref="B7:B10"/>
    <mergeCell ref="B4:B6"/>
    <mergeCell ref="B11:N11"/>
    <mergeCell ref="B17:N17"/>
    <mergeCell ref="B2:N2"/>
  </mergeCells>
  <dataValidations>
    <dataValidation type="list" allowBlank="1" sqref="C4:C10 C13:C16 C19:C20">
      <formula1>"Bento,Charles,Alencar,Luz,Lara,Aline"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9.57"/>
    <col customWidth="1" min="3" max="3" width="15.86"/>
    <col customWidth="1" min="7" max="7" width="15.71"/>
    <col customWidth="1" min="11" max="11" width="15.86"/>
    <col customWidth="1" min="15" max="15" width="15.86"/>
    <col hidden="1" min="20" max="26" width="14.43"/>
  </cols>
  <sheetData>
    <row r="2">
      <c r="A2" s="1"/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4" t="s">
        <v>15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6" t="s">
        <v>16</v>
      </c>
      <c r="C3" s="10">
        <f t="shared" ref="C3:D3" si="1">12/13</f>
        <v>0.9230769231</v>
      </c>
      <c r="D3" s="10">
        <f t="shared" si="1"/>
        <v>0.9230769231</v>
      </c>
      <c r="E3" s="12">
        <v>1.0</v>
      </c>
      <c r="F3" s="12">
        <v>1.0</v>
      </c>
      <c r="G3" s="15">
        <f t="shared" ref="G3:P3" si="2">F3</f>
        <v>1</v>
      </c>
      <c r="H3" s="15">
        <f t="shared" si="2"/>
        <v>1</v>
      </c>
      <c r="I3" s="15">
        <f t="shared" si="2"/>
        <v>1</v>
      </c>
      <c r="J3" s="15">
        <f t="shared" si="2"/>
        <v>1</v>
      </c>
      <c r="K3" s="15">
        <f t="shared" si="2"/>
        <v>1</v>
      </c>
      <c r="L3" s="15">
        <f t="shared" si="2"/>
        <v>1</v>
      </c>
      <c r="M3" s="15">
        <f t="shared" si="2"/>
        <v>1</v>
      </c>
      <c r="N3" s="15">
        <f t="shared" si="2"/>
        <v>1</v>
      </c>
      <c r="O3" s="15">
        <f t="shared" si="2"/>
        <v>1</v>
      </c>
      <c r="P3" s="18">
        <f t="shared" si="2"/>
        <v>1</v>
      </c>
    </row>
    <row r="4">
      <c r="B4" s="6" t="s">
        <v>24</v>
      </c>
      <c r="C4" s="22">
        <f>2412.79*2+2186.59</f>
        <v>7012.17</v>
      </c>
      <c r="D4" s="24">
        <f>1192.71+6+48</f>
        <v>1246.71</v>
      </c>
      <c r="E4" s="26">
        <v>5792.69</v>
      </c>
      <c r="F4" s="24"/>
      <c r="G4" s="24">
        <f t="shared" ref="G4:G5" si="3">SUM(D4:F4)</f>
        <v>7039.4</v>
      </c>
      <c r="H4" s="24"/>
      <c r="I4" s="24"/>
      <c r="J4" s="24"/>
      <c r="K4" s="24">
        <f t="shared" ref="K4:K5" si="4">SUM(H4:J4)</f>
        <v>0</v>
      </c>
      <c r="L4" s="24"/>
      <c r="M4" s="24"/>
      <c r="N4" s="24"/>
      <c r="O4" s="24">
        <f t="shared" ref="O4:O5" si="5">SUM(L4:N4)</f>
        <v>0</v>
      </c>
      <c r="P4" s="30">
        <f t="shared" ref="P4:P5" si="6">SUM(K4,O4,G4,C4)</f>
        <v>14051.57</v>
      </c>
    </row>
    <row r="5">
      <c r="B5" s="6" t="s">
        <v>33</v>
      </c>
      <c r="C5" s="22">
        <f>883.54+674.71+2097.75</f>
        <v>3656</v>
      </c>
      <c r="D5" s="26">
        <f>7040.77-5691.67</f>
        <v>1349.1</v>
      </c>
      <c r="E5" s="26">
        <v>4547.27</v>
      </c>
      <c r="F5" s="26"/>
      <c r="G5" s="24">
        <f t="shared" si="3"/>
        <v>5896.37</v>
      </c>
      <c r="H5" s="26"/>
      <c r="I5" s="26"/>
      <c r="J5" s="26"/>
      <c r="K5" s="24">
        <f t="shared" si="4"/>
        <v>0</v>
      </c>
      <c r="L5" s="26"/>
      <c r="M5" s="26"/>
      <c r="N5" s="26"/>
      <c r="O5" s="24">
        <f t="shared" si="5"/>
        <v>0</v>
      </c>
      <c r="P5" s="30">
        <f t="shared" si="6"/>
        <v>9552.37</v>
      </c>
    </row>
    <row r="6">
      <c r="B6" s="6" t="s">
        <v>36</v>
      </c>
      <c r="C6" s="34">
        <f>7237.71</f>
        <v>7237.71</v>
      </c>
      <c r="D6" s="24">
        <f t="shared" ref="D6:F6" si="7">C6+D4-D5</f>
        <v>7135.32</v>
      </c>
      <c r="E6" s="24">
        <f t="shared" si="7"/>
        <v>8380.74</v>
      </c>
      <c r="F6" s="24">
        <f t="shared" si="7"/>
        <v>8380.74</v>
      </c>
      <c r="G6" s="24">
        <f>F6</f>
        <v>8380.74</v>
      </c>
      <c r="H6" s="24"/>
      <c r="I6" s="24"/>
      <c r="J6" s="24"/>
      <c r="K6" s="24" t="str">
        <f>J6</f>
        <v/>
      </c>
      <c r="L6" s="24"/>
      <c r="M6" s="24"/>
      <c r="N6" s="24"/>
      <c r="O6" s="24" t="str">
        <f t="shared" ref="O6:P6" si="8">N6</f>
        <v/>
      </c>
      <c r="P6" s="30" t="str">
        <f t="shared" si="8"/>
        <v/>
      </c>
    </row>
    <row r="7">
      <c r="B7" s="6" t="s">
        <v>38</v>
      </c>
      <c r="C7" s="46">
        <v>1.0</v>
      </c>
      <c r="D7" s="48">
        <v>1.0</v>
      </c>
      <c r="E7" s="48">
        <v>1.0</v>
      </c>
      <c r="F7" s="48">
        <v>1.0</v>
      </c>
      <c r="G7" s="48">
        <v>1.0</v>
      </c>
      <c r="H7" s="48">
        <v>1.0</v>
      </c>
      <c r="I7" s="48">
        <v>1.0</v>
      </c>
      <c r="J7" s="48">
        <v>1.0</v>
      </c>
      <c r="K7" s="48">
        <v>1.0</v>
      </c>
      <c r="L7" s="48">
        <v>1.0</v>
      </c>
      <c r="M7" s="48">
        <v>1.0</v>
      </c>
      <c r="N7" s="50"/>
      <c r="O7" s="50" t="str">
        <f>IF(N7&lt;&gt;"",AVERAGE(L7:N7),"")</f>
        <v/>
      </c>
      <c r="P7" s="53">
        <f>IF(C7&lt;&gt;"",AVERAGE(L7:N7,H7:J7,D7:F7,C7),"")</f>
        <v>1</v>
      </c>
    </row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17.71"/>
    <col customWidth="1" min="3" max="4" width="15.86"/>
    <col customWidth="1" min="5" max="5" width="15.14"/>
    <col customWidth="1" min="6" max="6" width="5.43"/>
    <col customWidth="1" min="7" max="7" width="17.29"/>
    <col customWidth="1" min="8" max="8" width="18.29"/>
    <col customWidth="1" min="9" max="9" width="15.43"/>
    <col customWidth="1" min="10" max="10" width="13.0"/>
    <col customWidth="1" min="11" max="11" width="11.29"/>
    <col customWidth="1" min="12" max="12" width="16.71"/>
    <col customWidth="1" min="13" max="13" width="9.57"/>
    <col customWidth="1" min="14" max="14" width="8.86"/>
    <col customWidth="1" min="15" max="15" width="15.86"/>
    <col customWidth="1" min="16" max="16" width="18.43"/>
    <col customWidth="1" min="18" max="18" width="15.86"/>
    <col customWidth="1" min="20" max="20" width="15.86"/>
  </cols>
  <sheetData>
    <row r="2">
      <c r="B2" s="74" t="s">
        <v>44</v>
      </c>
      <c r="C2" s="9"/>
      <c r="D2" s="9"/>
      <c r="E2" s="76"/>
      <c r="G2" s="2" t="s">
        <v>45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</row>
    <row r="3" ht="21.75" customHeight="1">
      <c r="B3" s="78" t="s">
        <v>46</v>
      </c>
      <c r="C3" s="78" t="s">
        <v>47</v>
      </c>
      <c r="D3" s="78" t="s">
        <v>48</v>
      </c>
      <c r="E3" s="80" t="s">
        <v>49</v>
      </c>
      <c r="G3" s="6" t="s">
        <v>51</v>
      </c>
      <c r="H3" s="82">
        <f t="shared" ref="H3:I3" si="1">SUM(H4:H6)</f>
        <v>42</v>
      </c>
      <c r="I3" s="82">
        <f t="shared" si="1"/>
        <v>9</v>
      </c>
      <c r="J3" s="84">
        <v>63.0</v>
      </c>
      <c r="K3" s="82">
        <f>SUM(K4:K6)</f>
        <v>5</v>
      </c>
      <c r="L3" s="82">
        <f t="shared" ref="L3:L5" si="4">SUM(I3:K3)</f>
        <v>77</v>
      </c>
      <c r="M3" s="82">
        <f t="shared" ref="M3:O3" si="2">SUM(M4:M6)</f>
        <v>0</v>
      </c>
      <c r="N3" s="82">
        <f t="shared" si="2"/>
        <v>0</v>
      </c>
      <c r="O3" s="82">
        <f t="shared" si="2"/>
        <v>0</v>
      </c>
      <c r="P3" s="82">
        <f t="shared" ref="P3:P5" si="5">SUM(M3:O3)</f>
        <v>0</v>
      </c>
      <c r="Q3" s="82">
        <f t="shared" ref="Q3:S3" si="3">SUM(Q4:Q6)</f>
        <v>0</v>
      </c>
      <c r="R3" s="82">
        <f t="shared" si="3"/>
        <v>0</v>
      </c>
      <c r="S3" s="82">
        <f t="shared" si="3"/>
        <v>0</v>
      </c>
      <c r="T3" s="90">
        <f t="shared" ref="T3:T5" si="6">SUM(Q3:S3)</f>
        <v>0</v>
      </c>
      <c r="U3" s="93">
        <f t="shared" ref="U3:U5" si="7">SUM(T3,P3,L3,H3)</f>
        <v>119</v>
      </c>
    </row>
    <row r="4" ht="25.5" customHeight="1">
      <c r="B4" s="95" t="s">
        <v>55</v>
      </c>
      <c r="C4" s="98" t="s">
        <v>56</v>
      </c>
      <c r="D4" s="100" t="s">
        <v>57</v>
      </c>
      <c r="E4" s="102">
        <v>1.0</v>
      </c>
      <c r="F4" s="1"/>
      <c r="G4" s="6" t="s">
        <v>58</v>
      </c>
      <c r="H4" s="104">
        <v>35.0</v>
      </c>
      <c r="I4" s="112">
        <v>3.0</v>
      </c>
      <c r="J4" s="112">
        <v>7.0</v>
      </c>
      <c r="K4" s="114"/>
      <c r="L4" s="114">
        <f t="shared" si="4"/>
        <v>10</v>
      </c>
      <c r="M4" s="114"/>
      <c r="N4" s="114"/>
      <c r="O4" s="114"/>
      <c r="P4" s="114">
        <f t="shared" si="5"/>
        <v>0</v>
      </c>
      <c r="Q4" s="114"/>
      <c r="R4" s="114"/>
      <c r="S4" s="114"/>
      <c r="T4" s="116">
        <f t="shared" si="6"/>
        <v>0</v>
      </c>
      <c r="U4" s="118">
        <f t="shared" si="7"/>
        <v>45</v>
      </c>
    </row>
    <row r="5" ht="26.25" customHeight="1">
      <c r="B5" s="127" t="s">
        <v>61</v>
      </c>
      <c r="C5" s="131" t="s">
        <v>56</v>
      </c>
      <c r="D5" s="131" t="s">
        <v>57</v>
      </c>
      <c r="E5" s="135">
        <v>1.0</v>
      </c>
      <c r="F5" s="1">
        <f t="shared" ref="F5:F36" si="8">IF(B5="",0,1)</f>
        <v>1</v>
      </c>
      <c r="G5" s="6" t="s">
        <v>60</v>
      </c>
      <c r="H5" s="104">
        <v>6.0</v>
      </c>
      <c r="I5" s="112">
        <v>3.0</v>
      </c>
      <c r="J5" s="112">
        <v>2.0</v>
      </c>
      <c r="K5" s="138">
        <v>4.0</v>
      </c>
      <c r="L5" s="114">
        <f t="shared" si="4"/>
        <v>9</v>
      </c>
      <c r="M5" s="114"/>
      <c r="N5" s="114"/>
      <c r="O5" s="114"/>
      <c r="P5" s="114">
        <f t="shared" si="5"/>
        <v>0</v>
      </c>
      <c r="Q5" s="114"/>
      <c r="R5" s="114"/>
      <c r="S5" s="114"/>
      <c r="T5" s="116">
        <f t="shared" si="6"/>
        <v>0</v>
      </c>
      <c r="U5" s="118">
        <f t="shared" si="7"/>
        <v>15</v>
      </c>
    </row>
    <row r="6" ht="29.25" customHeight="1">
      <c r="B6" s="142" t="s">
        <v>66</v>
      </c>
      <c r="C6" s="144" t="s">
        <v>67</v>
      </c>
      <c r="D6" s="144" t="s">
        <v>57</v>
      </c>
      <c r="E6" s="146">
        <v>1.0</v>
      </c>
      <c r="F6" s="1">
        <f t="shared" si="8"/>
        <v>1</v>
      </c>
      <c r="G6" s="148" t="s">
        <v>71</v>
      </c>
      <c r="H6" s="150">
        <v>1.0</v>
      </c>
      <c r="I6" s="151">
        <v>3.0</v>
      </c>
      <c r="J6" s="151">
        <v>1.0</v>
      </c>
      <c r="K6" s="151">
        <v>1.0</v>
      </c>
      <c r="L6" s="153">
        <f>SUM(H6:K6)</f>
        <v>6</v>
      </c>
      <c r="M6" s="155"/>
      <c r="N6" s="155"/>
      <c r="O6" s="155"/>
      <c r="P6" s="155">
        <f>I42</f>
        <v>0</v>
      </c>
      <c r="Q6" s="155"/>
      <c r="R6" s="155"/>
      <c r="S6" s="155"/>
      <c r="T6" s="153">
        <f>J42</f>
        <v>0</v>
      </c>
      <c r="U6" s="160">
        <f>G43</f>
        <v>5</v>
      </c>
    </row>
    <row r="7" ht="20.25" customHeight="1">
      <c r="A7" s="8"/>
      <c r="B7" s="162" t="s">
        <v>74</v>
      </c>
      <c r="C7" s="131" t="s">
        <v>67</v>
      </c>
      <c r="D7" s="131" t="s">
        <v>57</v>
      </c>
      <c r="E7" s="135">
        <v>1.0</v>
      </c>
      <c r="F7" s="164">
        <f t="shared" si="8"/>
        <v>1</v>
      </c>
      <c r="G7" s="176" t="s">
        <v>67</v>
      </c>
      <c r="H7" s="164"/>
      <c r="I7" s="164"/>
      <c r="J7" s="164"/>
      <c r="K7" s="176" t="s">
        <v>56</v>
      </c>
      <c r="L7" s="164"/>
      <c r="M7" s="164"/>
      <c r="N7" s="164"/>
      <c r="O7" s="176" t="s">
        <v>78</v>
      </c>
      <c r="P7" s="181"/>
      <c r="Q7" s="181"/>
      <c r="R7" s="181"/>
      <c r="S7" s="164"/>
      <c r="T7" s="8"/>
      <c r="U7" s="8"/>
      <c r="V7" s="8"/>
      <c r="W7" s="8"/>
      <c r="X7" s="8"/>
      <c r="Y7" s="8"/>
    </row>
    <row r="8" ht="22.5" customHeight="1">
      <c r="B8" s="142" t="s">
        <v>81</v>
      </c>
      <c r="C8" s="144" t="s">
        <v>67</v>
      </c>
      <c r="D8" s="144" t="s">
        <v>57</v>
      </c>
      <c r="E8" s="146">
        <v>1.0</v>
      </c>
      <c r="F8" s="1">
        <f t="shared" si="8"/>
        <v>1</v>
      </c>
      <c r="G8" s="183" t="s">
        <v>82</v>
      </c>
      <c r="H8" s="183" t="s">
        <v>84</v>
      </c>
      <c r="I8" s="183" t="s">
        <v>86</v>
      </c>
      <c r="J8" s="183" t="s">
        <v>87</v>
      </c>
      <c r="K8" s="183" t="s">
        <v>82</v>
      </c>
      <c r="L8" s="183" t="s">
        <v>84</v>
      </c>
      <c r="M8" s="183" t="s">
        <v>86</v>
      </c>
      <c r="N8" s="183" t="s">
        <v>87</v>
      </c>
      <c r="O8" s="183" t="s">
        <v>82</v>
      </c>
      <c r="P8" s="183" t="s">
        <v>84</v>
      </c>
      <c r="Q8" s="183" t="s">
        <v>86</v>
      </c>
      <c r="R8" s="183" t="s">
        <v>87</v>
      </c>
      <c r="S8" s="1"/>
    </row>
    <row r="9" ht="18.75" customHeight="1">
      <c r="A9" s="8"/>
      <c r="B9" s="162" t="s">
        <v>88</v>
      </c>
      <c r="C9" s="131" t="s">
        <v>67</v>
      </c>
      <c r="D9" s="131" t="s">
        <v>89</v>
      </c>
      <c r="E9" s="135">
        <v>1.0</v>
      </c>
      <c r="F9" s="164">
        <f t="shared" si="8"/>
        <v>1</v>
      </c>
      <c r="G9" s="187">
        <f t="shared" ref="G9:G41" si="9">IF(AND(D4="sim",E4=1,C4="Ativa"),1,0)</f>
        <v>0</v>
      </c>
      <c r="H9" s="190">
        <f t="shared" ref="H9:H41" si="10">IF(AND(D4="sim",E4=2,C4="Ativa"),1,0)</f>
        <v>0</v>
      </c>
      <c r="I9" s="164">
        <f t="shared" ref="I9:I41" si="11">IF(AND(D4="sim",E4=3,C4="Ativa"),1,0)</f>
        <v>0</v>
      </c>
      <c r="J9" s="190">
        <f t="shared" ref="J9:J41" si="12">IF(AND(D4="sim",E4=4,C4="Ativa"),1,0)</f>
        <v>0</v>
      </c>
      <c r="K9" s="164">
        <f t="shared" ref="K9:K41" si="13">IF(AND(D4="sim",E4=1,C4="Passiva"),1,0)</f>
        <v>0</v>
      </c>
      <c r="L9" s="190">
        <f t="shared" ref="L9:L41" si="14">IF(AND(D4="sim",E4=2,C4="Passiva"),1,0)</f>
        <v>0</v>
      </c>
      <c r="M9" s="190">
        <f t="shared" ref="M9:M41" si="15">IF(AND(D4="sim",E4=3,C4="Passiva"),1,0)</f>
        <v>0</v>
      </c>
      <c r="N9" s="190">
        <f t="shared" ref="N9:N41" si="16">IF(AND(D4="sim",E4=4,C4="Passiva"),1,0)</f>
        <v>0</v>
      </c>
      <c r="O9" s="190">
        <f t="shared" ref="O9:O41" si="17">IF(AND(D4="sim",E4=1,C4="Fidelizado"),1,0)</f>
        <v>0</v>
      </c>
      <c r="P9" s="190">
        <f t="shared" ref="P9:P41" si="18">IF(AND(D4="sim",E4=2,C4="Fidelizado"),1,0)</f>
        <v>0</v>
      </c>
      <c r="Q9" s="190">
        <f t="shared" ref="Q9:Q41" si="19">IF(AND(D4="sim",E4=3,C4="Fidelizado"),1,0)</f>
        <v>0</v>
      </c>
      <c r="R9" s="190">
        <f t="shared" ref="R9:R41" si="20">IF(AND(D4="sim",E4=4,C4="Fidelizado"),1,0)</f>
        <v>0</v>
      </c>
      <c r="S9" s="164"/>
      <c r="T9" s="8"/>
      <c r="U9" s="8"/>
      <c r="V9" s="8"/>
      <c r="W9" s="8"/>
      <c r="X9" s="8"/>
      <c r="Y9" s="8"/>
    </row>
    <row r="10" ht="20.25" customHeight="1">
      <c r="B10" s="142" t="s">
        <v>91</v>
      </c>
      <c r="C10" s="144" t="s">
        <v>67</v>
      </c>
      <c r="D10" s="144" t="s">
        <v>89</v>
      </c>
      <c r="E10" s="146">
        <v>2.0</v>
      </c>
      <c r="F10" s="1">
        <f t="shared" si="8"/>
        <v>1</v>
      </c>
      <c r="G10" s="187">
        <f t="shared" si="9"/>
        <v>0</v>
      </c>
      <c r="H10" s="190">
        <f t="shared" si="10"/>
        <v>0</v>
      </c>
      <c r="I10" s="164">
        <f t="shared" si="11"/>
        <v>0</v>
      </c>
      <c r="J10" s="190">
        <f t="shared" si="12"/>
        <v>0</v>
      </c>
      <c r="K10" s="164">
        <f t="shared" si="13"/>
        <v>0</v>
      </c>
      <c r="L10" s="190">
        <f t="shared" si="14"/>
        <v>0</v>
      </c>
      <c r="M10" s="190">
        <f t="shared" si="15"/>
        <v>0</v>
      </c>
      <c r="N10" s="190">
        <f t="shared" si="16"/>
        <v>0</v>
      </c>
      <c r="O10" s="190">
        <f t="shared" si="17"/>
        <v>0</v>
      </c>
      <c r="P10" s="190">
        <f t="shared" si="18"/>
        <v>0</v>
      </c>
      <c r="Q10" s="190">
        <f t="shared" si="19"/>
        <v>0</v>
      </c>
      <c r="R10" s="190">
        <f t="shared" si="20"/>
        <v>0</v>
      </c>
      <c r="S10" s="1"/>
    </row>
    <row r="11" ht="20.25" customHeight="1">
      <c r="A11" s="8"/>
      <c r="B11" s="162" t="s">
        <v>93</v>
      </c>
      <c r="C11" s="131" t="s">
        <v>56</v>
      </c>
      <c r="D11" s="131" t="s">
        <v>89</v>
      </c>
      <c r="E11" s="135">
        <v>2.0</v>
      </c>
      <c r="F11" s="164">
        <f t="shared" si="8"/>
        <v>1</v>
      </c>
      <c r="G11" s="187">
        <f t="shared" si="9"/>
        <v>0</v>
      </c>
      <c r="H11" s="190">
        <f t="shared" si="10"/>
        <v>0</v>
      </c>
      <c r="I11" s="164">
        <f t="shared" si="11"/>
        <v>0</v>
      </c>
      <c r="J11" s="190">
        <f t="shared" si="12"/>
        <v>0</v>
      </c>
      <c r="K11" s="164">
        <f t="shared" si="13"/>
        <v>0</v>
      </c>
      <c r="L11" s="190">
        <f t="shared" si="14"/>
        <v>0</v>
      </c>
      <c r="M11" s="190">
        <f t="shared" si="15"/>
        <v>0</v>
      </c>
      <c r="N11" s="190">
        <f t="shared" si="16"/>
        <v>0</v>
      </c>
      <c r="O11" s="190">
        <f t="shared" si="17"/>
        <v>0</v>
      </c>
      <c r="P11" s="190">
        <f t="shared" si="18"/>
        <v>0</v>
      </c>
      <c r="Q11" s="190">
        <f t="shared" si="19"/>
        <v>0</v>
      </c>
      <c r="R11" s="190">
        <f t="shared" si="20"/>
        <v>0</v>
      </c>
      <c r="S11" s="164"/>
      <c r="T11" s="8"/>
      <c r="U11" s="8"/>
      <c r="V11" s="8"/>
      <c r="W11" s="8"/>
      <c r="X11" s="8"/>
      <c r="Y11" s="8"/>
    </row>
    <row r="12">
      <c r="B12" s="142" t="s">
        <v>94</v>
      </c>
      <c r="C12" s="144" t="s">
        <v>67</v>
      </c>
      <c r="D12" s="144" t="s">
        <v>89</v>
      </c>
      <c r="E12" s="146">
        <v>2.0</v>
      </c>
      <c r="F12" s="1">
        <f t="shared" si="8"/>
        <v>1</v>
      </c>
      <c r="G12" s="187">
        <f t="shared" si="9"/>
        <v>0</v>
      </c>
      <c r="H12" s="190">
        <f t="shared" si="10"/>
        <v>0</v>
      </c>
      <c r="I12" s="164">
        <f t="shared" si="11"/>
        <v>0</v>
      </c>
      <c r="J12" s="190">
        <f t="shared" si="12"/>
        <v>0</v>
      </c>
      <c r="K12" s="164">
        <f t="shared" si="13"/>
        <v>0</v>
      </c>
      <c r="L12" s="190">
        <f t="shared" si="14"/>
        <v>0</v>
      </c>
      <c r="M12" s="190">
        <f t="shared" si="15"/>
        <v>0</v>
      </c>
      <c r="N12" s="190">
        <f t="shared" si="16"/>
        <v>0</v>
      </c>
      <c r="O12" s="190">
        <f t="shared" si="17"/>
        <v>0</v>
      </c>
      <c r="P12" s="190">
        <f t="shared" si="18"/>
        <v>0</v>
      </c>
      <c r="Q12" s="190">
        <f t="shared" si="19"/>
        <v>0</v>
      </c>
      <c r="R12" s="190">
        <f t="shared" si="20"/>
        <v>0</v>
      </c>
      <c r="S12" s="1"/>
    </row>
    <row r="13">
      <c r="A13" s="8"/>
      <c r="B13" s="162" t="s">
        <v>95</v>
      </c>
      <c r="C13" s="131" t="s">
        <v>67</v>
      </c>
      <c r="D13" s="131" t="s">
        <v>89</v>
      </c>
      <c r="E13" s="135">
        <v>2.0</v>
      </c>
      <c r="F13" s="164">
        <f t="shared" si="8"/>
        <v>1</v>
      </c>
      <c r="G13" s="187">
        <f t="shared" si="9"/>
        <v>0</v>
      </c>
      <c r="H13" s="190">
        <f t="shared" si="10"/>
        <v>0</v>
      </c>
      <c r="I13" s="164">
        <f t="shared" si="11"/>
        <v>0</v>
      </c>
      <c r="J13" s="190">
        <f t="shared" si="12"/>
        <v>0</v>
      </c>
      <c r="K13" s="164">
        <f t="shared" si="13"/>
        <v>0</v>
      </c>
      <c r="L13" s="190">
        <f t="shared" si="14"/>
        <v>0</v>
      </c>
      <c r="M13" s="190">
        <f t="shared" si="15"/>
        <v>0</v>
      </c>
      <c r="N13" s="190">
        <f t="shared" si="16"/>
        <v>0</v>
      </c>
      <c r="O13" s="190">
        <f t="shared" si="17"/>
        <v>0</v>
      </c>
      <c r="P13" s="190">
        <f t="shared" si="18"/>
        <v>0</v>
      </c>
      <c r="Q13" s="190">
        <f t="shared" si="19"/>
        <v>0</v>
      </c>
      <c r="R13" s="190">
        <f t="shared" si="20"/>
        <v>0</v>
      </c>
      <c r="S13" s="164"/>
      <c r="T13" s="8"/>
      <c r="U13" s="8"/>
      <c r="V13" s="8"/>
      <c r="W13" s="8"/>
      <c r="X13" s="8"/>
      <c r="Y13" s="8"/>
    </row>
    <row r="14">
      <c r="B14" s="142" t="s">
        <v>96</v>
      </c>
      <c r="C14" s="144" t="s">
        <v>67</v>
      </c>
      <c r="D14" s="144" t="s">
        <v>57</v>
      </c>
      <c r="E14" s="146">
        <v>2.0</v>
      </c>
      <c r="F14" s="1">
        <f t="shared" si="8"/>
        <v>1</v>
      </c>
      <c r="G14" s="187">
        <f t="shared" si="9"/>
        <v>1</v>
      </c>
      <c r="H14" s="190">
        <f t="shared" si="10"/>
        <v>0</v>
      </c>
      <c r="I14" s="164">
        <f t="shared" si="11"/>
        <v>0</v>
      </c>
      <c r="J14" s="190">
        <f t="shared" si="12"/>
        <v>0</v>
      </c>
      <c r="K14" s="164">
        <f t="shared" si="13"/>
        <v>0</v>
      </c>
      <c r="L14" s="190">
        <f t="shared" si="14"/>
        <v>0</v>
      </c>
      <c r="M14" s="190">
        <f t="shared" si="15"/>
        <v>0</v>
      </c>
      <c r="N14" s="190">
        <f t="shared" si="16"/>
        <v>0</v>
      </c>
      <c r="O14" s="190">
        <f t="shared" si="17"/>
        <v>0</v>
      </c>
      <c r="P14" s="190">
        <f t="shared" si="18"/>
        <v>0</v>
      </c>
      <c r="Q14" s="190">
        <f t="shared" si="19"/>
        <v>0</v>
      </c>
      <c r="R14" s="190">
        <f t="shared" si="20"/>
        <v>0</v>
      </c>
      <c r="S14" s="1"/>
    </row>
    <row r="15">
      <c r="A15" s="8"/>
      <c r="B15" s="162" t="s">
        <v>97</v>
      </c>
      <c r="C15" s="131" t="s">
        <v>67</v>
      </c>
      <c r="D15" s="131" t="s">
        <v>57</v>
      </c>
      <c r="E15" s="135">
        <v>2.0</v>
      </c>
      <c r="F15" s="164">
        <f t="shared" si="8"/>
        <v>1</v>
      </c>
      <c r="G15" s="187">
        <f t="shared" si="9"/>
        <v>0</v>
      </c>
      <c r="H15" s="190">
        <f t="shared" si="10"/>
        <v>1</v>
      </c>
      <c r="I15" s="164">
        <f t="shared" si="11"/>
        <v>0</v>
      </c>
      <c r="J15" s="190">
        <f t="shared" si="12"/>
        <v>0</v>
      </c>
      <c r="K15" s="164">
        <f t="shared" si="13"/>
        <v>0</v>
      </c>
      <c r="L15" s="190">
        <f t="shared" si="14"/>
        <v>0</v>
      </c>
      <c r="M15" s="190">
        <f t="shared" si="15"/>
        <v>0</v>
      </c>
      <c r="N15" s="190">
        <f t="shared" si="16"/>
        <v>0</v>
      </c>
      <c r="O15" s="190">
        <f t="shared" si="17"/>
        <v>0</v>
      </c>
      <c r="P15" s="190">
        <f t="shared" si="18"/>
        <v>0</v>
      </c>
      <c r="Q15" s="190">
        <f t="shared" si="19"/>
        <v>0</v>
      </c>
      <c r="R15" s="190">
        <f t="shared" si="20"/>
        <v>0</v>
      </c>
      <c r="S15" s="164"/>
      <c r="T15" s="8"/>
      <c r="U15" s="8"/>
      <c r="V15" s="8"/>
      <c r="W15" s="8"/>
      <c r="X15" s="8"/>
      <c r="Y15" s="8"/>
    </row>
    <row r="16">
      <c r="B16" s="142" t="s">
        <v>99</v>
      </c>
      <c r="C16" s="144" t="s">
        <v>67</v>
      </c>
      <c r="D16" s="144" t="s">
        <v>89</v>
      </c>
      <c r="E16" s="146">
        <v>2.0</v>
      </c>
      <c r="F16" s="1">
        <f t="shared" si="8"/>
        <v>1</v>
      </c>
      <c r="G16" s="187">
        <f t="shared" si="9"/>
        <v>0</v>
      </c>
      <c r="H16" s="190">
        <f t="shared" si="10"/>
        <v>0</v>
      </c>
      <c r="I16" s="164">
        <f t="shared" si="11"/>
        <v>0</v>
      </c>
      <c r="J16" s="190">
        <f t="shared" si="12"/>
        <v>0</v>
      </c>
      <c r="K16" s="164">
        <f t="shared" si="13"/>
        <v>0</v>
      </c>
      <c r="L16" s="190">
        <f t="shared" si="14"/>
        <v>1</v>
      </c>
      <c r="M16" s="190">
        <f t="shared" si="15"/>
        <v>0</v>
      </c>
      <c r="N16" s="190">
        <f t="shared" si="16"/>
        <v>0</v>
      </c>
      <c r="O16" s="190">
        <f t="shared" si="17"/>
        <v>0</v>
      </c>
      <c r="P16" s="190">
        <f t="shared" si="18"/>
        <v>0</v>
      </c>
      <c r="Q16" s="190">
        <f t="shared" si="19"/>
        <v>0</v>
      </c>
      <c r="R16" s="190">
        <f t="shared" si="20"/>
        <v>0</v>
      </c>
      <c r="S16" s="1"/>
    </row>
    <row r="17">
      <c r="A17" s="8"/>
      <c r="B17" s="162" t="s">
        <v>102</v>
      </c>
      <c r="C17" s="131" t="s">
        <v>67</v>
      </c>
      <c r="D17" s="131" t="s">
        <v>57</v>
      </c>
      <c r="E17" s="135">
        <v>2.0</v>
      </c>
      <c r="F17" s="164">
        <f t="shared" si="8"/>
        <v>1</v>
      </c>
      <c r="G17" s="187">
        <f t="shared" si="9"/>
        <v>0</v>
      </c>
      <c r="H17" s="190">
        <f t="shared" si="10"/>
        <v>1</v>
      </c>
      <c r="I17" s="164">
        <f t="shared" si="11"/>
        <v>0</v>
      </c>
      <c r="J17" s="190">
        <f t="shared" si="12"/>
        <v>0</v>
      </c>
      <c r="K17" s="164">
        <f t="shared" si="13"/>
        <v>0</v>
      </c>
      <c r="L17" s="190">
        <f t="shared" si="14"/>
        <v>0</v>
      </c>
      <c r="M17" s="190">
        <f t="shared" si="15"/>
        <v>0</v>
      </c>
      <c r="N17" s="190">
        <f t="shared" si="16"/>
        <v>0</v>
      </c>
      <c r="O17" s="190">
        <f t="shared" si="17"/>
        <v>0</v>
      </c>
      <c r="P17" s="190">
        <f t="shared" si="18"/>
        <v>0</v>
      </c>
      <c r="Q17" s="190">
        <f t="shared" si="19"/>
        <v>0</v>
      </c>
      <c r="R17" s="190">
        <f t="shared" si="20"/>
        <v>0</v>
      </c>
      <c r="S17" s="164"/>
      <c r="T17" s="8"/>
      <c r="U17" s="8"/>
      <c r="V17" s="8"/>
      <c r="W17" s="8"/>
      <c r="X17" s="8"/>
      <c r="Y17" s="8"/>
    </row>
    <row r="18">
      <c r="B18" s="142" t="s">
        <v>105</v>
      </c>
      <c r="C18" s="144" t="s">
        <v>67</v>
      </c>
      <c r="D18" s="144" t="s">
        <v>57</v>
      </c>
      <c r="E18" s="146">
        <v>2.0</v>
      </c>
      <c r="F18" s="1">
        <f t="shared" si="8"/>
        <v>1</v>
      </c>
      <c r="G18" s="187">
        <f t="shared" si="9"/>
        <v>0</v>
      </c>
      <c r="H18" s="190">
        <f t="shared" si="10"/>
        <v>1</v>
      </c>
      <c r="I18" s="164">
        <f t="shared" si="11"/>
        <v>0</v>
      </c>
      <c r="J18" s="190">
        <f t="shared" si="12"/>
        <v>0</v>
      </c>
      <c r="K18" s="164">
        <f t="shared" si="13"/>
        <v>0</v>
      </c>
      <c r="L18" s="190">
        <f t="shared" si="14"/>
        <v>0</v>
      </c>
      <c r="M18" s="190">
        <f t="shared" si="15"/>
        <v>0</v>
      </c>
      <c r="N18" s="190">
        <f t="shared" si="16"/>
        <v>0</v>
      </c>
      <c r="O18" s="190">
        <f t="shared" si="17"/>
        <v>0</v>
      </c>
      <c r="P18" s="190">
        <f t="shared" si="18"/>
        <v>0</v>
      </c>
      <c r="Q18" s="190">
        <f t="shared" si="19"/>
        <v>0</v>
      </c>
      <c r="R18" s="190">
        <f t="shared" si="20"/>
        <v>0</v>
      </c>
      <c r="S18" s="1"/>
    </row>
    <row r="19">
      <c r="A19" s="8"/>
      <c r="B19" s="214"/>
      <c r="C19" s="216"/>
      <c r="D19" s="216"/>
      <c r="E19" s="135"/>
      <c r="F19" s="164">
        <f t="shared" si="8"/>
        <v>0</v>
      </c>
      <c r="G19" s="187">
        <f t="shared" si="9"/>
        <v>0</v>
      </c>
      <c r="H19" s="190">
        <f t="shared" si="10"/>
        <v>0</v>
      </c>
      <c r="I19" s="164">
        <f t="shared" si="11"/>
        <v>0</v>
      </c>
      <c r="J19" s="190">
        <f t="shared" si="12"/>
        <v>0</v>
      </c>
      <c r="K19" s="164">
        <f t="shared" si="13"/>
        <v>0</v>
      </c>
      <c r="L19" s="190">
        <f t="shared" si="14"/>
        <v>0</v>
      </c>
      <c r="M19" s="190">
        <f t="shared" si="15"/>
        <v>0</v>
      </c>
      <c r="N19" s="190">
        <f t="shared" si="16"/>
        <v>0</v>
      </c>
      <c r="O19" s="190">
        <f t="shared" si="17"/>
        <v>0</v>
      </c>
      <c r="P19" s="190">
        <f t="shared" si="18"/>
        <v>0</v>
      </c>
      <c r="Q19" s="190">
        <f t="shared" si="19"/>
        <v>0</v>
      </c>
      <c r="R19" s="190">
        <f t="shared" si="20"/>
        <v>0</v>
      </c>
      <c r="S19" s="164"/>
      <c r="T19" s="8"/>
      <c r="U19" s="8"/>
      <c r="V19" s="8"/>
      <c r="W19" s="8"/>
      <c r="X19" s="8"/>
      <c r="Y19" s="8"/>
    </row>
    <row r="20">
      <c r="B20" s="217"/>
      <c r="C20" s="218"/>
      <c r="D20" s="218"/>
      <c r="E20" s="146"/>
      <c r="F20" s="1">
        <f t="shared" si="8"/>
        <v>0</v>
      </c>
      <c r="G20" s="187">
        <f t="shared" si="9"/>
        <v>0</v>
      </c>
      <c r="H20" s="190">
        <f t="shared" si="10"/>
        <v>0</v>
      </c>
      <c r="I20" s="164">
        <f t="shared" si="11"/>
        <v>0</v>
      </c>
      <c r="J20" s="190">
        <f t="shared" si="12"/>
        <v>0</v>
      </c>
      <c r="K20" s="164">
        <f t="shared" si="13"/>
        <v>0</v>
      </c>
      <c r="L20" s="190">
        <f t="shared" si="14"/>
        <v>0</v>
      </c>
      <c r="M20" s="190">
        <f t="shared" si="15"/>
        <v>0</v>
      </c>
      <c r="N20" s="190">
        <f t="shared" si="16"/>
        <v>0</v>
      </c>
      <c r="O20" s="190">
        <f t="shared" si="17"/>
        <v>0</v>
      </c>
      <c r="P20" s="190">
        <f t="shared" si="18"/>
        <v>0</v>
      </c>
      <c r="Q20" s="190">
        <f t="shared" si="19"/>
        <v>0</v>
      </c>
      <c r="R20" s="190">
        <f t="shared" si="20"/>
        <v>0</v>
      </c>
      <c r="S20" s="1"/>
    </row>
    <row r="21">
      <c r="A21" s="8"/>
      <c r="B21" s="214"/>
      <c r="C21" s="216"/>
      <c r="D21" s="216"/>
      <c r="E21" s="135"/>
      <c r="F21" s="164">
        <f t="shared" si="8"/>
        <v>0</v>
      </c>
      <c r="G21" s="187">
        <f t="shared" si="9"/>
        <v>0</v>
      </c>
      <c r="H21" s="190">
        <f t="shared" si="10"/>
        <v>1</v>
      </c>
      <c r="I21" s="164">
        <f t="shared" si="11"/>
        <v>0</v>
      </c>
      <c r="J21" s="190">
        <f t="shared" si="12"/>
        <v>0</v>
      </c>
      <c r="K21" s="164">
        <f t="shared" si="13"/>
        <v>0</v>
      </c>
      <c r="L21" s="190">
        <f t="shared" si="14"/>
        <v>0</v>
      </c>
      <c r="M21" s="190">
        <f t="shared" si="15"/>
        <v>0</v>
      </c>
      <c r="N21" s="190">
        <f t="shared" si="16"/>
        <v>0</v>
      </c>
      <c r="O21" s="190">
        <f t="shared" si="17"/>
        <v>0</v>
      </c>
      <c r="P21" s="190">
        <f t="shared" si="18"/>
        <v>0</v>
      </c>
      <c r="Q21" s="190">
        <f t="shared" si="19"/>
        <v>0</v>
      </c>
      <c r="R21" s="190">
        <f t="shared" si="20"/>
        <v>0</v>
      </c>
      <c r="S21" s="164"/>
      <c r="T21" s="8"/>
      <c r="U21" s="8"/>
      <c r="V21" s="8"/>
      <c r="W21" s="8"/>
      <c r="X21" s="8"/>
      <c r="Y21" s="8"/>
    </row>
    <row r="22">
      <c r="B22" s="217"/>
      <c r="C22" s="218"/>
      <c r="D22" s="218"/>
      <c r="E22" s="146"/>
      <c r="F22" s="1">
        <f t="shared" si="8"/>
        <v>0</v>
      </c>
      <c r="G22" s="187">
        <f t="shared" si="9"/>
        <v>0</v>
      </c>
      <c r="H22" s="190">
        <f t="shared" si="10"/>
        <v>0</v>
      </c>
      <c r="I22" s="164">
        <f t="shared" si="11"/>
        <v>0</v>
      </c>
      <c r="J22" s="190">
        <f t="shared" si="12"/>
        <v>0</v>
      </c>
      <c r="K22" s="164">
        <f t="shared" si="13"/>
        <v>0</v>
      </c>
      <c r="L22" s="190">
        <f t="shared" si="14"/>
        <v>0</v>
      </c>
      <c r="M22" s="190">
        <f t="shared" si="15"/>
        <v>0</v>
      </c>
      <c r="N22" s="190">
        <f t="shared" si="16"/>
        <v>0</v>
      </c>
      <c r="O22" s="190">
        <f t="shared" si="17"/>
        <v>0</v>
      </c>
      <c r="P22" s="190">
        <f t="shared" si="18"/>
        <v>0</v>
      </c>
      <c r="Q22" s="190">
        <f t="shared" si="19"/>
        <v>0</v>
      </c>
      <c r="R22" s="190">
        <f t="shared" si="20"/>
        <v>0</v>
      </c>
      <c r="S22" s="1"/>
    </row>
    <row r="23">
      <c r="A23" s="8"/>
      <c r="B23" s="214"/>
      <c r="C23" s="216"/>
      <c r="D23" s="216"/>
      <c r="E23" s="135"/>
      <c r="F23" s="164">
        <f t="shared" si="8"/>
        <v>0</v>
      </c>
      <c r="G23" s="187">
        <f t="shared" si="9"/>
        <v>0</v>
      </c>
      <c r="H23" s="190">
        <f t="shared" si="10"/>
        <v>0</v>
      </c>
      <c r="I23" s="164">
        <f t="shared" si="11"/>
        <v>0</v>
      </c>
      <c r="J23" s="190">
        <f t="shared" si="12"/>
        <v>0</v>
      </c>
      <c r="K23" s="164">
        <f t="shared" si="13"/>
        <v>0</v>
      </c>
      <c r="L23" s="190">
        <f t="shared" si="14"/>
        <v>0</v>
      </c>
      <c r="M23" s="190">
        <f t="shared" si="15"/>
        <v>0</v>
      </c>
      <c r="N23" s="190">
        <f t="shared" si="16"/>
        <v>0</v>
      </c>
      <c r="O23" s="190">
        <f t="shared" si="17"/>
        <v>0</v>
      </c>
      <c r="P23" s="190">
        <f t="shared" si="18"/>
        <v>0</v>
      </c>
      <c r="Q23" s="190">
        <f t="shared" si="19"/>
        <v>0</v>
      </c>
      <c r="R23" s="190">
        <f t="shared" si="20"/>
        <v>0</v>
      </c>
      <c r="S23" s="164"/>
      <c r="T23" s="8"/>
      <c r="U23" s="8"/>
      <c r="V23" s="8"/>
      <c r="W23" s="8"/>
      <c r="X23" s="8"/>
      <c r="Y23" s="8"/>
    </row>
    <row r="24">
      <c r="B24" s="217"/>
      <c r="C24" s="218"/>
      <c r="D24" s="218"/>
      <c r="E24" s="146"/>
      <c r="F24" s="1">
        <f t="shared" si="8"/>
        <v>0</v>
      </c>
      <c r="G24" s="187">
        <f t="shared" si="9"/>
        <v>0</v>
      </c>
      <c r="H24" s="190">
        <f t="shared" si="10"/>
        <v>0</v>
      </c>
      <c r="I24" s="164">
        <f t="shared" si="11"/>
        <v>0</v>
      </c>
      <c r="J24" s="190">
        <f t="shared" si="12"/>
        <v>0</v>
      </c>
      <c r="K24" s="164">
        <f t="shared" si="13"/>
        <v>0</v>
      </c>
      <c r="L24" s="190">
        <f t="shared" si="14"/>
        <v>0</v>
      </c>
      <c r="M24" s="190">
        <f t="shared" si="15"/>
        <v>0</v>
      </c>
      <c r="N24" s="190">
        <f t="shared" si="16"/>
        <v>0</v>
      </c>
      <c r="O24" s="190">
        <f t="shared" si="17"/>
        <v>0</v>
      </c>
      <c r="P24" s="190">
        <f t="shared" si="18"/>
        <v>0</v>
      </c>
      <c r="Q24" s="190">
        <f t="shared" si="19"/>
        <v>0</v>
      </c>
      <c r="R24" s="190">
        <f t="shared" si="20"/>
        <v>0</v>
      </c>
      <c r="S24" s="1"/>
    </row>
    <row r="25">
      <c r="A25" s="8"/>
      <c r="B25" s="214"/>
      <c r="C25" s="216"/>
      <c r="D25" s="216"/>
      <c r="E25" s="135"/>
      <c r="F25" s="164">
        <f t="shared" si="8"/>
        <v>0</v>
      </c>
      <c r="G25" s="187">
        <f t="shared" si="9"/>
        <v>0</v>
      </c>
      <c r="H25" s="190">
        <f t="shared" si="10"/>
        <v>0</v>
      </c>
      <c r="I25" s="164">
        <f t="shared" si="11"/>
        <v>0</v>
      </c>
      <c r="J25" s="190">
        <f t="shared" si="12"/>
        <v>0</v>
      </c>
      <c r="K25" s="164">
        <f t="shared" si="13"/>
        <v>0</v>
      </c>
      <c r="L25" s="190">
        <f t="shared" si="14"/>
        <v>0</v>
      </c>
      <c r="M25" s="190">
        <f t="shared" si="15"/>
        <v>0</v>
      </c>
      <c r="N25" s="190">
        <f t="shared" si="16"/>
        <v>0</v>
      </c>
      <c r="O25" s="190">
        <f t="shared" si="17"/>
        <v>0</v>
      </c>
      <c r="P25" s="190">
        <f t="shared" si="18"/>
        <v>0</v>
      </c>
      <c r="Q25" s="190">
        <f t="shared" si="19"/>
        <v>0</v>
      </c>
      <c r="R25" s="190">
        <f t="shared" si="20"/>
        <v>0</v>
      </c>
      <c r="S25" s="164"/>
      <c r="T25" s="8"/>
      <c r="U25" s="8"/>
      <c r="V25" s="8"/>
      <c r="W25" s="8"/>
      <c r="X25" s="8"/>
      <c r="Y25" s="8"/>
    </row>
    <row r="26">
      <c r="B26" s="217"/>
      <c r="C26" s="218"/>
      <c r="D26" s="218"/>
      <c r="E26" s="146"/>
      <c r="F26" s="1">
        <f t="shared" si="8"/>
        <v>0</v>
      </c>
      <c r="G26" s="187">
        <f t="shared" si="9"/>
        <v>0</v>
      </c>
      <c r="H26" s="190">
        <f t="shared" si="10"/>
        <v>0</v>
      </c>
      <c r="I26" s="164">
        <f t="shared" si="11"/>
        <v>0</v>
      </c>
      <c r="J26" s="190">
        <f t="shared" si="12"/>
        <v>0</v>
      </c>
      <c r="K26" s="164">
        <f t="shared" si="13"/>
        <v>0</v>
      </c>
      <c r="L26" s="190">
        <f t="shared" si="14"/>
        <v>0</v>
      </c>
      <c r="M26" s="190">
        <f t="shared" si="15"/>
        <v>0</v>
      </c>
      <c r="N26" s="190">
        <f t="shared" si="16"/>
        <v>0</v>
      </c>
      <c r="O26" s="190">
        <f t="shared" si="17"/>
        <v>0</v>
      </c>
      <c r="P26" s="190">
        <f t="shared" si="18"/>
        <v>0</v>
      </c>
      <c r="Q26" s="190">
        <f t="shared" si="19"/>
        <v>0</v>
      </c>
      <c r="R26" s="190">
        <f t="shared" si="20"/>
        <v>0</v>
      </c>
      <c r="S26" s="1"/>
    </row>
    <row r="27">
      <c r="A27" s="8"/>
      <c r="B27" s="214"/>
      <c r="C27" s="216"/>
      <c r="D27" s="216"/>
      <c r="E27" s="135"/>
      <c r="F27" s="164">
        <f t="shared" si="8"/>
        <v>0</v>
      </c>
      <c r="G27" s="187">
        <f t="shared" si="9"/>
        <v>0</v>
      </c>
      <c r="H27" s="190">
        <f t="shared" si="10"/>
        <v>0</v>
      </c>
      <c r="I27" s="164">
        <f t="shared" si="11"/>
        <v>0</v>
      </c>
      <c r="J27" s="190">
        <f t="shared" si="12"/>
        <v>0</v>
      </c>
      <c r="K27" s="164">
        <f t="shared" si="13"/>
        <v>0</v>
      </c>
      <c r="L27" s="190">
        <f t="shared" si="14"/>
        <v>0</v>
      </c>
      <c r="M27" s="190">
        <f t="shared" si="15"/>
        <v>0</v>
      </c>
      <c r="N27" s="190">
        <f t="shared" si="16"/>
        <v>0</v>
      </c>
      <c r="O27" s="190">
        <f t="shared" si="17"/>
        <v>0</v>
      </c>
      <c r="P27" s="190">
        <f t="shared" si="18"/>
        <v>0</v>
      </c>
      <c r="Q27" s="190">
        <f t="shared" si="19"/>
        <v>0</v>
      </c>
      <c r="R27" s="190">
        <f t="shared" si="20"/>
        <v>0</v>
      </c>
      <c r="S27" s="164"/>
      <c r="T27" s="8"/>
      <c r="U27" s="8"/>
      <c r="V27" s="8"/>
      <c r="W27" s="8"/>
      <c r="X27" s="8"/>
      <c r="Y27" s="8"/>
    </row>
    <row r="28">
      <c r="B28" s="217"/>
      <c r="C28" s="218"/>
      <c r="D28" s="218"/>
      <c r="E28" s="146"/>
      <c r="F28" s="1">
        <f t="shared" si="8"/>
        <v>0</v>
      </c>
      <c r="G28" s="187">
        <f t="shared" si="9"/>
        <v>0</v>
      </c>
      <c r="H28" s="190">
        <f t="shared" si="10"/>
        <v>0</v>
      </c>
      <c r="I28" s="164">
        <f t="shared" si="11"/>
        <v>0</v>
      </c>
      <c r="J28" s="190">
        <f t="shared" si="12"/>
        <v>0</v>
      </c>
      <c r="K28" s="164">
        <f t="shared" si="13"/>
        <v>0</v>
      </c>
      <c r="L28" s="190">
        <f t="shared" si="14"/>
        <v>0</v>
      </c>
      <c r="M28" s="190">
        <f t="shared" si="15"/>
        <v>0</v>
      </c>
      <c r="N28" s="190">
        <f t="shared" si="16"/>
        <v>0</v>
      </c>
      <c r="O28" s="190">
        <f t="shared" si="17"/>
        <v>0</v>
      </c>
      <c r="P28" s="190">
        <f t="shared" si="18"/>
        <v>0</v>
      </c>
      <c r="Q28" s="190">
        <f t="shared" si="19"/>
        <v>0</v>
      </c>
      <c r="R28" s="190">
        <f t="shared" si="20"/>
        <v>0</v>
      </c>
      <c r="S28" s="1"/>
    </row>
    <row r="29">
      <c r="A29" s="8"/>
      <c r="B29" s="214"/>
      <c r="C29" s="216"/>
      <c r="D29" s="216"/>
      <c r="E29" s="135"/>
      <c r="F29" s="164">
        <f t="shared" si="8"/>
        <v>0</v>
      </c>
      <c r="G29" s="187">
        <f t="shared" si="9"/>
        <v>0</v>
      </c>
      <c r="H29" s="190">
        <f t="shared" si="10"/>
        <v>0</v>
      </c>
      <c r="I29" s="164">
        <f t="shared" si="11"/>
        <v>0</v>
      </c>
      <c r="J29" s="190">
        <f t="shared" si="12"/>
        <v>0</v>
      </c>
      <c r="K29" s="164">
        <f t="shared" si="13"/>
        <v>0</v>
      </c>
      <c r="L29" s="190">
        <f t="shared" si="14"/>
        <v>0</v>
      </c>
      <c r="M29" s="190">
        <f t="shared" si="15"/>
        <v>0</v>
      </c>
      <c r="N29" s="190">
        <f t="shared" si="16"/>
        <v>0</v>
      </c>
      <c r="O29" s="190">
        <f t="shared" si="17"/>
        <v>0</v>
      </c>
      <c r="P29" s="190">
        <f t="shared" si="18"/>
        <v>0</v>
      </c>
      <c r="Q29" s="190">
        <f t="shared" si="19"/>
        <v>0</v>
      </c>
      <c r="R29" s="190">
        <f t="shared" si="20"/>
        <v>0</v>
      </c>
      <c r="S29" s="164"/>
      <c r="T29" s="8"/>
      <c r="U29" s="8"/>
      <c r="V29" s="8"/>
      <c r="W29" s="8"/>
      <c r="X29" s="8"/>
      <c r="Y29" s="8"/>
    </row>
    <row r="30">
      <c r="B30" s="238"/>
      <c r="C30" s="218"/>
      <c r="D30" s="218"/>
      <c r="E30" s="146"/>
      <c r="F30" s="1">
        <f t="shared" si="8"/>
        <v>0</v>
      </c>
      <c r="G30" s="187">
        <f t="shared" si="9"/>
        <v>0</v>
      </c>
      <c r="H30" s="190">
        <f t="shared" si="10"/>
        <v>0</v>
      </c>
      <c r="I30" s="164">
        <f t="shared" si="11"/>
        <v>0</v>
      </c>
      <c r="J30" s="190">
        <f t="shared" si="12"/>
        <v>0</v>
      </c>
      <c r="K30" s="164">
        <f t="shared" si="13"/>
        <v>0</v>
      </c>
      <c r="L30" s="190">
        <f t="shared" si="14"/>
        <v>0</v>
      </c>
      <c r="M30" s="190">
        <f t="shared" si="15"/>
        <v>0</v>
      </c>
      <c r="N30" s="190">
        <f t="shared" si="16"/>
        <v>0</v>
      </c>
      <c r="O30" s="190">
        <f t="shared" si="17"/>
        <v>0</v>
      </c>
      <c r="P30" s="190">
        <f t="shared" si="18"/>
        <v>0</v>
      </c>
      <c r="Q30" s="190">
        <f t="shared" si="19"/>
        <v>0</v>
      </c>
      <c r="R30" s="190">
        <f t="shared" si="20"/>
        <v>0</v>
      </c>
      <c r="S30" s="1"/>
    </row>
    <row r="31">
      <c r="A31" s="8"/>
      <c r="B31" s="214"/>
      <c r="C31" s="216"/>
      <c r="D31" s="216"/>
      <c r="E31" s="135"/>
      <c r="F31" s="164">
        <f t="shared" si="8"/>
        <v>0</v>
      </c>
      <c r="G31" s="187">
        <f t="shared" si="9"/>
        <v>0</v>
      </c>
      <c r="H31" s="190">
        <f t="shared" si="10"/>
        <v>0</v>
      </c>
      <c r="I31" s="164">
        <f t="shared" si="11"/>
        <v>0</v>
      </c>
      <c r="J31" s="190">
        <f t="shared" si="12"/>
        <v>0</v>
      </c>
      <c r="K31" s="164">
        <f t="shared" si="13"/>
        <v>0</v>
      </c>
      <c r="L31" s="190">
        <f t="shared" si="14"/>
        <v>0</v>
      </c>
      <c r="M31" s="190">
        <f t="shared" si="15"/>
        <v>0</v>
      </c>
      <c r="N31" s="190">
        <f t="shared" si="16"/>
        <v>0</v>
      </c>
      <c r="O31" s="190">
        <f t="shared" si="17"/>
        <v>0</v>
      </c>
      <c r="P31" s="190">
        <f t="shared" si="18"/>
        <v>0</v>
      </c>
      <c r="Q31" s="190">
        <f t="shared" si="19"/>
        <v>0</v>
      </c>
      <c r="R31" s="190">
        <f t="shared" si="20"/>
        <v>0</v>
      </c>
      <c r="S31" s="164"/>
      <c r="T31" s="8"/>
      <c r="U31" s="8"/>
      <c r="V31" s="8"/>
      <c r="W31" s="8"/>
      <c r="X31" s="8"/>
      <c r="Y31" s="8"/>
    </row>
    <row r="32">
      <c r="B32" s="217"/>
      <c r="C32" s="218"/>
      <c r="D32" s="218"/>
      <c r="E32" s="146"/>
      <c r="F32" s="1">
        <f t="shared" si="8"/>
        <v>0</v>
      </c>
      <c r="G32" s="187">
        <f t="shared" si="9"/>
        <v>0</v>
      </c>
      <c r="H32" s="190">
        <f t="shared" si="10"/>
        <v>0</v>
      </c>
      <c r="I32" s="164">
        <f t="shared" si="11"/>
        <v>0</v>
      </c>
      <c r="J32" s="190">
        <f t="shared" si="12"/>
        <v>0</v>
      </c>
      <c r="K32" s="164">
        <f t="shared" si="13"/>
        <v>0</v>
      </c>
      <c r="L32" s="190">
        <f t="shared" si="14"/>
        <v>0</v>
      </c>
      <c r="M32" s="190">
        <f t="shared" si="15"/>
        <v>0</v>
      </c>
      <c r="N32" s="190">
        <f t="shared" si="16"/>
        <v>0</v>
      </c>
      <c r="O32" s="190">
        <f t="shared" si="17"/>
        <v>0</v>
      </c>
      <c r="P32" s="190">
        <f t="shared" si="18"/>
        <v>0</v>
      </c>
      <c r="Q32" s="190">
        <f t="shared" si="19"/>
        <v>0</v>
      </c>
      <c r="R32" s="190">
        <f t="shared" si="20"/>
        <v>0</v>
      </c>
      <c r="S32" s="1"/>
    </row>
    <row r="33">
      <c r="A33" s="8"/>
      <c r="B33" s="214"/>
      <c r="C33" s="216"/>
      <c r="D33" s="216"/>
      <c r="E33" s="135"/>
      <c r="F33" s="164">
        <f t="shared" si="8"/>
        <v>0</v>
      </c>
      <c r="G33" s="187">
        <f t="shared" si="9"/>
        <v>0</v>
      </c>
      <c r="H33" s="190">
        <f t="shared" si="10"/>
        <v>0</v>
      </c>
      <c r="I33" s="164">
        <f t="shared" si="11"/>
        <v>0</v>
      </c>
      <c r="J33" s="190">
        <f t="shared" si="12"/>
        <v>0</v>
      </c>
      <c r="K33" s="164">
        <f t="shared" si="13"/>
        <v>0</v>
      </c>
      <c r="L33" s="190">
        <f t="shared" si="14"/>
        <v>0</v>
      </c>
      <c r="M33" s="190">
        <f t="shared" si="15"/>
        <v>0</v>
      </c>
      <c r="N33" s="190">
        <f t="shared" si="16"/>
        <v>0</v>
      </c>
      <c r="O33" s="190">
        <f t="shared" si="17"/>
        <v>0</v>
      </c>
      <c r="P33" s="190">
        <f t="shared" si="18"/>
        <v>0</v>
      </c>
      <c r="Q33" s="190">
        <f t="shared" si="19"/>
        <v>0</v>
      </c>
      <c r="R33" s="190">
        <f t="shared" si="20"/>
        <v>0</v>
      </c>
      <c r="S33" s="164"/>
      <c r="T33" s="8"/>
      <c r="U33" s="8"/>
      <c r="V33" s="8"/>
      <c r="W33" s="8"/>
      <c r="X33" s="8"/>
      <c r="Y33" s="8"/>
    </row>
    <row r="34">
      <c r="B34" s="217"/>
      <c r="C34" s="218"/>
      <c r="D34" s="218"/>
      <c r="E34" s="146"/>
      <c r="F34" s="1">
        <f t="shared" si="8"/>
        <v>0</v>
      </c>
      <c r="G34" s="187">
        <f t="shared" si="9"/>
        <v>0</v>
      </c>
      <c r="H34" s="190">
        <f t="shared" si="10"/>
        <v>0</v>
      </c>
      <c r="I34" s="164">
        <f t="shared" si="11"/>
        <v>0</v>
      </c>
      <c r="J34" s="190">
        <f t="shared" si="12"/>
        <v>0</v>
      </c>
      <c r="K34" s="164">
        <f t="shared" si="13"/>
        <v>0</v>
      </c>
      <c r="L34" s="190">
        <f t="shared" si="14"/>
        <v>0</v>
      </c>
      <c r="M34" s="190">
        <f t="shared" si="15"/>
        <v>0</v>
      </c>
      <c r="N34" s="190">
        <f t="shared" si="16"/>
        <v>0</v>
      </c>
      <c r="O34" s="190">
        <f t="shared" si="17"/>
        <v>0</v>
      </c>
      <c r="P34" s="190">
        <f t="shared" si="18"/>
        <v>0</v>
      </c>
      <c r="Q34" s="190">
        <f t="shared" si="19"/>
        <v>0</v>
      </c>
      <c r="R34" s="190">
        <f t="shared" si="20"/>
        <v>0</v>
      </c>
      <c r="S34" s="1"/>
    </row>
    <row r="35">
      <c r="A35" s="8"/>
      <c r="B35" s="214"/>
      <c r="C35" s="216"/>
      <c r="D35" s="216"/>
      <c r="E35" s="135"/>
      <c r="F35" s="164">
        <f t="shared" si="8"/>
        <v>0</v>
      </c>
      <c r="G35" s="187">
        <f t="shared" si="9"/>
        <v>0</v>
      </c>
      <c r="H35" s="190">
        <f t="shared" si="10"/>
        <v>0</v>
      </c>
      <c r="I35" s="164">
        <f t="shared" si="11"/>
        <v>0</v>
      </c>
      <c r="J35" s="190">
        <f t="shared" si="12"/>
        <v>0</v>
      </c>
      <c r="K35" s="164">
        <f t="shared" si="13"/>
        <v>0</v>
      </c>
      <c r="L35" s="190">
        <f t="shared" si="14"/>
        <v>0</v>
      </c>
      <c r="M35" s="190">
        <f t="shared" si="15"/>
        <v>0</v>
      </c>
      <c r="N35" s="190">
        <f t="shared" si="16"/>
        <v>0</v>
      </c>
      <c r="O35" s="190">
        <f t="shared" si="17"/>
        <v>0</v>
      </c>
      <c r="P35" s="190">
        <f t="shared" si="18"/>
        <v>0</v>
      </c>
      <c r="Q35" s="190">
        <f t="shared" si="19"/>
        <v>0</v>
      </c>
      <c r="R35" s="190">
        <f t="shared" si="20"/>
        <v>0</v>
      </c>
      <c r="S35" s="1"/>
      <c r="V35" s="8"/>
      <c r="W35" s="8"/>
      <c r="X35" s="8"/>
      <c r="Y35" s="8"/>
    </row>
    <row r="36">
      <c r="B36" s="240"/>
      <c r="C36" s="241"/>
      <c r="D36" s="241"/>
      <c r="E36" s="242"/>
      <c r="F36" s="1">
        <f t="shared" si="8"/>
        <v>0</v>
      </c>
      <c r="G36" s="187">
        <f t="shared" si="9"/>
        <v>0</v>
      </c>
      <c r="H36" s="190">
        <f t="shared" si="10"/>
        <v>0</v>
      </c>
      <c r="I36" s="164">
        <f t="shared" si="11"/>
        <v>0</v>
      </c>
      <c r="J36" s="190">
        <f t="shared" si="12"/>
        <v>0</v>
      </c>
      <c r="K36" s="164">
        <f t="shared" si="13"/>
        <v>0</v>
      </c>
      <c r="L36" s="190">
        <f t="shared" si="14"/>
        <v>0</v>
      </c>
      <c r="M36" s="190">
        <f t="shared" si="15"/>
        <v>0</v>
      </c>
      <c r="N36" s="190">
        <f t="shared" si="16"/>
        <v>0</v>
      </c>
      <c r="O36" s="190">
        <f t="shared" si="17"/>
        <v>0</v>
      </c>
      <c r="P36" s="190">
        <f t="shared" si="18"/>
        <v>0</v>
      </c>
      <c r="Q36" s="190">
        <f t="shared" si="19"/>
        <v>0</v>
      </c>
      <c r="R36" s="190">
        <f t="shared" si="20"/>
        <v>0</v>
      </c>
      <c r="S36" s="1"/>
    </row>
    <row r="37">
      <c r="G37" s="187">
        <f t="shared" si="9"/>
        <v>0</v>
      </c>
      <c r="H37" s="190">
        <f t="shared" si="10"/>
        <v>0</v>
      </c>
      <c r="I37" s="164">
        <f t="shared" si="11"/>
        <v>0</v>
      </c>
      <c r="J37" s="190">
        <f t="shared" si="12"/>
        <v>0</v>
      </c>
      <c r="K37" s="164">
        <f t="shared" si="13"/>
        <v>0</v>
      </c>
      <c r="L37" s="190">
        <f t="shared" si="14"/>
        <v>0</v>
      </c>
      <c r="M37" s="190">
        <f t="shared" si="15"/>
        <v>0</v>
      </c>
      <c r="N37" s="190">
        <f t="shared" si="16"/>
        <v>0</v>
      </c>
      <c r="O37" s="190">
        <f t="shared" si="17"/>
        <v>0</v>
      </c>
      <c r="P37" s="190">
        <f t="shared" si="18"/>
        <v>0</v>
      </c>
      <c r="Q37" s="190">
        <f t="shared" si="19"/>
        <v>0</v>
      </c>
      <c r="R37" s="190">
        <f t="shared" si="20"/>
        <v>0</v>
      </c>
      <c r="S37" s="1"/>
    </row>
    <row r="38">
      <c r="G38" s="187">
        <f t="shared" si="9"/>
        <v>0</v>
      </c>
      <c r="H38" s="190">
        <f t="shared" si="10"/>
        <v>0</v>
      </c>
      <c r="I38" s="164">
        <f t="shared" si="11"/>
        <v>0</v>
      </c>
      <c r="J38" s="190">
        <f t="shared" si="12"/>
        <v>0</v>
      </c>
      <c r="K38" s="164">
        <f t="shared" si="13"/>
        <v>0</v>
      </c>
      <c r="L38" s="190">
        <f t="shared" si="14"/>
        <v>0</v>
      </c>
      <c r="M38" s="190">
        <f t="shared" si="15"/>
        <v>0</v>
      </c>
      <c r="N38" s="190">
        <f t="shared" si="16"/>
        <v>0</v>
      </c>
      <c r="O38" s="190">
        <f t="shared" si="17"/>
        <v>0</v>
      </c>
      <c r="P38" s="190">
        <f t="shared" si="18"/>
        <v>0</v>
      </c>
      <c r="Q38" s="190">
        <f t="shared" si="19"/>
        <v>0</v>
      </c>
      <c r="R38" s="190">
        <f t="shared" si="20"/>
        <v>0</v>
      </c>
      <c r="S38" s="1"/>
    </row>
    <row r="39">
      <c r="G39" s="187">
        <f t="shared" si="9"/>
        <v>0</v>
      </c>
      <c r="H39" s="190">
        <f t="shared" si="10"/>
        <v>0</v>
      </c>
      <c r="I39" s="164">
        <f t="shared" si="11"/>
        <v>0</v>
      </c>
      <c r="J39" s="190">
        <f t="shared" si="12"/>
        <v>0</v>
      </c>
      <c r="K39" s="164">
        <f t="shared" si="13"/>
        <v>0</v>
      </c>
      <c r="L39" s="190">
        <f t="shared" si="14"/>
        <v>0</v>
      </c>
      <c r="M39" s="190">
        <f t="shared" si="15"/>
        <v>0</v>
      </c>
      <c r="N39" s="190">
        <f t="shared" si="16"/>
        <v>0</v>
      </c>
      <c r="O39" s="190">
        <f t="shared" si="17"/>
        <v>0</v>
      </c>
      <c r="P39" s="190">
        <f t="shared" si="18"/>
        <v>0</v>
      </c>
      <c r="Q39" s="190">
        <f t="shared" si="19"/>
        <v>0</v>
      </c>
      <c r="R39" s="190">
        <f t="shared" si="20"/>
        <v>0</v>
      </c>
      <c r="S39" s="1"/>
    </row>
    <row r="40">
      <c r="E40" s="164"/>
      <c r="F40" s="164"/>
      <c r="G40" s="187">
        <f t="shared" si="9"/>
        <v>0</v>
      </c>
      <c r="H40" s="190">
        <f t="shared" si="10"/>
        <v>0</v>
      </c>
      <c r="I40" s="164">
        <f t="shared" si="11"/>
        <v>0</v>
      </c>
      <c r="J40" s="190">
        <f t="shared" si="12"/>
        <v>0</v>
      </c>
      <c r="K40" s="164">
        <f t="shared" si="13"/>
        <v>0</v>
      </c>
      <c r="L40" s="190">
        <f t="shared" si="14"/>
        <v>0</v>
      </c>
      <c r="M40" s="190">
        <f t="shared" si="15"/>
        <v>0</v>
      </c>
      <c r="N40" s="190">
        <f t="shared" si="16"/>
        <v>0</v>
      </c>
      <c r="O40" s="190">
        <f t="shared" si="17"/>
        <v>0</v>
      </c>
      <c r="P40" s="190">
        <f t="shared" si="18"/>
        <v>0</v>
      </c>
      <c r="Q40" s="190">
        <f t="shared" si="19"/>
        <v>0</v>
      </c>
      <c r="R40" s="190">
        <f t="shared" si="20"/>
        <v>0</v>
      </c>
      <c r="S40" s="1"/>
    </row>
    <row r="41">
      <c r="E41" s="164"/>
      <c r="F41" s="164"/>
      <c r="G41" s="187">
        <f t="shared" si="9"/>
        <v>0</v>
      </c>
      <c r="H41" s="190">
        <f t="shared" si="10"/>
        <v>0</v>
      </c>
      <c r="I41" s="164">
        <f t="shared" si="11"/>
        <v>0</v>
      </c>
      <c r="J41" s="190">
        <f t="shared" si="12"/>
        <v>0</v>
      </c>
      <c r="K41" s="164">
        <f t="shared" si="13"/>
        <v>0</v>
      </c>
      <c r="L41" s="190">
        <f t="shared" si="14"/>
        <v>0</v>
      </c>
      <c r="M41" s="190">
        <f t="shared" si="15"/>
        <v>0</v>
      </c>
      <c r="N41" s="190">
        <f t="shared" si="16"/>
        <v>0</v>
      </c>
      <c r="O41" s="190">
        <f t="shared" si="17"/>
        <v>0</v>
      </c>
      <c r="P41" s="190">
        <f t="shared" si="18"/>
        <v>0</v>
      </c>
      <c r="Q41" s="190">
        <f t="shared" si="19"/>
        <v>0</v>
      </c>
      <c r="R41" s="190">
        <f t="shared" si="20"/>
        <v>0</v>
      </c>
      <c r="S41" s="1"/>
    </row>
    <row r="42">
      <c r="E42" s="164"/>
      <c r="F42" s="243" t="s">
        <v>108</v>
      </c>
      <c r="G42" s="244">
        <f t="shared" ref="G42:R42" si="21">SUM(G9:G41)</f>
        <v>1</v>
      </c>
      <c r="H42" s="245">
        <f t="shared" si="21"/>
        <v>4</v>
      </c>
      <c r="I42" s="245">
        <f t="shared" si="21"/>
        <v>0</v>
      </c>
      <c r="J42" s="245">
        <f t="shared" si="21"/>
        <v>0</v>
      </c>
      <c r="K42" s="245">
        <f t="shared" si="21"/>
        <v>0</v>
      </c>
      <c r="L42" s="245">
        <f t="shared" si="21"/>
        <v>1</v>
      </c>
      <c r="M42" s="245">
        <f t="shared" si="21"/>
        <v>0</v>
      </c>
      <c r="N42" s="245">
        <f t="shared" si="21"/>
        <v>0</v>
      </c>
      <c r="O42" s="245">
        <f t="shared" si="21"/>
        <v>0</v>
      </c>
      <c r="P42" s="245">
        <f t="shared" si="21"/>
        <v>0</v>
      </c>
      <c r="Q42" s="245">
        <f t="shared" si="21"/>
        <v>0</v>
      </c>
      <c r="R42" s="245">
        <f t="shared" si="21"/>
        <v>0</v>
      </c>
      <c r="S42" s="1"/>
    </row>
    <row r="43">
      <c r="E43" s="164"/>
      <c r="F43" s="243" t="s">
        <v>109</v>
      </c>
      <c r="G43" s="244">
        <f>SUM(G42:J42)</f>
        <v>5</v>
      </c>
      <c r="H43" s="245"/>
      <c r="I43" s="245"/>
      <c r="J43" s="246" t="s">
        <v>110</v>
      </c>
      <c r="K43" s="245">
        <f>SUM(K42:N42)</f>
        <v>1</v>
      </c>
      <c r="L43" s="245"/>
      <c r="M43" s="245"/>
      <c r="N43" s="246" t="s">
        <v>111</v>
      </c>
      <c r="O43" s="245">
        <f>SUM(O42:R42)</f>
        <v>0</v>
      </c>
      <c r="P43" s="245"/>
      <c r="Q43" s="245"/>
      <c r="R43" s="245"/>
      <c r="S43" s="1"/>
    </row>
    <row r="44">
      <c r="G44" s="248"/>
      <c r="H44" s="248"/>
      <c r="I44" s="248"/>
      <c r="J44" s="248"/>
      <c r="Q44" s="1"/>
      <c r="R44" s="1"/>
      <c r="S44" s="1"/>
    </row>
    <row r="45">
      <c r="G45" s="248"/>
      <c r="H45" s="248"/>
      <c r="I45" s="248"/>
      <c r="J45" s="248"/>
    </row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mergeCells count="1">
    <mergeCell ref="B2:E2"/>
  </mergeCells>
  <dataValidations>
    <dataValidation type="list" allowBlank="1" sqref="C4:C36">
      <formula1>"Ativa,Passiva,Fidelizado"</formula1>
    </dataValidation>
    <dataValidation type="list" allowBlank="1" sqref="D4:D36">
      <formula1>"Sim,Não"</formula1>
    </dataValidation>
    <dataValidation type="list" allowBlank="1" sqref="E4:E36">
      <formula1>"1,2,3,4"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3" width="10.86"/>
    <col hidden="1" min="19" max="28" width="14.43"/>
  </cols>
  <sheetData>
    <row r="1">
      <c r="D1" s="247"/>
      <c r="E1" s="247"/>
      <c r="F1" s="247"/>
      <c r="G1" s="247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B2" s="249" t="s">
        <v>42</v>
      </c>
      <c r="C2" s="76"/>
      <c r="D2" s="74" t="s">
        <v>112</v>
      </c>
      <c r="E2" s="76"/>
      <c r="F2" s="74" t="s">
        <v>113</v>
      </c>
      <c r="G2" s="9"/>
      <c r="H2" s="76"/>
      <c r="I2" s="1"/>
      <c r="J2" s="183" t="s">
        <v>112</v>
      </c>
      <c r="K2" s="1"/>
      <c r="L2" s="1"/>
      <c r="M2" s="1"/>
      <c r="N2" s="183" t="s">
        <v>114</v>
      </c>
      <c r="O2" s="183">
        <v>1.0</v>
      </c>
      <c r="P2" s="1"/>
      <c r="Q2" s="1"/>
      <c r="R2" s="1"/>
    </row>
    <row r="3">
      <c r="B3" s="250" t="s">
        <v>115</v>
      </c>
      <c r="C3" s="251" t="s">
        <v>49</v>
      </c>
      <c r="D3" s="78" t="s">
        <v>115</v>
      </c>
      <c r="E3" s="252" t="s">
        <v>49</v>
      </c>
      <c r="F3" s="78" t="s">
        <v>115</v>
      </c>
      <c r="G3" s="252" t="s">
        <v>49</v>
      </c>
      <c r="H3" s="78" t="s">
        <v>116</v>
      </c>
      <c r="I3" s="1"/>
      <c r="J3" s="183" t="s">
        <v>117</v>
      </c>
      <c r="K3" s="183" t="s">
        <v>118</v>
      </c>
      <c r="L3" s="183" t="s">
        <v>119</v>
      </c>
      <c r="M3" s="183" t="s">
        <v>120</v>
      </c>
      <c r="N3" s="183" t="s">
        <v>117</v>
      </c>
      <c r="O3" s="183" t="s">
        <v>118</v>
      </c>
      <c r="P3" s="183" t="s">
        <v>119</v>
      </c>
      <c r="Q3" s="183" t="s">
        <v>120</v>
      </c>
      <c r="R3" s="1"/>
    </row>
    <row r="4">
      <c r="B4" s="253" t="s">
        <v>121</v>
      </c>
      <c r="C4" s="254">
        <v>2.0</v>
      </c>
      <c r="D4" s="255" t="s">
        <v>122</v>
      </c>
      <c r="E4" s="254">
        <v>1.0</v>
      </c>
      <c r="F4" s="256" t="s">
        <v>123</v>
      </c>
      <c r="G4" s="257">
        <v>1.0</v>
      </c>
      <c r="H4" s="258">
        <v>0.875</v>
      </c>
      <c r="I4" s="1"/>
      <c r="J4" s="1">
        <f t="shared" ref="J4:J18" si="1">IF(AND(NOT(D4=""), E4=1),1,0)</f>
        <v>1</v>
      </c>
      <c r="K4" s="1">
        <f t="shared" ref="K4:K18" si="2">IF(AND(NOT(D4=""), E4=2),1,0)</f>
        <v>0</v>
      </c>
      <c r="L4" s="1">
        <f t="shared" ref="L4:L18" si="3">IF(AND(NOT(D4=""), E4=3),1,0)</f>
        <v>0</v>
      </c>
      <c r="M4" s="1">
        <f t="shared" ref="M4:M18" si="4">IF(AND(NOT(D4=""), E4=4),1,0)</f>
        <v>0</v>
      </c>
      <c r="N4" s="259">
        <f t="shared" ref="N4:N17" si="5">IF(AND(NOT(F4=""), G4=1),H4,"")</f>
        <v>0.875</v>
      </c>
      <c r="O4" s="190" t="str">
        <f t="shared" ref="O4:O18" si="6">IF(AND(NOT(F4=""), G4=2),H4,"")</f>
        <v/>
      </c>
      <c r="P4" s="190" t="str">
        <f t="shared" ref="P4:P18" si="7">IF(AND(NOT(F4=""), G4=3),H4,"")</f>
        <v/>
      </c>
      <c r="Q4" s="190" t="str">
        <f t="shared" ref="Q4:Q18" si="8">IF(AND(NOT(F4=""), G4=4),H4,"")</f>
        <v/>
      </c>
      <c r="R4" s="1"/>
    </row>
    <row r="5">
      <c r="B5" s="260"/>
      <c r="C5" s="146"/>
      <c r="D5" s="262"/>
      <c r="E5" s="146"/>
      <c r="F5" s="264" t="s">
        <v>140</v>
      </c>
      <c r="G5" s="266">
        <v>1.0</v>
      </c>
      <c r="H5" s="268">
        <v>0.3125</v>
      </c>
      <c r="I5" s="1"/>
      <c r="J5" s="1">
        <f t="shared" si="1"/>
        <v>0</v>
      </c>
      <c r="K5" s="1">
        <f t="shared" si="2"/>
        <v>0</v>
      </c>
      <c r="L5" s="1">
        <f t="shared" si="3"/>
        <v>0</v>
      </c>
      <c r="M5" s="1">
        <f t="shared" si="4"/>
        <v>0</v>
      </c>
      <c r="N5" s="259">
        <f t="shared" si="5"/>
        <v>0.3125</v>
      </c>
      <c r="O5" s="190" t="str">
        <f t="shared" si="6"/>
        <v/>
      </c>
      <c r="P5" s="190" t="str">
        <f t="shared" si="7"/>
        <v/>
      </c>
      <c r="Q5" s="190" t="str">
        <f t="shared" si="8"/>
        <v/>
      </c>
      <c r="R5" s="1"/>
    </row>
    <row r="6">
      <c r="B6" s="272"/>
      <c r="C6" s="135"/>
      <c r="D6" s="274"/>
      <c r="E6" s="135"/>
      <c r="F6" s="104" t="s">
        <v>151</v>
      </c>
      <c r="G6" s="278">
        <v>2.0</v>
      </c>
      <c r="H6" s="279">
        <v>0.8125</v>
      </c>
      <c r="I6" s="1"/>
      <c r="J6" s="1">
        <f t="shared" si="1"/>
        <v>0</v>
      </c>
      <c r="K6" s="1">
        <f t="shared" si="2"/>
        <v>0</v>
      </c>
      <c r="L6" s="1">
        <f t="shared" si="3"/>
        <v>0</v>
      </c>
      <c r="M6" s="1">
        <f t="shared" si="4"/>
        <v>0</v>
      </c>
      <c r="N6" s="1" t="str">
        <f t="shared" si="5"/>
        <v/>
      </c>
      <c r="O6" s="281">
        <f t="shared" si="6"/>
        <v>0.8125</v>
      </c>
      <c r="P6" s="190" t="str">
        <f t="shared" si="7"/>
        <v/>
      </c>
      <c r="Q6" s="190" t="str">
        <f t="shared" si="8"/>
        <v/>
      </c>
      <c r="R6" s="1"/>
    </row>
    <row r="7">
      <c r="B7" s="260"/>
      <c r="C7" s="146"/>
      <c r="D7" s="262"/>
      <c r="E7" s="146"/>
      <c r="F7" s="264" t="s">
        <v>158</v>
      </c>
      <c r="G7" s="266">
        <v>2.0</v>
      </c>
      <c r="H7" s="283">
        <f>13/22</f>
        <v>0.5909090909</v>
      </c>
      <c r="I7" s="1"/>
      <c r="J7" s="1">
        <f t="shared" si="1"/>
        <v>0</v>
      </c>
      <c r="K7" s="1">
        <f t="shared" si="2"/>
        <v>0</v>
      </c>
      <c r="L7" s="1">
        <f t="shared" si="3"/>
        <v>0</v>
      </c>
      <c r="M7" s="1">
        <f t="shared" si="4"/>
        <v>0</v>
      </c>
      <c r="N7" s="1" t="str">
        <f t="shared" si="5"/>
        <v/>
      </c>
      <c r="O7" s="281">
        <f t="shared" si="6"/>
        <v>0.5909090909</v>
      </c>
      <c r="P7" s="190" t="str">
        <f t="shared" si="7"/>
        <v/>
      </c>
      <c r="Q7" s="190" t="str">
        <f t="shared" si="8"/>
        <v/>
      </c>
      <c r="R7" s="1"/>
    </row>
    <row r="8">
      <c r="B8" s="272"/>
      <c r="C8" s="135"/>
      <c r="D8" s="274"/>
      <c r="E8" s="135"/>
      <c r="F8" s="264" t="s">
        <v>159</v>
      </c>
      <c r="G8" s="278"/>
      <c r="H8" s="279"/>
      <c r="I8" s="1"/>
      <c r="J8" s="1">
        <f t="shared" si="1"/>
        <v>0</v>
      </c>
      <c r="K8" s="1">
        <f t="shared" si="2"/>
        <v>0</v>
      </c>
      <c r="L8" s="1">
        <f t="shared" si="3"/>
        <v>0</v>
      </c>
      <c r="M8" s="1">
        <f t="shared" si="4"/>
        <v>0</v>
      </c>
      <c r="N8" s="1" t="str">
        <f t="shared" si="5"/>
        <v/>
      </c>
      <c r="O8" s="190" t="str">
        <f t="shared" si="6"/>
        <v/>
      </c>
      <c r="P8" s="190" t="str">
        <f t="shared" si="7"/>
        <v/>
      </c>
      <c r="Q8" s="190" t="str">
        <f t="shared" si="8"/>
        <v/>
      </c>
      <c r="R8" s="1"/>
    </row>
    <row r="9">
      <c r="B9" s="260"/>
      <c r="C9" s="146"/>
      <c r="D9" s="262"/>
      <c r="E9" s="146"/>
      <c r="F9" s="264" t="s">
        <v>160</v>
      </c>
      <c r="G9" s="266"/>
      <c r="H9" s="283"/>
      <c r="I9" s="1"/>
      <c r="J9" s="1">
        <f t="shared" si="1"/>
        <v>0</v>
      </c>
      <c r="K9" s="1">
        <f t="shared" si="2"/>
        <v>0</v>
      </c>
      <c r="L9" s="1">
        <f t="shared" si="3"/>
        <v>0</v>
      </c>
      <c r="M9" s="1">
        <f t="shared" si="4"/>
        <v>0</v>
      </c>
      <c r="N9" s="1" t="str">
        <f t="shared" si="5"/>
        <v/>
      </c>
      <c r="O9" s="190" t="str">
        <f t="shared" si="6"/>
        <v/>
      </c>
      <c r="P9" s="190" t="str">
        <f t="shared" si="7"/>
        <v/>
      </c>
      <c r="Q9" s="190" t="str">
        <f t="shared" si="8"/>
        <v/>
      </c>
      <c r="R9" s="1"/>
    </row>
    <row r="10">
      <c r="B10" s="272"/>
      <c r="C10" s="135"/>
      <c r="D10" s="274"/>
      <c r="E10" s="135"/>
      <c r="F10" s="104"/>
      <c r="G10" s="278"/>
      <c r="H10" s="290"/>
      <c r="I10" s="1"/>
      <c r="J10" s="1">
        <f t="shared" si="1"/>
        <v>0</v>
      </c>
      <c r="K10" s="1">
        <f t="shared" si="2"/>
        <v>0</v>
      </c>
      <c r="L10" s="1">
        <f t="shared" si="3"/>
        <v>0</v>
      </c>
      <c r="M10" s="1">
        <f t="shared" si="4"/>
        <v>0</v>
      </c>
      <c r="N10" s="1" t="str">
        <f t="shared" si="5"/>
        <v/>
      </c>
      <c r="O10" s="190" t="str">
        <f t="shared" si="6"/>
        <v/>
      </c>
      <c r="P10" s="190" t="str">
        <f t="shared" si="7"/>
        <v/>
      </c>
      <c r="Q10" s="190" t="str">
        <f t="shared" si="8"/>
        <v/>
      </c>
      <c r="R10" s="1"/>
    </row>
    <row r="11">
      <c r="B11" s="260"/>
      <c r="C11" s="146"/>
      <c r="D11" s="262"/>
      <c r="E11" s="146"/>
      <c r="F11" s="264"/>
      <c r="G11" s="266"/>
      <c r="H11" s="268"/>
      <c r="I11" s="1"/>
      <c r="J11" s="1">
        <f t="shared" si="1"/>
        <v>0</v>
      </c>
      <c r="K11" s="1">
        <f t="shared" si="2"/>
        <v>0</v>
      </c>
      <c r="L11" s="1">
        <f t="shared" si="3"/>
        <v>0</v>
      </c>
      <c r="M11" s="1">
        <f t="shared" si="4"/>
        <v>0</v>
      </c>
      <c r="N11" s="1" t="str">
        <f t="shared" si="5"/>
        <v/>
      </c>
      <c r="O11" s="190" t="str">
        <f t="shared" si="6"/>
        <v/>
      </c>
      <c r="P11" s="190" t="str">
        <f t="shared" si="7"/>
        <v/>
      </c>
      <c r="Q11" s="190" t="str">
        <f t="shared" si="8"/>
        <v/>
      </c>
      <c r="R11" s="1"/>
    </row>
    <row r="12">
      <c r="B12" s="272"/>
      <c r="C12" s="135"/>
      <c r="D12" s="274"/>
      <c r="E12" s="135"/>
      <c r="F12" s="104"/>
      <c r="G12" s="278"/>
      <c r="H12" s="279"/>
      <c r="I12" s="1"/>
      <c r="J12" s="1">
        <f t="shared" si="1"/>
        <v>0</v>
      </c>
      <c r="K12" s="1">
        <f t="shared" si="2"/>
        <v>0</v>
      </c>
      <c r="L12" s="1">
        <f t="shared" si="3"/>
        <v>0</v>
      </c>
      <c r="M12" s="1">
        <f t="shared" si="4"/>
        <v>0</v>
      </c>
      <c r="N12" s="1" t="str">
        <f t="shared" si="5"/>
        <v/>
      </c>
      <c r="O12" s="190" t="str">
        <f t="shared" si="6"/>
        <v/>
      </c>
      <c r="P12" s="190" t="str">
        <f t="shared" si="7"/>
        <v/>
      </c>
      <c r="Q12" s="190" t="str">
        <f t="shared" si="8"/>
        <v/>
      </c>
      <c r="R12" s="1"/>
    </row>
    <row r="13">
      <c r="B13" s="260"/>
      <c r="C13" s="146"/>
      <c r="D13" s="262"/>
      <c r="E13" s="146"/>
      <c r="F13" s="294"/>
      <c r="G13" s="266"/>
      <c r="H13" s="283"/>
      <c r="I13" s="1"/>
      <c r="J13" s="1">
        <f t="shared" si="1"/>
        <v>0</v>
      </c>
      <c r="K13" s="1">
        <f t="shared" si="2"/>
        <v>0</v>
      </c>
      <c r="L13" s="1">
        <f t="shared" si="3"/>
        <v>0</v>
      </c>
      <c r="M13" s="1">
        <f t="shared" si="4"/>
        <v>0</v>
      </c>
      <c r="N13" s="1" t="str">
        <f t="shared" si="5"/>
        <v/>
      </c>
      <c r="O13" s="190" t="str">
        <f t="shared" si="6"/>
        <v/>
      </c>
      <c r="P13" s="190" t="str">
        <f t="shared" si="7"/>
        <v/>
      </c>
      <c r="Q13" s="190" t="str">
        <f t="shared" si="8"/>
        <v/>
      </c>
      <c r="R13" s="1"/>
    </row>
    <row r="14">
      <c r="B14" s="272"/>
      <c r="C14" s="135"/>
      <c r="D14" s="274"/>
      <c r="E14" s="135"/>
      <c r="F14" s="296"/>
      <c r="G14" s="278"/>
      <c r="H14" s="290"/>
      <c r="I14" s="1"/>
      <c r="J14" s="1">
        <f t="shared" si="1"/>
        <v>0</v>
      </c>
      <c r="K14" s="1">
        <f t="shared" si="2"/>
        <v>0</v>
      </c>
      <c r="L14" s="1">
        <f t="shared" si="3"/>
        <v>0</v>
      </c>
      <c r="M14" s="1">
        <f t="shared" si="4"/>
        <v>0</v>
      </c>
      <c r="N14" s="1" t="str">
        <f t="shared" si="5"/>
        <v/>
      </c>
      <c r="O14" s="190" t="str">
        <f t="shared" si="6"/>
        <v/>
      </c>
      <c r="P14" s="190" t="str">
        <f t="shared" si="7"/>
        <v/>
      </c>
      <c r="Q14" s="190" t="str">
        <f t="shared" si="8"/>
        <v/>
      </c>
      <c r="R14" s="1"/>
    </row>
    <row r="15">
      <c r="B15" s="260"/>
      <c r="C15" s="146"/>
      <c r="D15" s="262"/>
      <c r="E15" s="146"/>
      <c r="F15" s="294"/>
      <c r="G15" s="266"/>
      <c r="H15" s="283"/>
      <c r="I15" s="1"/>
      <c r="J15" s="1">
        <f t="shared" si="1"/>
        <v>0</v>
      </c>
      <c r="K15" s="1">
        <f t="shared" si="2"/>
        <v>0</v>
      </c>
      <c r="L15" s="1">
        <f t="shared" si="3"/>
        <v>0</v>
      </c>
      <c r="M15" s="1">
        <f t="shared" si="4"/>
        <v>0</v>
      </c>
      <c r="N15" s="1" t="str">
        <f t="shared" si="5"/>
        <v/>
      </c>
      <c r="O15" s="190" t="str">
        <f t="shared" si="6"/>
        <v/>
      </c>
      <c r="P15" s="190" t="str">
        <f t="shared" si="7"/>
        <v/>
      </c>
      <c r="Q15" s="190" t="str">
        <f t="shared" si="8"/>
        <v/>
      </c>
      <c r="R15" s="1"/>
    </row>
    <row r="16">
      <c r="B16" s="272"/>
      <c r="C16" s="135"/>
      <c r="D16" s="274"/>
      <c r="E16" s="135"/>
      <c r="F16" s="296"/>
      <c r="G16" s="278"/>
      <c r="H16" s="290"/>
      <c r="I16" s="1"/>
      <c r="J16" s="1">
        <f t="shared" si="1"/>
        <v>0</v>
      </c>
      <c r="K16" s="1">
        <f t="shared" si="2"/>
        <v>0</v>
      </c>
      <c r="L16" s="1">
        <f t="shared" si="3"/>
        <v>0</v>
      </c>
      <c r="M16" s="1">
        <f t="shared" si="4"/>
        <v>0</v>
      </c>
      <c r="N16" s="1" t="str">
        <f t="shared" si="5"/>
        <v/>
      </c>
      <c r="O16" s="190" t="str">
        <f t="shared" si="6"/>
        <v/>
      </c>
      <c r="P16" s="190" t="str">
        <f t="shared" si="7"/>
        <v/>
      </c>
      <c r="Q16" s="190" t="str">
        <f t="shared" si="8"/>
        <v/>
      </c>
      <c r="R16" s="1"/>
    </row>
    <row r="17">
      <c r="B17" s="260"/>
      <c r="C17" s="146"/>
      <c r="D17" s="262"/>
      <c r="E17" s="146"/>
      <c r="F17" s="294"/>
      <c r="G17" s="266"/>
      <c r="H17" s="283"/>
      <c r="I17" s="1"/>
      <c r="J17" s="1">
        <f t="shared" si="1"/>
        <v>0</v>
      </c>
      <c r="K17" s="1">
        <f t="shared" si="2"/>
        <v>0</v>
      </c>
      <c r="L17" s="1">
        <f t="shared" si="3"/>
        <v>0</v>
      </c>
      <c r="M17" s="1">
        <f t="shared" si="4"/>
        <v>0</v>
      </c>
      <c r="N17" s="1" t="str">
        <f t="shared" si="5"/>
        <v/>
      </c>
      <c r="O17" s="190" t="str">
        <f t="shared" si="6"/>
        <v/>
      </c>
      <c r="P17" s="190" t="str">
        <f t="shared" si="7"/>
        <v/>
      </c>
      <c r="Q17" s="190" t="str">
        <f t="shared" si="8"/>
        <v/>
      </c>
      <c r="R17" s="1"/>
    </row>
    <row r="18">
      <c r="B18" s="301"/>
      <c r="C18" s="303"/>
      <c r="D18" s="305"/>
      <c r="E18" s="303"/>
      <c r="F18" s="307"/>
      <c r="G18" s="309"/>
      <c r="H18" s="310"/>
      <c r="I18" s="1"/>
      <c r="J18" s="1">
        <f t="shared" si="1"/>
        <v>0</v>
      </c>
      <c r="K18" s="1">
        <f t="shared" si="2"/>
        <v>0</v>
      </c>
      <c r="L18" s="1">
        <f t="shared" si="3"/>
        <v>0</v>
      </c>
      <c r="M18" s="1">
        <f t="shared" si="4"/>
        <v>0</v>
      </c>
      <c r="N18" s="183"/>
      <c r="O18" s="190" t="str">
        <f t="shared" si="6"/>
        <v/>
      </c>
      <c r="P18" s="190" t="str">
        <f t="shared" si="7"/>
        <v/>
      </c>
      <c r="Q18" s="190" t="str">
        <f t="shared" si="8"/>
        <v/>
      </c>
      <c r="R18" s="1"/>
    </row>
    <row r="19">
      <c r="A19" s="1"/>
      <c r="B19" s="1"/>
      <c r="C19" s="1"/>
      <c r="D19" s="1"/>
      <c r="E19" s="1"/>
      <c r="F19" s="1"/>
      <c r="G19" s="1"/>
      <c r="H19" s="1"/>
      <c r="I19" s="183" t="s">
        <v>108</v>
      </c>
      <c r="J19" s="1">
        <f t="shared" ref="J19:M19" si="9">SUM(J4:J18)</f>
        <v>1</v>
      </c>
      <c r="K19" s="1">
        <f t="shared" si="9"/>
        <v>0</v>
      </c>
      <c r="L19" s="1">
        <f t="shared" si="9"/>
        <v>0</v>
      </c>
      <c r="M19" s="1">
        <f t="shared" si="9"/>
        <v>0</v>
      </c>
      <c r="N19" s="259">
        <f t="shared" ref="N19:Q19" si="10">IF(NOT(SUM(N4:N18)=0),AVERAGE(N4:N18),"")</f>
        <v>0.59375</v>
      </c>
      <c r="O19" s="259">
        <f t="shared" si="10"/>
        <v>0.7017045455</v>
      </c>
      <c r="P19" s="259" t="str">
        <f t="shared" si="10"/>
        <v/>
      </c>
      <c r="Q19" s="259" t="str">
        <f t="shared" si="10"/>
        <v/>
      </c>
      <c r="R19" s="1"/>
    </row>
    <row r="20">
      <c r="A20" s="1"/>
      <c r="B20" s="1"/>
      <c r="C20" s="183" t="s">
        <v>176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>
      <c r="A21" s="1"/>
      <c r="B21" s="1"/>
      <c r="C21" s="183" t="s">
        <v>117</v>
      </c>
      <c r="D21" s="183" t="s">
        <v>118</v>
      </c>
      <c r="E21" s="183" t="s">
        <v>119</v>
      </c>
      <c r="F21" s="183" t="s">
        <v>120</v>
      </c>
      <c r="G21" s="1"/>
      <c r="H21" s="1"/>
      <c r="I21" s="1"/>
      <c r="J21" s="183" t="s">
        <v>177</v>
      </c>
      <c r="K21" s="1">
        <f>SUM(J19:M19)</f>
        <v>1</v>
      </c>
      <c r="L21" s="1"/>
      <c r="M21" s="1"/>
      <c r="N21" s="183" t="s">
        <v>177</v>
      </c>
      <c r="O21" s="259">
        <f>IF(SUM(N4:Q18)&lt;&gt;0,AVERAGE(N4:Q18),"")</f>
        <v>0.6477272727</v>
      </c>
      <c r="P21" s="1"/>
      <c r="Q21" s="1"/>
      <c r="R21" s="1"/>
    </row>
    <row r="22">
      <c r="A22" s="1"/>
      <c r="B22" s="1"/>
      <c r="C22" s="1">
        <f t="shared" ref="C22:C36" si="11">IF(AND(NOT(B4=""), C4=1),1,0)</f>
        <v>0</v>
      </c>
      <c r="D22" s="190">
        <f t="shared" ref="D22:D36" si="12">IF(AND(NOT(B4=""), C4=2),1,0)</f>
        <v>1</v>
      </c>
      <c r="E22" s="190">
        <f t="shared" ref="E22:E36" si="13">IF(AND(NOT(B4=""), C4=3),1,0)</f>
        <v>0</v>
      </c>
      <c r="F22" s="190">
        <f t="shared" ref="F22:F36" si="14">IF(AND(NOT(B4=""), C4=4),1,0)</f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>
      <c r="A23" s="1"/>
      <c r="B23" s="1"/>
      <c r="C23" s="1">
        <f t="shared" si="11"/>
        <v>0</v>
      </c>
      <c r="D23" s="190">
        <f t="shared" si="12"/>
        <v>0</v>
      </c>
      <c r="E23" s="190">
        <f t="shared" si="13"/>
        <v>0</v>
      </c>
      <c r="F23" s="190">
        <f t="shared" si="14"/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1"/>
      <c r="B24" s="1"/>
      <c r="C24" s="1">
        <f t="shared" si="11"/>
        <v>0</v>
      </c>
      <c r="D24" s="190">
        <f t="shared" si="12"/>
        <v>0</v>
      </c>
      <c r="E24" s="190">
        <f t="shared" si="13"/>
        <v>0</v>
      </c>
      <c r="F24" s="190">
        <f t="shared" si="14"/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1"/>
      <c r="B25" s="1"/>
      <c r="C25" s="1">
        <f t="shared" si="11"/>
        <v>0</v>
      </c>
      <c r="D25" s="190">
        <f t="shared" si="12"/>
        <v>0</v>
      </c>
      <c r="E25" s="190">
        <f t="shared" si="13"/>
        <v>0</v>
      </c>
      <c r="F25" s="190">
        <f t="shared" si="14"/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1"/>
      <c r="B26" s="1"/>
      <c r="C26" s="1">
        <f t="shared" si="11"/>
        <v>0</v>
      </c>
      <c r="D26" s="190">
        <f t="shared" si="12"/>
        <v>0</v>
      </c>
      <c r="E26" s="190">
        <f t="shared" si="13"/>
        <v>0</v>
      </c>
      <c r="F26" s="190">
        <f t="shared" si="14"/>
        <v>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1"/>
      <c r="B27" s="1"/>
      <c r="C27" s="1">
        <f t="shared" si="11"/>
        <v>0</v>
      </c>
      <c r="D27" s="190">
        <f t="shared" si="12"/>
        <v>0</v>
      </c>
      <c r="E27" s="190">
        <f t="shared" si="13"/>
        <v>0</v>
      </c>
      <c r="F27" s="190">
        <f t="shared" si="14"/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1"/>
      <c r="B28" s="1"/>
      <c r="C28" s="1">
        <f t="shared" si="11"/>
        <v>0</v>
      </c>
      <c r="D28" s="190">
        <f t="shared" si="12"/>
        <v>0</v>
      </c>
      <c r="E28" s="190">
        <f t="shared" si="13"/>
        <v>0</v>
      </c>
      <c r="F28" s="190">
        <f t="shared" si="14"/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1"/>
      <c r="B29" s="1"/>
      <c r="C29" s="1">
        <f t="shared" si="11"/>
        <v>0</v>
      </c>
      <c r="D29" s="190">
        <f t="shared" si="12"/>
        <v>0</v>
      </c>
      <c r="E29" s="190">
        <f t="shared" si="13"/>
        <v>0</v>
      </c>
      <c r="F29" s="190">
        <f t="shared" si="14"/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1"/>
      <c r="B30" s="1"/>
      <c r="C30" s="1">
        <f t="shared" si="11"/>
        <v>0</v>
      </c>
      <c r="D30" s="190">
        <f t="shared" si="12"/>
        <v>0</v>
      </c>
      <c r="E30" s="190">
        <f t="shared" si="13"/>
        <v>0</v>
      </c>
      <c r="F30" s="190">
        <f t="shared" si="14"/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1"/>
      <c r="B31" s="1"/>
      <c r="C31" s="1">
        <f t="shared" si="11"/>
        <v>0</v>
      </c>
      <c r="D31" s="190">
        <f t="shared" si="12"/>
        <v>0</v>
      </c>
      <c r="E31" s="190">
        <f t="shared" si="13"/>
        <v>0</v>
      </c>
      <c r="F31" s="190">
        <f t="shared" si="14"/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1"/>
      <c r="B32" s="1"/>
      <c r="C32" s="1">
        <f t="shared" si="11"/>
        <v>0</v>
      </c>
      <c r="D32" s="190">
        <f t="shared" si="12"/>
        <v>0</v>
      </c>
      <c r="E32" s="190">
        <f t="shared" si="13"/>
        <v>0</v>
      </c>
      <c r="F32" s="190">
        <f t="shared" si="14"/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>
      <c r="A33" s="1"/>
      <c r="B33" s="1"/>
      <c r="C33" s="1">
        <f t="shared" si="11"/>
        <v>0</v>
      </c>
      <c r="D33" s="190">
        <f t="shared" si="12"/>
        <v>0</v>
      </c>
      <c r="E33" s="190">
        <f t="shared" si="13"/>
        <v>0</v>
      </c>
      <c r="F33" s="190">
        <f t="shared" si="14"/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>
      <c r="A34" s="1"/>
      <c r="B34" s="1"/>
      <c r="C34" s="1">
        <f t="shared" si="11"/>
        <v>0</v>
      </c>
      <c r="D34" s="190">
        <f t="shared" si="12"/>
        <v>0</v>
      </c>
      <c r="E34" s="190">
        <f t="shared" si="13"/>
        <v>0</v>
      </c>
      <c r="F34" s="190">
        <f t="shared" si="14"/>
        <v>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>
      <c r="A35" s="1"/>
      <c r="B35" s="1"/>
      <c r="C35" s="1">
        <f t="shared" si="11"/>
        <v>0</v>
      </c>
      <c r="D35" s="190">
        <f t="shared" si="12"/>
        <v>0</v>
      </c>
      <c r="E35" s="190">
        <f t="shared" si="13"/>
        <v>0</v>
      </c>
      <c r="F35" s="190">
        <f t="shared" si="14"/>
        <v>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>
      <c r="A36" s="1"/>
      <c r="B36" s="1"/>
      <c r="C36" s="1">
        <f t="shared" si="11"/>
        <v>0</v>
      </c>
      <c r="D36" s="190">
        <f t="shared" si="12"/>
        <v>0</v>
      </c>
      <c r="E36" s="190">
        <f t="shared" si="13"/>
        <v>0</v>
      </c>
      <c r="F36" s="190">
        <f t="shared" si="14"/>
        <v>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>
      <c r="A37" s="1"/>
      <c r="B37" s="183" t="s">
        <v>108</v>
      </c>
      <c r="C37" s="1">
        <f t="shared" ref="C37:F37" si="15">SUM(C22:C36)</f>
        <v>0</v>
      </c>
      <c r="D37" s="1">
        <f t="shared" si="15"/>
        <v>1</v>
      </c>
      <c r="E37" s="1">
        <f t="shared" si="15"/>
        <v>0</v>
      </c>
      <c r="F37" s="1">
        <f t="shared" si="15"/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>
      <c r="A39" s="1"/>
      <c r="B39" s="1"/>
      <c r="C39" s="183" t="s">
        <v>177</v>
      </c>
      <c r="D39" s="1">
        <f>SUM(C37:F37)</f>
        <v>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mergeCells count="3">
    <mergeCell ref="D2:E2"/>
    <mergeCell ref="F2:H2"/>
    <mergeCell ref="B2:C2"/>
  </mergeCells>
  <dataValidations>
    <dataValidation type="list" allowBlank="1" sqref="C4:C18 E4:E18 G4:G18">
      <formula1>"1,2,3,4"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9.43"/>
    <col customWidth="1" min="2" max="2" width="16.14"/>
    <col customWidth="1" min="6" max="6" width="19.86"/>
    <col customWidth="1" min="7" max="7" width="16.86"/>
    <col customWidth="1" min="8" max="8" width="12.57"/>
    <col customWidth="1" min="9" max="9" width="13.29"/>
    <col customWidth="1" min="10" max="10" width="14.86"/>
    <col customWidth="1" min="11" max="12" width="16.71"/>
    <col customWidth="1" min="13" max="13" width="13.14"/>
    <col customWidth="1" min="14" max="14" width="16.71"/>
    <col customWidth="1" min="15" max="15" width="14.71"/>
    <col customWidth="1" min="17" max="17" width="17.29"/>
  </cols>
  <sheetData>
    <row r="1">
      <c r="A1" s="164"/>
    </row>
    <row r="2">
      <c r="A2" s="164"/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61" t="s">
        <v>129</v>
      </c>
      <c r="H2" s="261" t="s">
        <v>130</v>
      </c>
      <c r="I2" s="261" t="s">
        <v>131</v>
      </c>
      <c r="J2" s="261" t="s">
        <v>132</v>
      </c>
      <c r="K2" s="261" t="s">
        <v>133</v>
      </c>
      <c r="L2" s="261" t="s">
        <v>134</v>
      </c>
      <c r="M2" s="261" t="s">
        <v>135</v>
      </c>
      <c r="N2" s="261" t="s">
        <v>136</v>
      </c>
      <c r="O2" s="261" t="s">
        <v>137</v>
      </c>
      <c r="P2" s="261" t="s">
        <v>138</v>
      </c>
      <c r="Q2" s="263" t="s">
        <v>139</v>
      </c>
      <c r="R2" s="261" t="s">
        <v>141</v>
      </c>
      <c r="S2" s="2" t="s">
        <v>142</v>
      </c>
      <c r="T2" s="164"/>
      <c r="U2" s="176" t="s">
        <v>143</v>
      </c>
      <c r="V2" s="176" t="s">
        <v>144</v>
      </c>
      <c r="W2" s="176" t="s">
        <v>145</v>
      </c>
      <c r="X2" s="265" t="s">
        <v>146</v>
      </c>
      <c r="Y2" s="265" t="s">
        <v>84</v>
      </c>
      <c r="Z2" s="176" t="s">
        <v>86</v>
      </c>
      <c r="AA2" s="176" t="s">
        <v>87</v>
      </c>
      <c r="AB2" s="164"/>
    </row>
    <row r="3" ht="17.25" customHeight="1">
      <c r="A3" s="164"/>
      <c r="B3" s="267" t="s">
        <v>147</v>
      </c>
      <c r="C3" s="84" t="s">
        <v>148</v>
      </c>
      <c r="D3" s="269">
        <v>7.0</v>
      </c>
      <c r="E3" s="84">
        <v>5.0</v>
      </c>
      <c r="F3" s="270" t="s">
        <v>149</v>
      </c>
      <c r="G3" s="271">
        <v>43046.0</v>
      </c>
      <c r="H3" s="273"/>
      <c r="I3" s="112"/>
      <c r="J3" s="271"/>
      <c r="K3" s="271">
        <v>43137.0</v>
      </c>
      <c r="L3" s="273" t="s">
        <v>89</v>
      </c>
      <c r="M3" s="273">
        <v>1.0</v>
      </c>
      <c r="N3" s="84">
        <v>60.0</v>
      </c>
      <c r="O3" s="82"/>
      <c r="P3" s="82"/>
      <c r="Q3" s="275" t="s">
        <v>67</v>
      </c>
      <c r="R3" s="84" t="s">
        <v>152</v>
      </c>
      <c r="S3" s="277"/>
      <c r="T3" s="176" t="s">
        <v>153</v>
      </c>
      <c r="U3" s="164">
        <f>COUNTIF(R3:R24, "Promotor")</f>
        <v>2</v>
      </c>
      <c r="V3" s="190">
        <f>COUNTIF(R3:R24, "Satisfeito")</f>
        <v>0</v>
      </c>
      <c r="W3" s="190">
        <f>COUNTIF(R3:R24, "Detrator")</f>
        <v>0</v>
      </c>
      <c r="X3" s="164">
        <f>COUNTIF(M3:M24, 1)</f>
        <v>1</v>
      </c>
      <c r="Y3" s="190">
        <f>COUNTIF(M3:M24, 2)</f>
        <v>1</v>
      </c>
      <c r="Z3" s="190">
        <f>COUNTIF(M3:M24, 3)</f>
        <v>0</v>
      </c>
      <c r="AA3" s="190">
        <f>COUNTIF(M3:M24, 4)</f>
        <v>0</v>
      </c>
      <c r="AB3" s="190"/>
    </row>
    <row r="4" ht="45.0" customHeight="1">
      <c r="A4" s="164"/>
      <c r="B4" s="285" t="s">
        <v>88</v>
      </c>
      <c r="C4" s="286" t="s">
        <v>161</v>
      </c>
      <c r="D4" s="286">
        <v>2.0</v>
      </c>
      <c r="E4" s="286">
        <v>3.0</v>
      </c>
      <c r="F4" s="288" t="s">
        <v>162</v>
      </c>
      <c r="G4" s="289">
        <v>43182.0</v>
      </c>
      <c r="H4" s="144">
        <v>1.0</v>
      </c>
      <c r="I4" s="292">
        <v>43182.0</v>
      </c>
      <c r="J4" s="292">
        <v>43234.0</v>
      </c>
      <c r="K4" s="292">
        <v>43234.0</v>
      </c>
      <c r="L4" s="144" t="s">
        <v>89</v>
      </c>
      <c r="M4" s="144">
        <v>2.0</v>
      </c>
      <c r="N4" s="286">
        <v>35.0</v>
      </c>
      <c r="O4" s="298">
        <v>165.0</v>
      </c>
      <c r="P4" s="299"/>
      <c r="Q4" s="144" t="s">
        <v>67</v>
      </c>
      <c r="R4" s="300" t="s">
        <v>152</v>
      </c>
      <c r="S4" s="302">
        <v>4090.98</v>
      </c>
      <c r="T4" s="176" t="s">
        <v>82</v>
      </c>
      <c r="U4" s="176" t="s">
        <v>166</v>
      </c>
      <c r="V4" s="176" t="s">
        <v>167</v>
      </c>
      <c r="W4" s="176" t="s">
        <v>168</v>
      </c>
      <c r="X4" s="176" t="s">
        <v>169</v>
      </c>
      <c r="Y4" s="176" t="s">
        <v>170</v>
      </c>
      <c r="Z4" s="265" t="s">
        <v>171</v>
      </c>
      <c r="AA4" s="265" t="s">
        <v>172</v>
      </c>
      <c r="AB4" s="190"/>
    </row>
    <row r="5">
      <c r="A5" s="164"/>
      <c r="B5" s="127" t="s">
        <v>173</v>
      </c>
      <c r="C5" s="112" t="s">
        <v>161</v>
      </c>
      <c r="D5" s="112">
        <v>2.0</v>
      </c>
      <c r="E5" s="112">
        <v>3.0</v>
      </c>
      <c r="F5" s="304" t="s">
        <v>162</v>
      </c>
      <c r="G5" s="271">
        <v>43206.0</v>
      </c>
      <c r="H5" s="131">
        <v>2.0</v>
      </c>
      <c r="I5" s="271">
        <v>43213.0</v>
      </c>
      <c r="J5" s="271">
        <v>43307.0</v>
      </c>
      <c r="K5" s="271"/>
      <c r="L5" s="216"/>
      <c r="M5" s="131"/>
      <c r="N5" s="112">
        <v>68.0</v>
      </c>
      <c r="O5" s="306">
        <v>185.0</v>
      </c>
      <c r="P5" s="114"/>
      <c r="Q5" s="131" t="s">
        <v>67</v>
      </c>
      <c r="R5" s="112"/>
      <c r="S5" s="308">
        <v>6220.19</v>
      </c>
      <c r="T5" s="164">
        <f t="shared" ref="T5:T26" si="1">IF(AND(R3="Promotor",M3=1),1,"")</f>
        <v>1</v>
      </c>
      <c r="U5" s="190" t="str">
        <f t="shared" ref="U5:U26" si="2">IF(AND(R3="Promotor",M3=2),1,"")</f>
        <v/>
      </c>
      <c r="V5" s="190" t="str">
        <f t="shared" ref="V5:V26" si="3">IF(AND(R3="Promotor",M3=3),1,"")</f>
        <v/>
      </c>
      <c r="W5" s="190" t="str">
        <f t="shared" ref="W5:W26" si="4">IF(AND(R3="Promotor",M3=4),1,"")</f>
        <v/>
      </c>
      <c r="X5" s="190" t="str">
        <f t="shared" ref="X5:X26" si="5">IF(AND(R3="Detrator",M3=1),1,"")</f>
        <v/>
      </c>
      <c r="Y5" s="190" t="str">
        <f t="shared" ref="Y5:Y26" si="6">IF(AND(R3="Detrator",M3=2),1,"")</f>
        <v/>
      </c>
      <c r="Z5" s="190" t="str">
        <f t="shared" ref="Z5:Z26" si="7">IF(AND(R3="Detrator",M3=3),1,"")</f>
        <v/>
      </c>
      <c r="AA5" s="190" t="str">
        <f t="shared" ref="AA5:AA26" si="8">IF(AND(R3="Detrator",M3=4),1,"")</f>
        <v/>
      </c>
      <c r="AB5" s="190"/>
    </row>
    <row r="6">
      <c r="A6" s="164"/>
      <c r="B6" s="285" t="s">
        <v>179</v>
      </c>
      <c r="C6" s="286" t="s">
        <v>161</v>
      </c>
      <c r="D6" s="286">
        <v>1.0</v>
      </c>
      <c r="E6" s="286">
        <v>1.0</v>
      </c>
      <c r="F6" s="286" t="s">
        <v>180</v>
      </c>
      <c r="G6" s="289">
        <v>43208.0</v>
      </c>
      <c r="H6" s="144">
        <v>2.0</v>
      </c>
      <c r="I6" s="292">
        <v>43214.0</v>
      </c>
      <c r="J6" s="292">
        <v>43242.0</v>
      </c>
      <c r="K6" s="292"/>
      <c r="L6" s="218"/>
      <c r="M6" s="144"/>
      <c r="N6" s="286">
        <v>20.0</v>
      </c>
      <c r="O6" s="298">
        <v>335.0</v>
      </c>
      <c r="P6" s="299"/>
      <c r="Q6" s="144" t="s">
        <v>56</v>
      </c>
      <c r="R6" s="300"/>
      <c r="S6" s="302">
        <v>1544.7</v>
      </c>
      <c r="T6" s="164" t="str">
        <f t="shared" si="1"/>
        <v/>
      </c>
      <c r="U6" s="190">
        <f t="shared" si="2"/>
        <v>1</v>
      </c>
      <c r="V6" s="190" t="str">
        <f t="shared" si="3"/>
        <v/>
      </c>
      <c r="W6" s="190" t="str">
        <f t="shared" si="4"/>
        <v/>
      </c>
      <c r="X6" s="190" t="str">
        <f t="shared" si="5"/>
        <v/>
      </c>
      <c r="Y6" s="190" t="str">
        <f t="shared" si="6"/>
        <v/>
      </c>
      <c r="Z6" s="190" t="str">
        <f t="shared" si="7"/>
        <v/>
      </c>
      <c r="AA6" s="190" t="str">
        <f t="shared" si="8"/>
        <v/>
      </c>
      <c r="AB6" s="190"/>
    </row>
    <row r="7">
      <c r="A7" s="164"/>
      <c r="B7" s="127" t="s">
        <v>182</v>
      </c>
      <c r="C7" s="112" t="s">
        <v>183</v>
      </c>
      <c r="D7" s="112">
        <v>2.0</v>
      </c>
      <c r="E7" s="112">
        <v>3.0</v>
      </c>
      <c r="F7" s="318" t="s">
        <v>184</v>
      </c>
      <c r="G7" s="271">
        <v>43222.0</v>
      </c>
      <c r="H7" s="131">
        <v>2.0</v>
      </c>
      <c r="I7" s="271">
        <v>43228.0</v>
      </c>
      <c r="J7" s="271">
        <v>43283.0</v>
      </c>
      <c r="K7" s="319"/>
      <c r="L7" s="216"/>
      <c r="M7" s="131"/>
      <c r="N7" s="112">
        <v>40.0</v>
      </c>
      <c r="O7" s="298">
        <v>280.0</v>
      </c>
      <c r="P7" s="114"/>
      <c r="Q7" s="131" t="s">
        <v>67</v>
      </c>
      <c r="R7" s="112"/>
      <c r="S7" s="320">
        <v>4297.96</v>
      </c>
      <c r="T7" s="164" t="str">
        <f t="shared" si="1"/>
        <v/>
      </c>
      <c r="U7" s="190" t="str">
        <f t="shared" si="2"/>
        <v/>
      </c>
      <c r="V7" s="190" t="str">
        <f t="shared" si="3"/>
        <v/>
      </c>
      <c r="W7" s="190" t="str">
        <f t="shared" si="4"/>
        <v/>
      </c>
      <c r="X7" s="190" t="str">
        <f t="shared" si="5"/>
        <v/>
      </c>
      <c r="Y7" s="190" t="str">
        <f t="shared" si="6"/>
        <v/>
      </c>
      <c r="Z7" s="190" t="str">
        <f t="shared" si="7"/>
        <v/>
      </c>
      <c r="AA7" s="190" t="str">
        <f t="shared" si="8"/>
        <v/>
      </c>
      <c r="AB7" s="190"/>
    </row>
    <row r="8">
      <c r="A8" s="164"/>
      <c r="B8" s="285" t="s">
        <v>185</v>
      </c>
      <c r="C8" s="286" t="s">
        <v>183</v>
      </c>
      <c r="D8" s="286">
        <v>2.0</v>
      </c>
      <c r="E8" s="286">
        <v>4.0</v>
      </c>
      <c r="F8" s="322" t="s">
        <v>186</v>
      </c>
      <c r="G8" s="292">
        <v>43223.0</v>
      </c>
      <c r="H8" s="144">
        <v>2.0</v>
      </c>
      <c r="I8" s="324"/>
      <c r="J8" s="324"/>
      <c r="K8" s="324"/>
      <c r="L8" s="144"/>
      <c r="M8" s="144"/>
      <c r="N8" s="286">
        <v>59.0</v>
      </c>
      <c r="O8" s="298">
        <v>638.0</v>
      </c>
      <c r="P8" s="299"/>
      <c r="Q8" s="144" t="s">
        <v>67</v>
      </c>
      <c r="R8" s="300"/>
      <c r="S8" s="320">
        <v>4300.0</v>
      </c>
      <c r="T8" s="164" t="str">
        <f t="shared" si="1"/>
        <v/>
      </c>
      <c r="U8" s="190" t="str">
        <f t="shared" si="2"/>
        <v/>
      </c>
      <c r="V8" s="190" t="str">
        <f t="shared" si="3"/>
        <v/>
      </c>
      <c r="W8" s="190" t="str">
        <f t="shared" si="4"/>
        <v/>
      </c>
      <c r="X8" s="190" t="str">
        <f t="shared" si="5"/>
        <v/>
      </c>
      <c r="Y8" s="190" t="str">
        <f t="shared" si="6"/>
        <v/>
      </c>
      <c r="Z8" s="190" t="str">
        <f t="shared" si="7"/>
        <v/>
      </c>
      <c r="AA8" s="190" t="str">
        <f t="shared" si="8"/>
        <v/>
      </c>
      <c r="AB8" s="190"/>
    </row>
    <row r="9">
      <c r="A9" s="164"/>
      <c r="B9" s="127" t="s">
        <v>188</v>
      </c>
      <c r="C9" s="112" t="s">
        <v>161</v>
      </c>
      <c r="D9" s="112">
        <v>2.0</v>
      </c>
      <c r="E9" s="112">
        <v>2.0</v>
      </c>
      <c r="F9" s="318" t="s">
        <v>189</v>
      </c>
      <c r="G9" s="114"/>
      <c r="H9" s="131">
        <v>2.0</v>
      </c>
      <c r="I9" s="319"/>
      <c r="J9" s="319"/>
      <c r="K9" s="319"/>
      <c r="L9" s="131"/>
      <c r="M9" s="131"/>
      <c r="N9" s="114"/>
      <c r="O9" s="114"/>
      <c r="P9" s="114"/>
      <c r="Q9" s="216"/>
      <c r="R9" s="114"/>
      <c r="S9" s="328">
        <v>5000.0</v>
      </c>
      <c r="T9" s="164" t="str">
        <f t="shared" si="1"/>
        <v/>
      </c>
      <c r="U9" s="190" t="str">
        <f t="shared" si="2"/>
        <v/>
      </c>
      <c r="V9" s="190" t="str">
        <f t="shared" si="3"/>
        <v/>
      </c>
      <c r="W9" s="190" t="str">
        <f t="shared" si="4"/>
        <v/>
      </c>
      <c r="X9" s="190" t="str">
        <f t="shared" si="5"/>
        <v/>
      </c>
      <c r="Y9" s="190" t="str">
        <f t="shared" si="6"/>
        <v/>
      </c>
      <c r="Z9" s="190" t="str">
        <f t="shared" si="7"/>
        <v/>
      </c>
      <c r="AA9" s="190" t="str">
        <f t="shared" si="8"/>
        <v/>
      </c>
      <c r="AB9" s="190"/>
    </row>
    <row r="10">
      <c r="A10" s="164"/>
      <c r="B10" s="330"/>
      <c r="C10" s="299"/>
      <c r="D10" s="299"/>
      <c r="E10" s="299"/>
      <c r="F10" s="299"/>
      <c r="G10" s="299"/>
      <c r="H10" s="144"/>
      <c r="I10" s="324"/>
      <c r="J10" s="324"/>
      <c r="K10" s="324"/>
      <c r="L10" s="218"/>
      <c r="M10" s="144"/>
      <c r="N10" s="299"/>
      <c r="O10" s="299"/>
      <c r="P10" s="299"/>
      <c r="Q10" s="218"/>
      <c r="R10" s="332"/>
      <c r="S10" s="333"/>
      <c r="T10" s="164" t="str">
        <f t="shared" si="1"/>
        <v/>
      </c>
      <c r="U10" s="190" t="str">
        <f t="shared" si="2"/>
        <v/>
      </c>
      <c r="V10" s="190" t="str">
        <f t="shared" si="3"/>
        <v/>
      </c>
      <c r="W10" s="190" t="str">
        <f t="shared" si="4"/>
        <v/>
      </c>
      <c r="X10" s="190" t="str">
        <f t="shared" si="5"/>
        <v/>
      </c>
      <c r="Y10" s="190" t="str">
        <f t="shared" si="6"/>
        <v/>
      </c>
      <c r="Z10" s="190" t="str">
        <f t="shared" si="7"/>
        <v/>
      </c>
      <c r="AA10" s="190" t="str">
        <f t="shared" si="8"/>
        <v/>
      </c>
      <c r="AB10" s="190"/>
    </row>
    <row r="11">
      <c r="A11" s="164"/>
      <c r="B11" s="336"/>
      <c r="C11" s="114"/>
      <c r="D11" s="114"/>
      <c r="E11" s="114"/>
      <c r="F11" s="114"/>
      <c r="G11" s="114"/>
      <c r="H11" s="131"/>
      <c r="I11" s="319"/>
      <c r="J11" s="319"/>
      <c r="K11" s="319"/>
      <c r="L11" s="216"/>
      <c r="M11" s="131"/>
      <c r="N11" s="114"/>
      <c r="O11" s="114"/>
      <c r="P11" s="114"/>
      <c r="Q11" s="216"/>
      <c r="R11" s="114"/>
      <c r="S11" s="118"/>
      <c r="T11" s="164" t="str">
        <f t="shared" si="1"/>
        <v/>
      </c>
      <c r="U11" s="190" t="str">
        <f t="shared" si="2"/>
        <v/>
      </c>
      <c r="V11" s="190" t="str">
        <f t="shared" si="3"/>
        <v/>
      </c>
      <c r="W11" s="190" t="str">
        <f t="shared" si="4"/>
        <v/>
      </c>
      <c r="X11" s="190" t="str">
        <f t="shared" si="5"/>
        <v/>
      </c>
      <c r="Y11" s="190" t="str">
        <f t="shared" si="6"/>
        <v/>
      </c>
      <c r="Z11" s="190" t="str">
        <f t="shared" si="7"/>
        <v/>
      </c>
      <c r="AA11" s="190" t="str">
        <f t="shared" si="8"/>
        <v/>
      </c>
      <c r="AB11" s="190"/>
    </row>
    <row r="12">
      <c r="A12" s="164"/>
      <c r="B12" s="330"/>
      <c r="C12" s="299"/>
      <c r="D12" s="299"/>
      <c r="E12" s="299"/>
      <c r="F12" s="299"/>
      <c r="G12" s="299"/>
      <c r="H12" s="144"/>
      <c r="I12" s="324"/>
      <c r="J12" s="324"/>
      <c r="K12" s="324"/>
      <c r="L12" s="218"/>
      <c r="M12" s="144"/>
      <c r="N12" s="299"/>
      <c r="O12" s="299"/>
      <c r="P12" s="299"/>
      <c r="Q12" s="218"/>
      <c r="R12" s="332"/>
      <c r="S12" s="333"/>
      <c r="T12" s="164" t="str">
        <f t="shared" si="1"/>
        <v/>
      </c>
      <c r="U12" s="190" t="str">
        <f t="shared" si="2"/>
        <v/>
      </c>
      <c r="V12" s="190" t="str">
        <f t="shared" si="3"/>
        <v/>
      </c>
      <c r="W12" s="190" t="str">
        <f t="shared" si="4"/>
        <v/>
      </c>
      <c r="X12" s="190" t="str">
        <f t="shared" si="5"/>
        <v/>
      </c>
      <c r="Y12" s="190" t="str">
        <f t="shared" si="6"/>
        <v/>
      </c>
      <c r="Z12" s="190" t="str">
        <f t="shared" si="7"/>
        <v/>
      </c>
      <c r="AA12" s="190" t="str">
        <f t="shared" si="8"/>
        <v/>
      </c>
      <c r="AB12" s="190"/>
    </row>
    <row r="13">
      <c r="A13" s="164"/>
      <c r="B13" s="336"/>
      <c r="C13" s="114"/>
      <c r="D13" s="114"/>
      <c r="E13" s="114"/>
      <c r="F13" s="114"/>
      <c r="G13" s="114"/>
      <c r="H13" s="131"/>
      <c r="I13" s="319"/>
      <c r="J13" s="319"/>
      <c r="K13" s="319"/>
      <c r="L13" s="216"/>
      <c r="M13" s="131"/>
      <c r="N13" s="114"/>
      <c r="O13" s="114"/>
      <c r="P13" s="114"/>
      <c r="Q13" s="216"/>
      <c r="R13" s="114"/>
      <c r="S13" s="118"/>
      <c r="T13" s="164" t="str">
        <f t="shared" si="1"/>
        <v/>
      </c>
      <c r="U13" s="190" t="str">
        <f t="shared" si="2"/>
        <v/>
      </c>
      <c r="V13" s="190" t="str">
        <f t="shared" si="3"/>
        <v/>
      </c>
      <c r="W13" s="190" t="str">
        <f t="shared" si="4"/>
        <v/>
      </c>
      <c r="X13" s="190" t="str">
        <f t="shared" si="5"/>
        <v/>
      </c>
      <c r="Y13" s="190" t="str">
        <f t="shared" si="6"/>
        <v/>
      </c>
      <c r="Z13" s="190" t="str">
        <f t="shared" si="7"/>
        <v/>
      </c>
      <c r="AA13" s="190" t="str">
        <f t="shared" si="8"/>
        <v/>
      </c>
      <c r="AB13" s="190"/>
    </row>
    <row r="14">
      <c r="A14" s="164"/>
      <c r="B14" s="330"/>
      <c r="C14" s="299"/>
      <c r="D14" s="299"/>
      <c r="E14" s="299"/>
      <c r="F14" s="299"/>
      <c r="G14" s="299"/>
      <c r="H14" s="144"/>
      <c r="I14" s="324"/>
      <c r="J14" s="324"/>
      <c r="K14" s="324"/>
      <c r="L14" s="218"/>
      <c r="M14" s="144"/>
      <c r="N14" s="299"/>
      <c r="O14" s="299"/>
      <c r="P14" s="299"/>
      <c r="Q14" s="218"/>
      <c r="R14" s="332"/>
      <c r="S14" s="333"/>
      <c r="T14" s="164" t="str">
        <f t="shared" si="1"/>
        <v/>
      </c>
      <c r="U14" s="190" t="str">
        <f t="shared" si="2"/>
        <v/>
      </c>
      <c r="V14" s="190" t="str">
        <f t="shared" si="3"/>
        <v/>
      </c>
      <c r="W14" s="190" t="str">
        <f t="shared" si="4"/>
        <v/>
      </c>
      <c r="X14" s="190" t="str">
        <f t="shared" si="5"/>
        <v/>
      </c>
      <c r="Y14" s="190" t="str">
        <f t="shared" si="6"/>
        <v/>
      </c>
      <c r="Z14" s="190" t="str">
        <f t="shared" si="7"/>
        <v/>
      </c>
      <c r="AA14" s="190" t="str">
        <f t="shared" si="8"/>
        <v/>
      </c>
      <c r="AB14" s="190"/>
    </row>
    <row r="15">
      <c r="A15" s="164"/>
      <c r="B15" s="336"/>
      <c r="C15" s="114"/>
      <c r="D15" s="114"/>
      <c r="E15" s="114"/>
      <c r="F15" s="114"/>
      <c r="G15" s="114"/>
      <c r="H15" s="131"/>
      <c r="I15" s="319"/>
      <c r="J15" s="319"/>
      <c r="K15" s="319"/>
      <c r="L15" s="216"/>
      <c r="M15" s="131"/>
      <c r="N15" s="114"/>
      <c r="O15" s="114"/>
      <c r="P15" s="114"/>
      <c r="Q15" s="216"/>
      <c r="R15" s="114"/>
      <c r="S15" s="118"/>
      <c r="T15" s="164" t="str">
        <f t="shared" si="1"/>
        <v/>
      </c>
      <c r="U15" s="190" t="str">
        <f t="shared" si="2"/>
        <v/>
      </c>
      <c r="V15" s="190" t="str">
        <f t="shared" si="3"/>
        <v/>
      </c>
      <c r="W15" s="190" t="str">
        <f t="shared" si="4"/>
        <v/>
      </c>
      <c r="X15" s="190" t="str">
        <f t="shared" si="5"/>
        <v/>
      </c>
      <c r="Y15" s="190" t="str">
        <f t="shared" si="6"/>
        <v/>
      </c>
      <c r="Z15" s="190" t="str">
        <f t="shared" si="7"/>
        <v/>
      </c>
      <c r="AA15" s="190" t="str">
        <f t="shared" si="8"/>
        <v/>
      </c>
      <c r="AB15" s="190"/>
    </row>
    <row r="16">
      <c r="A16" s="164"/>
      <c r="B16" s="330"/>
      <c r="C16" s="299"/>
      <c r="D16" s="299"/>
      <c r="E16" s="299"/>
      <c r="F16" s="299"/>
      <c r="G16" s="299"/>
      <c r="H16" s="144"/>
      <c r="I16" s="324"/>
      <c r="J16" s="324"/>
      <c r="K16" s="324"/>
      <c r="L16" s="218"/>
      <c r="M16" s="144"/>
      <c r="N16" s="299"/>
      <c r="O16" s="299"/>
      <c r="P16" s="299"/>
      <c r="Q16" s="218"/>
      <c r="R16" s="332"/>
      <c r="S16" s="333"/>
      <c r="T16" s="164" t="str">
        <f t="shared" si="1"/>
        <v/>
      </c>
      <c r="U16" s="190" t="str">
        <f t="shared" si="2"/>
        <v/>
      </c>
      <c r="V16" s="190" t="str">
        <f t="shared" si="3"/>
        <v/>
      </c>
      <c r="W16" s="190" t="str">
        <f t="shared" si="4"/>
        <v/>
      </c>
      <c r="X16" s="190" t="str">
        <f t="shared" si="5"/>
        <v/>
      </c>
      <c r="Y16" s="190" t="str">
        <f t="shared" si="6"/>
        <v/>
      </c>
      <c r="Z16" s="190" t="str">
        <f t="shared" si="7"/>
        <v/>
      </c>
      <c r="AA16" s="190" t="str">
        <f t="shared" si="8"/>
        <v/>
      </c>
      <c r="AB16" s="190"/>
    </row>
    <row r="17">
      <c r="A17" s="164"/>
      <c r="B17" s="336"/>
      <c r="C17" s="114"/>
      <c r="D17" s="114"/>
      <c r="E17" s="114"/>
      <c r="F17" s="114"/>
      <c r="G17" s="114"/>
      <c r="H17" s="131"/>
      <c r="I17" s="319"/>
      <c r="J17" s="319"/>
      <c r="K17" s="319"/>
      <c r="L17" s="216"/>
      <c r="M17" s="131"/>
      <c r="N17" s="114"/>
      <c r="O17" s="114"/>
      <c r="P17" s="114"/>
      <c r="Q17" s="216"/>
      <c r="R17" s="114"/>
      <c r="S17" s="118"/>
      <c r="T17" s="164" t="str">
        <f t="shared" si="1"/>
        <v/>
      </c>
      <c r="U17" s="190" t="str">
        <f t="shared" si="2"/>
        <v/>
      </c>
      <c r="V17" s="190" t="str">
        <f t="shared" si="3"/>
        <v/>
      </c>
      <c r="W17" s="190" t="str">
        <f t="shared" si="4"/>
        <v/>
      </c>
      <c r="X17" s="190" t="str">
        <f t="shared" si="5"/>
        <v/>
      </c>
      <c r="Y17" s="190" t="str">
        <f t="shared" si="6"/>
        <v/>
      </c>
      <c r="Z17" s="190" t="str">
        <f t="shared" si="7"/>
        <v/>
      </c>
      <c r="AA17" s="190" t="str">
        <f t="shared" si="8"/>
        <v/>
      </c>
      <c r="AB17" s="190"/>
    </row>
    <row r="18">
      <c r="A18" s="164"/>
      <c r="B18" s="330"/>
      <c r="C18" s="299"/>
      <c r="D18" s="299"/>
      <c r="E18" s="299"/>
      <c r="F18" s="299"/>
      <c r="G18" s="299"/>
      <c r="H18" s="144"/>
      <c r="I18" s="324"/>
      <c r="J18" s="324"/>
      <c r="K18" s="324"/>
      <c r="L18" s="218"/>
      <c r="M18" s="144"/>
      <c r="N18" s="299"/>
      <c r="O18" s="299"/>
      <c r="P18" s="299"/>
      <c r="Q18" s="218"/>
      <c r="R18" s="332"/>
      <c r="S18" s="333"/>
      <c r="T18" s="164" t="str">
        <f t="shared" si="1"/>
        <v/>
      </c>
      <c r="U18" s="190" t="str">
        <f t="shared" si="2"/>
        <v/>
      </c>
      <c r="V18" s="190" t="str">
        <f t="shared" si="3"/>
        <v/>
      </c>
      <c r="W18" s="190" t="str">
        <f t="shared" si="4"/>
        <v/>
      </c>
      <c r="X18" s="190" t="str">
        <f t="shared" si="5"/>
        <v/>
      </c>
      <c r="Y18" s="190" t="str">
        <f t="shared" si="6"/>
        <v/>
      </c>
      <c r="Z18" s="190" t="str">
        <f t="shared" si="7"/>
        <v/>
      </c>
      <c r="AA18" s="190" t="str">
        <f t="shared" si="8"/>
        <v/>
      </c>
      <c r="AB18" s="190"/>
    </row>
    <row r="19">
      <c r="A19" s="164"/>
      <c r="B19" s="336"/>
      <c r="C19" s="114"/>
      <c r="D19" s="114"/>
      <c r="E19" s="114"/>
      <c r="F19" s="114"/>
      <c r="G19" s="114"/>
      <c r="H19" s="131"/>
      <c r="I19" s="319"/>
      <c r="J19" s="319"/>
      <c r="K19" s="319"/>
      <c r="L19" s="216"/>
      <c r="M19" s="131"/>
      <c r="N19" s="114"/>
      <c r="O19" s="114"/>
      <c r="P19" s="114"/>
      <c r="Q19" s="216"/>
      <c r="R19" s="114"/>
      <c r="S19" s="118"/>
      <c r="T19" s="164" t="str">
        <f t="shared" si="1"/>
        <v/>
      </c>
      <c r="U19" s="190" t="str">
        <f t="shared" si="2"/>
        <v/>
      </c>
      <c r="V19" s="190" t="str">
        <f t="shared" si="3"/>
        <v/>
      </c>
      <c r="W19" s="190" t="str">
        <f t="shared" si="4"/>
        <v/>
      </c>
      <c r="X19" s="190" t="str">
        <f t="shared" si="5"/>
        <v/>
      </c>
      <c r="Y19" s="190" t="str">
        <f t="shared" si="6"/>
        <v/>
      </c>
      <c r="Z19" s="190" t="str">
        <f t="shared" si="7"/>
        <v/>
      </c>
      <c r="AA19" s="190" t="str">
        <f t="shared" si="8"/>
        <v/>
      </c>
      <c r="AB19" s="190"/>
    </row>
    <row r="20">
      <c r="A20" s="164"/>
      <c r="B20" s="330"/>
      <c r="C20" s="299"/>
      <c r="D20" s="299"/>
      <c r="E20" s="299"/>
      <c r="F20" s="299"/>
      <c r="G20" s="299"/>
      <c r="H20" s="144"/>
      <c r="I20" s="324"/>
      <c r="J20" s="324"/>
      <c r="K20" s="324"/>
      <c r="L20" s="218"/>
      <c r="M20" s="144"/>
      <c r="N20" s="299"/>
      <c r="O20" s="299"/>
      <c r="P20" s="299"/>
      <c r="Q20" s="218"/>
      <c r="R20" s="332"/>
      <c r="S20" s="333"/>
      <c r="T20" s="164" t="str">
        <f t="shared" si="1"/>
        <v/>
      </c>
      <c r="U20" s="190" t="str">
        <f t="shared" si="2"/>
        <v/>
      </c>
      <c r="V20" s="190" t="str">
        <f t="shared" si="3"/>
        <v/>
      </c>
      <c r="W20" s="190" t="str">
        <f t="shared" si="4"/>
        <v/>
      </c>
      <c r="X20" s="190" t="str">
        <f t="shared" si="5"/>
        <v/>
      </c>
      <c r="Y20" s="190" t="str">
        <f t="shared" si="6"/>
        <v/>
      </c>
      <c r="Z20" s="190" t="str">
        <f t="shared" si="7"/>
        <v/>
      </c>
      <c r="AA20" s="190" t="str">
        <f t="shared" si="8"/>
        <v/>
      </c>
      <c r="AB20" s="190"/>
    </row>
    <row r="21">
      <c r="A21" s="164"/>
      <c r="B21" s="336"/>
      <c r="C21" s="114"/>
      <c r="D21" s="114"/>
      <c r="E21" s="114"/>
      <c r="F21" s="114"/>
      <c r="G21" s="114"/>
      <c r="H21" s="131"/>
      <c r="I21" s="319"/>
      <c r="J21" s="319"/>
      <c r="K21" s="319"/>
      <c r="L21" s="216"/>
      <c r="M21" s="131"/>
      <c r="N21" s="114"/>
      <c r="O21" s="114"/>
      <c r="P21" s="114"/>
      <c r="Q21" s="216"/>
      <c r="R21" s="114"/>
      <c r="S21" s="118"/>
      <c r="T21" s="164" t="str">
        <f t="shared" si="1"/>
        <v/>
      </c>
      <c r="U21" s="190" t="str">
        <f t="shared" si="2"/>
        <v/>
      </c>
      <c r="V21" s="190" t="str">
        <f t="shared" si="3"/>
        <v/>
      </c>
      <c r="W21" s="190" t="str">
        <f t="shared" si="4"/>
        <v/>
      </c>
      <c r="X21" s="190" t="str">
        <f t="shared" si="5"/>
        <v/>
      </c>
      <c r="Y21" s="190" t="str">
        <f t="shared" si="6"/>
        <v/>
      </c>
      <c r="Z21" s="190" t="str">
        <f t="shared" si="7"/>
        <v/>
      </c>
      <c r="AA21" s="190" t="str">
        <f t="shared" si="8"/>
        <v/>
      </c>
      <c r="AB21" s="190"/>
    </row>
    <row r="22">
      <c r="A22" s="164"/>
      <c r="B22" s="330"/>
      <c r="C22" s="299"/>
      <c r="D22" s="299"/>
      <c r="E22" s="299"/>
      <c r="F22" s="299"/>
      <c r="G22" s="299"/>
      <c r="H22" s="144"/>
      <c r="I22" s="324"/>
      <c r="J22" s="324"/>
      <c r="K22" s="324"/>
      <c r="L22" s="218"/>
      <c r="M22" s="144"/>
      <c r="N22" s="299"/>
      <c r="O22" s="299"/>
      <c r="P22" s="299"/>
      <c r="Q22" s="218"/>
      <c r="R22" s="332"/>
      <c r="S22" s="333"/>
      <c r="T22" s="164" t="str">
        <f t="shared" si="1"/>
        <v/>
      </c>
      <c r="U22" s="190" t="str">
        <f t="shared" si="2"/>
        <v/>
      </c>
      <c r="V22" s="190" t="str">
        <f t="shared" si="3"/>
        <v/>
      </c>
      <c r="W22" s="190" t="str">
        <f t="shared" si="4"/>
        <v/>
      </c>
      <c r="X22" s="190" t="str">
        <f t="shared" si="5"/>
        <v/>
      </c>
      <c r="Y22" s="190" t="str">
        <f t="shared" si="6"/>
        <v/>
      </c>
      <c r="Z22" s="190" t="str">
        <f t="shared" si="7"/>
        <v/>
      </c>
      <c r="AA22" s="190" t="str">
        <f t="shared" si="8"/>
        <v/>
      </c>
      <c r="AB22" s="190"/>
    </row>
    <row r="23">
      <c r="A23" s="164"/>
      <c r="B23" s="336"/>
      <c r="C23" s="114"/>
      <c r="D23" s="114"/>
      <c r="E23" s="114"/>
      <c r="F23" s="114"/>
      <c r="G23" s="114"/>
      <c r="H23" s="131"/>
      <c r="I23" s="319"/>
      <c r="J23" s="319"/>
      <c r="K23" s="319"/>
      <c r="L23" s="216"/>
      <c r="M23" s="131"/>
      <c r="N23" s="114"/>
      <c r="O23" s="114"/>
      <c r="P23" s="114"/>
      <c r="Q23" s="216"/>
      <c r="R23" s="114"/>
      <c r="S23" s="118"/>
      <c r="T23" s="164" t="str">
        <f t="shared" si="1"/>
        <v/>
      </c>
      <c r="U23" s="190" t="str">
        <f t="shared" si="2"/>
        <v/>
      </c>
      <c r="V23" s="190" t="str">
        <f t="shared" si="3"/>
        <v/>
      </c>
      <c r="W23" s="190" t="str">
        <f t="shared" si="4"/>
        <v/>
      </c>
      <c r="X23" s="190" t="str">
        <f t="shared" si="5"/>
        <v/>
      </c>
      <c r="Y23" s="190" t="str">
        <f t="shared" si="6"/>
        <v/>
      </c>
      <c r="Z23" s="190" t="str">
        <f t="shared" si="7"/>
        <v/>
      </c>
      <c r="AA23" s="190" t="str">
        <f t="shared" si="8"/>
        <v/>
      </c>
      <c r="AB23" s="190"/>
    </row>
    <row r="24">
      <c r="A24" s="176" t="s">
        <v>192</v>
      </c>
      <c r="B24" s="346"/>
      <c r="C24" s="347"/>
      <c r="D24" s="347"/>
      <c r="E24" s="347"/>
      <c r="F24" s="347"/>
      <c r="G24" s="347"/>
      <c r="H24" s="348"/>
      <c r="I24" s="349"/>
      <c r="J24" s="349"/>
      <c r="K24" s="349"/>
      <c r="L24" s="241"/>
      <c r="M24" s="348"/>
      <c r="N24" s="347"/>
      <c r="O24" s="347"/>
      <c r="P24" s="347"/>
      <c r="Q24" s="241"/>
      <c r="R24" s="350"/>
      <c r="S24" s="351"/>
      <c r="T24" s="164" t="str">
        <f t="shared" si="1"/>
        <v/>
      </c>
      <c r="U24" s="190" t="str">
        <f t="shared" si="2"/>
        <v/>
      </c>
      <c r="V24" s="190" t="str">
        <f t="shared" si="3"/>
        <v/>
      </c>
      <c r="W24" s="190" t="str">
        <f t="shared" si="4"/>
        <v/>
      </c>
      <c r="X24" s="190" t="str">
        <f t="shared" si="5"/>
        <v/>
      </c>
      <c r="Y24" s="190" t="str">
        <f t="shared" si="6"/>
        <v/>
      </c>
      <c r="Z24" s="190" t="str">
        <f t="shared" si="7"/>
        <v/>
      </c>
      <c r="AA24" s="190" t="str">
        <f t="shared" si="8"/>
        <v/>
      </c>
      <c r="AB24" s="164"/>
    </row>
    <row r="25">
      <c r="A25" s="164" t="str">
        <f t="shared" ref="A25:A46" si="9">IF(H3=1,D3+1,"")</f>
        <v/>
      </c>
      <c r="B25" s="190" t="str">
        <f t="shared" ref="B25:B46" si="10">IF(H3=2,D3+1,"")</f>
        <v/>
      </c>
      <c r="C25" s="190" t="str">
        <f t="shared" ref="C25:C46" si="11">IF(H3=3,D3+1,"")</f>
        <v/>
      </c>
      <c r="D25" s="190" t="str">
        <f t="shared" ref="D25:D46" si="12">IF(H3=4,D3+1,"")</f>
        <v/>
      </c>
      <c r="E25" s="176" t="s">
        <v>146</v>
      </c>
      <c r="F25" s="176" t="s">
        <v>84</v>
      </c>
      <c r="G25" s="176" t="s">
        <v>86</v>
      </c>
      <c r="H25" s="176" t="s">
        <v>87</v>
      </c>
      <c r="I25" s="176" t="s">
        <v>146</v>
      </c>
      <c r="J25" s="176" t="s">
        <v>84</v>
      </c>
      <c r="K25" s="176" t="s">
        <v>86</v>
      </c>
      <c r="L25" s="176"/>
      <c r="M25" s="176"/>
      <c r="N25" s="176" t="s">
        <v>87</v>
      </c>
      <c r="O25" s="176" t="s">
        <v>193</v>
      </c>
      <c r="P25" s="164"/>
      <c r="Q25" s="164"/>
      <c r="R25" s="164"/>
      <c r="S25" s="164"/>
      <c r="T25" s="164" t="str">
        <f t="shared" si="1"/>
        <v/>
      </c>
      <c r="U25" s="190" t="str">
        <f t="shared" si="2"/>
        <v/>
      </c>
      <c r="V25" s="190" t="str">
        <f t="shared" si="3"/>
        <v/>
      </c>
      <c r="W25" s="190" t="str">
        <f t="shared" si="4"/>
        <v/>
      </c>
      <c r="X25" s="190" t="str">
        <f t="shared" si="5"/>
        <v/>
      </c>
      <c r="Y25" s="190" t="str">
        <f t="shared" si="6"/>
        <v/>
      </c>
      <c r="Z25" s="190" t="str">
        <f t="shared" si="7"/>
        <v/>
      </c>
      <c r="AA25" s="190" t="str">
        <f t="shared" si="8"/>
        <v/>
      </c>
      <c r="AB25" s="164"/>
    </row>
    <row r="26">
      <c r="A26" s="164">
        <f t="shared" si="9"/>
        <v>3</v>
      </c>
      <c r="B26" s="190" t="str">
        <f t="shared" si="10"/>
        <v/>
      </c>
      <c r="C26" s="190" t="str">
        <f t="shared" si="11"/>
        <v/>
      </c>
      <c r="D26" s="190" t="str">
        <f t="shared" si="12"/>
        <v/>
      </c>
      <c r="E26" s="164" t="str">
        <f t="shared" ref="E26:E46" si="13">IF(H3=1,E3,"")</f>
        <v/>
      </c>
      <c r="F26" s="190" t="str">
        <f t="shared" ref="F26:F46" si="14">IF(H3=2,E3,"")</f>
        <v/>
      </c>
      <c r="G26" s="190" t="str">
        <f t="shared" ref="G26:G46" si="15">IF(H3=3,E3,"")</f>
        <v/>
      </c>
      <c r="H26" s="190" t="str">
        <f t="shared" ref="H26:H46" si="16">IF(H3=4,E3,"")</f>
        <v/>
      </c>
      <c r="I26" s="190" t="str">
        <f t="shared" ref="I26:I46" si="17">IF(H3=1,S3,"")</f>
        <v/>
      </c>
      <c r="J26" s="190" t="str">
        <f t="shared" ref="J26:J46" si="18">IF(H3=2,S3,"")</f>
        <v/>
      </c>
      <c r="K26" s="190" t="str">
        <f t="shared" ref="K26:K46" si="19">IF(H3=3,S3,"")</f>
        <v/>
      </c>
      <c r="L26" s="190"/>
      <c r="M26" s="190"/>
      <c r="N26" s="190" t="str">
        <f t="shared" ref="N26:N46" si="20">IF(H3=4,S3,"")</f>
        <v/>
      </c>
      <c r="O26" s="176" t="s">
        <v>146</v>
      </c>
      <c r="P26" s="176" t="s">
        <v>84</v>
      </c>
      <c r="Q26" s="176" t="s">
        <v>86</v>
      </c>
      <c r="R26" s="176" t="s">
        <v>87</v>
      </c>
      <c r="S26" s="176" t="s">
        <v>194</v>
      </c>
      <c r="T26" s="164" t="str">
        <f t="shared" si="1"/>
        <v/>
      </c>
      <c r="U26" s="190" t="str">
        <f t="shared" si="2"/>
        <v/>
      </c>
      <c r="V26" s="190" t="str">
        <f t="shared" si="3"/>
        <v/>
      </c>
      <c r="W26" s="190" t="str">
        <f t="shared" si="4"/>
        <v/>
      </c>
      <c r="X26" s="190" t="str">
        <f t="shared" si="5"/>
        <v/>
      </c>
      <c r="Y26" s="190" t="str">
        <f t="shared" si="6"/>
        <v/>
      </c>
      <c r="Z26" s="190" t="str">
        <f t="shared" si="7"/>
        <v/>
      </c>
      <c r="AA26" s="190" t="str">
        <f t="shared" si="8"/>
        <v/>
      </c>
      <c r="AB26" s="164"/>
    </row>
    <row r="27">
      <c r="A27" s="164" t="str">
        <f t="shared" si="9"/>
        <v/>
      </c>
      <c r="B27" s="190">
        <f t="shared" si="10"/>
        <v>3</v>
      </c>
      <c r="C27" s="190" t="str">
        <f t="shared" si="11"/>
        <v/>
      </c>
      <c r="D27" s="190" t="str">
        <f t="shared" si="12"/>
        <v/>
      </c>
      <c r="E27" s="164">
        <f t="shared" si="13"/>
        <v>3</v>
      </c>
      <c r="F27" s="190" t="str">
        <f t="shared" si="14"/>
        <v/>
      </c>
      <c r="G27" s="190" t="str">
        <f t="shared" si="15"/>
        <v/>
      </c>
      <c r="H27" s="190" t="str">
        <f t="shared" si="16"/>
        <v/>
      </c>
      <c r="I27" s="356">
        <f t="shared" si="17"/>
        <v>4090.98</v>
      </c>
      <c r="J27" s="190" t="str">
        <f t="shared" si="18"/>
        <v/>
      </c>
      <c r="K27" s="190" t="str">
        <f t="shared" si="19"/>
        <v/>
      </c>
      <c r="L27" s="190"/>
      <c r="M27" s="190"/>
      <c r="N27" s="190" t="str">
        <f t="shared" si="20"/>
        <v/>
      </c>
      <c r="O27" s="164" t="str">
        <f t="shared" ref="O27:O48" si="22">IF(H3=1,N3,"")</f>
        <v/>
      </c>
      <c r="P27" s="190" t="str">
        <f t="shared" ref="P27:P48" si="23">IF(H3=2,N3,"")</f>
        <v/>
      </c>
      <c r="Q27" s="190" t="str">
        <f t="shared" ref="Q27:Q48" si="24">IF(H3=3,N3,"")</f>
        <v/>
      </c>
      <c r="R27" s="190" t="str">
        <f t="shared" ref="R27:R48" si="25">IF(H3=4,N3,"")</f>
        <v/>
      </c>
      <c r="S27" s="176" t="s">
        <v>196</v>
      </c>
      <c r="T27" s="164">
        <f t="shared" ref="T27:AA27" si="21">SUM(T5:T26)</f>
        <v>1</v>
      </c>
      <c r="U27" s="164">
        <f t="shared" si="21"/>
        <v>1</v>
      </c>
      <c r="V27" s="164">
        <f t="shared" si="21"/>
        <v>0</v>
      </c>
      <c r="W27" s="164">
        <f t="shared" si="21"/>
        <v>0</v>
      </c>
      <c r="X27" s="164">
        <f t="shared" si="21"/>
        <v>0</v>
      </c>
      <c r="Y27" s="164">
        <f t="shared" si="21"/>
        <v>0</v>
      </c>
      <c r="Z27" s="164">
        <f t="shared" si="21"/>
        <v>0</v>
      </c>
      <c r="AA27" s="164">
        <f t="shared" si="21"/>
        <v>0</v>
      </c>
      <c r="AB27" s="164"/>
    </row>
    <row r="28">
      <c r="A28" s="164" t="str">
        <f t="shared" si="9"/>
        <v/>
      </c>
      <c r="B28" s="190">
        <f t="shared" si="10"/>
        <v>2</v>
      </c>
      <c r="C28" s="190" t="str">
        <f t="shared" si="11"/>
        <v/>
      </c>
      <c r="D28" s="190" t="str">
        <f t="shared" si="12"/>
        <v/>
      </c>
      <c r="E28" s="164" t="str">
        <f t="shared" si="13"/>
        <v/>
      </c>
      <c r="F28" s="190">
        <f t="shared" si="14"/>
        <v>3</v>
      </c>
      <c r="G28" s="190" t="str">
        <f t="shared" si="15"/>
        <v/>
      </c>
      <c r="H28" s="190" t="str">
        <f t="shared" si="16"/>
        <v/>
      </c>
      <c r="I28" s="190" t="str">
        <f t="shared" si="17"/>
        <v/>
      </c>
      <c r="J28" s="356">
        <f t="shared" si="18"/>
        <v>6220.19</v>
      </c>
      <c r="K28" s="190" t="str">
        <f t="shared" si="19"/>
        <v/>
      </c>
      <c r="L28" s="190"/>
      <c r="M28" s="190"/>
      <c r="N28" s="190" t="str">
        <f t="shared" si="20"/>
        <v/>
      </c>
      <c r="O28" s="164">
        <f t="shared" si="22"/>
        <v>35</v>
      </c>
      <c r="P28" s="190" t="str">
        <f t="shared" si="23"/>
        <v/>
      </c>
      <c r="Q28" s="190" t="str">
        <f t="shared" si="24"/>
        <v/>
      </c>
      <c r="R28" s="190" t="str">
        <f t="shared" si="25"/>
        <v/>
      </c>
      <c r="S28" s="176" t="s">
        <v>198</v>
      </c>
      <c r="T28" s="164"/>
      <c r="U28" s="164"/>
      <c r="V28" s="164"/>
      <c r="W28" s="164"/>
      <c r="X28" s="164"/>
      <c r="Y28" s="164"/>
      <c r="Z28" s="164"/>
      <c r="AA28" s="164"/>
      <c r="AB28" s="164"/>
    </row>
    <row r="29">
      <c r="A29" s="164" t="str">
        <f t="shared" si="9"/>
        <v/>
      </c>
      <c r="B29" s="190">
        <f t="shared" si="10"/>
        <v>3</v>
      </c>
      <c r="C29" s="190" t="str">
        <f t="shared" si="11"/>
        <v/>
      </c>
      <c r="D29" s="190" t="str">
        <f t="shared" si="12"/>
        <v/>
      </c>
      <c r="E29" s="164" t="str">
        <f t="shared" si="13"/>
        <v/>
      </c>
      <c r="F29" s="190">
        <f t="shared" si="14"/>
        <v>1</v>
      </c>
      <c r="G29" s="190" t="str">
        <f t="shared" si="15"/>
        <v/>
      </c>
      <c r="H29" s="190" t="str">
        <f t="shared" si="16"/>
        <v/>
      </c>
      <c r="I29" s="190" t="str">
        <f t="shared" si="17"/>
        <v/>
      </c>
      <c r="J29" s="356">
        <f t="shared" si="18"/>
        <v>1544.7</v>
      </c>
      <c r="K29" s="190" t="str">
        <f t="shared" si="19"/>
        <v/>
      </c>
      <c r="L29" s="190"/>
      <c r="M29" s="190"/>
      <c r="N29" s="190" t="str">
        <f t="shared" si="20"/>
        <v/>
      </c>
      <c r="O29" s="164" t="str">
        <f t="shared" si="22"/>
        <v/>
      </c>
      <c r="P29" s="190">
        <f t="shared" si="23"/>
        <v>68</v>
      </c>
      <c r="Q29" s="190" t="str">
        <f t="shared" si="24"/>
        <v/>
      </c>
      <c r="R29" s="190" t="str">
        <f t="shared" si="25"/>
        <v/>
      </c>
      <c r="S29" s="176" t="s">
        <v>199</v>
      </c>
      <c r="T29" s="176" t="s">
        <v>84</v>
      </c>
      <c r="U29" s="176" t="s">
        <v>86</v>
      </c>
      <c r="V29" s="176" t="s">
        <v>87</v>
      </c>
      <c r="W29" s="164"/>
      <c r="X29" s="164"/>
      <c r="Y29" s="164"/>
      <c r="Z29" s="164"/>
      <c r="AA29" s="164"/>
      <c r="AB29" s="164"/>
    </row>
    <row r="30">
      <c r="A30" s="164" t="str">
        <f t="shared" si="9"/>
        <v/>
      </c>
      <c r="B30" s="190">
        <f t="shared" si="10"/>
        <v>3</v>
      </c>
      <c r="C30" s="190" t="str">
        <f t="shared" si="11"/>
        <v/>
      </c>
      <c r="D30" s="190" t="str">
        <f t="shared" si="12"/>
        <v/>
      </c>
      <c r="E30" s="164" t="str">
        <f t="shared" si="13"/>
        <v/>
      </c>
      <c r="F30" s="190">
        <f t="shared" si="14"/>
        <v>3</v>
      </c>
      <c r="G30" s="190" t="str">
        <f t="shared" si="15"/>
        <v/>
      </c>
      <c r="H30" s="190" t="str">
        <f t="shared" si="16"/>
        <v/>
      </c>
      <c r="I30" s="190" t="str">
        <f t="shared" si="17"/>
        <v/>
      </c>
      <c r="J30" s="357">
        <f t="shared" si="18"/>
        <v>4297.96</v>
      </c>
      <c r="K30" s="190" t="str">
        <f t="shared" si="19"/>
        <v/>
      </c>
      <c r="L30" s="190"/>
      <c r="M30" s="190"/>
      <c r="N30" s="190" t="str">
        <f t="shared" si="20"/>
        <v/>
      </c>
      <c r="O30" s="164" t="str">
        <f t="shared" si="22"/>
        <v/>
      </c>
      <c r="P30" s="190">
        <f t="shared" si="23"/>
        <v>20</v>
      </c>
      <c r="Q30" s="190" t="str">
        <f t="shared" si="24"/>
        <v/>
      </c>
      <c r="R30" s="190" t="str">
        <f t="shared" si="25"/>
        <v/>
      </c>
      <c r="S30" s="164" t="str">
        <f t="shared" ref="S30:S51" si="26">IF(AND(M3=1,P3&lt;=1.1*O3,P3&lt;&gt;""),1,"")</f>
        <v/>
      </c>
      <c r="T30" s="190" t="str">
        <f t="shared" ref="T30:T51" si="27">IF(AND(M3=2,P3&lt;=1.1*O3,P3&lt;&gt;""),1,"")</f>
        <v/>
      </c>
      <c r="U30" s="190" t="str">
        <f t="shared" ref="U30:U51" si="28">IF(AND(M3=3,P3&lt;=1.1*O3,P3&lt;&gt;""),1,"")</f>
        <v/>
      </c>
      <c r="V30" s="190" t="str">
        <f t="shared" ref="V30:V51" si="29">IF(AND(M3=4,P3&lt;=1.1*O3,P3&lt;&gt;""),1,"")</f>
        <v/>
      </c>
      <c r="W30" s="164"/>
      <c r="X30" s="164"/>
      <c r="Y30" s="164"/>
      <c r="Z30" s="164"/>
      <c r="AA30" s="164"/>
      <c r="AB30" s="164"/>
    </row>
    <row r="31">
      <c r="A31" s="164" t="str">
        <f t="shared" si="9"/>
        <v/>
      </c>
      <c r="B31" s="190">
        <f t="shared" si="10"/>
        <v>3</v>
      </c>
      <c r="C31" s="190" t="str">
        <f t="shared" si="11"/>
        <v/>
      </c>
      <c r="D31" s="190" t="str">
        <f t="shared" si="12"/>
        <v/>
      </c>
      <c r="E31" s="164" t="str">
        <f t="shared" si="13"/>
        <v/>
      </c>
      <c r="F31" s="190">
        <f t="shared" si="14"/>
        <v>4</v>
      </c>
      <c r="G31" s="190" t="str">
        <f t="shared" si="15"/>
        <v/>
      </c>
      <c r="H31" s="190" t="str">
        <f t="shared" si="16"/>
        <v/>
      </c>
      <c r="I31" s="190" t="str">
        <f t="shared" si="17"/>
        <v/>
      </c>
      <c r="J31" s="357">
        <f t="shared" si="18"/>
        <v>4300</v>
      </c>
      <c r="K31" s="190" t="str">
        <f t="shared" si="19"/>
        <v/>
      </c>
      <c r="L31" s="190"/>
      <c r="M31" s="190"/>
      <c r="N31" s="190" t="str">
        <f t="shared" si="20"/>
        <v/>
      </c>
      <c r="O31" s="164" t="str">
        <f t="shared" si="22"/>
        <v/>
      </c>
      <c r="P31" s="190">
        <f t="shared" si="23"/>
        <v>40</v>
      </c>
      <c r="Q31" s="190" t="str">
        <f t="shared" si="24"/>
        <v/>
      </c>
      <c r="R31" s="190" t="str">
        <f t="shared" si="25"/>
        <v/>
      </c>
      <c r="S31" s="164" t="str">
        <f t="shared" si="26"/>
        <v/>
      </c>
      <c r="T31" s="190" t="str">
        <f t="shared" si="27"/>
        <v/>
      </c>
      <c r="U31" s="190" t="str">
        <f t="shared" si="28"/>
        <v/>
      </c>
      <c r="V31" s="190" t="str">
        <f t="shared" si="29"/>
        <v/>
      </c>
      <c r="W31" s="164"/>
      <c r="X31" s="164"/>
      <c r="Y31" s="164"/>
      <c r="Z31" s="164"/>
      <c r="AA31" s="164"/>
      <c r="AB31" s="164"/>
    </row>
    <row r="32">
      <c r="A32" s="164" t="str">
        <f t="shared" si="9"/>
        <v/>
      </c>
      <c r="B32" s="190" t="str">
        <f t="shared" si="10"/>
        <v/>
      </c>
      <c r="C32" s="190" t="str">
        <f t="shared" si="11"/>
        <v/>
      </c>
      <c r="D32" s="190" t="str">
        <f t="shared" si="12"/>
        <v/>
      </c>
      <c r="E32" s="164" t="str">
        <f t="shared" si="13"/>
        <v/>
      </c>
      <c r="F32" s="190">
        <f t="shared" si="14"/>
        <v>2</v>
      </c>
      <c r="G32" s="190" t="str">
        <f t="shared" si="15"/>
        <v/>
      </c>
      <c r="H32" s="190" t="str">
        <f t="shared" si="16"/>
        <v/>
      </c>
      <c r="I32" s="190" t="str">
        <f t="shared" si="17"/>
        <v/>
      </c>
      <c r="J32" s="358">
        <f t="shared" si="18"/>
        <v>5000</v>
      </c>
      <c r="K32" s="190" t="str">
        <f t="shared" si="19"/>
        <v/>
      </c>
      <c r="L32" s="190"/>
      <c r="M32" s="190"/>
      <c r="N32" s="190" t="str">
        <f t="shared" si="20"/>
        <v/>
      </c>
      <c r="O32" s="164" t="str">
        <f t="shared" si="22"/>
        <v/>
      </c>
      <c r="P32" s="190">
        <f t="shared" si="23"/>
        <v>59</v>
      </c>
      <c r="Q32" s="190" t="str">
        <f t="shared" si="24"/>
        <v/>
      </c>
      <c r="R32" s="190" t="str">
        <f t="shared" si="25"/>
        <v/>
      </c>
      <c r="S32" s="164" t="str">
        <f t="shared" si="26"/>
        <v/>
      </c>
      <c r="T32" s="190" t="str">
        <f t="shared" si="27"/>
        <v/>
      </c>
      <c r="U32" s="190" t="str">
        <f t="shared" si="28"/>
        <v/>
      </c>
      <c r="V32" s="190" t="str">
        <f t="shared" si="29"/>
        <v/>
      </c>
      <c r="W32" s="164"/>
      <c r="X32" s="164"/>
      <c r="Y32" s="164"/>
      <c r="Z32" s="164"/>
      <c r="AA32" s="164"/>
      <c r="AB32" s="164"/>
    </row>
    <row r="33">
      <c r="A33" s="164" t="str">
        <f t="shared" si="9"/>
        <v/>
      </c>
      <c r="B33" s="190" t="str">
        <f t="shared" si="10"/>
        <v/>
      </c>
      <c r="C33" s="190" t="str">
        <f t="shared" si="11"/>
        <v/>
      </c>
      <c r="D33" s="190" t="str">
        <f t="shared" si="12"/>
        <v/>
      </c>
      <c r="E33" s="164" t="str">
        <f t="shared" si="13"/>
        <v/>
      </c>
      <c r="F33" s="190" t="str">
        <f t="shared" si="14"/>
        <v/>
      </c>
      <c r="G33" s="190" t="str">
        <f t="shared" si="15"/>
        <v/>
      </c>
      <c r="H33" s="190" t="str">
        <f t="shared" si="16"/>
        <v/>
      </c>
      <c r="I33" s="190" t="str">
        <f t="shared" si="17"/>
        <v/>
      </c>
      <c r="J33" s="190" t="str">
        <f t="shared" si="18"/>
        <v/>
      </c>
      <c r="K33" s="190" t="str">
        <f t="shared" si="19"/>
        <v/>
      </c>
      <c r="L33" s="190"/>
      <c r="M33" s="190"/>
      <c r="N33" s="190" t="str">
        <f t="shared" si="20"/>
        <v/>
      </c>
      <c r="O33" s="164" t="str">
        <f t="shared" si="22"/>
        <v/>
      </c>
      <c r="P33" s="190" t="str">
        <f t="shared" si="23"/>
        <v/>
      </c>
      <c r="Q33" s="190" t="str">
        <f t="shared" si="24"/>
        <v/>
      </c>
      <c r="R33" s="190" t="str">
        <f t="shared" si="25"/>
        <v/>
      </c>
      <c r="S33" s="164" t="str">
        <f t="shared" si="26"/>
        <v/>
      </c>
      <c r="T33" s="190" t="str">
        <f t="shared" si="27"/>
        <v/>
      </c>
      <c r="U33" s="190" t="str">
        <f t="shared" si="28"/>
        <v/>
      </c>
      <c r="V33" s="190" t="str">
        <f t="shared" si="29"/>
        <v/>
      </c>
      <c r="W33" s="164"/>
      <c r="X33" s="164"/>
      <c r="Y33" s="164"/>
      <c r="Z33" s="164"/>
      <c r="AA33" s="164"/>
      <c r="AB33" s="164"/>
    </row>
    <row r="34">
      <c r="A34" s="164" t="str">
        <f t="shared" si="9"/>
        <v/>
      </c>
      <c r="B34" s="190" t="str">
        <f t="shared" si="10"/>
        <v/>
      </c>
      <c r="C34" s="190" t="str">
        <f t="shared" si="11"/>
        <v/>
      </c>
      <c r="D34" s="190" t="str">
        <f t="shared" si="12"/>
        <v/>
      </c>
      <c r="E34" s="164" t="str">
        <f t="shared" si="13"/>
        <v/>
      </c>
      <c r="F34" s="190" t="str">
        <f t="shared" si="14"/>
        <v/>
      </c>
      <c r="G34" s="190" t="str">
        <f t="shared" si="15"/>
        <v/>
      </c>
      <c r="H34" s="190" t="str">
        <f t="shared" si="16"/>
        <v/>
      </c>
      <c r="I34" s="190" t="str">
        <f t="shared" si="17"/>
        <v/>
      </c>
      <c r="J34" s="190" t="str">
        <f t="shared" si="18"/>
        <v/>
      </c>
      <c r="K34" s="190" t="str">
        <f t="shared" si="19"/>
        <v/>
      </c>
      <c r="L34" s="190"/>
      <c r="M34" s="190"/>
      <c r="N34" s="190" t="str">
        <f t="shared" si="20"/>
        <v/>
      </c>
      <c r="O34" s="164" t="str">
        <f t="shared" si="22"/>
        <v/>
      </c>
      <c r="P34" s="190" t="str">
        <f t="shared" si="23"/>
        <v/>
      </c>
      <c r="Q34" s="190" t="str">
        <f t="shared" si="24"/>
        <v/>
      </c>
      <c r="R34" s="190" t="str">
        <f t="shared" si="25"/>
        <v/>
      </c>
      <c r="S34" s="164" t="str">
        <f t="shared" si="26"/>
        <v/>
      </c>
      <c r="T34" s="190" t="str">
        <f t="shared" si="27"/>
        <v/>
      </c>
      <c r="U34" s="190" t="str">
        <f t="shared" si="28"/>
        <v/>
      </c>
      <c r="V34" s="190" t="str">
        <f t="shared" si="29"/>
        <v/>
      </c>
      <c r="W34" s="164"/>
      <c r="X34" s="164"/>
      <c r="Y34" s="164"/>
      <c r="Z34" s="164"/>
      <c r="AA34" s="164"/>
      <c r="AB34" s="164"/>
    </row>
    <row r="35">
      <c r="A35" s="164" t="str">
        <f t="shared" si="9"/>
        <v/>
      </c>
      <c r="B35" s="190" t="str">
        <f t="shared" si="10"/>
        <v/>
      </c>
      <c r="C35" s="190" t="str">
        <f t="shared" si="11"/>
        <v/>
      </c>
      <c r="D35" s="190" t="str">
        <f t="shared" si="12"/>
        <v/>
      </c>
      <c r="E35" s="164" t="str">
        <f t="shared" si="13"/>
        <v/>
      </c>
      <c r="F35" s="190" t="str">
        <f t="shared" si="14"/>
        <v/>
      </c>
      <c r="G35" s="190" t="str">
        <f t="shared" si="15"/>
        <v/>
      </c>
      <c r="H35" s="190" t="str">
        <f t="shared" si="16"/>
        <v/>
      </c>
      <c r="I35" s="190" t="str">
        <f t="shared" si="17"/>
        <v/>
      </c>
      <c r="J35" s="190" t="str">
        <f t="shared" si="18"/>
        <v/>
      </c>
      <c r="K35" s="190" t="str">
        <f t="shared" si="19"/>
        <v/>
      </c>
      <c r="L35" s="190"/>
      <c r="M35" s="190"/>
      <c r="N35" s="190" t="str">
        <f t="shared" si="20"/>
        <v/>
      </c>
      <c r="O35" s="164" t="str">
        <f t="shared" si="22"/>
        <v/>
      </c>
      <c r="P35" s="190" t="str">
        <f t="shared" si="23"/>
        <v/>
      </c>
      <c r="Q35" s="190" t="str">
        <f t="shared" si="24"/>
        <v/>
      </c>
      <c r="R35" s="190" t="str">
        <f t="shared" si="25"/>
        <v/>
      </c>
      <c r="S35" s="164" t="str">
        <f t="shared" si="26"/>
        <v/>
      </c>
      <c r="T35" s="190" t="str">
        <f t="shared" si="27"/>
        <v/>
      </c>
      <c r="U35" s="190" t="str">
        <f t="shared" si="28"/>
        <v/>
      </c>
      <c r="V35" s="190" t="str">
        <f t="shared" si="29"/>
        <v/>
      </c>
      <c r="W35" s="164"/>
      <c r="X35" s="164"/>
      <c r="Y35" s="164"/>
      <c r="Z35" s="164"/>
      <c r="AA35" s="164"/>
      <c r="AB35" s="164"/>
    </row>
    <row r="36">
      <c r="A36" s="164" t="str">
        <f t="shared" si="9"/>
        <v/>
      </c>
      <c r="B36" s="190" t="str">
        <f t="shared" si="10"/>
        <v/>
      </c>
      <c r="C36" s="190" t="str">
        <f t="shared" si="11"/>
        <v/>
      </c>
      <c r="D36" s="190" t="str">
        <f t="shared" si="12"/>
        <v/>
      </c>
      <c r="E36" s="164" t="str">
        <f t="shared" si="13"/>
        <v/>
      </c>
      <c r="F36" s="190" t="str">
        <f t="shared" si="14"/>
        <v/>
      </c>
      <c r="G36" s="190" t="str">
        <f t="shared" si="15"/>
        <v/>
      </c>
      <c r="H36" s="190" t="str">
        <f t="shared" si="16"/>
        <v/>
      </c>
      <c r="I36" s="190" t="str">
        <f t="shared" si="17"/>
        <v/>
      </c>
      <c r="J36" s="190" t="str">
        <f t="shared" si="18"/>
        <v/>
      </c>
      <c r="K36" s="190" t="str">
        <f t="shared" si="19"/>
        <v/>
      </c>
      <c r="L36" s="190"/>
      <c r="M36" s="190"/>
      <c r="N36" s="190" t="str">
        <f t="shared" si="20"/>
        <v/>
      </c>
      <c r="O36" s="164" t="str">
        <f t="shared" si="22"/>
        <v/>
      </c>
      <c r="P36" s="190" t="str">
        <f t="shared" si="23"/>
        <v/>
      </c>
      <c r="Q36" s="190" t="str">
        <f t="shared" si="24"/>
        <v/>
      </c>
      <c r="R36" s="190" t="str">
        <f t="shared" si="25"/>
        <v/>
      </c>
      <c r="S36" s="164" t="str">
        <f t="shared" si="26"/>
        <v/>
      </c>
      <c r="T36" s="190" t="str">
        <f t="shared" si="27"/>
        <v/>
      </c>
      <c r="U36" s="190" t="str">
        <f t="shared" si="28"/>
        <v/>
      </c>
      <c r="V36" s="190" t="str">
        <f t="shared" si="29"/>
        <v/>
      </c>
      <c r="W36" s="164"/>
      <c r="X36" s="164"/>
      <c r="Y36" s="164"/>
      <c r="Z36" s="164"/>
      <c r="AA36" s="164"/>
      <c r="AB36" s="164"/>
    </row>
    <row r="37">
      <c r="A37" s="164" t="str">
        <f t="shared" si="9"/>
        <v/>
      </c>
      <c r="B37" s="190" t="str">
        <f t="shared" si="10"/>
        <v/>
      </c>
      <c r="C37" s="190" t="str">
        <f t="shared" si="11"/>
        <v/>
      </c>
      <c r="D37" s="190" t="str">
        <f t="shared" si="12"/>
        <v/>
      </c>
      <c r="E37" s="164" t="str">
        <f t="shared" si="13"/>
        <v/>
      </c>
      <c r="F37" s="190" t="str">
        <f t="shared" si="14"/>
        <v/>
      </c>
      <c r="G37" s="190" t="str">
        <f t="shared" si="15"/>
        <v/>
      </c>
      <c r="H37" s="190" t="str">
        <f t="shared" si="16"/>
        <v/>
      </c>
      <c r="I37" s="190" t="str">
        <f t="shared" si="17"/>
        <v/>
      </c>
      <c r="J37" s="190" t="str">
        <f t="shared" si="18"/>
        <v/>
      </c>
      <c r="K37" s="190" t="str">
        <f t="shared" si="19"/>
        <v/>
      </c>
      <c r="L37" s="190"/>
      <c r="M37" s="190"/>
      <c r="N37" s="190" t="str">
        <f t="shared" si="20"/>
        <v/>
      </c>
      <c r="O37" s="164" t="str">
        <f t="shared" si="22"/>
        <v/>
      </c>
      <c r="P37" s="190" t="str">
        <f t="shared" si="23"/>
        <v/>
      </c>
      <c r="Q37" s="190" t="str">
        <f t="shared" si="24"/>
        <v/>
      </c>
      <c r="R37" s="190" t="str">
        <f t="shared" si="25"/>
        <v/>
      </c>
      <c r="S37" s="164" t="str">
        <f t="shared" si="26"/>
        <v/>
      </c>
      <c r="T37" s="190" t="str">
        <f t="shared" si="27"/>
        <v/>
      </c>
      <c r="U37" s="190" t="str">
        <f t="shared" si="28"/>
        <v/>
      </c>
      <c r="V37" s="190" t="str">
        <f t="shared" si="29"/>
        <v/>
      </c>
      <c r="W37" s="164"/>
      <c r="X37" s="164"/>
      <c r="Y37" s="164"/>
      <c r="Z37" s="164"/>
      <c r="AA37" s="164"/>
      <c r="AB37" s="164"/>
    </row>
    <row r="38">
      <c r="A38" s="164" t="str">
        <f t="shared" si="9"/>
        <v/>
      </c>
      <c r="B38" s="190" t="str">
        <f t="shared" si="10"/>
        <v/>
      </c>
      <c r="C38" s="190" t="str">
        <f t="shared" si="11"/>
        <v/>
      </c>
      <c r="D38" s="190" t="str">
        <f t="shared" si="12"/>
        <v/>
      </c>
      <c r="E38" s="164" t="str">
        <f t="shared" si="13"/>
        <v/>
      </c>
      <c r="F38" s="190" t="str">
        <f t="shared" si="14"/>
        <v/>
      </c>
      <c r="G38" s="190" t="str">
        <f t="shared" si="15"/>
        <v/>
      </c>
      <c r="H38" s="190" t="str">
        <f t="shared" si="16"/>
        <v/>
      </c>
      <c r="I38" s="190" t="str">
        <f t="shared" si="17"/>
        <v/>
      </c>
      <c r="J38" s="190" t="str">
        <f t="shared" si="18"/>
        <v/>
      </c>
      <c r="K38" s="190" t="str">
        <f t="shared" si="19"/>
        <v/>
      </c>
      <c r="L38" s="190"/>
      <c r="M38" s="190"/>
      <c r="N38" s="190" t="str">
        <f t="shared" si="20"/>
        <v/>
      </c>
      <c r="O38" s="164" t="str">
        <f t="shared" si="22"/>
        <v/>
      </c>
      <c r="P38" s="190" t="str">
        <f t="shared" si="23"/>
        <v/>
      </c>
      <c r="Q38" s="190" t="str">
        <f t="shared" si="24"/>
        <v/>
      </c>
      <c r="R38" s="190" t="str">
        <f t="shared" si="25"/>
        <v/>
      </c>
      <c r="S38" s="164" t="str">
        <f t="shared" si="26"/>
        <v/>
      </c>
      <c r="T38" s="190" t="str">
        <f t="shared" si="27"/>
        <v/>
      </c>
      <c r="U38" s="190" t="str">
        <f t="shared" si="28"/>
        <v/>
      </c>
      <c r="V38" s="190" t="str">
        <f t="shared" si="29"/>
        <v/>
      </c>
      <c r="W38" s="164"/>
      <c r="X38" s="164"/>
      <c r="Y38" s="164"/>
      <c r="Z38" s="164"/>
      <c r="AA38" s="164"/>
      <c r="AB38" s="164"/>
    </row>
    <row r="39">
      <c r="A39" s="164" t="str">
        <f t="shared" si="9"/>
        <v/>
      </c>
      <c r="B39" s="190" t="str">
        <f t="shared" si="10"/>
        <v/>
      </c>
      <c r="C39" s="190" t="str">
        <f t="shared" si="11"/>
        <v/>
      </c>
      <c r="D39" s="190" t="str">
        <f t="shared" si="12"/>
        <v/>
      </c>
      <c r="E39" s="164" t="str">
        <f t="shared" si="13"/>
        <v/>
      </c>
      <c r="F39" s="190" t="str">
        <f t="shared" si="14"/>
        <v/>
      </c>
      <c r="G39" s="190" t="str">
        <f t="shared" si="15"/>
        <v/>
      </c>
      <c r="H39" s="190" t="str">
        <f t="shared" si="16"/>
        <v/>
      </c>
      <c r="I39" s="190" t="str">
        <f t="shared" si="17"/>
        <v/>
      </c>
      <c r="J39" s="190" t="str">
        <f t="shared" si="18"/>
        <v/>
      </c>
      <c r="K39" s="190" t="str">
        <f t="shared" si="19"/>
        <v/>
      </c>
      <c r="L39" s="190"/>
      <c r="M39" s="190"/>
      <c r="N39" s="190" t="str">
        <f t="shared" si="20"/>
        <v/>
      </c>
      <c r="O39" s="164" t="str">
        <f t="shared" si="22"/>
        <v/>
      </c>
      <c r="P39" s="190" t="str">
        <f t="shared" si="23"/>
        <v/>
      </c>
      <c r="Q39" s="190" t="str">
        <f t="shared" si="24"/>
        <v/>
      </c>
      <c r="R39" s="190" t="str">
        <f t="shared" si="25"/>
        <v/>
      </c>
      <c r="S39" s="164" t="str">
        <f t="shared" si="26"/>
        <v/>
      </c>
      <c r="T39" s="190" t="str">
        <f t="shared" si="27"/>
        <v/>
      </c>
      <c r="U39" s="190" t="str">
        <f t="shared" si="28"/>
        <v/>
      </c>
      <c r="V39" s="190" t="str">
        <f t="shared" si="29"/>
        <v/>
      </c>
      <c r="W39" s="164"/>
      <c r="X39" s="164"/>
      <c r="Y39" s="164"/>
      <c r="Z39" s="164"/>
      <c r="AA39" s="164"/>
      <c r="AB39" s="164"/>
    </row>
    <row r="40">
      <c r="A40" s="164" t="str">
        <f t="shared" si="9"/>
        <v/>
      </c>
      <c r="B40" s="190" t="str">
        <f t="shared" si="10"/>
        <v/>
      </c>
      <c r="C40" s="190" t="str">
        <f t="shared" si="11"/>
        <v/>
      </c>
      <c r="D40" s="190" t="str">
        <f t="shared" si="12"/>
        <v/>
      </c>
      <c r="E40" s="164" t="str">
        <f t="shared" si="13"/>
        <v/>
      </c>
      <c r="F40" s="190" t="str">
        <f t="shared" si="14"/>
        <v/>
      </c>
      <c r="G40" s="190" t="str">
        <f t="shared" si="15"/>
        <v/>
      </c>
      <c r="H40" s="190" t="str">
        <f t="shared" si="16"/>
        <v/>
      </c>
      <c r="I40" s="190" t="str">
        <f t="shared" si="17"/>
        <v/>
      </c>
      <c r="J40" s="190" t="str">
        <f t="shared" si="18"/>
        <v/>
      </c>
      <c r="K40" s="190" t="str">
        <f t="shared" si="19"/>
        <v/>
      </c>
      <c r="L40" s="190"/>
      <c r="M40" s="190"/>
      <c r="N40" s="190" t="str">
        <f t="shared" si="20"/>
        <v/>
      </c>
      <c r="O40" s="164" t="str">
        <f t="shared" si="22"/>
        <v/>
      </c>
      <c r="P40" s="190" t="str">
        <f t="shared" si="23"/>
        <v/>
      </c>
      <c r="Q40" s="190" t="str">
        <f t="shared" si="24"/>
        <v/>
      </c>
      <c r="R40" s="190" t="str">
        <f t="shared" si="25"/>
        <v/>
      </c>
      <c r="S40" s="164" t="str">
        <f t="shared" si="26"/>
        <v/>
      </c>
      <c r="T40" s="190" t="str">
        <f t="shared" si="27"/>
        <v/>
      </c>
      <c r="U40" s="190" t="str">
        <f t="shared" si="28"/>
        <v/>
      </c>
      <c r="V40" s="190" t="str">
        <f t="shared" si="29"/>
        <v/>
      </c>
      <c r="W40" s="164"/>
      <c r="X40" s="164"/>
      <c r="Y40" s="164"/>
      <c r="Z40" s="164"/>
      <c r="AA40" s="164"/>
      <c r="AB40" s="164"/>
    </row>
    <row r="41">
      <c r="A41" s="164" t="str">
        <f t="shared" si="9"/>
        <v/>
      </c>
      <c r="B41" s="190" t="str">
        <f t="shared" si="10"/>
        <v/>
      </c>
      <c r="C41" s="190" t="str">
        <f t="shared" si="11"/>
        <v/>
      </c>
      <c r="D41" s="190" t="str">
        <f t="shared" si="12"/>
        <v/>
      </c>
      <c r="E41" s="164" t="str">
        <f t="shared" si="13"/>
        <v/>
      </c>
      <c r="F41" s="190" t="str">
        <f t="shared" si="14"/>
        <v/>
      </c>
      <c r="G41" s="190" t="str">
        <f t="shared" si="15"/>
        <v/>
      </c>
      <c r="H41" s="190" t="str">
        <f t="shared" si="16"/>
        <v/>
      </c>
      <c r="I41" s="190" t="str">
        <f t="shared" si="17"/>
        <v/>
      </c>
      <c r="J41" s="190" t="str">
        <f t="shared" si="18"/>
        <v/>
      </c>
      <c r="K41" s="190" t="str">
        <f t="shared" si="19"/>
        <v/>
      </c>
      <c r="L41" s="190"/>
      <c r="M41" s="190"/>
      <c r="N41" s="190" t="str">
        <f t="shared" si="20"/>
        <v/>
      </c>
      <c r="O41" s="164" t="str">
        <f t="shared" si="22"/>
        <v/>
      </c>
      <c r="P41" s="190" t="str">
        <f t="shared" si="23"/>
        <v/>
      </c>
      <c r="Q41" s="190" t="str">
        <f t="shared" si="24"/>
        <v/>
      </c>
      <c r="R41" s="190" t="str">
        <f t="shared" si="25"/>
        <v/>
      </c>
      <c r="S41" s="164" t="str">
        <f t="shared" si="26"/>
        <v/>
      </c>
      <c r="T41" s="190" t="str">
        <f t="shared" si="27"/>
        <v/>
      </c>
      <c r="U41" s="190" t="str">
        <f t="shared" si="28"/>
        <v/>
      </c>
      <c r="V41" s="190" t="str">
        <f t="shared" si="29"/>
        <v/>
      </c>
      <c r="W41" s="164"/>
      <c r="X41" s="164"/>
      <c r="Y41" s="164"/>
      <c r="Z41" s="164"/>
      <c r="AA41" s="164"/>
      <c r="AB41" s="164"/>
    </row>
    <row r="42">
      <c r="A42" s="164" t="str">
        <f t="shared" si="9"/>
        <v/>
      </c>
      <c r="B42" s="190" t="str">
        <f t="shared" si="10"/>
        <v/>
      </c>
      <c r="C42" s="190" t="str">
        <f t="shared" si="11"/>
        <v/>
      </c>
      <c r="D42" s="190" t="str">
        <f t="shared" si="12"/>
        <v/>
      </c>
      <c r="E42" s="164" t="str">
        <f t="shared" si="13"/>
        <v/>
      </c>
      <c r="F42" s="190" t="str">
        <f t="shared" si="14"/>
        <v/>
      </c>
      <c r="G42" s="190" t="str">
        <f t="shared" si="15"/>
        <v/>
      </c>
      <c r="H42" s="190" t="str">
        <f t="shared" si="16"/>
        <v/>
      </c>
      <c r="I42" s="190" t="str">
        <f t="shared" si="17"/>
        <v/>
      </c>
      <c r="J42" s="190" t="str">
        <f t="shared" si="18"/>
        <v/>
      </c>
      <c r="K42" s="190" t="str">
        <f t="shared" si="19"/>
        <v/>
      </c>
      <c r="L42" s="190"/>
      <c r="M42" s="190"/>
      <c r="N42" s="190" t="str">
        <f t="shared" si="20"/>
        <v/>
      </c>
      <c r="O42" s="164" t="str">
        <f t="shared" si="22"/>
        <v/>
      </c>
      <c r="P42" s="190" t="str">
        <f t="shared" si="23"/>
        <v/>
      </c>
      <c r="Q42" s="190" t="str">
        <f t="shared" si="24"/>
        <v/>
      </c>
      <c r="R42" s="190" t="str">
        <f t="shared" si="25"/>
        <v/>
      </c>
      <c r="S42" s="164" t="str">
        <f t="shared" si="26"/>
        <v/>
      </c>
      <c r="T42" s="190" t="str">
        <f t="shared" si="27"/>
        <v/>
      </c>
      <c r="U42" s="190" t="str">
        <f t="shared" si="28"/>
        <v/>
      </c>
      <c r="V42" s="190" t="str">
        <f t="shared" si="29"/>
        <v/>
      </c>
      <c r="W42" s="164"/>
      <c r="X42" s="164"/>
      <c r="Y42" s="164"/>
      <c r="Z42" s="164"/>
      <c r="AA42" s="164"/>
      <c r="AB42" s="164"/>
    </row>
    <row r="43">
      <c r="A43" s="164" t="str">
        <f t="shared" si="9"/>
        <v/>
      </c>
      <c r="B43" s="190" t="str">
        <f t="shared" si="10"/>
        <v/>
      </c>
      <c r="C43" s="190" t="str">
        <f t="shared" si="11"/>
        <v/>
      </c>
      <c r="D43" s="190" t="str">
        <f t="shared" si="12"/>
        <v/>
      </c>
      <c r="E43" s="164" t="str">
        <f t="shared" si="13"/>
        <v/>
      </c>
      <c r="F43" s="190" t="str">
        <f t="shared" si="14"/>
        <v/>
      </c>
      <c r="G43" s="190" t="str">
        <f t="shared" si="15"/>
        <v/>
      </c>
      <c r="H43" s="190" t="str">
        <f t="shared" si="16"/>
        <v/>
      </c>
      <c r="I43" s="190" t="str">
        <f t="shared" si="17"/>
        <v/>
      </c>
      <c r="J43" s="190" t="str">
        <f t="shared" si="18"/>
        <v/>
      </c>
      <c r="K43" s="190" t="str">
        <f t="shared" si="19"/>
        <v/>
      </c>
      <c r="L43" s="190"/>
      <c r="M43" s="190"/>
      <c r="N43" s="190" t="str">
        <f t="shared" si="20"/>
        <v/>
      </c>
      <c r="O43" s="164" t="str">
        <f t="shared" si="22"/>
        <v/>
      </c>
      <c r="P43" s="190" t="str">
        <f t="shared" si="23"/>
        <v/>
      </c>
      <c r="Q43" s="190" t="str">
        <f t="shared" si="24"/>
        <v/>
      </c>
      <c r="R43" s="190" t="str">
        <f t="shared" si="25"/>
        <v/>
      </c>
      <c r="S43" s="164" t="str">
        <f t="shared" si="26"/>
        <v/>
      </c>
      <c r="T43" s="190" t="str">
        <f t="shared" si="27"/>
        <v/>
      </c>
      <c r="U43" s="190" t="str">
        <f t="shared" si="28"/>
        <v/>
      </c>
      <c r="V43" s="190" t="str">
        <f t="shared" si="29"/>
        <v/>
      </c>
      <c r="W43" s="164"/>
      <c r="X43" s="164"/>
      <c r="Y43" s="164"/>
      <c r="Z43" s="164"/>
      <c r="AA43" s="164"/>
      <c r="AB43" s="164"/>
    </row>
    <row r="44">
      <c r="A44" s="164" t="str">
        <f t="shared" si="9"/>
        <v/>
      </c>
      <c r="B44" s="190" t="str">
        <f t="shared" si="10"/>
        <v/>
      </c>
      <c r="C44" s="190" t="str">
        <f t="shared" si="11"/>
        <v/>
      </c>
      <c r="D44" s="190" t="str">
        <f t="shared" si="12"/>
        <v/>
      </c>
      <c r="E44" s="164" t="str">
        <f t="shared" si="13"/>
        <v/>
      </c>
      <c r="F44" s="190" t="str">
        <f t="shared" si="14"/>
        <v/>
      </c>
      <c r="G44" s="190" t="str">
        <f t="shared" si="15"/>
        <v/>
      </c>
      <c r="H44" s="190" t="str">
        <f t="shared" si="16"/>
        <v/>
      </c>
      <c r="I44" s="190" t="str">
        <f t="shared" si="17"/>
        <v/>
      </c>
      <c r="J44" s="190" t="str">
        <f t="shared" si="18"/>
        <v/>
      </c>
      <c r="K44" s="190" t="str">
        <f t="shared" si="19"/>
        <v/>
      </c>
      <c r="L44" s="190"/>
      <c r="M44" s="190"/>
      <c r="N44" s="190" t="str">
        <f t="shared" si="20"/>
        <v/>
      </c>
      <c r="O44" s="164" t="str">
        <f t="shared" si="22"/>
        <v/>
      </c>
      <c r="P44" s="190" t="str">
        <f t="shared" si="23"/>
        <v/>
      </c>
      <c r="Q44" s="190" t="str">
        <f t="shared" si="24"/>
        <v/>
      </c>
      <c r="R44" s="190" t="str">
        <f t="shared" si="25"/>
        <v/>
      </c>
      <c r="S44" s="164" t="str">
        <f t="shared" si="26"/>
        <v/>
      </c>
      <c r="T44" s="190" t="str">
        <f t="shared" si="27"/>
        <v/>
      </c>
      <c r="U44" s="190" t="str">
        <f t="shared" si="28"/>
        <v/>
      </c>
      <c r="V44" s="190" t="str">
        <f t="shared" si="29"/>
        <v/>
      </c>
      <c r="W44" s="164"/>
      <c r="X44" s="164"/>
      <c r="Y44" s="164"/>
      <c r="Z44" s="164"/>
      <c r="AA44" s="164"/>
      <c r="AB44" s="164"/>
    </row>
    <row r="45">
      <c r="A45" s="164" t="str">
        <f t="shared" si="9"/>
        <v/>
      </c>
      <c r="B45" s="190" t="str">
        <f t="shared" si="10"/>
        <v/>
      </c>
      <c r="C45" s="190" t="str">
        <f t="shared" si="11"/>
        <v/>
      </c>
      <c r="D45" s="190" t="str">
        <f t="shared" si="12"/>
        <v/>
      </c>
      <c r="E45" s="164" t="str">
        <f t="shared" si="13"/>
        <v/>
      </c>
      <c r="F45" s="190" t="str">
        <f t="shared" si="14"/>
        <v/>
      </c>
      <c r="G45" s="190" t="str">
        <f t="shared" si="15"/>
        <v/>
      </c>
      <c r="H45" s="190" t="str">
        <f t="shared" si="16"/>
        <v/>
      </c>
      <c r="I45" s="190" t="str">
        <f t="shared" si="17"/>
        <v/>
      </c>
      <c r="J45" s="190" t="str">
        <f t="shared" si="18"/>
        <v/>
      </c>
      <c r="K45" s="190" t="str">
        <f t="shared" si="19"/>
        <v/>
      </c>
      <c r="L45" s="190"/>
      <c r="M45" s="190"/>
      <c r="N45" s="190" t="str">
        <f t="shared" si="20"/>
        <v/>
      </c>
      <c r="O45" s="164" t="str">
        <f t="shared" si="22"/>
        <v/>
      </c>
      <c r="P45" s="190" t="str">
        <f t="shared" si="23"/>
        <v/>
      </c>
      <c r="Q45" s="190" t="str">
        <f t="shared" si="24"/>
        <v/>
      </c>
      <c r="R45" s="190" t="str">
        <f t="shared" si="25"/>
        <v/>
      </c>
      <c r="S45" s="164" t="str">
        <f t="shared" si="26"/>
        <v/>
      </c>
      <c r="T45" s="190" t="str">
        <f t="shared" si="27"/>
        <v/>
      </c>
      <c r="U45" s="190" t="str">
        <f t="shared" si="28"/>
        <v/>
      </c>
      <c r="V45" s="190" t="str">
        <f t="shared" si="29"/>
        <v/>
      </c>
      <c r="W45" s="164"/>
      <c r="X45" s="164"/>
      <c r="Y45" s="164"/>
      <c r="Z45" s="164"/>
      <c r="AA45" s="164"/>
      <c r="AB45" s="164"/>
    </row>
    <row r="46">
      <c r="A46" s="164" t="str">
        <f t="shared" si="9"/>
        <v/>
      </c>
      <c r="B46" s="190" t="str">
        <f t="shared" si="10"/>
        <v/>
      </c>
      <c r="C46" s="190" t="str">
        <f t="shared" si="11"/>
        <v/>
      </c>
      <c r="D46" s="190" t="str">
        <f t="shared" si="12"/>
        <v/>
      </c>
      <c r="E46" s="164" t="str">
        <f t="shared" si="13"/>
        <v/>
      </c>
      <c r="F46" s="190" t="str">
        <f t="shared" si="14"/>
        <v/>
      </c>
      <c r="G46" s="190" t="str">
        <f t="shared" si="15"/>
        <v/>
      </c>
      <c r="H46" s="190" t="str">
        <f t="shared" si="16"/>
        <v/>
      </c>
      <c r="I46" s="190" t="str">
        <f t="shared" si="17"/>
        <v/>
      </c>
      <c r="J46" s="190" t="str">
        <f t="shared" si="18"/>
        <v/>
      </c>
      <c r="K46" s="190" t="str">
        <f t="shared" si="19"/>
        <v/>
      </c>
      <c r="L46" s="190"/>
      <c r="M46" s="190"/>
      <c r="N46" s="190" t="str">
        <f t="shared" si="20"/>
        <v/>
      </c>
      <c r="O46" s="164" t="str">
        <f t="shared" si="22"/>
        <v/>
      </c>
      <c r="P46" s="190" t="str">
        <f t="shared" si="23"/>
        <v/>
      </c>
      <c r="Q46" s="190" t="str">
        <f t="shared" si="24"/>
        <v/>
      </c>
      <c r="R46" s="190" t="str">
        <f t="shared" si="25"/>
        <v/>
      </c>
      <c r="S46" s="164" t="str">
        <f t="shared" si="26"/>
        <v/>
      </c>
      <c r="T46" s="190" t="str">
        <f t="shared" si="27"/>
        <v/>
      </c>
      <c r="U46" s="190" t="str">
        <f t="shared" si="28"/>
        <v/>
      </c>
      <c r="V46" s="190" t="str">
        <f t="shared" si="29"/>
        <v/>
      </c>
      <c r="W46" s="164"/>
      <c r="X46" s="164"/>
      <c r="Y46" s="164"/>
      <c r="Z46" s="164"/>
      <c r="AA46" s="164"/>
      <c r="AB46" s="164"/>
    </row>
    <row r="47">
      <c r="A47" s="359">
        <f t="shared" ref="A47:D47" si="30">IF(SUM(A25:A46)&lt;&gt;0,AVERAGE(A25:A46),"")</f>
        <v>3</v>
      </c>
      <c r="B47" s="359">
        <f t="shared" si="30"/>
        <v>2.8</v>
      </c>
      <c r="C47" s="359" t="str">
        <f t="shared" si="30"/>
        <v/>
      </c>
      <c r="D47" s="359" t="str">
        <f t="shared" si="30"/>
        <v/>
      </c>
      <c r="E47" s="244">
        <f t="shared" ref="E47:K47" si="31">SUM(E26:E46)</f>
        <v>3</v>
      </c>
      <c r="F47" s="244">
        <f t="shared" si="31"/>
        <v>13</v>
      </c>
      <c r="G47" s="244">
        <f t="shared" si="31"/>
        <v>0</v>
      </c>
      <c r="H47" s="244">
        <f t="shared" si="31"/>
        <v>0</v>
      </c>
      <c r="I47" s="359">
        <f t="shared" si="31"/>
        <v>4090.98</v>
      </c>
      <c r="J47" s="359">
        <f t="shared" si="31"/>
        <v>21362.85</v>
      </c>
      <c r="K47" s="359">
        <f t="shared" si="31"/>
        <v>0</v>
      </c>
      <c r="L47" s="359"/>
      <c r="M47" s="359"/>
      <c r="N47" s="359">
        <f>SUM(N26:N46)</f>
        <v>0</v>
      </c>
      <c r="O47" s="164" t="str">
        <f t="shared" si="22"/>
        <v/>
      </c>
      <c r="P47" s="190" t="str">
        <f t="shared" si="23"/>
        <v/>
      </c>
      <c r="Q47" s="190" t="str">
        <f t="shared" si="24"/>
        <v/>
      </c>
      <c r="R47" s="190" t="str">
        <f t="shared" si="25"/>
        <v/>
      </c>
      <c r="S47" s="164" t="str">
        <f t="shared" si="26"/>
        <v/>
      </c>
      <c r="T47" s="190" t="str">
        <f t="shared" si="27"/>
        <v/>
      </c>
      <c r="U47" s="190" t="str">
        <f t="shared" si="28"/>
        <v/>
      </c>
      <c r="V47" s="190" t="str">
        <f t="shared" si="29"/>
        <v/>
      </c>
      <c r="W47" s="164"/>
      <c r="X47" s="164"/>
      <c r="Y47" s="164"/>
      <c r="Z47" s="164"/>
      <c r="AA47" s="164"/>
      <c r="AB47" s="164"/>
    </row>
    <row r="48">
      <c r="A48" s="176" t="s">
        <v>153</v>
      </c>
      <c r="B48" s="164">
        <f>AVERAGE(D3:D24)</f>
        <v>2.571428571</v>
      </c>
      <c r="C48" s="164"/>
      <c r="D48" s="176" t="s">
        <v>153</v>
      </c>
      <c r="E48" s="244">
        <f>SUM(E47:H47)</f>
        <v>16</v>
      </c>
      <c r="F48" s="244"/>
      <c r="G48" s="244"/>
      <c r="H48" s="244"/>
      <c r="I48" s="359">
        <f>SUM(I47:N47)</f>
        <v>25453.83</v>
      </c>
      <c r="J48" s="359"/>
      <c r="K48" s="359"/>
      <c r="L48" s="359"/>
      <c r="M48" s="359"/>
      <c r="N48" s="359"/>
      <c r="O48" s="164" t="str">
        <f t="shared" si="22"/>
        <v/>
      </c>
      <c r="P48" s="190" t="str">
        <f t="shared" si="23"/>
        <v/>
      </c>
      <c r="Q48" s="190" t="str">
        <f t="shared" si="24"/>
        <v/>
      </c>
      <c r="R48" s="190" t="str">
        <f t="shared" si="25"/>
        <v/>
      </c>
      <c r="S48" s="164" t="str">
        <f t="shared" si="26"/>
        <v/>
      </c>
      <c r="T48" s="190" t="str">
        <f t="shared" si="27"/>
        <v/>
      </c>
      <c r="U48" s="190" t="str">
        <f t="shared" si="28"/>
        <v/>
      </c>
      <c r="V48" s="190" t="str">
        <f t="shared" si="29"/>
        <v/>
      </c>
      <c r="W48" s="164"/>
      <c r="X48" s="164"/>
      <c r="Y48" s="164"/>
      <c r="Z48" s="164"/>
      <c r="AA48" s="164"/>
      <c r="AB48" s="164"/>
    </row>
    <row r="49">
      <c r="A49" s="164"/>
      <c r="B49" s="164"/>
      <c r="C49" s="164"/>
      <c r="D49" s="164"/>
      <c r="E49" s="164"/>
      <c r="F49" s="164"/>
      <c r="G49" s="164"/>
      <c r="H49" s="164"/>
      <c r="I49" s="164"/>
      <c r="J49" s="176" t="s">
        <v>200</v>
      </c>
      <c r="K49" s="164"/>
      <c r="L49" s="164"/>
      <c r="M49" s="164"/>
      <c r="N49" s="176" t="s">
        <v>196</v>
      </c>
      <c r="O49" s="164">
        <f t="shared" ref="O49:R49" si="32">IF(SUM(O27:O48)&lt;&gt;0,AVERAGE(O27:O48),"")</f>
        <v>35</v>
      </c>
      <c r="P49" s="164">
        <f t="shared" si="32"/>
        <v>46.75</v>
      </c>
      <c r="Q49" s="164" t="str">
        <f t="shared" si="32"/>
        <v/>
      </c>
      <c r="R49" s="164" t="str">
        <f t="shared" si="32"/>
        <v/>
      </c>
      <c r="S49" s="164" t="str">
        <f t="shared" si="26"/>
        <v/>
      </c>
      <c r="T49" s="190" t="str">
        <f t="shared" si="27"/>
        <v/>
      </c>
      <c r="U49" s="190" t="str">
        <f t="shared" si="28"/>
        <v/>
      </c>
      <c r="V49" s="190" t="str">
        <f t="shared" si="29"/>
        <v/>
      </c>
      <c r="W49" s="164"/>
      <c r="X49" s="164"/>
      <c r="Y49" s="164"/>
      <c r="Z49" s="164"/>
      <c r="AA49" s="164"/>
      <c r="AB49" s="164"/>
    </row>
    <row r="50">
      <c r="A50" s="164"/>
      <c r="B50" s="164"/>
      <c r="C50" s="164"/>
      <c r="D50" s="164"/>
      <c r="E50" s="164"/>
      <c r="F50" s="164"/>
      <c r="G50" s="164"/>
      <c r="H50" s="164"/>
      <c r="I50" s="164"/>
      <c r="J50" s="190">
        <f t="shared" ref="J50:J71" si="33">IF(AND(L3="sim",M3=1),1,"")</f>
        <v>1</v>
      </c>
      <c r="K50" s="190" t="str">
        <f t="shared" ref="K50:K71" si="34">IF(AND(L3="sim",M3=2),1,"")</f>
        <v/>
      </c>
      <c r="L50" s="190" t="str">
        <f t="shared" ref="L50:L71" si="35">IF(AND(L3="sim",M3=3),1,"")</f>
        <v/>
      </c>
      <c r="M50" s="190" t="str">
        <f t="shared" ref="M50:M71" si="36">IF(AND(L3="sim",M3=4),1,"")</f>
        <v/>
      </c>
      <c r="N50" s="176" t="s">
        <v>153</v>
      </c>
      <c r="O50" s="164">
        <f>IF(N4&lt;&gt;0,AVERAGE(N3:N24),"")</f>
        <v>47</v>
      </c>
      <c r="P50" s="164"/>
      <c r="Q50" s="164"/>
      <c r="R50" s="164"/>
      <c r="S50" s="164" t="str">
        <f t="shared" si="26"/>
        <v/>
      </c>
      <c r="T50" s="190" t="str">
        <f t="shared" si="27"/>
        <v/>
      </c>
      <c r="U50" s="190" t="str">
        <f t="shared" si="28"/>
        <v/>
      </c>
      <c r="V50" s="190" t="str">
        <f t="shared" si="29"/>
        <v/>
      </c>
      <c r="W50" s="164"/>
      <c r="X50" s="164"/>
      <c r="Y50" s="164"/>
      <c r="Z50" s="164"/>
      <c r="AA50" s="164"/>
      <c r="AB50" s="164"/>
    </row>
    <row r="51">
      <c r="A51" s="164"/>
      <c r="B51" s="164"/>
      <c r="C51" s="164"/>
      <c r="D51" s="164"/>
      <c r="E51" s="164"/>
      <c r="F51" s="164"/>
      <c r="G51" s="164"/>
      <c r="H51" s="164"/>
      <c r="I51" s="164"/>
      <c r="J51" s="190" t="str">
        <f t="shared" si="33"/>
        <v/>
      </c>
      <c r="K51" s="190">
        <f t="shared" si="34"/>
        <v>1</v>
      </c>
      <c r="L51" s="190" t="str">
        <f t="shared" si="35"/>
        <v/>
      </c>
      <c r="M51" s="190" t="str">
        <f t="shared" si="36"/>
        <v/>
      </c>
      <c r="N51" s="190"/>
      <c r="O51" s="164"/>
      <c r="P51" s="164"/>
      <c r="Q51" s="164"/>
      <c r="R51" s="176" t="s">
        <v>201</v>
      </c>
      <c r="S51" s="164" t="str">
        <f t="shared" si="26"/>
        <v/>
      </c>
      <c r="T51" s="190" t="str">
        <f t="shared" si="27"/>
        <v/>
      </c>
      <c r="U51" s="190" t="str">
        <f t="shared" si="28"/>
        <v/>
      </c>
      <c r="V51" s="190" t="str">
        <f t="shared" si="29"/>
        <v/>
      </c>
      <c r="W51" s="164"/>
      <c r="X51" s="164"/>
      <c r="Y51" s="164"/>
      <c r="Z51" s="164"/>
      <c r="AA51" s="164"/>
      <c r="AB51" s="164"/>
    </row>
    <row r="52">
      <c r="A52" s="164"/>
      <c r="B52" s="164"/>
      <c r="C52" s="164"/>
      <c r="D52" s="164"/>
      <c r="E52" s="164"/>
      <c r="F52" s="164"/>
      <c r="G52" s="164"/>
      <c r="H52" s="164"/>
      <c r="I52" s="164"/>
      <c r="J52" s="190" t="str">
        <f t="shared" si="33"/>
        <v/>
      </c>
      <c r="K52" s="190" t="str">
        <f t="shared" si="34"/>
        <v/>
      </c>
      <c r="L52" s="190" t="str">
        <f t="shared" si="35"/>
        <v/>
      </c>
      <c r="M52" s="190" t="str">
        <f t="shared" si="36"/>
        <v/>
      </c>
      <c r="N52" s="190"/>
      <c r="O52" s="164"/>
      <c r="P52" s="164"/>
      <c r="Q52" s="164"/>
      <c r="R52" s="176" t="s">
        <v>196</v>
      </c>
      <c r="S52" s="164">
        <f t="shared" ref="S52:V52" si="37">SUM(S30:S51)</f>
        <v>0</v>
      </c>
      <c r="T52" s="164">
        <f t="shared" si="37"/>
        <v>0</v>
      </c>
      <c r="U52" s="164">
        <f t="shared" si="37"/>
        <v>0</v>
      </c>
      <c r="V52" s="164">
        <f t="shared" si="37"/>
        <v>0</v>
      </c>
      <c r="W52" s="164"/>
      <c r="X52" s="164"/>
      <c r="Y52" s="164"/>
      <c r="Z52" s="164"/>
      <c r="AA52" s="164"/>
      <c r="AB52" s="164"/>
    </row>
    <row r="53">
      <c r="A53" s="164"/>
      <c r="B53" s="164"/>
      <c r="C53" s="164"/>
      <c r="D53" s="164"/>
      <c r="E53" s="164"/>
      <c r="F53" s="164"/>
      <c r="G53" s="164"/>
      <c r="H53" s="164"/>
      <c r="I53" s="164"/>
      <c r="J53" s="190" t="str">
        <f t="shared" si="33"/>
        <v/>
      </c>
      <c r="K53" s="190" t="str">
        <f t="shared" si="34"/>
        <v/>
      </c>
      <c r="L53" s="190" t="str">
        <f t="shared" si="35"/>
        <v/>
      </c>
      <c r="M53" s="190" t="str">
        <f t="shared" si="36"/>
        <v/>
      </c>
      <c r="N53" s="190"/>
      <c r="O53" s="164"/>
      <c r="P53" s="164"/>
      <c r="Q53" s="164"/>
      <c r="R53" s="176" t="s">
        <v>202</v>
      </c>
      <c r="S53" s="164">
        <f>COUNTIF(M3:M24, 1)</f>
        <v>1</v>
      </c>
      <c r="T53" s="190">
        <f> COUNTIF(M3:M24, 2)</f>
        <v>1</v>
      </c>
      <c r="U53" s="190">
        <f>COUNTIF(M3:M24, 3)</f>
        <v>0</v>
      </c>
      <c r="V53" s="190">
        <f>COUNTIF(M3:M24, 4)</f>
        <v>0</v>
      </c>
      <c r="W53" s="164"/>
      <c r="X53" s="164"/>
      <c r="Y53" s="164"/>
      <c r="Z53" s="164"/>
      <c r="AA53" s="164"/>
      <c r="AB53" s="164"/>
    </row>
    <row r="54">
      <c r="A54" s="164"/>
      <c r="B54" s="164"/>
      <c r="C54" s="164"/>
      <c r="D54" s="164"/>
      <c r="E54" s="164"/>
      <c r="F54" s="164"/>
      <c r="G54" s="164"/>
      <c r="H54" s="164"/>
      <c r="I54" s="164"/>
      <c r="J54" s="190" t="str">
        <f t="shared" si="33"/>
        <v/>
      </c>
      <c r="K54" s="190" t="str">
        <f t="shared" si="34"/>
        <v/>
      </c>
      <c r="L54" s="190" t="str">
        <f t="shared" si="35"/>
        <v/>
      </c>
      <c r="M54" s="190" t="str">
        <f t="shared" si="36"/>
        <v/>
      </c>
      <c r="N54" s="190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</row>
    <row r="55">
      <c r="A55" s="164"/>
      <c r="B55" s="164"/>
      <c r="C55" s="164"/>
      <c r="D55" s="164"/>
      <c r="E55" s="164"/>
      <c r="F55" s="164"/>
      <c r="G55" s="164"/>
      <c r="H55" s="164"/>
      <c r="I55" s="164"/>
      <c r="J55" s="190" t="str">
        <f t="shared" si="33"/>
        <v/>
      </c>
      <c r="K55" s="190" t="str">
        <f t="shared" si="34"/>
        <v/>
      </c>
      <c r="L55" s="190" t="str">
        <f t="shared" si="35"/>
        <v/>
      </c>
      <c r="M55" s="190" t="str">
        <f t="shared" si="36"/>
        <v/>
      </c>
      <c r="N55" s="190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</row>
    <row r="56">
      <c r="A56" s="164"/>
      <c r="B56" s="164"/>
      <c r="C56" s="164"/>
      <c r="D56" s="164"/>
      <c r="E56" s="164"/>
      <c r="F56" s="164"/>
      <c r="G56" s="164"/>
      <c r="H56" s="164"/>
      <c r="I56" s="164"/>
      <c r="J56" s="190" t="str">
        <f t="shared" si="33"/>
        <v/>
      </c>
      <c r="K56" s="190" t="str">
        <f t="shared" si="34"/>
        <v/>
      </c>
      <c r="L56" s="190" t="str">
        <f t="shared" si="35"/>
        <v/>
      </c>
      <c r="M56" s="190" t="str">
        <f t="shared" si="36"/>
        <v/>
      </c>
      <c r="N56" s="190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</row>
    <row r="57">
      <c r="A57" s="164"/>
      <c r="B57" s="164"/>
      <c r="C57" s="164"/>
      <c r="D57" s="164"/>
      <c r="E57" s="164"/>
      <c r="F57" s="164"/>
      <c r="G57" s="164"/>
      <c r="H57" s="164"/>
      <c r="I57" s="164"/>
      <c r="J57" s="190" t="str">
        <f t="shared" si="33"/>
        <v/>
      </c>
      <c r="K57" s="190" t="str">
        <f t="shared" si="34"/>
        <v/>
      </c>
      <c r="L57" s="190" t="str">
        <f t="shared" si="35"/>
        <v/>
      </c>
      <c r="M57" s="190" t="str">
        <f t="shared" si="36"/>
        <v/>
      </c>
      <c r="N57" s="190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</row>
    <row r="58">
      <c r="A58" s="164"/>
      <c r="B58" s="164"/>
      <c r="C58" s="164"/>
      <c r="D58" s="164"/>
      <c r="E58" s="164"/>
      <c r="F58" s="164"/>
      <c r="G58" s="164"/>
      <c r="H58" s="164"/>
      <c r="I58" s="164"/>
      <c r="J58" s="190" t="str">
        <f t="shared" si="33"/>
        <v/>
      </c>
      <c r="K58" s="190" t="str">
        <f t="shared" si="34"/>
        <v/>
      </c>
      <c r="L58" s="190" t="str">
        <f t="shared" si="35"/>
        <v/>
      </c>
      <c r="M58" s="190" t="str">
        <f t="shared" si="36"/>
        <v/>
      </c>
      <c r="N58" s="190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</row>
    <row r="59">
      <c r="A59" s="164"/>
      <c r="B59" s="164"/>
      <c r="C59" s="164"/>
      <c r="D59" s="164"/>
      <c r="E59" s="164"/>
      <c r="F59" s="164"/>
      <c r="G59" s="164"/>
      <c r="H59" s="164"/>
      <c r="I59" s="164"/>
      <c r="J59" s="190" t="str">
        <f t="shared" si="33"/>
        <v/>
      </c>
      <c r="K59" s="190" t="str">
        <f t="shared" si="34"/>
        <v/>
      </c>
      <c r="L59" s="190" t="str">
        <f t="shared" si="35"/>
        <v/>
      </c>
      <c r="M59" s="190" t="str">
        <f t="shared" si="36"/>
        <v/>
      </c>
      <c r="N59" s="190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</row>
    <row r="60">
      <c r="A60" s="164"/>
      <c r="B60" s="164"/>
      <c r="C60" s="164"/>
      <c r="D60" s="164"/>
      <c r="E60" s="164"/>
      <c r="F60" s="164"/>
      <c r="G60" s="164"/>
      <c r="H60" s="164"/>
      <c r="I60" s="164"/>
      <c r="J60" s="190" t="str">
        <f t="shared" si="33"/>
        <v/>
      </c>
      <c r="K60" s="190" t="str">
        <f t="shared" si="34"/>
        <v/>
      </c>
      <c r="L60" s="190" t="str">
        <f t="shared" si="35"/>
        <v/>
      </c>
      <c r="M60" s="190" t="str">
        <f t="shared" si="36"/>
        <v/>
      </c>
      <c r="N60" s="190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</row>
    <row r="61">
      <c r="A61" s="164"/>
      <c r="B61" s="164"/>
      <c r="C61" s="164"/>
      <c r="D61" s="164"/>
      <c r="E61" s="164"/>
      <c r="F61" s="164"/>
      <c r="G61" s="164"/>
      <c r="H61" s="164"/>
      <c r="I61" s="164"/>
      <c r="J61" s="190" t="str">
        <f t="shared" si="33"/>
        <v/>
      </c>
      <c r="K61" s="190" t="str">
        <f t="shared" si="34"/>
        <v/>
      </c>
      <c r="L61" s="190" t="str">
        <f t="shared" si="35"/>
        <v/>
      </c>
      <c r="M61" s="190" t="str">
        <f t="shared" si="36"/>
        <v/>
      </c>
      <c r="N61" s="190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</row>
    <row r="62">
      <c r="A62" s="164"/>
      <c r="B62" s="164"/>
      <c r="C62" s="164"/>
      <c r="D62" s="164"/>
      <c r="E62" s="164"/>
      <c r="F62" s="164"/>
      <c r="G62" s="164"/>
      <c r="H62" s="164"/>
      <c r="I62" s="164"/>
      <c r="J62" s="190" t="str">
        <f t="shared" si="33"/>
        <v/>
      </c>
      <c r="K62" s="190" t="str">
        <f t="shared" si="34"/>
        <v/>
      </c>
      <c r="L62" s="190" t="str">
        <f t="shared" si="35"/>
        <v/>
      </c>
      <c r="M62" s="190" t="str">
        <f t="shared" si="36"/>
        <v/>
      </c>
      <c r="N62" s="190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</row>
    <row r="63">
      <c r="A63" s="164"/>
      <c r="B63" s="164"/>
      <c r="C63" s="164"/>
      <c r="D63" s="164"/>
      <c r="E63" s="164"/>
      <c r="F63" s="164"/>
      <c r="G63" s="164"/>
      <c r="H63" s="164"/>
      <c r="I63" s="164"/>
      <c r="J63" s="190" t="str">
        <f t="shared" si="33"/>
        <v/>
      </c>
      <c r="K63" s="190" t="str">
        <f t="shared" si="34"/>
        <v/>
      </c>
      <c r="L63" s="190" t="str">
        <f t="shared" si="35"/>
        <v/>
      </c>
      <c r="M63" s="190" t="str">
        <f t="shared" si="36"/>
        <v/>
      </c>
      <c r="N63" s="190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</row>
    <row r="64">
      <c r="A64" s="164"/>
      <c r="B64" s="164"/>
      <c r="C64" s="164"/>
      <c r="D64" s="164"/>
      <c r="E64" s="164"/>
      <c r="F64" s="164"/>
      <c r="G64" s="164"/>
      <c r="H64" s="164"/>
      <c r="I64" s="164"/>
      <c r="J64" s="190" t="str">
        <f t="shared" si="33"/>
        <v/>
      </c>
      <c r="K64" s="190" t="str">
        <f t="shared" si="34"/>
        <v/>
      </c>
      <c r="L64" s="190" t="str">
        <f t="shared" si="35"/>
        <v/>
      </c>
      <c r="M64" s="190" t="str">
        <f t="shared" si="36"/>
        <v/>
      </c>
      <c r="N64" s="190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</row>
    <row r="65">
      <c r="A65" s="164"/>
      <c r="B65" s="164"/>
      <c r="C65" s="164"/>
      <c r="D65" s="164"/>
      <c r="E65" s="164"/>
      <c r="F65" s="164"/>
      <c r="G65" s="164"/>
      <c r="H65" s="164"/>
      <c r="I65" s="164"/>
      <c r="J65" s="190" t="str">
        <f t="shared" si="33"/>
        <v/>
      </c>
      <c r="K65" s="190" t="str">
        <f t="shared" si="34"/>
        <v/>
      </c>
      <c r="L65" s="190" t="str">
        <f t="shared" si="35"/>
        <v/>
      </c>
      <c r="M65" s="190" t="str">
        <f t="shared" si="36"/>
        <v/>
      </c>
      <c r="N65" s="190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</row>
    <row r="66">
      <c r="A66" s="164"/>
      <c r="B66" s="164"/>
      <c r="C66" s="164"/>
      <c r="D66" s="164"/>
      <c r="E66" s="164"/>
      <c r="F66" s="164"/>
      <c r="G66" s="164"/>
      <c r="H66" s="164"/>
      <c r="I66" s="164"/>
      <c r="J66" s="190" t="str">
        <f t="shared" si="33"/>
        <v/>
      </c>
      <c r="K66" s="190" t="str">
        <f t="shared" si="34"/>
        <v/>
      </c>
      <c r="L66" s="190" t="str">
        <f t="shared" si="35"/>
        <v/>
      </c>
      <c r="M66" s="190" t="str">
        <f t="shared" si="36"/>
        <v/>
      </c>
      <c r="N66" s="190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</row>
    <row r="67">
      <c r="A67" s="164"/>
      <c r="B67" s="164"/>
      <c r="C67" s="164"/>
      <c r="D67" s="164"/>
      <c r="E67" s="164"/>
      <c r="F67" s="164"/>
      <c r="G67" s="164"/>
      <c r="H67" s="164"/>
      <c r="I67" s="164"/>
      <c r="J67" s="190" t="str">
        <f t="shared" si="33"/>
        <v/>
      </c>
      <c r="K67" s="190" t="str">
        <f t="shared" si="34"/>
        <v/>
      </c>
      <c r="L67" s="190" t="str">
        <f t="shared" si="35"/>
        <v/>
      </c>
      <c r="M67" s="190" t="str">
        <f t="shared" si="36"/>
        <v/>
      </c>
      <c r="N67" s="190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</row>
    <row r="68">
      <c r="A68" s="164"/>
      <c r="B68" s="164"/>
      <c r="C68" s="164"/>
      <c r="D68" s="164"/>
      <c r="E68" s="164"/>
      <c r="F68" s="164"/>
      <c r="G68" s="164"/>
      <c r="H68" s="164"/>
      <c r="I68" s="164"/>
      <c r="J68" s="190" t="str">
        <f t="shared" si="33"/>
        <v/>
      </c>
      <c r="K68" s="190" t="str">
        <f t="shared" si="34"/>
        <v/>
      </c>
      <c r="L68" s="190" t="str">
        <f t="shared" si="35"/>
        <v/>
      </c>
      <c r="M68" s="190" t="str">
        <f t="shared" si="36"/>
        <v/>
      </c>
      <c r="N68" s="190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</row>
    <row r="69">
      <c r="A69" s="164"/>
      <c r="B69" s="164"/>
      <c r="C69" s="164"/>
      <c r="D69" s="164"/>
      <c r="E69" s="164"/>
      <c r="F69" s="164"/>
      <c r="G69" s="164"/>
      <c r="H69" s="164"/>
      <c r="I69" s="164"/>
      <c r="J69" s="190" t="str">
        <f t="shared" si="33"/>
        <v/>
      </c>
      <c r="K69" s="190" t="str">
        <f t="shared" si="34"/>
        <v/>
      </c>
      <c r="L69" s="190" t="str">
        <f t="shared" si="35"/>
        <v/>
      </c>
      <c r="M69" s="190" t="str">
        <f t="shared" si="36"/>
        <v/>
      </c>
      <c r="N69" s="190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</row>
    <row r="70">
      <c r="A70" s="164"/>
      <c r="B70" s="164"/>
      <c r="C70" s="164"/>
      <c r="D70" s="164"/>
      <c r="E70" s="164"/>
      <c r="F70" s="164"/>
      <c r="G70" s="164"/>
      <c r="H70" s="164"/>
      <c r="I70" s="164"/>
      <c r="J70" s="190" t="str">
        <f t="shared" si="33"/>
        <v/>
      </c>
      <c r="K70" s="190" t="str">
        <f t="shared" si="34"/>
        <v/>
      </c>
      <c r="L70" s="190" t="str">
        <f t="shared" si="35"/>
        <v/>
      </c>
      <c r="M70" s="190" t="str">
        <f t="shared" si="36"/>
        <v/>
      </c>
      <c r="N70" s="190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</row>
    <row r="71">
      <c r="A71" s="164"/>
      <c r="B71" s="164"/>
      <c r="C71" s="164"/>
      <c r="D71" s="164"/>
      <c r="E71" s="164"/>
      <c r="F71" s="164"/>
      <c r="G71" s="164"/>
      <c r="H71" s="164"/>
      <c r="I71" s="176" t="s">
        <v>194</v>
      </c>
      <c r="J71" s="190" t="str">
        <f t="shared" si="33"/>
        <v/>
      </c>
      <c r="K71" s="190" t="str">
        <f t="shared" si="34"/>
        <v/>
      </c>
      <c r="L71" s="190" t="str">
        <f t="shared" si="35"/>
        <v/>
      </c>
      <c r="M71" s="190" t="str">
        <f t="shared" si="36"/>
        <v/>
      </c>
      <c r="N71" s="190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</row>
    <row r="72">
      <c r="A72" s="164"/>
      <c r="B72" s="164"/>
      <c r="C72" s="164"/>
      <c r="D72" s="164"/>
      <c r="E72" s="164"/>
      <c r="F72" s="164"/>
      <c r="G72" s="164"/>
      <c r="H72" s="164"/>
      <c r="I72" s="176" t="s">
        <v>203</v>
      </c>
      <c r="J72" s="164">
        <f t="shared" ref="J72:M72" si="38">SUM(J50:J71)</f>
        <v>1</v>
      </c>
      <c r="K72" s="164">
        <f t="shared" si="38"/>
        <v>1</v>
      </c>
      <c r="L72" s="164">
        <f t="shared" si="38"/>
        <v>0</v>
      </c>
      <c r="M72" s="164">
        <f t="shared" si="38"/>
        <v>0</v>
      </c>
      <c r="N72" s="190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</row>
    <row r="73">
      <c r="A73" s="164"/>
      <c r="B73" s="164"/>
      <c r="C73" s="164"/>
      <c r="D73" s="164"/>
      <c r="E73" s="164"/>
      <c r="F73" s="164"/>
      <c r="G73" s="164"/>
      <c r="H73" s="164"/>
      <c r="I73" s="176" t="s">
        <v>202</v>
      </c>
      <c r="J73" s="164">
        <f>COUNTIF(M3:M24, 1)</f>
        <v>1</v>
      </c>
      <c r="K73" s="190">
        <f>COUNTIF(M3:M24, 2)</f>
        <v>1</v>
      </c>
      <c r="L73" s="190">
        <f>COUNTIF(M3:M24, 3)</f>
        <v>0</v>
      </c>
      <c r="M73" s="190">
        <f>COUNTIF(M3:M24, 4)</f>
        <v>0</v>
      </c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</row>
    <row r="74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</row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ataValidations>
    <dataValidation type="list" allowBlank="1" sqref="R3:R24">
      <formula1>"Promotor,Satisfeito,Detrator"</formula1>
    </dataValidation>
    <dataValidation type="list" allowBlank="1" sqref="Q3:Q24">
      <formula1>"Ativa,Passiva,Fidelizado"</formula1>
    </dataValidation>
    <dataValidation type="list" allowBlank="1" sqref="L3:L24">
      <formula1>"Sim,Não"</formula1>
    </dataValidation>
    <dataValidation type="list" allowBlank="1" sqref="H3:H24 M3:M24">
      <formula1>"1,2,3,4"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8.57"/>
    <col customWidth="1" min="2" max="2" width="19.0"/>
    <col customWidth="1" min="3" max="3" width="15.86"/>
    <col customWidth="1" min="4" max="4" width="14.43"/>
    <col customWidth="1" min="5" max="5" width="12.43"/>
    <col customWidth="1" min="6" max="6" width="6.14"/>
    <col customWidth="1" min="7" max="7" width="18.29"/>
    <col customWidth="1" min="8" max="8" width="15.86"/>
    <col customWidth="1" min="9" max="9" width="6.86"/>
    <col customWidth="1" min="10" max="10" width="9.29"/>
    <col customWidth="1" min="11" max="11" width="6.14"/>
    <col customWidth="1" min="12" max="12" width="15.71"/>
    <col customWidth="1" min="13" max="13" width="7.86"/>
    <col customWidth="1" min="14" max="14" width="9.57"/>
    <col customWidth="1" min="15" max="15" width="9.29"/>
    <col customWidth="1" min="16" max="16" width="15.86"/>
    <col customWidth="1" min="17" max="17" width="8.14"/>
    <col customWidth="1" min="18" max="18" width="9.86"/>
    <col customWidth="1" min="19" max="19" width="9.57"/>
    <col customWidth="1" min="20" max="20" width="15.86"/>
    <col hidden="1" min="24" max="26" width="14.43"/>
  </cols>
  <sheetData>
    <row r="2">
      <c r="B2" s="276" t="s">
        <v>150</v>
      </c>
      <c r="C2" s="9"/>
      <c r="D2" s="9"/>
      <c r="E2" s="76"/>
      <c r="G2" s="2" t="s">
        <v>0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11</v>
      </c>
      <c r="R2" s="4" t="s">
        <v>12</v>
      </c>
      <c r="S2" s="4" t="s">
        <v>13</v>
      </c>
      <c r="T2" s="4" t="s">
        <v>14</v>
      </c>
      <c r="U2" s="4" t="s">
        <v>15</v>
      </c>
    </row>
    <row r="3" ht="25.5" customHeight="1">
      <c r="B3" s="80" t="s">
        <v>154</v>
      </c>
      <c r="C3" s="80" t="s">
        <v>155</v>
      </c>
      <c r="D3" s="80" t="s">
        <v>156</v>
      </c>
      <c r="E3" s="80" t="s">
        <v>49</v>
      </c>
      <c r="G3" s="280" t="s">
        <v>157</v>
      </c>
      <c r="H3" s="282">
        <v>16.0</v>
      </c>
      <c r="I3" s="284">
        <v>14.0</v>
      </c>
      <c r="J3" s="284">
        <v>22.0</v>
      </c>
      <c r="K3" s="287"/>
      <c r="L3" s="287">
        <f>IF(K3="",J3,K3)</f>
        <v>22</v>
      </c>
      <c r="M3" s="287"/>
      <c r="N3" s="287"/>
      <c r="O3" s="287"/>
      <c r="P3" s="287" t="str">
        <f>O3</f>
        <v/>
      </c>
      <c r="Q3" s="287"/>
      <c r="R3" s="287"/>
      <c r="S3" s="287"/>
      <c r="T3" s="287" t="str">
        <f t="shared" ref="T3:U3" si="1">S3</f>
        <v/>
      </c>
      <c r="U3" s="291" t="str">
        <f t="shared" si="1"/>
        <v/>
      </c>
    </row>
    <row r="4" ht="25.5" customHeight="1">
      <c r="B4" s="293" t="s">
        <v>163</v>
      </c>
      <c r="C4" s="295">
        <v>2.0</v>
      </c>
      <c r="D4" s="295" t="s">
        <v>164</v>
      </c>
      <c r="E4" s="297">
        <v>1.0</v>
      </c>
      <c r="G4" s="280" t="s">
        <v>165</v>
      </c>
      <c r="H4" s="127">
        <v>0.0</v>
      </c>
      <c r="I4" s="112">
        <v>2.0</v>
      </c>
      <c r="J4" s="112">
        <v>1.0</v>
      </c>
      <c r="K4" s="114"/>
      <c r="L4" s="114">
        <f t="shared" ref="L4:L6" si="2">SUM(I4:K4)</f>
        <v>3</v>
      </c>
      <c r="M4" s="114"/>
      <c r="N4" s="114"/>
      <c r="O4" s="114"/>
      <c r="P4" s="114">
        <f t="shared" ref="P4:P6" si="3">SUM(M4:O4)</f>
        <v>0</v>
      </c>
      <c r="Q4" s="114"/>
      <c r="R4" s="114"/>
      <c r="S4" s="114"/>
      <c r="T4" s="114">
        <f t="shared" ref="T4:T6" si="4">SUM(Q4:S4)</f>
        <v>0</v>
      </c>
      <c r="U4" s="311">
        <f>SUM(H4,L4,P4,T4)</f>
        <v>3</v>
      </c>
    </row>
    <row r="5" ht="28.5" customHeight="1">
      <c r="B5" s="312" t="s">
        <v>174</v>
      </c>
      <c r="C5" s="313">
        <v>2.0</v>
      </c>
      <c r="D5" s="313" t="s">
        <v>175</v>
      </c>
      <c r="E5" s="314">
        <v>1.0</v>
      </c>
      <c r="G5" s="315" t="s">
        <v>178</v>
      </c>
      <c r="H5" s="127">
        <v>0.0</v>
      </c>
      <c r="I5" s="112">
        <v>0.0</v>
      </c>
      <c r="J5" s="112">
        <v>0.0</v>
      </c>
      <c r="K5" s="114"/>
      <c r="L5" s="114">
        <f t="shared" si="2"/>
        <v>0</v>
      </c>
      <c r="M5" s="114"/>
      <c r="N5" s="114"/>
      <c r="O5" s="114"/>
      <c r="P5" s="114">
        <f t="shared" si="3"/>
        <v>0</v>
      </c>
      <c r="Q5" s="114"/>
      <c r="R5" s="114"/>
      <c r="S5" s="114"/>
      <c r="T5" s="114">
        <f t="shared" si="4"/>
        <v>0</v>
      </c>
      <c r="U5" s="311"/>
    </row>
    <row r="6" ht="29.25" customHeight="1">
      <c r="B6" s="316" t="s">
        <v>181</v>
      </c>
      <c r="C6" s="317">
        <v>2.0</v>
      </c>
      <c r="D6" s="317">
        <v>77.27</v>
      </c>
      <c r="E6" s="321">
        <v>2.0</v>
      </c>
      <c r="G6" s="280" t="s">
        <v>187</v>
      </c>
      <c r="H6" s="323"/>
      <c r="I6" s="151">
        <v>0.0</v>
      </c>
      <c r="J6" s="151">
        <v>0.0</v>
      </c>
      <c r="K6" s="155"/>
      <c r="L6" s="155">
        <f t="shared" si="2"/>
        <v>0</v>
      </c>
      <c r="M6" s="155"/>
      <c r="N6" s="155"/>
      <c r="O6" s="155"/>
      <c r="P6" s="155">
        <f t="shared" si="3"/>
        <v>0</v>
      </c>
      <c r="Q6" s="155"/>
      <c r="R6" s="155"/>
      <c r="S6" s="155"/>
      <c r="T6" s="325">
        <f t="shared" si="4"/>
        <v>0</v>
      </c>
      <c r="U6" s="326"/>
    </row>
    <row r="7" ht="29.25" customHeight="1">
      <c r="B7" s="327"/>
      <c r="C7" s="329"/>
      <c r="D7" s="331"/>
      <c r="E7" s="314"/>
      <c r="F7" s="334" t="s">
        <v>190</v>
      </c>
      <c r="G7" s="248"/>
      <c r="H7" s="335"/>
      <c r="I7" s="335"/>
      <c r="J7" s="335"/>
      <c r="K7" s="335"/>
      <c r="L7" s="337" t="s">
        <v>191</v>
      </c>
      <c r="M7" s="335"/>
      <c r="N7" s="335"/>
      <c r="O7" s="335"/>
      <c r="P7" s="181"/>
      <c r="Q7" s="1"/>
      <c r="R7" s="1"/>
      <c r="S7" s="1"/>
      <c r="T7" s="1"/>
      <c r="U7" s="1"/>
    </row>
    <row r="8" ht="30.0" customHeight="1">
      <c r="B8" s="338"/>
      <c r="C8" s="339"/>
      <c r="D8" s="340"/>
      <c r="E8" s="321"/>
      <c r="F8" s="1"/>
      <c r="G8" s="341" t="s">
        <v>117</v>
      </c>
      <c r="H8" s="341" t="s">
        <v>118</v>
      </c>
      <c r="I8" s="341" t="s">
        <v>119</v>
      </c>
      <c r="J8" s="341" t="s">
        <v>120</v>
      </c>
      <c r="K8" s="248"/>
      <c r="L8" s="341" t="s">
        <v>117</v>
      </c>
      <c r="M8" s="341" t="s">
        <v>118</v>
      </c>
      <c r="N8" s="341" t="s">
        <v>119</v>
      </c>
      <c r="O8" s="341" t="s">
        <v>120</v>
      </c>
      <c r="P8" s="181"/>
      <c r="Q8" s="1"/>
      <c r="R8" s="1"/>
      <c r="S8" s="1"/>
      <c r="T8" s="1"/>
      <c r="U8" s="1"/>
    </row>
    <row r="9" ht="37.5" customHeight="1">
      <c r="B9" s="327"/>
      <c r="C9" s="342"/>
      <c r="D9" s="343"/>
      <c r="E9" s="314"/>
      <c r="F9" s="1"/>
      <c r="G9" s="341">
        <v>62.5</v>
      </c>
      <c r="H9" s="344" t="str">
        <f t="shared" ref="H9:H27" si="5">IF(AND(NOT(B4=""), E4=2),D4,"")</f>
        <v/>
      </c>
      <c r="I9" s="248" t="str">
        <f t="shared" ref="I9:I27" si="6">IF(AND(NOT(B4=""), E4=3),D4,"")</f>
        <v/>
      </c>
      <c r="J9" s="248" t="str">
        <f t="shared" ref="J9:J27" si="7">IF(AND(NOT(B4=""), E4=4),D4,"")</f>
        <v/>
      </c>
      <c r="K9" s="248"/>
      <c r="L9" s="248">
        <f>IF(E4=1,C4,"")</f>
        <v>2</v>
      </c>
      <c r="M9" s="344" t="str">
        <f t="shared" ref="M9:M27" si="8">IF(E4=2,C4,"")</f>
        <v/>
      </c>
      <c r="N9" s="344" t="str">
        <f t="shared" ref="N9:N27" si="9">IF(E4=3,C4,"")</f>
        <v/>
      </c>
      <c r="O9" s="344" t="str">
        <f t="shared" ref="O9:O27" si="10">IF(E4=4,C4,"")</f>
        <v/>
      </c>
      <c r="P9" s="181"/>
      <c r="Q9" s="1"/>
      <c r="R9" s="1"/>
      <c r="S9" s="1"/>
      <c r="T9" s="1"/>
      <c r="U9" s="1"/>
    </row>
    <row r="10" ht="27.0" customHeight="1">
      <c r="B10" s="345"/>
      <c r="C10" s="339"/>
      <c r="D10" s="340"/>
      <c r="E10" s="321"/>
      <c r="F10" s="1"/>
      <c r="G10" s="341">
        <v>56.23</v>
      </c>
      <c r="H10" s="344" t="str">
        <f t="shared" si="5"/>
        <v/>
      </c>
      <c r="I10" s="248" t="str">
        <f t="shared" si="6"/>
        <v/>
      </c>
      <c r="J10" s="248" t="str">
        <f t="shared" si="7"/>
        <v/>
      </c>
      <c r="K10" s="248"/>
      <c r="L10" s="248" t="str">
        <f>IF(E6=1,D6,"")</f>
        <v/>
      </c>
      <c r="M10" s="344" t="str">
        <f t="shared" si="8"/>
        <v/>
      </c>
      <c r="N10" s="344" t="str">
        <f t="shared" si="9"/>
        <v/>
      </c>
      <c r="O10" s="344" t="str">
        <f t="shared" si="10"/>
        <v/>
      </c>
      <c r="P10" s="181"/>
      <c r="Q10" s="1"/>
      <c r="R10" s="1"/>
      <c r="S10" s="1"/>
      <c r="T10" s="1"/>
      <c r="U10" s="1"/>
    </row>
    <row r="11" ht="27.0" customHeight="1">
      <c r="A11" s="8"/>
      <c r="B11" s="327"/>
      <c r="C11" s="342"/>
      <c r="D11" s="343"/>
      <c r="E11" s="314"/>
      <c r="F11" s="1"/>
      <c r="G11" s="248" t="str">
        <f t="shared" ref="G11:G27" si="11">IF(AND(NOT(B6=""), E6=1),D6,"")</f>
        <v/>
      </c>
      <c r="H11" s="344">
        <f t="shared" si="5"/>
        <v>77.27</v>
      </c>
      <c r="I11" s="248" t="str">
        <f t="shared" si="6"/>
        <v/>
      </c>
      <c r="J11" s="248" t="str">
        <f t="shared" si="7"/>
        <v/>
      </c>
      <c r="K11" s="248"/>
      <c r="L11" s="248" t="str">
        <f>IF(E6=1,C6,"")</f>
        <v/>
      </c>
      <c r="M11" s="344">
        <f t="shared" si="8"/>
        <v>2</v>
      </c>
      <c r="N11" s="344" t="str">
        <f t="shared" si="9"/>
        <v/>
      </c>
      <c r="O11" s="344" t="str">
        <f t="shared" si="10"/>
        <v/>
      </c>
      <c r="P11" s="181"/>
      <c r="Q11" s="164"/>
      <c r="R11" s="164"/>
      <c r="S11" s="164"/>
      <c r="T11" s="164"/>
      <c r="U11" s="164"/>
      <c r="V11" s="8"/>
      <c r="W11" s="8"/>
      <c r="X11" s="8"/>
      <c r="Y11" s="8"/>
      <c r="Z11" s="8"/>
    </row>
    <row r="12" ht="33.0" customHeight="1">
      <c r="B12" s="345"/>
      <c r="C12" s="339"/>
      <c r="D12" s="340"/>
      <c r="E12" s="321"/>
      <c r="F12" s="1"/>
      <c r="G12" s="248" t="str">
        <f t="shared" si="11"/>
        <v/>
      </c>
      <c r="H12" s="344" t="str">
        <f t="shared" si="5"/>
        <v/>
      </c>
      <c r="I12" s="248" t="str">
        <f t="shared" si="6"/>
        <v/>
      </c>
      <c r="J12" s="248" t="str">
        <f t="shared" si="7"/>
        <v/>
      </c>
      <c r="K12" s="248"/>
      <c r="L12" s="248" t="str">
        <f>IF(E8=1,D8,"")</f>
        <v/>
      </c>
      <c r="M12" s="344" t="str">
        <f t="shared" si="8"/>
        <v/>
      </c>
      <c r="N12" s="344" t="str">
        <f t="shared" si="9"/>
        <v/>
      </c>
      <c r="O12" s="344" t="str">
        <f t="shared" si="10"/>
        <v/>
      </c>
      <c r="P12" s="1"/>
      <c r="Q12" s="1"/>
      <c r="R12" s="1"/>
      <c r="S12" s="1"/>
      <c r="T12" s="1"/>
      <c r="U12" s="1"/>
    </row>
    <row r="13" ht="24.0" customHeight="1">
      <c r="B13" s="327"/>
      <c r="C13" s="342"/>
      <c r="D13" s="343"/>
      <c r="E13" s="314"/>
      <c r="F13" s="1"/>
      <c r="G13" s="248" t="str">
        <f t="shared" si="11"/>
        <v/>
      </c>
      <c r="H13" s="344" t="str">
        <f t="shared" si="5"/>
        <v/>
      </c>
      <c r="I13" s="248" t="str">
        <f t="shared" si="6"/>
        <v/>
      </c>
      <c r="J13" s="248" t="str">
        <f t="shared" si="7"/>
        <v/>
      </c>
      <c r="K13" s="248"/>
      <c r="L13" s="248" t="str">
        <f>IF(E8=1,C8,"")</f>
        <v/>
      </c>
      <c r="M13" s="344" t="str">
        <f t="shared" si="8"/>
        <v/>
      </c>
      <c r="N13" s="344" t="str">
        <f t="shared" si="9"/>
        <v/>
      </c>
      <c r="O13" s="344" t="str">
        <f t="shared" si="10"/>
        <v/>
      </c>
      <c r="P13" s="1"/>
      <c r="Q13" s="1"/>
      <c r="R13" s="1"/>
      <c r="S13" s="1"/>
      <c r="T13" s="1"/>
      <c r="U13" s="1"/>
    </row>
    <row r="14" ht="25.5" customHeight="1">
      <c r="B14" s="345"/>
      <c r="C14" s="339"/>
      <c r="D14" s="340"/>
      <c r="E14" s="321"/>
      <c r="F14" s="1"/>
      <c r="G14" s="248" t="str">
        <f t="shared" si="11"/>
        <v/>
      </c>
      <c r="H14" s="344" t="str">
        <f t="shared" si="5"/>
        <v/>
      </c>
      <c r="I14" s="248" t="str">
        <f t="shared" si="6"/>
        <v/>
      </c>
      <c r="J14" s="248" t="str">
        <f t="shared" si="7"/>
        <v/>
      </c>
      <c r="K14" s="248"/>
      <c r="L14" s="248" t="str">
        <f>IF(E10=1,D10,"")</f>
        <v/>
      </c>
      <c r="M14" s="344" t="str">
        <f t="shared" si="8"/>
        <v/>
      </c>
      <c r="N14" s="344" t="str">
        <f t="shared" si="9"/>
        <v/>
      </c>
      <c r="O14" s="344" t="str">
        <f t="shared" si="10"/>
        <v/>
      </c>
      <c r="P14" s="1"/>
      <c r="Q14" s="1"/>
      <c r="R14" s="1"/>
      <c r="S14" s="1"/>
      <c r="T14" s="1"/>
      <c r="U14" s="1"/>
    </row>
    <row r="15" ht="31.5" customHeight="1">
      <c r="B15" s="327"/>
      <c r="C15" s="342"/>
      <c r="D15" s="343"/>
      <c r="E15" s="314"/>
      <c r="F15" s="1"/>
      <c r="G15" s="248" t="str">
        <f t="shared" si="11"/>
        <v/>
      </c>
      <c r="H15" s="344" t="str">
        <f t="shared" si="5"/>
        <v/>
      </c>
      <c r="I15" s="248" t="str">
        <f t="shared" si="6"/>
        <v/>
      </c>
      <c r="J15" s="248" t="str">
        <f t="shared" si="7"/>
        <v/>
      </c>
      <c r="K15" s="248"/>
      <c r="L15" s="248" t="str">
        <f>IF(E10=1,C10,"")</f>
        <v/>
      </c>
      <c r="M15" s="344" t="str">
        <f t="shared" si="8"/>
        <v/>
      </c>
      <c r="N15" s="344" t="str">
        <f t="shared" si="9"/>
        <v/>
      </c>
      <c r="O15" s="344" t="str">
        <f t="shared" si="10"/>
        <v/>
      </c>
      <c r="P15" s="1"/>
      <c r="Q15" s="1"/>
      <c r="R15" s="1"/>
      <c r="S15" s="1"/>
      <c r="T15" s="1"/>
      <c r="U15" s="1"/>
    </row>
    <row r="16" ht="27.75" customHeight="1">
      <c r="B16" s="345"/>
      <c r="C16" s="339"/>
      <c r="D16" s="340"/>
      <c r="E16" s="321"/>
      <c r="F16" s="1"/>
      <c r="G16" s="248" t="str">
        <f t="shared" si="11"/>
        <v/>
      </c>
      <c r="H16" s="344" t="str">
        <f t="shared" si="5"/>
        <v/>
      </c>
      <c r="I16" s="248" t="str">
        <f t="shared" si="6"/>
        <v/>
      </c>
      <c r="J16" s="248" t="str">
        <f t="shared" si="7"/>
        <v/>
      </c>
      <c r="K16" s="248"/>
      <c r="L16" s="248" t="str">
        <f>IF(E12=1,D12,"")</f>
        <v/>
      </c>
      <c r="M16" s="344" t="str">
        <f t="shared" si="8"/>
        <v/>
      </c>
      <c r="N16" s="344" t="str">
        <f t="shared" si="9"/>
        <v/>
      </c>
      <c r="O16" s="344" t="str">
        <f t="shared" si="10"/>
        <v/>
      </c>
      <c r="P16" s="1"/>
      <c r="Q16" s="1"/>
      <c r="R16" s="1"/>
      <c r="S16" s="1"/>
      <c r="T16" s="1"/>
      <c r="U16" s="1"/>
    </row>
    <row r="17" ht="32.25" customHeight="1">
      <c r="B17" s="327"/>
      <c r="C17" s="342"/>
      <c r="D17" s="343"/>
      <c r="E17" s="314"/>
      <c r="F17" s="1"/>
      <c r="G17" s="248" t="str">
        <f t="shared" si="11"/>
        <v/>
      </c>
      <c r="H17" s="344" t="str">
        <f t="shared" si="5"/>
        <v/>
      </c>
      <c r="I17" s="248" t="str">
        <f t="shared" si="6"/>
        <v/>
      </c>
      <c r="J17" s="248" t="str">
        <f t="shared" si="7"/>
        <v/>
      </c>
      <c r="K17" s="248"/>
      <c r="L17" s="248" t="str">
        <f>IF(E12=1,C12,"")</f>
        <v/>
      </c>
      <c r="M17" s="344" t="str">
        <f t="shared" si="8"/>
        <v/>
      </c>
      <c r="N17" s="344" t="str">
        <f t="shared" si="9"/>
        <v/>
      </c>
      <c r="O17" s="344" t="str">
        <f t="shared" si="10"/>
        <v/>
      </c>
      <c r="P17" s="1"/>
      <c r="Q17" s="1"/>
      <c r="R17" s="1"/>
      <c r="S17" s="1"/>
      <c r="T17" s="1"/>
      <c r="U17" s="1"/>
    </row>
    <row r="18" ht="28.5" customHeight="1">
      <c r="B18" s="345"/>
      <c r="C18" s="339"/>
      <c r="D18" s="340"/>
      <c r="E18" s="321"/>
      <c r="F18" s="1"/>
      <c r="G18" s="248" t="str">
        <f t="shared" si="11"/>
        <v/>
      </c>
      <c r="H18" s="344" t="str">
        <f t="shared" si="5"/>
        <v/>
      </c>
      <c r="I18" s="248" t="str">
        <f t="shared" si="6"/>
        <v/>
      </c>
      <c r="J18" s="248" t="str">
        <f t="shared" si="7"/>
        <v/>
      </c>
      <c r="K18" s="248"/>
      <c r="L18" s="248" t="str">
        <f>IF(E14=1,D14,"")</f>
        <v/>
      </c>
      <c r="M18" s="344" t="str">
        <f t="shared" si="8"/>
        <v/>
      </c>
      <c r="N18" s="344" t="str">
        <f t="shared" si="9"/>
        <v/>
      </c>
      <c r="O18" s="344" t="str">
        <f t="shared" si="10"/>
        <v/>
      </c>
      <c r="P18" s="1"/>
      <c r="Q18" s="1"/>
      <c r="R18" s="1"/>
      <c r="S18" s="1"/>
      <c r="T18" s="1"/>
      <c r="U18" s="1"/>
    </row>
    <row r="19" ht="31.5" customHeight="1">
      <c r="B19" s="327"/>
      <c r="C19" s="342"/>
      <c r="D19" s="343"/>
      <c r="E19" s="314"/>
      <c r="F19" s="1"/>
      <c r="G19" s="248" t="str">
        <f t="shared" si="11"/>
        <v/>
      </c>
      <c r="H19" s="344" t="str">
        <f t="shared" si="5"/>
        <v/>
      </c>
      <c r="I19" s="248" t="str">
        <f t="shared" si="6"/>
        <v/>
      </c>
      <c r="J19" s="248" t="str">
        <f t="shared" si="7"/>
        <v/>
      </c>
      <c r="K19" s="248"/>
      <c r="L19" s="248" t="str">
        <f>IF(E14=1,C14,"")</f>
        <v/>
      </c>
      <c r="M19" s="344" t="str">
        <f t="shared" si="8"/>
        <v/>
      </c>
      <c r="N19" s="344" t="str">
        <f t="shared" si="9"/>
        <v/>
      </c>
      <c r="O19" s="344" t="str">
        <f t="shared" si="10"/>
        <v/>
      </c>
      <c r="P19" s="1"/>
      <c r="Q19" s="1"/>
      <c r="R19" s="1"/>
      <c r="S19" s="1"/>
      <c r="T19" s="1"/>
      <c r="U19" s="1"/>
    </row>
    <row r="20" ht="31.5" customHeight="1">
      <c r="B20" s="345"/>
      <c r="C20" s="339"/>
      <c r="D20" s="340"/>
      <c r="E20" s="321"/>
      <c r="F20" s="1"/>
      <c r="G20" s="248" t="str">
        <f t="shared" si="11"/>
        <v/>
      </c>
      <c r="H20" s="344" t="str">
        <f t="shared" si="5"/>
        <v/>
      </c>
      <c r="I20" s="248" t="str">
        <f t="shared" si="6"/>
        <v/>
      </c>
      <c r="J20" s="248" t="str">
        <f t="shared" si="7"/>
        <v/>
      </c>
      <c r="K20" s="248"/>
      <c r="L20" s="248" t="str">
        <f>IF(E16=1,D16,"")</f>
        <v/>
      </c>
      <c r="M20" s="344" t="str">
        <f t="shared" si="8"/>
        <v/>
      </c>
      <c r="N20" s="344" t="str">
        <f t="shared" si="9"/>
        <v/>
      </c>
      <c r="O20" s="344" t="str">
        <f t="shared" si="10"/>
        <v/>
      </c>
      <c r="P20" s="1"/>
      <c r="Q20" s="1"/>
      <c r="R20" s="1"/>
      <c r="S20" s="1"/>
      <c r="T20" s="1"/>
      <c r="U20" s="1"/>
    </row>
    <row r="21" ht="25.5" customHeight="1">
      <c r="B21" s="327"/>
      <c r="C21" s="342"/>
      <c r="D21" s="343"/>
      <c r="E21" s="314"/>
      <c r="F21" s="1"/>
      <c r="G21" s="248" t="str">
        <f t="shared" si="11"/>
        <v/>
      </c>
      <c r="H21" s="344" t="str">
        <f t="shared" si="5"/>
        <v/>
      </c>
      <c r="I21" s="248" t="str">
        <f t="shared" si="6"/>
        <v/>
      </c>
      <c r="J21" s="248" t="str">
        <f t="shared" si="7"/>
        <v/>
      </c>
      <c r="K21" s="248"/>
      <c r="L21" s="248" t="str">
        <f>IF(E16=1,C16,"")</f>
        <v/>
      </c>
      <c r="M21" s="344" t="str">
        <f t="shared" si="8"/>
        <v/>
      </c>
      <c r="N21" s="344" t="str">
        <f t="shared" si="9"/>
        <v/>
      </c>
      <c r="O21" s="344" t="str">
        <f t="shared" si="10"/>
        <v/>
      </c>
      <c r="P21" s="1"/>
      <c r="Q21" s="1"/>
      <c r="R21" s="1"/>
      <c r="S21" s="1"/>
      <c r="T21" s="1"/>
      <c r="U21" s="1"/>
    </row>
    <row r="22" ht="29.25" customHeight="1">
      <c r="B22" s="352"/>
      <c r="C22" s="353"/>
      <c r="D22" s="354"/>
      <c r="E22" s="355"/>
      <c r="F22" s="1"/>
      <c r="G22" s="248" t="str">
        <f t="shared" si="11"/>
        <v/>
      </c>
      <c r="H22" s="344" t="str">
        <f t="shared" si="5"/>
        <v/>
      </c>
      <c r="I22" s="248" t="str">
        <f t="shared" si="6"/>
        <v/>
      </c>
      <c r="J22" s="248" t="str">
        <f t="shared" si="7"/>
        <v/>
      </c>
      <c r="K22" s="248"/>
      <c r="L22" s="248" t="str">
        <f>IF(E18=1,D18,"")</f>
        <v/>
      </c>
      <c r="M22" s="344" t="str">
        <f t="shared" si="8"/>
        <v/>
      </c>
      <c r="N22" s="344" t="str">
        <f t="shared" si="9"/>
        <v/>
      </c>
      <c r="O22" s="344" t="str">
        <f t="shared" si="10"/>
        <v/>
      </c>
      <c r="P22" s="1"/>
      <c r="Q22" s="1"/>
      <c r="R22" s="1"/>
      <c r="S22" s="1"/>
      <c r="T22" s="1"/>
      <c r="U22" s="1"/>
    </row>
    <row r="23">
      <c r="F23" s="1"/>
      <c r="G23" s="248" t="str">
        <f t="shared" si="11"/>
        <v/>
      </c>
      <c r="H23" s="344" t="str">
        <f t="shared" si="5"/>
        <v/>
      </c>
      <c r="I23" s="248" t="str">
        <f t="shared" si="6"/>
        <v/>
      </c>
      <c r="J23" s="248" t="str">
        <f t="shared" si="7"/>
        <v/>
      </c>
      <c r="K23" s="248"/>
      <c r="L23" s="248" t="str">
        <f>IF(E18=1,C18,"")</f>
        <v/>
      </c>
      <c r="M23" s="344" t="str">
        <f t="shared" si="8"/>
        <v/>
      </c>
      <c r="N23" s="344" t="str">
        <f t="shared" si="9"/>
        <v/>
      </c>
      <c r="O23" s="344" t="str">
        <f t="shared" si="10"/>
        <v/>
      </c>
      <c r="P23" s="1"/>
      <c r="Q23" s="1"/>
      <c r="R23" s="1"/>
      <c r="S23" s="1"/>
      <c r="T23" s="1"/>
      <c r="U23" s="1"/>
    </row>
    <row r="24">
      <c r="F24" s="1"/>
      <c r="G24" s="248" t="str">
        <f t="shared" si="11"/>
        <v/>
      </c>
      <c r="H24" s="344" t="str">
        <f t="shared" si="5"/>
        <v/>
      </c>
      <c r="I24" s="248" t="str">
        <f t="shared" si="6"/>
        <v/>
      </c>
      <c r="J24" s="248" t="str">
        <f t="shared" si="7"/>
        <v/>
      </c>
      <c r="K24" s="248"/>
      <c r="L24" s="248" t="str">
        <f>IF(E20=1,D20,"")</f>
        <v/>
      </c>
      <c r="M24" s="344" t="str">
        <f t="shared" si="8"/>
        <v/>
      </c>
      <c r="N24" s="344" t="str">
        <f t="shared" si="9"/>
        <v/>
      </c>
      <c r="O24" s="344" t="str">
        <f t="shared" si="10"/>
        <v/>
      </c>
      <c r="P24" s="1"/>
      <c r="Q24" s="1"/>
      <c r="R24" s="1"/>
      <c r="S24" s="1"/>
      <c r="T24" s="1"/>
      <c r="U24" s="1"/>
    </row>
    <row r="25">
      <c r="F25" s="1"/>
      <c r="G25" s="248" t="str">
        <f t="shared" si="11"/>
        <v/>
      </c>
      <c r="H25" s="344" t="str">
        <f t="shared" si="5"/>
        <v/>
      </c>
      <c r="I25" s="248" t="str">
        <f t="shared" si="6"/>
        <v/>
      </c>
      <c r="J25" s="248" t="str">
        <f t="shared" si="7"/>
        <v/>
      </c>
      <c r="K25" s="248"/>
      <c r="L25" s="248" t="str">
        <f>IF(E20=1,C20,"")</f>
        <v/>
      </c>
      <c r="M25" s="344" t="str">
        <f t="shared" si="8"/>
        <v/>
      </c>
      <c r="N25" s="344" t="str">
        <f t="shared" si="9"/>
        <v/>
      </c>
      <c r="O25" s="344" t="str">
        <f t="shared" si="10"/>
        <v/>
      </c>
      <c r="P25" s="1"/>
      <c r="Q25" s="1"/>
      <c r="R25" s="1"/>
      <c r="S25" s="1"/>
      <c r="T25" s="1"/>
      <c r="U25" s="1"/>
    </row>
    <row r="26">
      <c r="F26" s="1"/>
      <c r="G26" s="248" t="str">
        <f t="shared" si="11"/>
        <v/>
      </c>
      <c r="H26" s="344" t="str">
        <f t="shared" si="5"/>
        <v/>
      </c>
      <c r="I26" s="248" t="str">
        <f t="shared" si="6"/>
        <v/>
      </c>
      <c r="J26" s="248" t="str">
        <f t="shared" si="7"/>
        <v/>
      </c>
      <c r="K26" s="248"/>
      <c r="L26" s="248" t="str">
        <f>IF(E22=1,D22,"")</f>
        <v/>
      </c>
      <c r="M26" s="344" t="str">
        <f t="shared" si="8"/>
        <v/>
      </c>
      <c r="N26" s="344" t="str">
        <f t="shared" si="9"/>
        <v/>
      </c>
      <c r="O26" s="344" t="str">
        <f t="shared" si="10"/>
        <v/>
      </c>
      <c r="P26" s="1"/>
      <c r="Q26" s="1"/>
      <c r="R26" s="1"/>
      <c r="S26" s="1"/>
      <c r="T26" s="1"/>
      <c r="U26" s="1"/>
    </row>
    <row r="27">
      <c r="F27" s="1"/>
      <c r="G27" s="248" t="str">
        <f t="shared" si="11"/>
        <v/>
      </c>
      <c r="H27" s="344" t="str">
        <f t="shared" si="5"/>
        <v/>
      </c>
      <c r="I27" s="248" t="str">
        <f t="shared" si="6"/>
        <v/>
      </c>
      <c r="J27" s="248" t="str">
        <f t="shared" si="7"/>
        <v/>
      </c>
      <c r="K27" s="248"/>
      <c r="L27" s="248" t="str">
        <f>IF(E22=1,C22,"")</f>
        <v/>
      </c>
      <c r="M27" s="344" t="str">
        <f t="shared" si="8"/>
        <v/>
      </c>
      <c r="N27" s="344" t="str">
        <f t="shared" si="9"/>
        <v/>
      </c>
      <c r="O27" s="344" t="str">
        <f t="shared" si="10"/>
        <v/>
      </c>
      <c r="P27" s="1"/>
      <c r="Q27" s="1"/>
      <c r="R27" s="1"/>
      <c r="S27" s="1"/>
      <c r="T27" s="1"/>
      <c r="U27" s="1"/>
    </row>
    <row r="28">
      <c r="F28" s="183" t="s">
        <v>195</v>
      </c>
      <c r="G28" s="341">
        <f>IF((SUM(G9:G27)&lt;&gt;0),AVERAGE(G9:G27),"")</f>
        <v>59.365</v>
      </c>
      <c r="H28" s="341">
        <f t="shared" ref="H28:J28" si="12">IF(NOT(SUM(H9:H27)=0),AVERAGE(H9:H27),"")</f>
        <v>77.27</v>
      </c>
      <c r="I28" s="341" t="str">
        <f t="shared" si="12"/>
        <v/>
      </c>
      <c r="J28" s="341" t="str">
        <f t="shared" si="12"/>
        <v/>
      </c>
      <c r="K28" s="341" t="s">
        <v>197</v>
      </c>
      <c r="L28" s="248">
        <f t="shared" ref="L28:O28" si="13">SUM(L9:L27)</f>
        <v>2</v>
      </c>
      <c r="M28" s="248">
        <f t="shared" si="13"/>
        <v>2</v>
      </c>
      <c r="N28" s="248">
        <f t="shared" si="13"/>
        <v>0</v>
      </c>
      <c r="O28" s="248">
        <f t="shared" si="13"/>
        <v>0</v>
      </c>
      <c r="P28" s="1"/>
      <c r="Q28" s="1"/>
      <c r="R28" s="1"/>
      <c r="S28" s="1"/>
      <c r="T28" s="1"/>
      <c r="U28" s="1"/>
    </row>
    <row r="29">
      <c r="F29" s="1"/>
      <c r="G29" s="341" t="s">
        <v>177</v>
      </c>
      <c r="H29" s="248">
        <f>IF(SUM(G9:J23)&lt;&gt;0,AVERAGE(G9:J23),"")</f>
        <v>65.33333333</v>
      </c>
      <c r="I29" s="248"/>
      <c r="J29" s="248"/>
      <c r="K29" s="248"/>
      <c r="L29" s="248">
        <f>SUM(L28:O28)</f>
        <v>4</v>
      </c>
      <c r="M29" s="248"/>
      <c r="N29" s="248"/>
      <c r="O29" s="248"/>
      <c r="P29" s="1"/>
      <c r="Q29" s="1"/>
      <c r="R29" s="1"/>
      <c r="S29" s="1"/>
      <c r="T29" s="1"/>
      <c r="U29" s="1"/>
    </row>
    <row r="30">
      <c r="F30" s="1"/>
      <c r="G30" s="248"/>
      <c r="H30" s="248"/>
      <c r="I30" s="248"/>
      <c r="J30" s="248"/>
      <c r="K30" s="248"/>
      <c r="L30" s="248"/>
      <c r="M30" s="248"/>
      <c r="N30" s="248"/>
      <c r="O30" s="248"/>
      <c r="P30" s="1"/>
      <c r="Q30" s="1"/>
      <c r="R30" s="1"/>
      <c r="S30" s="1"/>
      <c r="T30" s="1"/>
      <c r="U30" s="1"/>
    </row>
    <row r="31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</sheetData>
  <mergeCells count="1">
    <mergeCell ref="B2:E2"/>
  </mergeCells>
  <dataValidations>
    <dataValidation type="list" allowBlank="1" sqref="E4:E22">
      <formula1>"1,2,3,4"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