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440" yWindow="0" windowWidth="25040" windowHeight="17440" tabRatio="500"/>
  </bookViews>
  <sheets>
    <sheet name="AWS STORAGE" sheetId="2" r:id="rId1"/>
    <sheet name="results" sheetId="6" r:id="rId2"/>
    <sheet name="sep_bbdd" sheetId="4" r:id="rId3"/>
    <sheet name="ago_bbdd" sheetId="5" r:id="rId4"/>
    <sheet name="comparacion por dia" sheetId="3" r:id="rId5"/>
    <sheet name="solucion BONO" sheetId="1" r:id="rId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2834" i="5" l="1"/>
  <c r="H2834" i="5"/>
  <c r="G2834" i="5"/>
  <c r="F2834" i="5"/>
  <c r="E2834" i="5"/>
  <c r="I2833" i="5"/>
  <c r="H2833" i="5"/>
  <c r="G2833" i="5"/>
  <c r="F2833" i="5"/>
  <c r="E2833" i="5"/>
  <c r="I2832" i="5"/>
  <c r="H2832" i="5"/>
  <c r="G2832" i="5"/>
  <c r="F2832" i="5"/>
  <c r="E2832" i="5"/>
  <c r="I2831" i="5"/>
  <c r="H2831" i="5"/>
  <c r="G2831" i="5"/>
  <c r="F2831" i="5"/>
  <c r="E2831" i="5"/>
  <c r="I2830" i="5"/>
  <c r="H2830" i="5"/>
  <c r="G2830" i="5"/>
  <c r="F2830" i="5"/>
  <c r="E2830" i="5"/>
  <c r="I2829" i="5"/>
  <c r="H2829" i="5"/>
  <c r="G2829" i="5"/>
  <c r="F2829" i="5"/>
  <c r="E2829" i="5"/>
  <c r="I2828" i="5"/>
  <c r="H2828" i="5"/>
  <c r="G2828" i="5"/>
  <c r="F2828" i="5"/>
  <c r="E2828" i="5"/>
  <c r="I2827" i="5"/>
  <c r="H2827" i="5"/>
  <c r="G2827" i="5"/>
  <c r="F2827" i="5"/>
  <c r="E2827" i="5"/>
  <c r="I2826" i="5"/>
  <c r="H2826" i="5"/>
  <c r="G2826" i="5"/>
  <c r="F2826" i="5"/>
  <c r="E2826" i="5"/>
  <c r="I2825" i="5"/>
  <c r="H2825" i="5"/>
  <c r="G2825" i="5"/>
  <c r="F2825" i="5"/>
  <c r="E2825" i="5"/>
  <c r="I2824" i="5"/>
  <c r="H2824" i="5"/>
  <c r="G2824" i="5"/>
  <c r="F2824" i="5"/>
  <c r="E2824" i="5"/>
  <c r="I2823" i="5"/>
  <c r="H2823" i="5"/>
  <c r="G2823" i="5"/>
  <c r="F2823" i="5"/>
  <c r="E2823" i="5"/>
  <c r="I2822" i="5"/>
  <c r="H2822" i="5"/>
  <c r="G2822" i="5"/>
  <c r="F2822" i="5"/>
  <c r="E2822" i="5"/>
  <c r="I2821" i="5"/>
  <c r="H2821" i="5"/>
  <c r="G2821" i="5"/>
  <c r="F2821" i="5"/>
  <c r="E2821" i="5"/>
  <c r="I2820" i="5"/>
  <c r="H2820" i="5"/>
  <c r="G2820" i="5"/>
  <c r="F2820" i="5"/>
  <c r="E2820" i="5"/>
  <c r="I2819" i="5"/>
  <c r="H2819" i="5"/>
  <c r="G2819" i="5"/>
  <c r="F2819" i="5"/>
  <c r="E2819" i="5"/>
  <c r="I2818" i="5"/>
  <c r="H2818" i="5"/>
  <c r="G2818" i="5"/>
  <c r="F2818" i="5"/>
  <c r="E2818" i="5"/>
  <c r="I2817" i="5"/>
  <c r="H2817" i="5"/>
  <c r="G2817" i="5"/>
  <c r="F2817" i="5"/>
  <c r="E2817" i="5"/>
  <c r="I2816" i="5"/>
  <c r="H2816" i="5"/>
  <c r="G2816" i="5"/>
  <c r="F2816" i="5"/>
  <c r="E2816" i="5"/>
  <c r="I2815" i="5"/>
  <c r="H2815" i="5"/>
  <c r="G2815" i="5"/>
  <c r="F2815" i="5"/>
  <c r="E2815" i="5"/>
  <c r="I2814" i="5"/>
  <c r="H2814" i="5"/>
  <c r="G2814" i="5"/>
  <c r="F2814" i="5"/>
  <c r="E2814" i="5"/>
  <c r="I2813" i="5"/>
  <c r="H2813" i="5"/>
  <c r="G2813" i="5"/>
  <c r="F2813" i="5"/>
  <c r="E2813" i="5"/>
  <c r="I2812" i="5"/>
  <c r="H2812" i="5"/>
  <c r="G2812" i="5"/>
  <c r="F2812" i="5"/>
  <c r="E2812" i="5"/>
  <c r="I2811" i="5"/>
  <c r="H2811" i="5"/>
  <c r="G2811" i="5"/>
  <c r="F2811" i="5"/>
  <c r="E2811" i="5"/>
  <c r="I2810" i="5"/>
  <c r="H2810" i="5"/>
  <c r="G2810" i="5"/>
  <c r="F2810" i="5"/>
  <c r="E2810" i="5"/>
  <c r="I2809" i="5"/>
  <c r="H2809" i="5"/>
  <c r="G2809" i="5"/>
  <c r="F2809" i="5"/>
  <c r="E2809" i="5"/>
  <c r="I2808" i="5"/>
  <c r="H2808" i="5"/>
  <c r="G2808" i="5"/>
  <c r="F2808" i="5"/>
  <c r="E2808" i="5"/>
  <c r="I2807" i="5"/>
  <c r="H2807" i="5"/>
  <c r="G2807" i="5"/>
  <c r="F2807" i="5"/>
  <c r="E2807" i="5"/>
  <c r="I2806" i="5"/>
  <c r="H2806" i="5"/>
  <c r="G2806" i="5"/>
  <c r="F2806" i="5"/>
  <c r="E2806" i="5"/>
  <c r="I2805" i="5"/>
  <c r="H2805" i="5"/>
  <c r="G2805" i="5"/>
  <c r="F2805" i="5"/>
  <c r="E2805" i="5"/>
  <c r="I2804" i="5"/>
  <c r="H2804" i="5"/>
  <c r="G2804" i="5"/>
  <c r="F2804" i="5"/>
  <c r="E2804" i="5"/>
  <c r="I2803" i="5"/>
  <c r="H2803" i="5"/>
  <c r="G2803" i="5"/>
  <c r="F2803" i="5"/>
  <c r="E2803" i="5"/>
  <c r="I2802" i="5"/>
  <c r="H2802" i="5"/>
  <c r="G2802" i="5"/>
  <c r="F2802" i="5"/>
  <c r="E2802" i="5"/>
  <c r="I2801" i="5"/>
  <c r="H2801" i="5"/>
  <c r="G2801" i="5"/>
  <c r="F2801" i="5"/>
  <c r="E2801" i="5"/>
  <c r="I2800" i="5"/>
  <c r="H2800" i="5"/>
  <c r="G2800" i="5"/>
  <c r="F2800" i="5"/>
  <c r="E2800" i="5"/>
  <c r="I2799" i="5"/>
  <c r="H2799" i="5"/>
  <c r="G2799" i="5"/>
  <c r="F2799" i="5"/>
  <c r="E2799" i="5"/>
  <c r="I2798" i="5"/>
  <c r="H2798" i="5"/>
  <c r="G2798" i="5"/>
  <c r="F2798" i="5"/>
  <c r="E2798" i="5"/>
  <c r="I2797" i="5"/>
  <c r="H2797" i="5"/>
  <c r="G2797" i="5"/>
  <c r="F2797" i="5"/>
  <c r="E2797" i="5"/>
  <c r="I2796" i="5"/>
  <c r="H2796" i="5"/>
  <c r="G2796" i="5"/>
  <c r="F2796" i="5"/>
  <c r="E2796" i="5"/>
  <c r="I2795" i="5"/>
  <c r="H2795" i="5"/>
  <c r="G2795" i="5"/>
  <c r="F2795" i="5"/>
  <c r="E2795" i="5"/>
  <c r="I2794" i="5"/>
  <c r="H2794" i="5"/>
  <c r="G2794" i="5"/>
  <c r="F2794" i="5"/>
  <c r="E2794" i="5"/>
  <c r="I2793" i="5"/>
  <c r="H2793" i="5"/>
  <c r="G2793" i="5"/>
  <c r="F2793" i="5"/>
  <c r="E2793" i="5"/>
  <c r="I2792" i="5"/>
  <c r="H2792" i="5"/>
  <c r="G2792" i="5"/>
  <c r="F2792" i="5"/>
  <c r="E2792" i="5"/>
  <c r="I2791" i="5"/>
  <c r="H2791" i="5"/>
  <c r="G2791" i="5"/>
  <c r="F2791" i="5"/>
  <c r="E2791" i="5"/>
  <c r="I2790" i="5"/>
  <c r="H2790" i="5"/>
  <c r="G2790" i="5"/>
  <c r="F2790" i="5"/>
  <c r="E2790" i="5"/>
  <c r="I2789" i="5"/>
  <c r="H2789" i="5"/>
  <c r="G2789" i="5"/>
  <c r="F2789" i="5"/>
  <c r="E2789" i="5"/>
  <c r="I2788" i="5"/>
  <c r="H2788" i="5"/>
  <c r="G2788" i="5"/>
  <c r="F2788" i="5"/>
  <c r="E2788" i="5"/>
  <c r="I2787" i="5"/>
  <c r="H2787" i="5"/>
  <c r="G2787" i="5"/>
  <c r="F2787" i="5"/>
  <c r="E2787" i="5"/>
  <c r="I2786" i="5"/>
  <c r="H2786" i="5"/>
  <c r="G2786" i="5"/>
  <c r="F2786" i="5"/>
  <c r="E2786" i="5"/>
  <c r="I2785" i="5"/>
  <c r="H2785" i="5"/>
  <c r="G2785" i="5"/>
  <c r="F2785" i="5"/>
  <c r="E2785" i="5"/>
  <c r="I2784" i="5"/>
  <c r="H2784" i="5"/>
  <c r="G2784" i="5"/>
  <c r="F2784" i="5"/>
  <c r="E2784" i="5"/>
  <c r="I2783" i="5"/>
  <c r="H2783" i="5"/>
  <c r="G2783" i="5"/>
  <c r="F2783" i="5"/>
  <c r="E2783" i="5"/>
  <c r="I2782" i="5"/>
  <c r="H2782" i="5"/>
  <c r="G2782" i="5"/>
  <c r="F2782" i="5"/>
  <c r="E2782" i="5"/>
  <c r="I2781" i="5"/>
  <c r="H2781" i="5"/>
  <c r="G2781" i="5"/>
  <c r="F2781" i="5"/>
  <c r="E2781" i="5"/>
  <c r="I2780" i="5"/>
  <c r="H2780" i="5"/>
  <c r="G2780" i="5"/>
  <c r="F2780" i="5"/>
  <c r="E2780" i="5"/>
  <c r="I2779" i="5"/>
  <c r="H2779" i="5"/>
  <c r="G2779" i="5"/>
  <c r="F2779" i="5"/>
  <c r="E2779" i="5"/>
  <c r="I2778" i="5"/>
  <c r="H2778" i="5"/>
  <c r="G2778" i="5"/>
  <c r="F2778" i="5"/>
  <c r="E2778" i="5"/>
  <c r="I2777" i="5"/>
  <c r="H2777" i="5"/>
  <c r="G2777" i="5"/>
  <c r="F2777" i="5"/>
  <c r="E2777" i="5"/>
  <c r="I2776" i="5"/>
  <c r="H2776" i="5"/>
  <c r="G2776" i="5"/>
  <c r="F2776" i="5"/>
  <c r="E2776" i="5"/>
  <c r="I2775" i="5"/>
  <c r="H2775" i="5"/>
  <c r="G2775" i="5"/>
  <c r="F2775" i="5"/>
  <c r="E2775" i="5"/>
  <c r="I2774" i="5"/>
  <c r="H2774" i="5"/>
  <c r="G2774" i="5"/>
  <c r="F2774" i="5"/>
  <c r="E2774" i="5"/>
  <c r="I2773" i="5"/>
  <c r="H2773" i="5"/>
  <c r="G2773" i="5"/>
  <c r="F2773" i="5"/>
  <c r="E2773" i="5"/>
  <c r="I2772" i="5"/>
  <c r="H2772" i="5"/>
  <c r="G2772" i="5"/>
  <c r="F2772" i="5"/>
  <c r="E2772" i="5"/>
  <c r="I2771" i="5"/>
  <c r="H2771" i="5"/>
  <c r="G2771" i="5"/>
  <c r="F2771" i="5"/>
  <c r="E2771" i="5"/>
  <c r="I2770" i="5"/>
  <c r="H2770" i="5"/>
  <c r="G2770" i="5"/>
  <c r="F2770" i="5"/>
  <c r="E2770" i="5"/>
  <c r="I2769" i="5"/>
  <c r="H2769" i="5"/>
  <c r="G2769" i="5"/>
  <c r="F2769" i="5"/>
  <c r="E2769" i="5"/>
  <c r="I2768" i="5"/>
  <c r="H2768" i="5"/>
  <c r="G2768" i="5"/>
  <c r="F2768" i="5"/>
  <c r="E2768" i="5"/>
  <c r="I2767" i="5"/>
  <c r="H2767" i="5"/>
  <c r="G2767" i="5"/>
  <c r="F2767" i="5"/>
  <c r="E2767" i="5"/>
  <c r="I2766" i="5"/>
  <c r="H2766" i="5"/>
  <c r="G2766" i="5"/>
  <c r="F2766" i="5"/>
  <c r="E2766" i="5"/>
  <c r="I2765" i="5"/>
  <c r="H2765" i="5"/>
  <c r="G2765" i="5"/>
  <c r="F2765" i="5"/>
  <c r="E2765" i="5"/>
  <c r="I2764" i="5"/>
  <c r="H2764" i="5"/>
  <c r="G2764" i="5"/>
  <c r="F2764" i="5"/>
  <c r="E2764" i="5"/>
  <c r="I2763" i="5"/>
  <c r="H2763" i="5"/>
  <c r="G2763" i="5"/>
  <c r="F2763" i="5"/>
  <c r="E2763" i="5"/>
  <c r="I2762" i="5"/>
  <c r="H2762" i="5"/>
  <c r="G2762" i="5"/>
  <c r="F2762" i="5"/>
  <c r="E2762" i="5"/>
  <c r="I2761" i="5"/>
  <c r="H2761" i="5"/>
  <c r="G2761" i="5"/>
  <c r="F2761" i="5"/>
  <c r="E2761" i="5"/>
  <c r="I2760" i="5"/>
  <c r="H2760" i="5"/>
  <c r="G2760" i="5"/>
  <c r="F2760" i="5"/>
  <c r="E2760" i="5"/>
  <c r="I2759" i="5"/>
  <c r="H2759" i="5"/>
  <c r="G2759" i="5"/>
  <c r="F2759" i="5"/>
  <c r="E2759" i="5"/>
  <c r="I2758" i="5"/>
  <c r="H2758" i="5"/>
  <c r="G2758" i="5"/>
  <c r="F2758" i="5"/>
  <c r="E2758" i="5"/>
  <c r="I2757" i="5"/>
  <c r="H2757" i="5"/>
  <c r="G2757" i="5"/>
  <c r="F2757" i="5"/>
  <c r="E2757" i="5"/>
  <c r="I2756" i="5"/>
  <c r="H2756" i="5"/>
  <c r="G2756" i="5"/>
  <c r="F2756" i="5"/>
  <c r="E2756" i="5"/>
  <c r="I2755" i="5"/>
  <c r="H2755" i="5"/>
  <c r="G2755" i="5"/>
  <c r="F2755" i="5"/>
  <c r="E2755" i="5"/>
  <c r="I2754" i="5"/>
  <c r="H2754" i="5"/>
  <c r="G2754" i="5"/>
  <c r="F2754" i="5"/>
  <c r="E2754" i="5"/>
  <c r="I2753" i="5"/>
  <c r="H2753" i="5"/>
  <c r="G2753" i="5"/>
  <c r="F2753" i="5"/>
  <c r="E2753" i="5"/>
  <c r="I2752" i="5"/>
  <c r="H2752" i="5"/>
  <c r="G2752" i="5"/>
  <c r="F2752" i="5"/>
  <c r="E2752" i="5"/>
  <c r="I2751" i="5"/>
  <c r="H2751" i="5"/>
  <c r="G2751" i="5"/>
  <c r="F2751" i="5"/>
  <c r="E2751" i="5"/>
  <c r="I2750" i="5"/>
  <c r="H2750" i="5"/>
  <c r="G2750" i="5"/>
  <c r="F2750" i="5"/>
  <c r="E2750" i="5"/>
  <c r="I2749" i="5"/>
  <c r="H2749" i="5"/>
  <c r="G2749" i="5"/>
  <c r="F2749" i="5"/>
  <c r="E2749" i="5"/>
  <c r="I2748" i="5"/>
  <c r="H2748" i="5"/>
  <c r="G2748" i="5"/>
  <c r="F2748" i="5"/>
  <c r="E2748" i="5"/>
  <c r="I2747" i="5"/>
  <c r="H2747" i="5"/>
  <c r="G2747" i="5"/>
  <c r="F2747" i="5"/>
  <c r="E2747" i="5"/>
  <c r="I2746" i="5"/>
  <c r="H2746" i="5"/>
  <c r="G2746" i="5"/>
  <c r="F2746" i="5"/>
  <c r="E2746" i="5"/>
  <c r="I2745" i="5"/>
  <c r="H2745" i="5"/>
  <c r="G2745" i="5"/>
  <c r="F2745" i="5"/>
  <c r="E2745" i="5"/>
  <c r="I2744" i="5"/>
  <c r="H2744" i="5"/>
  <c r="G2744" i="5"/>
  <c r="F2744" i="5"/>
  <c r="E2744" i="5"/>
  <c r="I2743" i="5"/>
  <c r="H2743" i="5"/>
  <c r="G2743" i="5"/>
  <c r="F2743" i="5"/>
  <c r="E2743" i="5"/>
  <c r="I2742" i="5"/>
  <c r="H2742" i="5"/>
  <c r="G2742" i="5"/>
  <c r="F2742" i="5"/>
  <c r="E2742" i="5"/>
  <c r="I2741" i="5"/>
  <c r="H2741" i="5"/>
  <c r="G2741" i="5"/>
  <c r="F2741" i="5"/>
  <c r="E2741" i="5"/>
  <c r="I2740" i="5"/>
  <c r="H2740" i="5"/>
  <c r="G2740" i="5"/>
  <c r="F2740" i="5"/>
  <c r="E2740" i="5"/>
  <c r="I2739" i="5"/>
  <c r="H2739" i="5"/>
  <c r="G2739" i="5"/>
  <c r="F2739" i="5"/>
  <c r="E2739" i="5"/>
  <c r="I2738" i="5"/>
  <c r="H2738" i="5"/>
  <c r="G2738" i="5"/>
  <c r="F2738" i="5"/>
  <c r="E2738" i="5"/>
  <c r="I2737" i="5"/>
  <c r="H2737" i="5"/>
  <c r="G2737" i="5"/>
  <c r="F2737" i="5"/>
  <c r="E2737" i="5"/>
  <c r="I2736" i="5"/>
  <c r="H2736" i="5"/>
  <c r="G2736" i="5"/>
  <c r="F2736" i="5"/>
  <c r="E2736" i="5"/>
  <c r="I2735" i="5"/>
  <c r="H2735" i="5"/>
  <c r="G2735" i="5"/>
  <c r="F2735" i="5"/>
  <c r="E2735" i="5"/>
  <c r="I2734" i="5"/>
  <c r="H2734" i="5"/>
  <c r="G2734" i="5"/>
  <c r="F2734" i="5"/>
  <c r="E2734" i="5"/>
  <c r="I2733" i="5"/>
  <c r="H2733" i="5"/>
  <c r="G2733" i="5"/>
  <c r="F2733" i="5"/>
  <c r="E2733" i="5"/>
  <c r="I2732" i="5"/>
  <c r="H2732" i="5"/>
  <c r="G2732" i="5"/>
  <c r="F2732" i="5"/>
  <c r="E2732" i="5"/>
  <c r="I2731" i="5"/>
  <c r="H2731" i="5"/>
  <c r="G2731" i="5"/>
  <c r="F2731" i="5"/>
  <c r="E2731" i="5"/>
  <c r="I2730" i="5"/>
  <c r="H2730" i="5"/>
  <c r="G2730" i="5"/>
  <c r="F2730" i="5"/>
  <c r="E2730" i="5"/>
  <c r="I2729" i="5"/>
  <c r="H2729" i="5"/>
  <c r="G2729" i="5"/>
  <c r="F2729" i="5"/>
  <c r="E2729" i="5"/>
  <c r="I2728" i="5"/>
  <c r="H2728" i="5"/>
  <c r="G2728" i="5"/>
  <c r="F2728" i="5"/>
  <c r="E2728" i="5"/>
  <c r="I2727" i="5"/>
  <c r="H2727" i="5"/>
  <c r="G2727" i="5"/>
  <c r="F2727" i="5"/>
  <c r="E2727" i="5"/>
  <c r="I2726" i="5"/>
  <c r="H2726" i="5"/>
  <c r="G2726" i="5"/>
  <c r="F2726" i="5"/>
  <c r="E2726" i="5"/>
  <c r="I2725" i="5"/>
  <c r="H2725" i="5"/>
  <c r="G2725" i="5"/>
  <c r="F2725" i="5"/>
  <c r="E2725" i="5"/>
  <c r="I2724" i="5"/>
  <c r="H2724" i="5"/>
  <c r="G2724" i="5"/>
  <c r="F2724" i="5"/>
  <c r="E2724" i="5"/>
  <c r="I2723" i="5"/>
  <c r="H2723" i="5"/>
  <c r="G2723" i="5"/>
  <c r="F2723" i="5"/>
  <c r="E2723" i="5"/>
  <c r="I2722" i="5"/>
  <c r="H2722" i="5"/>
  <c r="G2722" i="5"/>
  <c r="F2722" i="5"/>
  <c r="E2722" i="5"/>
  <c r="I2721" i="5"/>
  <c r="H2721" i="5"/>
  <c r="G2721" i="5"/>
  <c r="F2721" i="5"/>
  <c r="E2721" i="5"/>
  <c r="I2720" i="5"/>
  <c r="H2720" i="5"/>
  <c r="G2720" i="5"/>
  <c r="F2720" i="5"/>
  <c r="E2720" i="5"/>
  <c r="I2719" i="5"/>
  <c r="H2719" i="5"/>
  <c r="G2719" i="5"/>
  <c r="F2719" i="5"/>
  <c r="E2719" i="5"/>
  <c r="I2718" i="5"/>
  <c r="H2718" i="5"/>
  <c r="G2718" i="5"/>
  <c r="F2718" i="5"/>
  <c r="E2718" i="5"/>
  <c r="I2717" i="5"/>
  <c r="H2717" i="5"/>
  <c r="G2717" i="5"/>
  <c r="F2717" i="5"/>
  <c r="E2717" i="5"/>
  <c r="I2716" i="5"/>
  <c r="H2716" i="5"/>
  <c r="G2716" i="5"/>
  <c r="F2716" i="5"/>
  <c r="E2716" i="5"/>
  <c r="I2715" i="5"/>
  <c r="H2715" i="5"/>
  <c r="G2715" i="5"/>
  <c r="F2715" i="5"/>
  <c r="E2715" i="5"/>
  <c r="I2714" i="5"/>
  <c r="H2714" i="5"/>
  <c r="G2714" i="5"/>
  <c r="F2714" i="5"/>
  <c r="E2714" i="5"/>
  <c r="I2713" i="5"/>
  <c r="H2713" i="5"/>
  <c r="G2713" i="5"/>
  <c r="F2713" i="5"/>
  <c r="E2713" i="5"/>
  <c r="I2712" i="5"/>
  <c r="H2712" i="5"/>
  <c r="G2712" i="5"/>
  <c r="F2712" i="5"/>
  <c r="E2712" i="5"/>
  <c r="I2711" i="5"/>
  <c r="H2711" i="5"/>
  <c r="G2711" i="5"/>
  <c r="F2711" i="5"/>
  <c r="E2711" i="5"/>
  <c r="I2710" i="5"/>
  <c r="H2710" i="5"/>
  <c r="G2710" i="5"/>
  <c r="F2710" i="5"/>
  <c r="E2710" i="5"/>
  <c r="I2709" i="5"/>
  <c r="H2709" i="5"/>
  <c r="G2709" i="5"/>
  <c r="F2709" i="5"/>
  <c r="E2709" i="5"/>
  <c r="I2708" i="5"/>
  <c r="H2708" i="5"/>
  <c r="G2708" i="5"/>
  <c r="F2708" i="5"/>
  <c r="E2708" i="5"/>
  <c r="I2707" i="5"/>
  <c r="H2707" i="5"/>
  <c r="G2707" i="5"/>
  <c r="F2707" i="5"/>
  <c r="E2707" i="5"/>
  <c r="I2706" i="5"/>
  <c r="H2706" i="5"/>
  <c r="G2706" i="5"/>
  <c r="F2706" i="5"/>
  <c r="E2706" i="5"/>
  <c r="I2705" i="5"/>
  <c r="H2705" i="5"/>
  <c r="G2705" i="5"/>
  <c r="F2705" i="5"/>
  <c r="E2705" i="5"/>
  <c r="I2704" i="5"/>
  <c r="H2704" i="5"/>
  <c r="G2704" i="5"/>
  <c r="F2704" i="5"/>
  <c r="E2704" i="5"/>
  <c r="I2703" i="5"/>
  <c r="H2703" i="5"/>
  <c r="G2703" i="5"/>
  <c r="F2703" i="5"/>
  <c r="E2703" i="5"/>
  <c r="I2702" i="5"/>
  <c r="H2702" i="5"/>
  <c r="G2702" i="5"/>
  <c r="F2702" i="5"/>
  <c r="E2702" i="5"/>
  <c r="I2701" i="5"/>
  <c r="H2701" i="5"/>
  <c r="G2701" i="5"/>
  <c r="F2701" i="5"/>
  <c r="E2701" i="5"/>
  <c r="I2700" i="5"/>
  <c r="H2700" i="5"/>
  <c r="G2700" i="5"/>
  <c r="F2700" i="5"/>
  <c r="E2700" i="5"/>
  <c r="I2699" i="5"/>
  <c r="H2699" i="5"/>
  <c r="G2699" i="5"/>
  <c r="F2699" i="5"/>
  <c r="E2699" i="5"/>
  <c r="I2698" i="5"/>
  <c r="H2698" i="5"/>
  <c r="G2698" i="5"/>
  <c r="F2698" i="5"/>
  <c r="E2698" i="5"/>
  <c r="I2697" i="5"/>
  <c r="H2697" i="5"/>
  <c r="G2697" i="5"/>
  <c r="F2697" i="5"/>
  <c r="E2697" i="5"/>
  <c r="I2696" i="5"/>
  <c r="H2696" i="5"/>
  <c r="G2696" i="5"/>
  <c r="F2696" i="5"/>
  <c r="E2696" i="5"/>
  <c r="I2695" i="5"/>
  <c r="H2695" i="5"/>
  <c r="G2695" i="5"/>
  <c r="F2695" i="5"/>
  <c r="E2695" i="5"/>
  <c r="I2694" i="5"/>
  <c r="H2694" i="5"/>
  <c r="G2694" i="5"/>
  <c r="F2694" i="5"/>
  <c r="E2694" i="5"/>
  <c r="I2693" i="5"/>
  <c r="H2693" i="5"/>
  <c r="G2693" i="5"/>
  <c r="F2693" i="5"/>
  <c r="E2693" i="5"/>
  <c r="I2692" i="5"/>
  <c r="H2692" i="5"/>
  <c r="G2692" i="5"/>
  <c r="F2692" i="5"/>
  <c r="E2692" i="5"/>
  <c r="I2691" i="5"/>
  <c r="H2691" i="5"/>
  <c r="G2691" i="5"/>
  <c r="F2691" i="5"/>
  <c r="E2691" i="5"/>
  <c r="I2690" i="5"/>
  <c r="H2690" i="5"/>
  <c r="G2690" i="5"/>
  <c r="F2690" i="5"/>
  <c r="E2690" i="5"/>
  <c r="I2689" i="5"/>
  <c r="H2689" i="5"/>
  <c r="G2689" i="5"/>
  <c r="F2689" i="5"/>
  <c r="E2689" i="5"/>
  <c r="I2688" i="5"/>
  <c r="H2688" i="5"/>
  <c r="G2688" i="5"/>
  <c r="F2688" i="5"/>
  <c r="E2688" i="5"/>
  <c r="I2687" i="5"/>
  <c r="H2687" i="5"/>
  <c r="G2687" i="5"/>
  <c r="F2687" i="5"/>
  <c r="E2687" i="5"/>
  <c r="I2686" i="5"/>
  <c r="H2686" i="5"/>
  <c r="G2686" i="5"/>
  <c r="F2686" i="5"/>
  <c r="E2686" i="5"/>
  <c r="I2685" i="5"/>
  <c r="H2685" i="5"/>
  <c r="G2685" i="5"/>
  <c r="F2685" i="5"/>
  <c r="E2685" i="5"/>
  <c r="I2684" i="5"/>
  <c r="H2684" i="5"/>
  <c r="G2684" i="5"/>
  <c r="F2684" i="5"/>
  <c r="E2684" i="5"/>
  <c r="I2683" i="5"/>
  <c r="H2683" i="5"/>
  <c r="G2683" i="5"/>
  <c r="F2683" i="5"/>
  <c r="E2683" i="5"/>
  <c r="I2682" i="5"/>
  <c r="H2682" i="5"/>
  <c r="G2682" i="5"/>
  <c r="F2682" i="5"/>
  <c r="E2682" i="5"/>
  <c r="I2681" i="5"/>
  <c r="H2681" i="5"/>
  <c r="G2681" i="5"/>
  <c r="F2681" i="5"/>
  <c r="E2681" i="5"/>
  <c r="I2680" i="5"/>
  <c r="H2680" i="5"/>
  <c r="G2680" i="5"/>
  <c r="F2680" i="5"/>
  <c r="E2680" i="5"/>
  <c r="I2679" i="5"/>
  <c r="H2679" i="5"/>
  <c r="G2679" i="5"/>
  <c r="F2679" i="5"/>
  <c r="E2679" i="5"/>
  <c r="I2678" i="5"/>
  <c r="H2678" i="5"/>
  <c r="G2678" i="5"/>
  <c r="F2678" i="5"/>
  <c r="E2678" i="5"/>
  <c r="I2677" i="5"/>
  <c r="H2677" i="5"/>
  <c r="G2677" i="5"/>
  <c r="F2677" i="5"/>
  <c r="E2677" i="5"/>
  <c r="I2676" i="5"/>
  <c r="H2676" i="5"/>
  <c r="G2676" i="5"/>
  <c r="F2676" i="5"/>
  <c r="E2676" i="5"/>
  <c r="I2675" i="5"/>
  <c r="H2675" i="5"/>
  <c r="G2675" i="5"/>
  <c r="F2675" i="5"/>
  <c r="E2675" i="5"/>
  <c r="I2674" i="5"/>
  <c r="H2674" i="5"/>
  <c r="G2674" i="5"/>
  <c r="F2674" i="5"/>
  <c r="E2674" i="5"/>
  <c r="I2673" i="5"/>
  <c r="H2673" i="5"/>
  <c r="G2673" i="5"/>
  <c r="F2673" i="5"/>
  <c r="E2673" i="5"/>
  <c r="I2672" i="5"/>
  <c r="H2672" i="5"/>
  <c r="G2672" i="5"/>
  <c r="F2672" i="5"/>
  <c r="E2672" i="5"/>
  <c r="I2671" i="5"/>
  <c r="H2671" i="5"/>
  <c r="G2671" i="5"/>
  <c r="F2671" i="5"/>
  <c r="E2671" i="5"/>
  <c r="I2670" i="5"/>
  <c r="H2670" i="5"/>
  <c r="G2670" i="5"/>
  <c r="F2670" i="5"/>
  <c r="E2670" i="5"/>
  <c r="I2669" i="5"/>
  <c r="H2669" i="5"/>
  <c r="G2669" i="5"/>
  <c r="F2669" i="5"/>
  <c r="E2669" i="5"/>
  <c r="I2668" i="5"/>
  <c r="H2668" i="5"/>
  <c r="G2668" i="5"/>
  <c r="F2668" i="5"/>
  <c r="E2668" i="5"/>
  <c r="I2667" i="5"/>
  <c r="H2667" i="5"/>
  <c r="G2667" i="5"/>
  <c r="F2667" i="5"/>
  <c r="E2667" i="5"/>
  <c r="I2666" i="5"/>
  <c r="H2666" i="5"/>
  <c r="G2666" i="5"/>
  <c r="F2666" i="5"/>
  <c r="E2666" i="5"/>
  <c r="I2665" i="5"/>
  <c r="H2665" i="5"/>
  <c r="G2665" i="5"/>
  <c r="F2665" i="5"/>
  <c r="E2665" i="5"/>
  <c r="I2664" i="5"/>
  <c r="H2664" i="5"/>
  <c r="G2664" i="5"/>
  <c r="F2664" i="5"/>
  <c r="E2664" i="5"/>
  <c r="I2663" i="5"/>
  <c r="H2663" i="5"/>
  <c r="G2663" i="5"/>
  <c r="F2663" i="5"/>
  <c r="E2663" i="5"/>
  <c r="I2662" i="5"/>
  <c r="H2662" i="5"/>
  <c r="G2662" i="5"/>
  <c r="F2662" i="5"/>
  <c r="E2662" i="5"/>
  <c r="I2661" i="5"/>
  <c r="H2661" i="5"/>
  <c r="G2661" i="5"/>
  <c r="F2661" i="5"/>
  <c r="E2661" i="5"/>
  <c r="I2660" i="5"/>
  <c r="H2660" i="5"/>
  <c r="G2660" i="5"/>
  <c r="F2660" i="5"/>
  <c r="E2660" i="5"/>
  <c r="I2659" i="5"/>
  <c r="H2659" i="5"/>
  <c r="G2659" i="5"/>
  <c r="F2659" i="5"/>
  <c r="E2659" i="5"/>
  <c r="I2658" i="5"/>
  <c r="H2658" i="5"/>
  <c r="G2658" i="5"/>
  <c r="F2658" i="5"/>
  <c r="E2658" i="5"/>
  <c r="I2657" i="5"/>
  <c r="H2657" i="5"/>
  <c r="G2657" i="5"/>
  <c r="F2657" i="5"/>
  <c r="E2657" i="5"/>
  <c r="I2656" i="5"/>
  <c r="H2656" i="5"/>
  <c r="G2656" i="5"/>
  <c r="F2656" i="5"/>
  <c r="E2656" i="5"/>
  <c r="I2655" i="5"/>
  <c r="H2655" i="5"/>
  <c r="G2655" i="5"/>
  <c r="F2655" i="5"/>
  <c r="E2655" i="5"/>
  <c r="I2654" i="5"/>
  <c r="H2654" i="5"/>
  <c r="G2654" i="5"/>
  <c r="F2654" i="5"/>
  <c r="E2654" i="5"/>
  <c r="I2653" i="5"/>
  <c r="H2653" i="5"/>
  <c r="G2653" i="5"/>
  <c r="F2653" i="5"/>
  <c r="E2653" i="5"/>
  <c r="I2652" i="5"/>
  <c r="H2652" i="5"/>
  <c r="G2652" i="5"/>
  <c r="F2652" i="5"/>
  <c r="E2652" i="5"/>
  <c r="I2651" i="5"/>
  <c r="H2651" i="5"/>
  <c r="G2651" i="5"/>
  <c r="F2651" i="5"/>
  <c r="E2651" i="5"/>
  <c r="I2650" i="5"/>
  <c r="H2650" i="5"/>
  <c r="G2650" i="5"/>
  <c r="F2650" i="5"/>
  <c r="E2650" i="5"/>
  <c r="I2649" i="5"/>
  <c r="H2649" i="5"/>
  <c r="G2649" i="5"/>
  <c r="F2649" i="5"/>
  <c r="E2649" i="5"/>
  <c r="I2648" i="5"/>
  <c r="H2648" i="5"/>
  <c r="G2648" i="5"/>
  <c r="F2648" i="5"/>
  <c r="E2648" i="5"/>
  <c r="I2647" i="5"/>
  <c r="H2647" i="5"/>
  <c r="G2647" i="5"/>
  <c r="F2647" i="5"/>
  <c r="E2647" i="5"/>
  <c r="I2646" i="5"/>
  <c r="H2646" i="5"/>
  <c r="G2646" i="5"/>
  <c r="F2646" i="5"/>
  <c r="E2646" i="5"/>
  <c r="I2645" i="5"/>
  <c r="H2645" i="5"/>
  <c r="G2645" i="5"/>
  <c r="F2645" i="5"/>
  <c r="E2645" i="5"/>
  <c r="I2644" i="5"/>
  <c r="H2644" i="5"/>
  <c r="G2644" i="5"/>
  <c r="F2644" i="5"/>
  <c r="E2644" i="5"/>
  <c r="I2643" i="5"/>
  <c r="H2643" i="5"/>
  <c r="G2643" i="5"/>
  <c r="F2643" i="5"/>
  <c r="E2643" i="5"/>
  <c r="I2642" i="5"/>
  <c r="H2642" i="5"/>
  <c r="G2642" i="5"/>
  <c r="F2642" i="5"/>
  <c r="E2642" i="5"/>
  <c r="I2641" i="5"/>
  <c r="H2641" i="5"/>
  <c r="G2641" i="5"/>
  <c r="F2641" i="5"/>
  <c r="E2641" i="5"/>
  <c r="I2640" i="5"/>
  <c r="H2640" i="5"/>
  <c r="G2640" i="5"/>
  <c r="F2640" i="5"/>
  <c r="E2640" i="5"/>
  <c r="I2639" i="5"/>
  <c r="H2639" i="5"/>
  <c r="G2639" i="5"/>
  <c r="F2639" i="5"/>
  <c r="E2639" i="5"/>
  <c r="I2638" i="5"/>
  <c r="H2638" i="5"/>
  <c r="G2638" i="5"/>
  <c r="F2638" i="5"/>
  <c r="E2638" i="5"/>
  <c r="I2637" i="5"/>
  <c r="H2637" i="5"/>
  <c r="G2637" i="5"/>
  <c r="F2637" i="5"/>
  <c r="E2637" i="5"/>
  <c r="I2636" i="5"/>
  <c r="H2636" i="5"/>
  <c r="G2636" i="5"/>
  <c r="F2636" i="5"/>
  <c r="E2636" i="5"/>
  <c r="I2635" i="5"/>
  <c r="H2635" i="5"/>
  <c r="G2635" i="5"/>
  <c r="F2635" i="5"/>
  <c r="E2635" i="5"/>
  <c r="I2634" i="5"/>
  <c r="H2634" i="5"/>
  <c r="G2634" i="5"/>
  <c r="F2634" i="5"/>
  <c r="E2634" i="5"/>
  <c r="I2633" i="5"/>
  <c r="H2633" i="5"/>
  <c r="G2633" i="5"/>
  <c r="F2633" i="5"/>
  <c r="E2633" i="5"/>
  <c r="I2632" i="5"/>
  <c r="H2632" i="5"/>
  <c r="G2632" i="5"/>
  <c r="F2632" i="5"/>
  <c r="E2632" i="5"/>
  <c r="I2631" i="5"/>
  <c r="H2631" i="5"/>
  <c r="G2631" i="5"/>
  <c r="F2631" i="5"/>
  <c r="E2631" i="5"/>
  <c r="I2630" i="5"/>
  <c r="H2630" i="5"/>
  <c r="G2630" i="5"/>
  <c r="F2630" i="5"/>
  <c r="E2630" i="5"/>
  <c r="I2629" i="5"/>
  <c r="H2629" i="5"/>
  <c r="G2629" i="5"/>
  <c r="F2629" i="5"/>
  <c r="E2629" i="5"/>
  <c r="I2628" i="5"/>
  <c r="H2628" i="5"/>
  <c r="G2628" i="5"/>
  <c r="F2628" i="5"/>
  <c r="E2628" i="5"/>
  <c r="I2627" i="5"/>
  <c r="H2627" i="5"/>
  <c r="G2627" i="5"/>
  <c r="F2627" i="5"/>
  <c r="E2627" i="5"/>
  <c r="I2626" i="5"/>
  <c r="H2626" i="5"/>
  <c r="G2626" i="5"/>
  <c r="F2626" i="5"/>
  <c r="E2626" i="5"/>
  <c r="I2625" i="5"/>
  <c r="H2625" i="5"/>
  <c r="G2625" i="5"/>
  <c r="F2625" i="5"/>
  <c r="E2625" i="5"/>
  <c r="I2624" i="5"/>
  <c r="H2624" i="5"/>
  <c r="G2624" i="5"/>
  <c r="F2624" i="5"/>
  <c r="E2624" i="5"/>
  <c r="I2623" i="5"/>
  <c r="H2623" i="5"/>
  <c r="G2623" i="5"/>
  <c r="F2623" i="5"/>
  <c r="E2623" i="5"/>
  <c r="I2622" i="5"/>
  <c r="H2622" i="5"/>
  <c r="G2622" i="5"/>
  <c r="F2622" i="5"/>
  <c r="E2622" i="5"/>
  <c r="I2621" i="5"/>
  <c r="H2621" i="5"/>
  <c r="G2621" i="5"/>
  <c r="F2621" i="5"/>
  <c r="E2621" i="5"/>
  <c r="I2620" i="5"/>
  <c r="H2620" i="5"/>
  <c r="G2620" i="5"/>
  <c r="F2620" i="5"/>
  <c r="E2620" i="5"/>
  <c r="I2619" i="5"/>
  <c r="H2619" i="5"/>
  <c r="G2619" i="5"/>
  <c r="F2619" i="5"/>
  <c r="E2619" i="5"/>
  <c r="I2618" i="5"/>
  <c r="H2618" i="5"/>
  <c r="G2618" i="5"/>
  <c r="F2618" i="5"/>
  <c r="E2618" i="5"/>
  <c r="I2617" i="5"/>
  <c r="H2617" i="5"/>
  <c r="G2617" i="5"/>
  <c r="F2617" i="5"/>
  <c r="E2617" i="5"/>
  <c r="I2616" i="5"/>
  <c r="H2616" i="5"/>
  <c r="G2616" i="5"/>
  <c r="F2616" i="5"/>
  <c r="E2616" i="5"/>
  <c r="I2615" i="5"/>
  <c r="H2615" i="5"/>
  <c r="G2615" i="5"/>
  <c r="F2615" i="5"/>
  <c r="E2615" i="5"/>
  <c r="I2614" i="5"/>
  <c r="H2614" i="5"/>
  <c r="G2614" i="5"/>
  <c r="F2614" i="5"/>
  <c r="E2614" i="5"/>
  <c r="I2613" i="5"/>
  <c r="H2613" i="5"/>
  <c r="G2613" i="5"/>
  <c r="F2613" i="5"/>
  <c r="E2613" i="5"/>
  <c r="I2612" i="5"/>
  <c r="H2612" i="5"/>
  <c r="G2612" i="5"/>
  <c r="F2612" i="5"/>
  <c r="E2612" i="5"/>
  <c r="I2611" i="5"/>
  <c r="H2611" i="5"/>
  <c r="G2611" i="5"/>
  <c r="F2611" i="5"/>
  <c r="E2611" i="5"/>
  <c r="I2610" i="5"/>
  <c r="H2610" i="5"/>
  <c r="G2610" i="5"/>
  <c r="F2610" i="5"/>
  <c r="E2610" i="5"/>
  <c r="I2609" i="5"/>
  <c r="H2609" i="5"/>
  <c r="G2609" i="5"/>
  <c r="F2609" i="5"/>
  <c r="E2609" i="5"/>
  <c r="I2608" i="5"/>
  <c r="H2608" i="5"/>
  <c r="G2608" i="5"/>
  <c r="F2608" i="5"/>
  <c r="E2608" i="5"/>
  <c r="I2607" i="5"/>
  <c r="H2607" i="5"/>
  <c r="G2607" i="5"/>
  <c r="F2607" i="5"/>
  <c r="E2607" i="5"/>
  <c r="I2606" i="5"/>
  <c r="H2606" i="5"/>
  <c r="G2606" i="5"/>
  <c r="F2606" i="5"/>
  <c r="E2606" i="5"/>
  <c r="I2605" i="5"/>
  <c r="H2605" i="5"/>
  <c r="G2605" i="5"/>
  <c r="F2605" i="5"/>
  <c r="E2605" i="5"/>
  <c r="I2604" i="5"/>
  <c r="H2604" i="5"/>
  <c r="G2604" i="5"/>
  <c r="F2604" i="5"/>
  <c r="E2604" i="5"/>
  <c r="I2603" i="5"/>
  <c r="H2603" i="5"/>
  <c r="G2603" i="5"/>
  <c r="F2603" i="5"/>
  <c r="E2603" i="5"/>
  <c r="I2602" i="5"/>
  <c r="H2602" i="5"/>
  <c r="G2602" i="5"/>
  <c r="F2602" i="5"/>
  <c r="E2602" i="5"/>
  <c r="I2601" i="5"/>
  <c r="H2601" i="5"/>
  <c r="G2601" i="5"/>
  <c r="F2601" i="5"/>
  <c r="E2601" i="5"/>
  <c r="I2600" i="5"/>
  <c r="H2600" i="5"/>
  <c r="G2600" i="5"/>
  <c r="F2600" i="5"/>
  <c r="E2600" i="5"/>
  <c r="I2599" i="5"/>
  <c r="H2599" i="5"/>
  <c r="G2599" i="5"/>
  <c r="F2599" i="5"/>
  <c r="E2599" i="5"/>
  <c r="I2598" i="5"/>
  <c r="H2598" i="5"/>
  <c r="G2598" i="5"/>
  <c r="F2598" i="5"/>
  <c r="E2598" i="5"/>
  <c r="I2597" i="5"/>
  <c r="H2597" i="5"/>
  <c r="G2597" i="5"/>
  <c r="F2597" i="5"/>
  <c r="E2597" i="5"/>
  <c r="I2596" i="5"/>
  <c r="H2596" i="5"/>
  <c r="G2596" i="5"/>
  <c r="F2596" i="5"/>
  <c r="E2596" i="5"/>
  <c r="I2595" i="5"/>
  <c r="H2595" i="5"/>
  <c r="G2595" i="5"/>
  <c r="F2595" i="5"/>
  <c r="E2595" i="5"/>
  <c r="I2594" i="5"/>
  <c r="H2594" i="5"/>
  <c r="G2594" i="5"/>
  <c r="F2594" i="5"/>
  <c r="E2594" i="5"/>
  <c r="I2593" i="5"/>
  <c r="H2593" i="5"/>
  <c r="G2593" i="5"/>
  <c r="F2593" i="5"/>
  <c r="E2593" i="5"/>
  <c r="I2592" i="5"/>
  <c r="H2592" i="5"/>
  <c r="G2592" i="5"/>
  <c r="F2592" i="5"/>
  <c r="E2592" i="5"/>
  <c r="I2591" i="5"/>
  <c r="H2591" i="5"/>
  <c r="G2591" i="5"/>
  <c r="F2591" i="5"/>
  <c r="E2591" i="5"/>
  <c r="I2590" i="5"/>
  <c r="H2590" i="5"/>
  <c r="G2590" i="5"/>
  <c r="F2590" i="5"/>
  <c r="E2590" i="5"/>
  <c r="I2589" i="5"/>
  <c r="H2589" i="5"/>
  <c r="G2589" i="5"/>
  <c r="F2589" i="5"/>
  <c r="E2589" i="5"/>
  <c r="I2588" i="5"/>
  <c r="H2588" i="5"/>
  <c r="G2588" i="5"/>
  <c r="F2588" i="5"/>
  <c r="E2588" i="5"/>
  <c r="I2587" i="5"/>
  <c r="H2587" i="5"/>
  <c r="G2587" i="5"/>
  <c r="F2587" i="5"/>
  <c r="E2587" i="5"/>
  <c r="I2586" i="5"/>
  <c r="H2586" i="5"/>
  <c r="G2586" i="5"/>
  <c r="F2586" i="5"/>
  <c r="E2586" i="5"/>
  <c r="I2585" i="5"/>
  <c r="H2585" i="5"/>
  <c r="G2585" i="5"/>
  <c r="F2585" i="5"/>
  <c r="E2585" i="5"/>
  <c r="I2584" i="5"/>
  <c r="H2584" i="5"/>
  <c r="G2584" i="5"/>
  <c r="F2584" i="5"/>
  <c r="E2584" i="5"/>
  <c r="I2583" i="5"/>
  <c r="H2583" i="5"/>
  <c r="G2583" i="5"/>
  <c r="F2583" i="5"/>
  <c r="E2583" i="5"/>
  <c r="I2582" i="5"/>
  <c r="H2582" i="5"/>
  <c r="G2582" i="5"/>
  <c r="F2582" i="5"/>
  <c r="E2582" i="5"/>
  <c r="I2581" i="5"/>
  <c r="H2581" i="5"/>
  <c r="G2581" i="5"/>
  <c r="F2581" i="5"/>
  <c r="E2581" i="5"/>
  <c r="I2580" i="5"/>
  <c r="H2580" i="5"/>
  <c r="G2580" i="5"/>
  <c r="F2580" i="5"/>
  <c r="E2580" i="5"/>
  <c r="I2579" i="5"/>
  <c r="H2579" i="5"/>
  <c r="G2579" i="5"/>
  <c r="F2579" i="5"/>
  <c r="E2579" i="5"/>
  <c r="I2578" i="5"/>
  <c r="H2578" i="5"/>
  <c r="G2578" i="5"/>
  <c r="F2578" i="5"/>
  <c r="E2578" i="5"/>
  <c r="I2577" i="5"/>
  <c r="H2577" i="5"/>
  <c r="G2577" i="5"/>
  <c r="F2577" i="5"/>
  <c r="E2577" i="5"/>
  <c r="I2576" i="5"/>
  <c r="H2576" i="5"/>
  <c r="G2576" i="5"/>
  <c r="F2576" i="5"/>
  <c r="E2576" i="5"/>
  <c r="I2575" i="5"/>
  <c r="H2575" i="5"/>
  <c r="G2575" i="5"/>
  <c r="F2575" i="5"/>
  <c r="E2575" i="5"/>
  <c r="I2574" i="5"/>
  <c r="H2574" i="5"/>
  <c r="G2574" i="5"/>
  <c r="F2574" i="5"/>
  <c r="E2574" i="5"/>
  <c r="I2573" i="5"/>
  <c r="H2573" i="5"/>
  <c r="G2573" i="5"/>
  <c r="F2573" i="5"/>
  <c r="E2573" i="5"/>
  <c r="I2572" i="5"/>
  <c r="H2572" i="5"/>
  <c r="G2572" i="5"/>
  <c r="F2572" i="5"/>
  <c r="E2572" i="5"/>
  <c r="I2571" i="5"/>
  <c r="H2571" i="5"/>
  <c r="G2571" i="5"/>
  <c r="F2571" i="5"/>
  <c r="E2571" i="5"/>
  <c r="I2570" i="5"/>
  <c r="H2570" i="5"/>
  <c r="G2570" i="5"/>
  <c r="F2570" i="5"/>
  <c r="E2570" i="5"/>
  <c r="I2569" i="5"/>
  <c r="H2569" i="5"/>
  <c r="G2569" i="5"/>
  <c r="F2569" i="5"/>
  <c r="E2569" i="5"/>
  <c r="I2568" i="5"/>
  <c r="H2568" i="5"/>
  <c r="G2568" i="5"/>
  <c r="F2568" i="5"/>
  <c r="E2568" i="5"/>
  <c r="I2567" i="5"/>
  <c r="H2567" i="5"/>
  <c r="G2567" i="5"/>
  <c r="F2567" i="5"/>
  <c r="E2567" i="5"/>
  <c r="I2566" i="5"/>
  <c r="H2566" i="5"/>
  <c r="G2566" i="5"/>
  <c r="F2566" i="5"/>
  <c r="E2566" i="5"/>
  <c r="I2565" i="5"/>
  <c r="H2565" i="5"/>
  <c r="G2565" i="5"/>
  <c r="F2565" i="5"/>
  <c r="E2565" i="5"/>
  <c r="I2564" i="5"/>
  <c r="H2564" i="5"/>
  <c r="G2564" i="5"/>
  <c r="F2564" i="5"/>
  <c r="E2564" i="5"/>
  <c r="I2563" i="5"/>
  <c r="H2563" i="5"/>
  <c r="G2563" i="5"/>
  <c r="F2563" i="5"/>
  <c r="E2563" i="5"/>
  <c r="I2562" i="5"/>
  <c r="H2562" i="5"/>
  <c r="G2562" i="5"/>
  <c r="F2562" i="5"/>
  <c r="E2562" i="5"/>
  <c r="I2561" i="5"/>
  <c r="H2561" i="5"/>
  <c r="G2561" i="5"/>
  <c r="F2561" i="5"/>
  <c r="E2561" i="5"/>
  <c r="I2560" i="5"/>
  <c r="H2560" i="5"/>
  <c r="G2560" i="5"/>
  <c r="F2560" i="5"/>
  <c r="E2560" i="5"/>
  <c r="I2559" i="5"/>
  <c r="H2559" i="5"/>
  <c r="G2559" i="5"/>
  <c r="F2559" i="5"/>
  <c r="E2559" i="5"/>
  <c r="I2558" i="5"/>
  <c r="H2558" i="5"/>
  <c r="G2558" i="5"/>
  <c r="F2558" i="5"/>
  <c r="E2558" i="5"/>
  <c r="I2557" i="5"/>
  <c r="H2557" i="5"/>
  <c r="G2557" i="5"/>
  <c r="F2557" i="5"/>
  <c r="E2557" i="5"/>
  <c r="I2556" i="5"/>
  <c r="H2556" i="5"/>
  <c r="G2556" i="5"/>
  <c r="F2556" i="5"/>
  <c r="E2556" i="5"/>
  <c r="I2555" i="5"/>
  <c r="H2555" i="5"/>
  <c r="G2555" i="5"/>
  <c r="F2555" i="5"/>
  <c r="E2555" i="5"/>
  <c r="I2554" i="5"/>
  <c r="H2554" i="5"/>
  <c r="G2554" i="5"/>
  <c r="F2554" i="5"/>
  <c r="E2554" i="5"/>
  <c r="I2553" i="5"/>
  <c r="H2553" i="5"/>
  <c r="G2553" i="5"/>
  <c r="F2553" i="5"/>
  <c r="E2553" i="5"/>
  <c r="I2552" i="5"/>
  <c r="H2552" i="5"/>
  <c r="G2552" i="5"/>
  <c r="F2552" i="5"/>
  <c r="E2552" i="5"/>
  <c r="I2551" i="5"/>
  <c r="H2551" i="5"/>
  <c r="G2551" i="5"/>
  <c r="F2551" i="5"/>
  <c r="E2551" i="5"/>
  <c r="I2550" i="5"/>
  <c r="H2550" i="5"/>
  <c r="G2550" i="5"/>
  <c r="F2550" i="5"/>
  <c r="E2550" i="5"/>
  <c r="I2549" i="5"/>
  <c r="H2549" i="5"/>
  <c r="G2549" i="5"/>
  <c r="F2549" i="5"/>
  <c r="E2549" i="5"/>
  <c r="I2548" i="5"/>
  <c r="H2548" i="5"/>
  <c r="G2548" i="5"/>
  <c r="F2548" i="5"/>
  <c r="E2548" i="5"/>
  <c r="I2547" i="5"/>
  <c r="H2547" i="5"/>
  <c r="G2547" i="5"/>
  <c r="F2547" i="5"/>
  <c r="E2547" i="5"/>
  <c r="I2546" i="5"/>
  <c r="H2546" i="5"/>
  <c r="G2546" i="5"/>
  <c r="F2546" i="5"/>
  <c r="E2546" i="5"/>
  <c r="I2545" i="5"/>
  <c r="H2545" i="5"/>
  <c r="G2545" i="5"/>
  <c r="F2545" i="5"/>
  <c r="E2545" i="5"/>
  <c r="I2544" i="5"/>
  <c r="H2544" i="5"/>
  <c r="G2544" i="5"/>
  <c r="F2544" i="5"/>
  <c r="E2544" i="5"/>
  <c r="I2543" i="5"/>
  <c r="H2543" i="5"/>
  <c r="G2543" i="5"/>
  <c r="F2543" i="5"/>
  <c r="E2543" i="5"/>
  <c r="I2542" i="5"/>
  <c r="H2542" i="5"/>
  <c r="G2542" i="5"/>
  <c r="F2542" i="5"/>
  <c r="E2542" i="5"/>
  <c r="I2541" i="5"/>
  <c r="H2541" i="5"/>
  <c r="G2541" i="5"/>
  <c r="F2541" i="5"/>
  <c r="E2541" i="5"/>
  <c r="I2540" i="5"/>
  <c r="H2540" i="5"/>
  <c r="G2540" i="5"/>
  <c r="F2540" i="5"/>
  <c r="E2540" i="5"/>
  <c r="I2539" i="5"/>
  <c r="H2539" i="5"/>
  <c r="G2539" i="5"/>
  <c r="F2539" i="5"/>
  <c r="E2539" i="5"/>
  <c r="I2538" i="5"/>
  <c r="H2538" i="5"/>
  <c r="G2538" i="5"/>
  <c r="F2538" i="5"/>
  <c r="E2538" i="5"/>
  <c r="I2537" i="5"/>
  <c r="H2537" i="5"/>
  <c r="G2537" i="5"/>
  <c r="F2537" i="5"/>
  <c r="E2537" i="5"/>
  <c r="I2536" i="5"/>
  <c r="H2536" i="5"/>
  <c r="G2536" i="5"/>
  <c r="F2536" i="5"/>
  <c r="E2536" i="5"/>
  <c r="I2535" i="5"/>
  <c r="H2535" i="5"/>
  <c r="G2535" i="5"/>
  <c r="F2535" i="5"/>
  <c r="E2535" i="5"/>
  <c r="I2534" i="5"/>
  <c r="H2534" i="5"/>
  <c r="G2534" i="5"/>
  <c r="F2534" i="5"/>
  <c r="E2534" i="5"/>
  <c r="I2533" i="5"/>
  <c r="H2533" i="5"/>
  <c r="G2533" i="5"/>
  <c r="F2533" i="5"/>
  <c r="E2533" i="5"/>
  <c r="I2532" i="5"/>
  <c r="H2532" i="5"/>
  <c r="G2532" i="5"/>
  <c r="F2532" i="5"/>
  <c r="E2532" i="5"/>
  <c r="I2531" i="5"/>
  <c r="H2531" i="5"/>
  <c r="G2531" i="5"/>
  <c r="F2531" i="5"/>
  <c r="E2531" i="5"/>
  <c r="I2530" i="5"/>
  <c r="H2530" i="5"/>
  <c r="G2530" i="5"/>
  <c r="F2530" i="5"/>
  <c r="E2530" i="5"/>
  <c r="I2529" i="5"/>
  <c r="H2529" i="5"/>
  <c r="G2529" i="5"/>
  <c r="F2529" i="5"/>
  <c r="E2529" i="5"/>
  <c r="I2528" i="5"/>
  <c r="H2528" i="5"/>
  <c r="G2528" i="5"/>
  <c r="F2528" i="5"/>
  <c r="E2528" i="5"/>
  <c r="I2527" i="5"/>
  <c r="H2527" i="5"/>
  <c r="G2527" i="5"/>
  <c r="F2527" i="5"/>
  <c r="E2527" i="5"/>
  <c r="I2526" i="5"/>
  <c r="H2526" i="5"/>
  <c r="G2526" i="5"/>
  <c r="F2526" i="5"/>
  <c r="E2526" i="5"/>
  <c r="I2525" i="5"/>
  <c r="H2525" i="5"/>
  <c r="G2525" i="5"/>
  <c r="F2525" i="5"/>
  <c r="E2525" i="5"/>
  <c r="I2524" i="5"/>
  <c r="H2524" i="5"/>
  <c r="G2524" i="5"/>
  <c r="F2524" i="5"/>
  <c r="E2524" i="5"/>
  <c r="I2523" i="5"/>
  <c r="H2523" i="5"/>
  <c r="G2523" i="5"/>
  <c r="F2523" i="5"/>
  <c r="E2523" i="5"/>
  <c r="I2522" i="5"/>
  <c r="H2522" i="5"/>
  <c r="G2522" i="5"/>
  <c r="F2522" i="5"/>
  <c r="E2522" i="5"/>
  <c r="I2521" i="5"/>
  <c r="H2521" i="5"/>
  <c r="G2521" i="5"/>
  <c r="F2521" i="5"/>
  <c r="E2521" i="5"/>
  <c r="I2520" i="5"/>
  <c r="H2520" i="5"/>
  <c r="G2520" i="5"/>
  <c r="F2520" i="5"/>
  <c r="E2520" i="5"/>
  <c r="I2519" i="5"/>
  <c r="H2519" i="5"/>
  <c r="G2519" i="5"/>
  <c r="F2519" i="5"/>
  <c r="E2519" i="5"/>
  <c r="I2518" i="5"/>
  <c r="H2518" i="5"/>
  <c r="G2518" i="5"/>
  <c r="F2518" i="5"/>
  <c r="E2518" i="5"/>
  <c r="I2517" i="5"/>
  <c r="H2517" i="5"/>
  <c r="G2517" i="5"/>
  <c r="F2517" i="5"/>
  <c r="E2517" i="5"/>
  <c r="I2516" i="5"/>
  <c r="H2516" i="5"/>
  <c r="G2516" i="5"/>
  <c r="F2516" i="5"/>
  <c r="E2516" i="5"/>
  <c r="I2515" i="5"/>
  <c r="H2515" i="5"/>
  <c r="G2515" i="5"/>
  <c r="F2515" i="5"/>
  <c r="E2515" i="5"/>
  <c r="I2514" i="5"/>
  <c r="H2514" i="5"/>
  <c r="G2514" i="5"/>
  <c r="F2514" i="5"/>
  <c r="E2514" i="5"/>
  <c r="I2513" i="5"/>
  <c r="H2513" i="5"/>
  <c r="G2513" i="5"/>
  <c r="F2513" i="5"/>
  <c r="E2513" i="5"/>
  <c r="I2512" i="5"/>
  <c r="H2512" i="5"/>
  <c r="G2512" i="5"/>
  <c r="F2512" i="5"/>
  <c r="E2512" i="5"/>
  <c r="I2511" i="5"/>
  <c r="H2511" i="5"/>
  <c r="G2511" i="5"/>
  <c r="F2511" i="5"/>
  <c r="E2511" i="5"/>
  <c r="I2510" i="5"/>
  <c r="H2510" i="5"/>
  <c r="G2510" i="5"/>
  <c r="F2510" i="5"/>
  <c r="E2510" i="5"/>
  <c r="I2509" i="5"/>
  <c r="H2509" i="5"/>
  <c r="G2509" i="5"/>
  <c r="F2509" i="5"/>
  <c r="E2509" i="5"/>
  <c r="I2508" i="5"/>
  <c r="H2508" i="5"/>
  <c r="G2508" i="5"/>
  <c r="F2508" i="5"/>
  <c r="E2508" i="5"/>
  <c r="I2507" i="5"/>
  <c r="H2507" i="5"/>
  <c r="G2507" i="5"/>
  <c r="F2507" i="5"/>
  <c r="E2507" i="5"/>
  <c r="I2506" i="5"/>
  <c r="H2506" i="5"/>
  <c r="G2506" i="5"/>
  <c r="F2506" i="5"/>
  <c r="E2506" i="5"/>
  <c r="I2505" i="5"/>
  <c r="H2505" i="5"/>
  <c r="G2505" i="5"/>
  <c r="F2505" i="5"/>
  <c r="E2505" i="5"/>
  <c r="I2504" i="5"/>
  <c r="H2504" i="5"/>
  <c r="G2504" i="5"/>
  <c r="F2504" i="5"/>
  <c r="E2504" i="5"/>
  <c r="I2503" i="5"/>
  <c r="H2503" i="5"/>
  <c r="G2503" i="5"/>
  <c r="F2503" i="5"/>
  <c r="E2503" i="5"/>
  <c r="I2502" i="5"/>
  <c r="H2502" i="5"/>
  <c r="G2502" i="5"/>
  <c r="F2502" i="5"/>
  <c r="E2502" i="5"/>
  <c r="I2501" i="5"/>
  <c r="H2501" i="5"/>
  <c r="G2501" i="5"/>
  <c r="F2501" i="5"/>
  <c r="E2501" i="5"/>
  <c r="I2500" i="5"/>
  <c r="H2500" i="5"/>
  <c r="G2500" i="5"/>
  <c r="F2500" i="5"/>
  <c r="E2500" i="5"/>
  <c r="I2499" i="5"/>
  <c r="H2499" i="5"/>
  <c r="G2499" i="5"/>
  <c r="F2499" i="5"/>
  <c r="E2499" i="5"/>
  <c r="I2498" i="5"/>
  <c r="H2498" i="5"/>
  <c r="G2498" i="5"/>
  <c r="F2498" i="5"/>
  <c r="E2498" i="5"/>
  <c r="I2497" i="5"/>
  <c r="H2497" i="5"/>
  <c r="G2497" i="5"/>
  <c r="F2497" i="5"/>
  <c r="E2497" i="5"/>
  <c r="I2496" i="5"/>
  <c r="H2496" i="5"/>
  <c r="G2496" i="5"/>
  <c r="F2496" i="5"/>
  <c r="E2496" i="5"/>
  <c r="I2495" i="5"/>
  <c r="H2495" i="5"/>
  <c r="G2495" i="5"/>
  <c r="F2495" i="5"/>
  <c r="E2495" i="5"/>
  <c r="I2494" i="5"/>
  <c r="H2494" i="5"/>
  <c r="G2494" i="5"/>
  <c r="F2494" i="5"/>
  <c r="E2494" i="5"/>
  <c r="I2493" i="5"/>
  <c r="H2493" i="5"/>
  <c r="G2493" i="5"/>
  <c r="F2493" i="5"/>
  <c r="E2493" i="5"/>
  <c r="I2492" i="5"/>
  <c r="H2492" i="5"/>
  <c r="G2492" i="5"/>
  <c r="F2492" i="5"/>
  <c r="E2492" i="5"/>
  <c r="I2491" i="5"/>
  <c r="H2491" i="5"/>
  <c r="G2491" i="5"/>
  <c r="F2491" i="5"/>
  <c r="E2491" i="5"/>
  <c r="I2490" i="5"/>
  <c r="H2490" i="5"/>
  <c r="G2490" i="5"/>
  <c r="F2490" i="5"/>
  <c r="E2490" i="5"/>
  <c r="I2489" i="5"/>
  <c r="H2489" i="5"/>
  <c r="G2489" i="5"/>
  <c r="F2489" i="5"/>
  <c r="E2489" i="5"/>
  <c r="I2488" i="5"/>
  <c r="H2488" i="5"/>
  <c r="G2488" i="5"/>
  <c r="F2488" i="5"/>
  <c r="E2488" i="5"/>
  <c r="I2487" i="5"/>
  <c r="H2487" i="5"/>
  <c r="G2487" i="5"/>
  <c r="F2487" i="5"/>
  <c r="E2487" i="5"/>
  <c r="I2486" i="5"/>
  <c r="H2486" i="5"/>
  <c r="G2486" i="5"/>
  <c r="F2486" i="5"/>
  <c r="E2486" i="5"/>
  <c r="I2485" i="5"/>
  <c r="H2485" i="5"/>
  <c r="G2485" i="5"/>
  <c r="F2485" i="5"/>
  <c r="E2485" i="5"/>
  <c r="I2484" i="5"/>
  <c r="H2484" i="5"/>
  <c r="G2484" i="5"/>
  <c r="F2484" i="5"/>
  <c r="E2484" i="5"/>
  <c r="I2483" i="5"/>
  <c r="H2483" i="5"/>
  <c r="G2483" i="5"/>
  <c r="F2483" i="5"/>
  <c r="E2483" i="5"/>
  <c r="I2482" i="5"/>
  <c r="H2482" i="5"/>
  <c r="G2482" i="5"/>
  <c r="F2482" i="5"/>
  <c r="E2482" i="5"/>
  <c r="I2481" i="5"/>
  <c r="H2481" i="5"/>
  <c r="G2481" i="5"/>
  <c r="F2481" i="5"/>
  <c r="E2481" i="5"/>
  <c r="I2480" i="5"/>
  <c r="H2480" i="5"/>
  <c r="G2480" i="5"/>
  <c r="F2480" i="5"/>
  <c r="E2480" i="5"/>
  <c r="I2479" i="5"/>
  <c r="H2479" i="5"/>
  <c r="G2479" i="5"/>
  <c r="F2479" i="5"/>
  <c r="E2479" i="5"/>
  <c r="I2478" i="5"/>
  <c r="H2478" i="5"/>
  <c r="G2478" i="5"/>
  <c r="F2478" i="5"/>
  <c r="E2478" i="5"/>
  <c r="I2477" i="5"/>
  <c r="H2477" i="5"/>
  <c r="G2477" i="5"/>
  <c r="F2477" i="5"/>
  <c r="E2477" i="5"/>
  <c r="I2476" i="5"/>
  <c r="H2476" i="5"/>
  <c r="G2476" i="5"/>
  <c r="F2476" i="5"/>
  <c r="E2476" i="5"/>
  <c r="I2475" i="5"/>
  <c r="H2475" i="5"/>
  <c r="G2475" i="5"/>
  <c r="F2475" i="5"/>
  <c r="E2475" i="5"/>
  <c r="I2474" i="5"/>
  <c r="H2474" i="5"/>
  <c r="G2474" i="5"/>
  <c r="F2474" i="5"/>
  <c r="E2474" i="5"/>
  <c r="I2473" i="5"/>
  <c r="H2473" i="5"/>
  <c r="G2473" i="5"/>
  <c r="F2473" i="5"/>
  <c r="E2473" i="5"/>
  <c r="I2472" i="5"/>
  <c r="H2472" i="5"/>
  <c r="G2472" i="5"/>
  <c r="F2472" i="5"/>
  <c r="E2472" i="5"/>
  <c r="I2471" i="5"/>
  <c r="H2471" i="5"/>
  <c r="G2471" i="5"/>
  <c r="F2471" i="5"/>
  <c r="E2471" i="5"/>
  <c r="I2470" i="5"/>
  <c r="H2470" i="5"/>
  <c r="G2470" i="5"/>
  <c r="F2470" i="5"/>
  <c r="E2470" i="5"/>
  <c r="I2469" i="5"/>
  <c r="H2469" i="5"/>
  <c r="G2469" i="5"/>
  <c r="F2469" i="5"/>
  <c r="E2469" i="5"/>
  <c r="I2468" i="5"/>
  <c r="H2468" i="5"/>
  <c r="G2468" i="5"/>
  <c r="F2468" i="5"/>
  <c r="E2468" i="5"/>
  <c r="I2467" i="5"/>
  <c r="H2467" i="5"/>
  <c r="G2467" i="5"/>
  <c r="F2467" i="5"/>
  <c r="E2467" i="5"/>
  <c r="I2466" i="5"/>
  <c r="H2466" i="5"/>
  <c r="G2466" i="5"/>
  <c r="F2466" i="5"/>
  <c r="E2466" i="5"/>
  <c r="I2465" i="5"/>
  <c r="H2465" i="5"/>
  <c r="G2465" i="5"/>
  <c r="F2465" i="5"/>
  <c r="E2465" i="5"/>
  <c r="I2464" i="5"/>
  <c r="H2464" i="5"/>
  <c r="G2464" i="5"/>
  <c r="F2464" i="5"/>
  <c r="E2464" i="5"/>
  <c r="I2463" i="5"/>
  <c r="H2463" i="5"/>
  <c r="G2463" i="5"/>
  <c r="F2463" i="5"/>
  <c r="E2463" i="5"/>
  <c r="I2462" i="5"/>
  <c r="H2462" i="5"/>
  <c r="G2462" i="5"/>
  <c r="F2462" i="5"/>
  <c r="E2462" i="5"/>
  <c r="I2461" i="5"/>
  <c r="H2461" i="5"/>
  <c r="G2461" i="5"/>
  <c r="F2461" i="5"/>
  <c r="E2461" i="5"/>
  <c r="I2460" i="5"/>
  <c r="H2460" i="5"/>
  <c r="G2460" i="5"/>
  <c r="F2460" i="5"/>
  <c r="E2460" i="5"/>
  <c r="I2459" i="5"/>
  <c r="H2459" i="5"/>
  <c r="G2459" i="5"/>
  <c r="F2459" i="5"/>
  <c r="E2459" i="5"/>
  <c r="I2458" i="5"/>
  <c r="H2458" i="5"/>
  <c r="G2458" i="5"/>
  <c r="F2458" i="5"/>
  <c r="E2458" i="5"/>
  <c r="I2457" i="5"/>
  <c r="H2457" i="5"/>
  <c r="G2457" i="5"/>
  <c r="F2457" i="5"/>
  <c r="E2457" i="5"/>
  <c r="I2456" i="5"/>
  <c r="H2456" i="5"/>
  <c r="G2456" i="5"/>
  <c r="F2456" i="5"/>
  <c r="E2456" i="5"/>
  <c r="I2455" i="5"/>
  <c r="H2455" i="5"/>
  <c r="G2455" i="5"/>
  <c r="F2455" i="5"/>
  <c r="E2455" i="5"/>
  <c r="I2454" i="5"/>
  <c r="H2454" i="5"/>
  <c r="G2454" i="5"/>
  <c r="F2454" i="5"/>
  <c r="E2454" i="5"/>
  <c r="I2453" i="5"/>
  <c r="H2453" i="5"/>
  <c r="G2453" i="5"/>
  <c r="F2453" i="5"/>
  <c r="E2453" i="5"/>
  <c r="I2452" i="5"/>
  <c r="H2452" i="5"/>
  <c r="G2452" i="5"/>
  <c r="F2452" i="5"/>
  <c r="E2452" i="5"/>
  <c r="I2451" i="5"/>
  <c r="H2451" i="5"/>
  <c r="G2451" i="5"/>
  <c r="F2451" i="5"/>
  <c r="E2451" i="5"/>
  <c r="I2450" i="5"/>
  <c r="H2450" i="5"/>
  <c r="G2450" i="5"/>
  <c r="F2450" i="5"/>
  <c r="E2450" i="5"/>
  <c r="I2449" i="5"/>
  <c r="H2449" i="5"/>
  <c r="G2449" i="5"/>
  <c r="F2449" i="5"/>
  <c r="E2449" i="5"/>
  <c r="I2448" i="5"/>
  <c r="H2448" i="5"/>
  <c r="G2448" i="5"/>
  <c r="F2448" i="5"/>
  <c r="E2448" i="5"/>
  <c r="I2447" i="5"/>
  <c r="H2447" i="5"/>
  <c r="G2447" i="5"/>
  <c r="F2447" i="5"/>
  <c r="E2447" i="5"/>
  <c r="I2446" i="5"/>
  <c r="H2446" i="5"/>
  <c r="G2446" i="5"/>
  <c r="F2446" i="5"/>
  <c r="E2446" i="5"/>
  <c r="I2445" i="5"/>
  <c r="H2445" i="5"/>
  <c r="G2445" i="5"/>
  <c r="F2445" i="5"/>
  <c r="E2445" i="5"/>
  <c r="I2444" i="5"/>
  <c r="H2444" i="5"/>
  <c r="G2444" i="5"/>
  <c r="F2444" i="5"/>
  <c r="E2444" i="5"/>
  <c r="I2443" i="5"/>
  <c r="H2443" i="5"/>
  <c r="G2443" i="5"/>
  <c r="F2443" i="5"/>
  <c r="E2443" i="5"/>
  <c r="I2442" i="5"/>
  <c r="H2442" i="5"/>
  <c r="G2442" i="5"/>
  <c r="F2442" i="5"/>
  <c r="E2442" i="5"/>
  <c r="I2441" i="5"/>
  <c r="H2441" i="5"/>
  <c r="G2441" i="5"/>
  <c r="F2441" i="5"/>
  <c r="E2441" i="5"/>
  <c r="I2440" i="5"/>
  <c r="H2440" i="5"/>
  <c r="G2440" i="5"/>
  <c r="F2440" i="5"/>
  <c r="E2440" i="5"/>
  <c r="I2439" i="5"/>
  <c r="H2439" i="5"/>
  <c r="G2439" i="5"/>
  <c r="F2439" i="5"/>
  <c r="E2439" i="5"/>
  <c r="I2438" i="5"/>
  <c r="H2438" i="5"/>
  <c r="G2438" i="5"/>
  <c r="F2438" i="5"/>
  <c r="E2438" i="5"/>
  <c r="I2437" i="5"/>
  <c r="H2437" i="5"/>
  <c r="G2437" i="5"/>
  <c r="F2437" i="5"/>
  <c r="E2437" i="5"/>
  <c r="I2436" i="5"/>
  <c r="H2436" i="5"/>
  <c r="G2436" i="5"/>
  <c r="F2436" i="5"/>
  <c r="E2436" i="5"/>
  <c r="I2435" i="5"/>
  <c r="H2435" i="5"/>
  <c r="G2435" i="5"/>
  <c r="F2435" i="5"/>
  <c r="E2435" i="5"/>
  <c r="I2434" i="5"/>
  <c r="H2434" i="5"/>
  <c r="G2434" i="5"/>
  <c r="F2434" i="5"/>
  <c r="E2434" i="5"/>
  <c r="I2433" i="5"/>
  <c r="H2433" i="5"/>
  <c r="G2433" i="5"/>
  <c r="F2433" i="5"/>
  <c r="E2433" i="5"/>
  <c r="I2432" i="5"/>
  <c r="H2432" i="5"/>
  <c r="G2432" i="5"/>
  <c r="F2432" i="5"/>
  <c r="E2432" i="5"/>
  <c r="I2431" i="5"/>
  <c r="H2431" i="5"/>
  <c r="G2431" i="5"/>
  <c r="F2431" i="5"/>
  <c r="E2431" i="5"/>
  <c r="I2430" i="5"/>
  <c r="H2430" i="5"/>
  <c r="G2430" i="5"/>
  <c r="F2430" i="5"/>
  <c r="E2430" i="5"/>
  <c r="I2429" i="5"/>
  <c r="H2429" i="5"/>
  <c r="G2429" i="5"/>
  <c r="F2429" i="5"/>
  <c r="E2429" i="5"/>
  <c r="I2428" i="5"/>
  <c r="H2428" i="5"/>
  <c r="G2428" i="5"/>
  <c r="F2428" i="5"/>
  <c r="E2428" i="5"/>
  <c r="I2427" i="5"/>
  <c r="H2427" i="5"/>
  <c r="G2427" i="5"/>
  <c r="F2427" i="5"/>
  <c r="E2427" i="5"/>
  <c r="I2426" i="5"/>
  <c r="H2426" i="5"/>
  <c r="G2426" i="5"/>
  <c r="F2426" i="5"/>
  <c r="E2426" i="5"/>
  <c r="I2425" i="5"/>
  <c r="H2425" i="5"/>
  <c r="G2425" i="5"/>
  <c r="F2425" i="5"/>
  <c r="E2425" i="5"/>
  <c r="I2424" i="5"/>
  <c r="H2424" i="5"/>
  <c r="G2424" i="5"/>
  <c r="F2424" i="5"/>
  <c r="E2424" i="5"/>
  <c r="I2423" i="5"/>
  <c r="H2423" i="5"/>
  <c r="G2423" i="5"/>
  <c r="F2423" i="5"/>
  <c r="E2423" i="5"/>
  <c r="I2422" i="5"/>
  <c r="H2422" i="5"/>
  <c r="G2422" i="5"/>
  <c r="F2422" i="5"/>
  <c r="E2422" i="5"/>
  <c r="I2421" i="5"/>
  <c r="H2421" i="5"/>
  <c r="G2421" i="5"/>
  <c r="F2421" i="5"/>
  <c r="E2421" i="5"/>
  <c r="I2420" i="5"/>
  <c r="H2420" i="5"/>
  <c r="G2420" i="5"/>
  <c r="F2420" i="5"/>
  <c r="E2420" i="5"/>
  <c r="I2419" i="5"/>
  <c r="H2419" i="5"/>
  <c r="G2419" i="5"/>
  <c r="F2419" i="5"/>
  <c r="E2419" i="5"/>
  <c r="I2418" i="5"/>
  <c r="H2418" i="5"/>
  <c r="G2418" i="5"/>
  <c r="F2418" i="5"/>
  <c r="E2418" i="5"/>
  <c r="I2417" i="5"/>
  <c r="H2417" i="5"/>
  <c r="G2417" i="5"/>
  <c r="F2417" i="5"/>
  <c r="E2417" i="5"/>
  <c r="I2416" i="5"/>
  <c r="H2416" i="5"/>
  <c r="G2416" i="5"/>
  <c r="F2416" i="5"/>
  <c r="E2416" i="5"/>
  <c r="I2415" i="5"/>
  <c r="H2415" i="5"/>
  <c r="G2415" i="5"/>
  <c r="F2415" i="5"/>
  <c r="E2415" i="5"/>
  <c r="I2414" i="5"/>
  <c r="H2414" i="5"/>
  <c r="G2414" i="5"/>
  <c r="F2414" i="5"/>
  <c r="E2414" i="5"/>
  <c r="I2413" i="5"/>
  <c r="H2413" i="5"/>
  <c r="G2413" i="5"/>
  <c r="F2413" i="5"/>
  <c r="E2413" i="5"/>
  <c r="I2412" i="5"/>
  <c r="H2412" i="5"/>
  <c r="G2412" i="5"/>
  <c r="F2412" i="5"/>
  <c r="E2412" i="5"/>
  <c r="I2411" i="5"/>
  <c r="H2411" i="5"/>
  <c r="G2411" i="5"/>
  <c r="F2411" i="5"/>
  <c r="E2411" i="5"/>
  <c r="I2410" i="5"/>
  <c r="H2410" i="5"/>
  <c r="G2410" i="5"/>
  <c r="F2410" i="5"/>
  <c r="E2410" i="5"/>
  <c r="I2409" i="5"/>
  <c r="H2409" i="5"/>
  <c r="G2409" i="5"/>
  <c r="F2409" i="5"/>
  <c r="E2409" i="5"/>
  <c r="I2408" i="5"/>
  <c r="H2408" i="5"/>
  <c r="G2408" i="5"/>
  <c r="F2408" i="5"/>
  <c r="E2408" i="5"/>
  <c r="I2407" i="5"/>
  <c r="H2407" i="5"/>
  <c r="G2407" i="5"/>
  <c r="F2407" i="5"/>
  <c r="E2407" i="5"/>
  <c r="I2406" i="5"/>
  <c r="H2406" i="5"/>
  <c r="G2406" i="5"/>
  <c r="F2406" i="5"/>
  <c r="E2406" i="5"/>
  <c r="I2405" i="5"/>
  <c r="H2405" i="5"/>
  <c r="G2405" i="5"/>
  <c r="F2405" i="5"/>
  <c r="E2405" i="5"/>
  <c r="I2404" i="5"/>
  <c r="H2404" i="5"/>
  <c r="G2404" i="5"/>
  <c r="F2404" i="5"/>
  <c r="E2404" i="5"/>
  <c r="I2403" i="5"/>
  <c r="H2403" i="5"/>
  <c r="G2403" i="5"/>
  <c r="F2403" i="5"/>
  <c r="E2403" i="5"/>
  <c r="I2402" i="5"/>
  <c r="H2402" i="5"/>
  <c r="G2402" i="5"/>
  <c r="F2402" i="5"/>
  <c r="E2402" i="5"/>
  <c r="I2401" i="5"/>
  <c r="H2401" i="5"/>
  <c r="G2401" i="5"/>
  <c r="F2401" i="5"/>
  <c r="E2401" i="5"/>
  <c r="I2400" i="5"/>
  <c r="H2400" i="5"/>
  <c r="G2400" i="5"/>
  <c r="F2400" i="5"/>
  <c r="E2400" i="5"/>
  <c r="I2399" i="5"/>
  <c r="H2399" i="5"/>
  <c r="G2399" i="5"/>
  <c r="F2399" i="5"/>
  <c r="E2399" i="5"/>
  <c r="I2398" i="5"/>
  <c r="H2398" i="5"/>
  <c r="G2398" i="5"/>
  <c r="F2398" i="5"/>
  <c r="E2398" i="5"/>
  <c r="I2397" i="5"/>
  <c r="H2397" i="5"/>
  <c r="G2397" i="5"/>
  <c r="F2397" i="5"/>
  <c r="E2397" i="5"/>
  <c r="I2396" i="5"/>
  <c r="H2396" i="5"/>
  <c r="G2396" i="5"/>
  <c r="F2396" i="5"/>
  <c r="E2396" i="5"/>
  <c r="I2395" i="5"/>
  <c r="H2395" i="5"/>
  <c r="G2395" i="5"/>
  <c r="F2395" i="5"/>
  <c r="E2395" i="5"/>
  <c r="I2394" i="5"/>
  <c r="H2394" i="5"/>
  <c r="G2394" i="5"/>
  <c r="F2394" i="5"/>
  <c r="E2394" i="5"/>
  <c r="I2393" i="5"/>
  <c r="H2393" i="5"/>
  <c r="G2393" i="5"/>
  <c r="F2393" i="5"/>
  <c r="E2393" i="5"/>
  <c r="I2392" i="5"/>
  <c r="H2392" i="5"/>
  <c r="G2392" i="5"/>
  <c r="F2392" i="5"/>
  <c r="E2392" i="5"/>
  <c r="I2391" i="5"/>
  <c r="H2391" i="5"/>
  <c r="G2391" i="5"/>
  <c r="F2391" i="5"/>
  <c r="E2391" i="5"/>
  <c r="I2390" i="5"/>
  <c r="H2390" i="5"/>
  <c r="G2390" i="5"/>
  <c r="F2390" i="5"/>
  <c r="E2390" i="5"/>
  <c r="I2389" i="5"/>
  <c r="H2389" i="5"/>
  <c r="G2389" i="5"/>
  <c r="F2389" i="5"/>
  <c r="E2389" i="5"/>
  <c r="I2388" i="5"/>
  <c r="H2388" i="5"/>
  <c r="G2388" i="5"/>
  <c r="F2388" i="5"/>
  <c r="E2388" i="5"/>
  <c r="I2387" i="5"/>
  <c r="H2387" i="5"/>
  <c r="G2387" i="5"/>
  <c r="F2387" i="5"/>
  <c r="E2387" i="5"/>
  <c r="I2386" i="5"/>
  <c r="H2386" i="5"/>
  <c r="G2386" i="5"/>
  <c r="F2386" i="5"/>
  <c r="E2386" i="5"/>
  <c r="I2385" i="5"/>
  <c r="H2385" i="5"/>
  <c r="G2385" i="5"/>
  <c r="F2385" i="5"/>
  <c r="E2385" i="5"/>
  <c r="I2384" i="5"/>
  <c r="H2384" i="5"/>
  <c r="G2384" i="5"/>
  <c r="F2384" i="5"/>
  <c r="E2384" i="5"/>
  <c r="I2383" i="5"/>
  <c r="H2383" i="5"/>
  <c r="G2383" i="5"/>
  <c r="F2383" i="5"/>
  <c r="E2383" i="5"/>
  <c r="I2382" i="5"/>
  <c r="H2382" i="5"/>
  <c r="G2382" i="5"/>
  <c r="F2382" i="5"/>
  <c r="E2382" i="5"/>
  <c r="I2381" i="5"/>
  <c r="H2381" i="5"/>
  <c r="G2381" i="5"/>
  <c r="F2381" i="5"/>
  <c r="E2381" i="5"/>
  <c r="I2380" i="5"/>
  <c r="H2380" i="5"/>
  <c r="G2380" i="5"/>
  <c r="F2380" i="5"/>
  <c r="E2380" i="5"/>
  <c r="I2379" i="5"/>
  <c r="H2379" i="5"/>
  <c r="G2379" i="5"/>
  <c r="F2379" i="5"/>
  <c r="E2379" i="5"/>
  <c r="I2378" i="5"/>
  <c r="H2378" i="5"/>
  <c r="G2378" i="5"/>
  <c r="F2378" i="5"/>
  <c r="E2378" i="5"/>
  <c r="I2377" i="5"/>
  <c r="H2377" i="5"/>
  <c r="G2377" i="5"/>
  <c r="F2377" i="5"/>
  <c r="E2377" i="5"/>
  <c r="I2376" i="5"/>
  <c r="H2376" i="5"/>
  <c r="G2376" i="5"/>
  <c r="F2376" i="5"/>
  <c r="E2376" i="5"/>
  <c r="I2375" i="5"/>
  <c r="H2375" i="5"/>
  <c r="G2375" i="5"/>
  <c r="F2375" i="5"/>
  <c r="E2375" i="5"/>
  <c r="I2374" i="5"/>
  <c r="H2374" i="5"/>
  <c r="G2374" i="5"/>
  <c r="F2374" i="5"/>
  <c r="E2374" i="5"/>
  <c r="I2373" i="5"/>
  <c r="H2373" i="5"/>
  <c r="G2373" i="5"/>
  <c r="F2373" i="5"/>
  <c r="E2373" i="5"/>
  <c r="I2372" i="5"/>
  <c r="H2372" i="5"/>
  <c r="G2372" i="5"/>
  <c r="F2372" i="5"/>
  <c r="E2372" i="5"/>
  <c r="I2371" i="5"/>
  <c r="H2371" i="5"/>
  <c r="G2371" i="5"/>
  <c r="F2371" i="5"/>
  <c r="E2371" i="5"/>
  <c r="I2370" i="5"/>
  <c r="H2370" i="5"/>
  <c r="G2370" i="5"/>
  <c r="F2370" i="5"/>
  <c r="E2370" i="5"/>
  <c r="I2369" i="5"/>
  <c r="H2369" i="5"/>
  <c r="G2369" i="5"/>
  <c r="F2369" i="5"/>
  <c r="E2369" i="5"/>
  <c r="I2368" i="5"/>
  <c r="H2368" i="5"/>
  <c r="G2368" i="5"/>
  <c r="F2368" i="5"/>
  <c r="E2368" i="5"/>
  <c r="I2367" i="5"/>
  <c r="H2367" i="5"/>
  <c r="G2367" i="5"/>
  <c r="F2367" i="5"/>
  <c r="E2367" i="5"/>
  <c r="I2366" i="5"/>
  <c r="H2366" i="5"/>
  <c r="G2366" i="5"/>
  <c r="F2366" i="5"/>
  <c r="E2366" i="5"/>
  <c r="I2365" i="5"/>
  <c r="H2365" i="5"/>
  <c r="G2365" i="5"/>
  <c r="F2365" i="5"/>
  <c r="E2365" i="5"/>
  <c r="I2364" i="5"/>
  <c r="H2364" i="5"/>
  <c r="G2364" i="5"/>
  <c r="F2364" i="5"/>
  <c r="E2364" i="5"/>
  <c r="I2363" i="5"/>
  <c r="H2363" i="5"/>
  <c r="G2363" i="5"/>
  <c r="F2363" i="5"/>
  <c r="E2363" i="5"/>
  <c r="I2362" i="5"/>
  <c r="H2362" i="5"/>
  <c r="G2362" i="5"/>
  <c r="F2362" i="5"/>
  <c r="E2362" i="5"/>
  <c r="I2361" i="5"/>
  <c r="H2361" i="5"/>
  <c r="G2361" i="5"/>
  <c r="F2361" i="5"/>
  <c r="E2361" i="5"/>
  <c r="I2360" i="5"/>
  <c r="H2360" i="5"/>
  <c r="G2360" i="5"/>
  <c r="F2360" i="5"/>
  <c r="E2360" i="5"/>
  <c r="I2359" i="5"/>
  <c r="H2359" i="5"/>
  <c r="G2359" i="5"/>
  <c r="F2359" i="5"/>
  <c r="E2359" i="5"/>
  <c r="I2358" i="5"/>
  <c r="H2358" i="5"/>
  <c r="G2358" i="5"/>
  <c r="F2358" i="5"/>
  <c r="E2358" i="5"/>
  <c r="I2357" i="5"/>
  <c r="H2357" i="5"/>
  <c r="G2357" i="5"/>
  <c r="F2357" i="5"/>
  <c r="E2357" i="5"/>
  <c r="I2356" i="5"/>
  <c r="H2356" i="5"/>
  <c r="G2356" i="5"/>
  <c r="F2356" i="5"/>
  <c r="E2356" i="5"/>
  <c r="I2355" i="5"/>
  <c r="H2355" i="5"/>
  <c r="G2355" i="5"/>
  <c r="F2355" i="5"/>
  <c r="E2355" i="5"/>
  <c r="I2354" i="5"/>
  <c r="H2354" i="5"/>
  <c r="G2354" i="5"/>
  <c r="F2354" i="5"/>
  <c r="E2354" i="5"/>
  <c r="I2353" i="5"/>
  <c r="H2353" i="5"/>
  <c r="G2353" i="5"/>
  <c r="F2353" i="5"/>
  <c r="E2353" i="5"/>
  <c r="I2352" i="5"/>
  <c r="H2352" i="5"/>
  <c r="G2352" i="5"/>
  <c r="F2352" i="5"/>
  <c r="E2352" i="5"/>
  <c r="I2351" i="5"/>
  <c r="H2351" i="5"/>
  <c r="G2351" i="5"/>
  <c r="F2351" i="5"/>
  <c r="E2351" i="5"/>
  <c r="I2350" i="5"/>
  <c r="H2350" i="5"/>
  <c r="G2350" i="5"/>
  <c r="F2350" i="5"/>
  <c r="E2350" i="5"/>
  <c r="I2349" i="5"/>
  <c r="H2349" i="5"/>
  <c r="G2349" i="5"/>
  <c r="F2349" i="5"/>
  <c r="E2349" i="5"/>
  <c r="I2348" i="5"/>
  <c r="H2348" i="5"/>
  <c r="G2348" i="5"/>
  <c r="F2348" i="5"/>
  <c r="E2348" i="5"/>
  <c r="I2347" i="5"/>
  <c r="H2347" i="5"/>
  <c r="G2347" i="5"/>
  <c r="F2347" i="5"/>
  <c r="E2347" i="5"/>
  <c r="I2346" i="5"/>
  <c r="H2346" i="5"/>
  <c r="G2346" i="5"/>
  <c r="F2346" i="5"/>
  <c r="E2346" i="5"/>
  <c r="I2345" i="5"/>
  <c r="H2345" i="5"/>
  <c r="G2345" i="5"/>
  <c r="F2345" i="5"/>
  <c r="E2345" i="5"/>
  <c r="I2344" i="5"/>
  <c r="H2344" i="5"/>
  <c r="G2344" i="5"/>
  <c r="F2344" i="5"/>
  <c r="E2344" i="5"/>
  <c r="I2343" i="5"/>
  <c r="H2343" i="5"/>
  <c r="G2343" i="5"/>
  <c r="F2343" i="5"/>
  <c r="E2343" i="5"/>
  <c r="I2342" i="5"/>
  <c r="H2342" i="5"/>
  <c r="G2342" i="5"/>
  <c r="F2342" i="5"/>
  <c r="E2342" i="5"/>
  <c r="I2341" i="5"/>
  <c r="H2341" i="5"/>
  <c r="G2341" i="5"/>
  <c r="F2341" i="5"/>
  <c r="E2341" i="5"/>
  <c r="I2340" i="5"/>
  <c r="H2340" i="5"/>
  <c r="G2340" i="5"/>
  <c r="F2340" i="5"/>
  <c r="E2340" i="5"/>
  <c r="I2339" i="5"/>
  <c r="H2339" i="5"/>
  <c r="G2339" i="5"/>
  <c r="F2339" i="5"/>
  <c r="E2339" i="5"/>
  <c r="I2338" i="5"/>
  <c r="H2338" i="5"/>
  <c r="G2338" i="5"/>
  <c r="F2338" i="5"/>
  <c r="E2338" i="5"/>
  <c r="I2337" i="5"/>
  <c r="H2337" i="5"/>
  <c r="G2337" i="5"/>
  <c r="F2337" i="5"/>
  <c r="E2337" i="5"/>
  <c r="I2336" i="5"/>
  <c r="H2336" i="5"/>
  <c r="G2336" i="5"/>
  <c r="F2336" i="5"/>
  <c r="E2336" i="5"/>
  <c r="I2335" i="5"/>
  <c r="H2335" i="5"/>
  <c r="G2335" i="5"/>
  <c r="F2335" i="5"/>
  <c r="E2335" i="5"/>
  <c r="I2334" i="5"/>
  <c r="H2334" i="5"/>
  <c r="G2334" i="5"/>
  <c r="F2334" i="5"/>
  <c r="E2334" i="5"/>
  <c r="I2333" i="5"/>
  <c r="H2333" i="5"/>
  <c r="G2333" i="5"/>
  <c r="F2333" i="5"/>
  <c r="E2333" i="5"/>
  <c r="I2332" i="5"/>
  <c r="H2332" i="5"/>
  <c r="G2332" i="5"/>
  <c r="F2332" i="5"/>
  <c r="E2332" i="5"/>
  <c r="I2331" i="5"/>
  <c r="H2331" i="5"/>
  <c r="G2331" i="5"/>
  <c r="F2331" i="5"/>
  <c r="E2331" i="5"/>
  <c r="I2330" i="5"/>
  <c r="H2330" i="5"/>
  <c r="G2330" i="5"/>
  <c r="F2330" i="5"/>
  <c r="E2330" i="5"/>
  <c r="I2329" i="5"/>
  <c r="H2329" i="5"/>
  <c r="G2329" i="5"/>
  <c r="F2329" i="5"/>
  <c r="E2329" i="5"/>
  <c r="I2328" i="5"/>
  <c r="H2328" i="5"/>
  <c r="G2328" i="5"/>
  <c r="F2328" i="5"/>
  <c r="E2328" i="5"/>
  <c r="I2327" i="5"/>
  <c r="H2327" i="5"/>
  <c r="G2327" i="5"/>
  <c r="F2327" i="5"/>
  <c r="E2327" i="5"/>
  <c r="I2326" i="5"/>
  <c r="H2326" i="5"/>
  <c r="G2326" i="5"/>
  <c r="F2326" i="5"/>
  <c r="E2326" i="5"/>
  <c r="I2325" i="5"/>
  <c r="H2325" i="5"/>
  <c r="G2325" i="5"/>
  <c r="F2325" i="5"/>
  <c r="E2325" i="5"/>
  <c r="I2324" i="5"/>
  <c r="H2324" i="5"/>
  <c r="G2324" i="5"/>
  <c r="F2324" i="5"/>
  <c r="E2324" i="5"/>
  <c r="I2323" i="5"/>
  <c r="H2323" i="5"/>
  <c r="G2323" i="5"/>
  <c r="F2323" i="5"/>
  <c r="E2323" i="5"/>
  <c r="I2322" i="5"/>
  <c r="H2322" i="5"/>
  <c r="G2322" i="5"/>
  <c r="F2322" i="5"/>
  <c r="E2322" i="5"/>
  <c r="I2321" i="5"/>
  <c r="H2321" i="5"/>
  <c r="G2321" i="5"/>
  <c r="F2321" i="5"/>
  <c r="E2321" i="5"/>
  <c r="I2320" i="5"/>
  <c r="H2320" i="5"/>
  <c r="G2320" i="5"/>
  <c r="F2320" i="5"/>
  <c r="E2320" i="5"/>
  <c r="I2319" i="5"/>
  <c r="H2319" i="5"/>
  <c r="G2319" i="5"/>
  <c r="F2319" i="5"/>
  <c r="E2319" i="5"/>
  <c r="I2318" i="5"/>
  <c r="H2318" i="5"/>
  <c r="G2318" i="5"/>
  <c r="F2318" i="5"/>
  <c r="E2318" i="5"/>
  <c r="I2317" i="5"/>
  <c r="H2317" i="5"/>
  <c r="G2317" i="5"/>
  <c r="F2317" i="5"/>
  <c r="E2317" i="5"/>
  <c r="I2316" i="5"/>
  <c r="H2316" i="5"/>
  <c r="G2316" i="5"/>
  <c r="F2316" i="5"/>
  <c r="E2316" i="5"/>
  <c r="I2315" i="5"/>
  <c r="H2315" i="5"/>
  <c r="G2315" i="5"/>
  <c r="F2315" i="5"/>
  <c r="E2315" i="5"/>
  <c r="I2314" i="5"/>
  <c r="H2314" i="5"/>
  <c r="G2314" i="5"/>
  <c r="F2314" i="5"/>
  <c r="E2314" i="5"/>
  <c r="I2313" i="5"/>
  <c r="H2313" i="5"/>
  <c r="G2313" i="5"/>
  <c r="F2313" i="5"/>
  <c r="E2313" i="5"/>
  <c r="I2312" i="5"/>
  <c r="H2312" i="5"/>
  <c r="G2312" i="5"/>
  <c r="F2312" i="5"/>
  <c r="E2312" i="5"/>
  <c r="I2311" i="5"/>
  <c r="H2311" i="5"/>
  <c r="G2311" i="5"/>
  <c r="F2311" i="5"/>
  <c r="E2311" i="5"/>
  <c r="I2310" i="5"/>
  <c r="H2310" i="5"/>
  <c r="G2310" i="5"/>
  <c r="F2310" i="5"/>
  <c r="E2310" i="5"/>
  <c r="I2309" i="5"/>
  <c r="H2309" i="5"/>
  <c r="G2309" i="5"/>
  <c r="F2309" i="5"/>
  <c r="E2309" i="5"/>
  <c r="I2308" i="5"/>
  <c r="H2308" i="5"/>
  <c r="G2308" i="5"/>
  <c r="F2308" i="5"/>
  <c r="E2308" i="5"/>
  <c r="I2307" i="5"/>
  <c r="H2307" i="5"/>
  <c r="G2307" i="5"/>
  <c r="F2307" i="5"/>
  <c r="E2307" i="5"/>
  <c r="I2306" i="5"/>
  <c r="H2306" i="5"/>
  <c r="G2306" i="5"/>
  <c r="F2306" i="5"/>
  <c r="E2306" i="5"/>
  <c r="I2305" i="5"/>
  <c r="H2305" i="5"/>
  <c r="G2305" i="5"/>
  <c r="F2305" i="5"/>
  <c r="E2305" i="5"/>
  <c r="I2304" i="5"/>
  <c r="H2304" i="5"/>
  <c r="G2304" i="5"/>
  <c r="F2304" i="5"/>
  <c r="E2304" i="5"/>
  <c r="I2303" i="5"/>
  <c r="H2303" i="5"/>
  <c r="G2303" i="5"/>
  <c r="F2303" i="5"/>
  <c r="E2303" i="5"/>
  <c r="I2302" i="5"/>
  <c r="H2302" i="5"/>
  <c r="G2302" i="5"/>
  <c r="F2302" i="5"/>
  <c r="E2302" i="5"/>
  <c r="I2301" i="5"/>
  <c r="H2301" i="5"/>
  <c r="G2301" i="5"/>
  <c r="F2301" i="5"/>
  <c r="E2301" i="5"/>
  <c r="I2300" i="5"/>
  <c r="H2300" i="5"/>
  <c r="G2300" i="5"/>
  <c r="F2300" i="5"/>
  <c r="E2300" i="5"/>
  <c r="I2299" i="5"/>
  <c r="H2299" i="5"/>
  <c r="G2299" i="5"/>
  <c r="F2299" i="5"/>
  <c r="E2299" i="5"/>
  <c r="I2298" i="5"/>
  <c r="H2298" i="5"/>
  <c r="G2298" i="5"/>
  <c r="F2298" i="5"/>
  <c r="E2298" i="5"/>
  <c r="I2297" i="5"/>
  <c r="H2297" i="5"/>
  <c r="G2297" i="5"/>
  <c r="F2297" i="5"/>
  <c r="E2297" i="5"/>
  <c r="I2296" i="5"/>
  <c r="H2296" i="5"/>
  <c r="G2296" i="5"/>
  <c r="F2296" i="5"/>
  <c r="E2296" i="5"/>
  <c r="I2295" i="5"/>
  <c r="H2295" i="5"/>
  <c r="G2295" i="5"/>
  <c r="F2295" i="5"/>
  <c r="E2295" i="5"/>
  <c r="I2294" i="5"/>
  <c r="H2294" i="5"/>
  <c r="G2294" i="5"/>
  <c r="F2294" i="5"/>
  <c r="E2294" i="5"/>
  <c r="I2293" i="5"/>
  <c r="H2293" i="5"/>
  <c r="G2293" i="5"/>
  <c r="F2293" i="5"/>
  <c r="E2293" i="5"/>
  <c r="I2292" i="5"/>
  <c r="H2292" i="5"/>
  <c r="G2292" i="5"/>
  <c r="F2292" i="5"/>
  <c r="E2292" i="5"/>
  <c r="I2291" i="5"/>
  <c r="H2291" i="5"/>
  <c r="G2291" i="5"/>
  <c r="F2291" i="5"/>
  <c r="E2291" i="5"/>
  <c r="I2290" i="5"/>
  <c r="H2290" i="5"/>
  <c r="G2290" i="5"/>
  <c r="F2290" i="5"/>
  <c r="E2290" i="5"/>
  <c r="I2289" i="5"/>
  <c r="H2289" i="5"/>
  <c r="G2289" i="5"/>
  <c r="F2289" i="5"/>
  <c r="E2289" i="5"/>
  <c r="I2288" i="5"/>
  <c r="H2288" i="5"/>
  <c r="G2288" i="5"/>
  <c r="F2288" i="5"/>
  <c r="E2288" i="5"/>
  <c r="I2287" i="5"/>
  <c r="H2287" i="5"/>
  <c r="G2287" i="5"/>
  <c r="F2287" i="5"/>
  <c r="E2287" i="5"/>
  <c r="I2286" i="5"/>
  <c r="H2286" i="5"/>
  <c r="G2286" i="5"/>
  <c r="F2286" i="5"/>
  <c r="E2286" i="5"/>
  <c r="I2285" i="5"/>
  <c r="H2285" i="5"/>
  <c r="G2285" i="5"/>
  <c r="F2285" i="5"/>
  <c r="E2285" i="5"/>
  <c r="I2284" i="5"/>
  <c r="H2284" i="5"/>
  <c r="G2284" i="5"/>
  <c r="F2284" i="5"/>
  <c r="E2284" i="5"/>
  <c r="I2283" i="5"/>
  <c r="H2283" i="5"/>
  <c r="G2283" i="5"/>
  <c r="F2283" i="5"/>
  <c r="E2283" i="5"/>
  <c r="I2282" i="5"/>
  <c r="H2282" i="5"/>
  <c r="G2282" i="5"/>
  <c r="F2282" i="5"/>
  <c r="E2282" i="5"/>
  <c r="I2281" i="5"/>
  <c r="H2281" i="5"/>
  <c r="G2281" i="5"/>
  <c r="F2281" i="5"/>
  <c r="E2281" i="5"/>
  <c r="I2280" i="5"/>
  <c r="H2280" i="5"/>
  <c r="G2280" i="5"/>
  <c r="F2280" i="5"/>
  <c r="E2280" i="5"/>
  <c r="I2279" i="5"/>
  <c r="H2279" i="5"/>
  <c r="G2279" i="5"/>
  <c r="F2279" i="5"/>
  <c r="E2279" i="5"/>
  <c r="I2278" i="5"/>
  <c r="H2278" i="5"/>
  <c r="G2278" i="5"/>
  <c r="F2278" i="5"/>
  <c r="E2278" i="5"/>
  <c r="I2277" i="5"/>
  <c r="H2277" i="5"/>
  <c r="G2277" i="5"/>
  <c r="F2277" i="5"/>
  <c r="E2277" i="5"/>
  <c r="I2276" i="5"/>
  <c r="H2276" i="5"/>
  <c r="G2276" i="5"/>
  <c r="F2276" i="5"/>
  <c r="E2276" i="5"/>
  <c r="I2275" i="5"/>
  <c r="H2275" i="5"/>
  <c r="G2275" i="5"/>
  <c r="F2275" i="5"/>
  <c r="E2275" i="5"/>
  <c r="I2274" i="5"/>
  <c r="H2274" i="5"/>
  <c r="G2274" i="5"/>
  <c r="F2274" i="5"/>
  <c r="E2274" i="5"/>
  <c r="I2273" i="5"/>
  <c r="H2273" i="5"/>
  <c r="G2273" i="5"/>
  <c r="F2273" i="5"/>
  <c r="E2273" i="5"/>
  <c r="I2272" i="5"/>
  <c r="H2272" i="5"/>
  <c r="G2272" i="5"/>
  <c r="F2272" i="5"/>
  <c r="E2272" i="5"/>
  <c r="I2271" i="5"/>
  <c r="H2271" i="5"/>
  <c r="G2271" i="5"/>
  <c r="F2271" i="5"/>
  <c r="E2271" i="5"/>
  <c r="I2270" i="5"/>
  <c r="H2270" i="5"/>
  <c r="G2270" i="5"/>
  <c r="F2270" i="5"/>
  <c r="E2270" i="5"/>
  <c r="I2269" i="5"/>
  <c r="H2269" i="5"/>
  <c r="G2269" i="5"/>
  <c r="F2269" i="5"/>
  <c r="E2269" i="5"/>
  <c r="I2268" i="5"/>
  <c r="H2268" i="5"/>
  <c r="G2268" i="5"/>
  <c r="F2268" i="5"/>
  <c r="E2268" i="5"/>
  <c r="I2267" i="5"/>
  <c r="H2267" i="5"/>
  <c r="G2267" i="5"/>
  <c r="F2267" i="5"/>
  <c r="E2267" i="5"/>
  <c r="I2266" i="5"/>
  <c r="H2266" i="5"/>
  <c r="G2266" i="5"/>
  <c r="F2266" i="5"/>
  <c r="E2266" i="5"/>
  <c r="I2265" i="5"/>
  <c r="H2265" i="5"/>
  <c r="G2265" i="5"/>
  <c r="F2265" i="5"/>
  <c r="E2265" i="5"/>
  <c r="I2264" i="5"/>
  <c r="H2264" i="5"/>
  <c r="G2264" i="5"/>
  <c r="F2264" i="5"/>
  <c r="E2264" i="5"/>
  <c r="I2263" i="5"/>
  <c r="H2263" i="5"/>
  <c r="G2263" i="5"/>
  <c r="F2263" i="5"/>
  <c r="E2263" i="5"/>
  <c r="I2262" i="5"/>
  <c r="H2262" i="5"/>
  <c r="G2262" i="5"/>
  <c r="F2262" i="5"/>
  <c r="E2262" i="5"/>
  <c r="I2261" i="5"/>
  <c r="H2261" i="5"/>
  <c r="G2261" i="5"/>
  <c r="F2261" i="5"/>
  <c r="E2261" i="5"/>
  <c r="I2260" i="5"/>
  <c r="H2260" i="5"/>
  <c r="G2260" i="5"/>
  <c r="F2260" i="5"/>
  <c r="E2260" i="5"/>
  <c r="I2259" i="5"/>
  <c r="H2259" i="5"/>
  <c r="G2259" i="5"/>
  <c r="F2259" i="5"/>
  <c r="E2259" i="5"/>
  <c r="I2258" i="5"/>
  <c r="H2258" i="5"/>
  <c r="G2258" i="5"/>
  <c r="F2258" i="5"/>
  <c r="E2258" i="5"/>
  <c r="I2257" i="5"/>
  <c r="H2257" i="5"/>
  <c r="G2257" i="5"/>
  <c r="F2257" i="5"/>
  <c r="E2257" i="5"/>
  <c r="I2256" i="5"/>
  <c r="H2256" i="5"/>
  <c r="G2256" i="5"/>
  <c r="F2256" i="5"/>
  <c r="E2256" i="5"/>
  <c r="I2255" i="5"/>
  <c r="H2255" i="5"/>
  <c r="G2255" i="5"/>
  <c r="F2255" i="5"/>
  <c r="E2255" i="5"/>
  <c r="I2254" i="5"/>
  <c r="H2254" i="5"/>
  <c r="G2254" i="5"/>
  <c r="F2254" i="5"/>
  <c r="E2254" i="5"/>
  <c r="I2253" i="5"/>
  <c r="H2253" i="5"/>
  <c r="G2253" i="5"/>
  <c r="F2253" i="5"/>
  <c r="E2253" i="5"/>
  <c r="I2252" i="5"/>
  <c r="H2252" i="5"/>
  <c r="G2252" i="5"/>
  <c r="F2252" i="5"/>
  <c r="E2252" i="5"/>
  <c r="I2251" i="5"/>
  <c r="H2251" i="5"/>
  <c r="G2251" i="5"/>
  <c r="F2251" i="5"/>
  <c r="E2251" i="5"/>
  <c r="I2250" i="5"/>
  <c r="H2250" i="5"/>
  <c r="G2250" i="5"/>
  <c r="F2250" i="5"/>
  <c r="E2250" i="5"/>
  <c r="I2249" i="5"/>
  <c r="H2249" i="5"/>
  <c r="G2249" i="5"/>
  <c r="F2249" i="5"/>
  <c r="E2249" i="5"/>
  <c r="I2248" i="5"/>
  <c r="H2248" i="5"/>
  <c r="G2248" i="5"/>
  <c r="F2248" i="5"/>
  <c r="E2248" i="5"/>
  <c r="I2247" i="5"/>
  <c r="H2247" i="5"/>
  <c r="G2247" i="5"/>
  <c r="F2247" i="5"/>
  <c r="E2247" i="5"/>
  <c r="I2246" i="5"/>
  <c r="H2246" i="5"/>
  <c r="G2246" i="5"/>
  <c r="F2246" i="5"/>
  <c r="E2246" i="5"/>
  <c r="I2245" i="5"/>
  <c r="H2245" i="5"/>
  <c r="G2245" i="5"/>
  <c r="F2245" i="5"/>
  <c r="E2245" i="5"/>
  <c r="I2244" i="5"/>
  <c r="H2244" i="5"/>
  <c r="G2244" i="5"/>
  <c r="F2244" i="5"/>
  <c r="E2244" i="5"/>
  <c r="I2243" i="5"/>
  <c r="H2243" i="5"/>
  <c r="G2243" i="5"/>
  <c r="F2243" i="5"/>
  <c r="E2243" i="5"/>
  <c r="I2242" i="5"/>
  <c r="H2242" i="5"/>
  <c r="G2242" i="5"/>
  <c r="F2242" i="5"/>
  <c r="E2242" i="5"/>
  <c r="I2241" i="5"/>
  <c r="H2241" i="5"/>
  <c r="G2241" i="5"/>
  <c r="F2241" i="5"/>
  <c r="E2241" i="5"/>
  <c r="I2240" i="5"/>
  <c r="H2240" i="5"/>
  <c r="G2240" i="5"/>
  <c r="F2240" i="5"/>
  <c r="E2240" i="5"/>
  <c r="I2239" i="5"/>
  <c r="H2239" i="5"/>
  <c r="G2239" i="5"/>
  <c r="F2239" i="5"/>
  <c r="E2239" i="5"/>
  <c r="I2238" i="5"/>
  <c r="H2238" i="5"/>
  <c r="G2238" i="5"/>
  <c r="F2238" i="5"/>
  <c r="E2238" i="5"/>
  <c r="I2237" i="5"/>
  <c r="H2237" i="5"/>
  <c r="G2237" i="5"/>
  <c r="F2237" i="5"/>
  <c r="E2237" i="5"/>
  <c r="I2236" i="5"/>
  <c r="H2236" i="5"/>
  <c r="G2236" i="5"/>
  <c r="F2236" i="5"/>
  <c r="E2236" i="5"/>
  <c r="I2235" i="5"/>
  <c r="H2235" i="5"/>
  <c r="G2235" i="5"/>
  <c r="F2235" i="5"/>
  <c r="E2235" i="5"/>
  <c r="I2234" i="5"/>
  <c r="H2234" i="5"/>
  <c r="G2234" i="5"/>
  <c r="F2234" i="5"/>
  <c r="E2234" i="5"/>
  <c r="I2233" i="5"/>
  <c r="H2233" i="5"/>
  <c r="G2233" i="5"/>
  <c r="F2233" i="5"/>
  <c r="E2233" i="5"/>
  <c r="I2232" i="5"/>
  <c r="H2232" i="5"/>
  <c r="G2232" i="5"/>
  <c r="F2232" i="5"/>
  <c r="E2232" i="5"/>
  <c r="I2231" i="5"/>
  <c r="H2231" i="5"/>
  <c r="G2231" i="5"/>
  <c r="F2231" i="5"/>
  <c r="E2231" i="5"/>
  <c r="I2230" i="5"/>
  <c r="H2230" i="5"/>
  <c r="G2230" i="5"/>
  <c r="F2230" i="5"/>
  <c r="E2230" i="5"/>
  <c r="I2229" i="5"/>
  <c r="H2229" i="5"/>
  <c r="G2229" i="5"/>
  <c r="F2229" i="5"/>
  <c r="E2229" i="5"/>
  <c r="I2228" i="5"/>
  <c r="H2228" i="5"/>
  <c r="G2228" i="5"/>
  <c r="F2228" i="5"/>
  <c r="E2228" i="5"/>
  <c r="I2227" i="5"/>
  <c r="H2227" i="5"/>
  <c r="G2227" i="5"/>
  <c r="F2227" i="5"/>
  <c r="E2227" i="5"/>
  <c r="I2226" i="5"/>
  <c r="H2226" i="5"/>
  <c r="G2226" i="5"/>
  <c r="F2226" i="5"/>
  <c r="E2226" i="5"/>
  <c r="I2225" i="5"/>
  <c r="H2225" i="5"/>
  <c r="G2225" i="5"/>
  <c r="F2225" i="5"/>
  <c r="E2225" i="5"/>
  <c r="I2224" i="5"/>
  <c r="H2224" i="5"/>
  <c r="G2224" i="5"/>
  <c r="F2224" i="5"/>
  <c r="E2224" i="5"/>
  <c r="I2223" i="5"/>
  <c r="H2223" i="5"/>
  <c r="G2223" i="5"/>
  <c r="F2223" i="5"/>
  <c r="E2223" i="5"/>
  <c r="I2222" i="5"/>
  <c r="H2222" i="5"/>
  <c r="G2222" i="5"/>
  <c r="F2222" i="5"/>
  <c r="E2222" i="5"/>
  <c r="I2221" i="5"/>
  <c r="H2221" i="5"/>
  <c r="G2221" i="5"/>
  <c r="F2221" i="5"/>
  <c r="E2221" i="5"/>
  <c r="I2220" i="5"/>
  <c r="H2220" i="5"/>
  <c r="G2220" i="5"/>
  <c r="F2220" i="5"/>
  <c r="E2220" i="5"/>
  <c r="I2219" i="5"/>
  <c r="H2219" i="5"/>
  <c r="G2219" i="5"/>
  <c r="F2219" i="5"/>
  <c r="E2219" i="5"/>
  <c r="I2218" i="5"/>
  <c r="H2218" i="5"/>
  <c r="G2218" i="5"/>
  <c r="F2218" i="5"/>
  <c r="E2218" i="5"/>
  <c r="I2217" i="5"/>
  <c r="H2217" i="5"/>
  <c r="G2217" i="5"/>
  <c r="F2217" i="5"/>
  <c r="E2217" i="5"/>
  <c r="I2216" i="5"/>
  <c r="H2216" i="5"/>
  <c r="G2216" i="5"/>
  <c r="F2216" i="5"/>
  <c r="E2216" i="5"/>
  <c r="I2215" i="5"/>
  <c r="H2215" i="5"/>
  <c r="G2215" i="5"/>
  <c r="F2215" i="5"/>
  <c r="E2215" i="5"/>
  <c r="I2214" i="5"/>
  <c r="H2214" i="5"/>
  <c r="G2214" i="5"/>
  <c r="F2214" i="5"/>
  <c r="E2214" i="5"/>
  <c r="I2213" i="5"/>
  <c r="H2213" i="5"/>
  <c r="G2213" i="5"/>
  <c r="F2213" i="5"/>
  <c r="E2213" i="5"/>
  <c r="I2212" i="5"/>
  <c r="H2212" i="5"/>
  <c r="G2212" i="5"/>
  <c r="F2212" i="5"/>
  <c r="E2212" i="5"/>
  <c r="I2211" i="5"/>
  <c r="H2211" i="5"/>
  <c r="G2211" i="5"/>
  <c r="F2211" i="5"/>
  <c r="E2211" i="5"/>
  <c r="I2210" i="5"/>
  <c r="H2210" i="5"/>
  <c r="G2210" i="5"/>
  <c r="F2210" i="5"/>
  <c r="E2210" i="5"/>
  <c r="I2209" i="5"/>
  <c r="H2209" i="5"/>
  <c r="G2209" i="5"/>
  <c r="F2209" i="5"/>
  <c r="E2209" i="5"/>
  <c r="I2208" i="5"/>
  <c r="H2208" i="5"/>
  <c r="G2208" i="5"/>
  <c r="F2208" i="5"/>
  <c r="E2208" i="5"/>
  <c r="I2207" i="5"/>
  <c r="H2207" i="5"/>
  <c r="G2207" i="5"/>
  <c r="F2207" i="5"/>
  <c r="E2207" i="5"/>
  <c r="I2206" i="5"/>
  <c r="H2206" i="5"/>
  <c r="G2206" i="5"/>
  <c r="F2206" i="5"/>
  <c r="E2206" i="5"/>
  <c r="I2205" i="5"/>
  <c r="H2205" i="5"/>
  <c r="G2205" i="5"/>
  <c r="F2205" i="5"/>
  <c r="E2205" i="5"/>
  <c r="I2204" i="5"/>
  <c r="H2204" i="5"/>
  <c r="G2204" i="5"/>
  <c r="F2204" i="5"/>
  <c r="E2204" i="5"/>
  <c r="I2203" i="5"/>
  <c r="H2203" i="5"/>
  <c r="G2203" i="5"/>
  <c r="F2203" i="5"/>
  <c r="E2203" i="5"/>
  <c r="I2202" i="5"/>
  <c r="H2202" i="5"/>
  <c r="G2202" i="5"/>
  <c r="F2202" i="5"/>
  <c r="E2202" i="5"/>
  <c r="I2201" i="5"/>
  <c r="H2201" i="5"/>
  <c r="G2201" i="5"/>
  <c r="F2201" i="5"/>
  <c r="E2201" i="5"/>
  <c r="I2200" i="5"/>
  <c r="H2200" i="5"/>
  <c r="G2200" i="5"/>
  <c r="F2200" i="5"/>
  <c r="E2200" i="5"/>
  <c r="I2199" i="5"/>
  <c r="H2199" i="5"/>
  <c r="G2199" i="5"/>
  <c r="F2199" i="5"/>
  <c r="E2199" i="5"/>
  <c r="I2198" i="5"/>
  <c r="H2198" i="5"/>
  <c r="G2198" i="5"/>
  <c r="F2198" i="5"/>
  <c r="E2198" i="5"/>
  <c r="I2197" i="5"/>
  <c r="H2197" i="5"/>
  <c r="G2197" i="5"/>
  <c r="F2197" i="5"/>
  <c r="E2197" i="5"/>
  <c r="I2196" i="5"/>
  <c r="H2196" i="5"/>
  <c r="G2196" i="5"/>
  <c r="F2196" i="5"/>
  <c r="E2196" i="5"/>
  <c r="I2195" i="5"/>
  <c r="H2195" i="5"/>
  <c r="G2195" i="5"/>
  <c r="F2195" i="5"/>
  <c r="E2195" i="5"/>
  <c r="I2194" i="5"/>
  <c r="H2194" i="5"/>
  <c r="G2194" i="5"/>
  <c r="F2194" i="5"/>
  <c r="E2194" i="5"/>
  <c r="I2193" i="5"/>
  <c r="H2193" i="5"/>
  <c r="G2193" i="5"/>
  <c r="F2193" i="5"/>
  <c r="E2193" i="5"/>
  <c r="I2192" i="5"/>
  <c r="H2192" i="5"/>
  <c r="G2192" i="5"/>
  <c r="F2192" i="5"/>
  <c r="E2192" i="5"/>
  <c r="I2191" i="5"/>
  <c r="H2191" i="5"/>
  <c r="G2191" i="5"/>
  <c r="F2191" i="5"/>
  <c r="E2191" i="5"/>
  <c r="I2190" i="5"/>
  <c r="H2190" i="5"/>
  <c r="G2190" i="5"/>
  <c r="F2190" i="5"/>
  <c r="E2190" i="5"/>
  <c r="I2189" i="5"/>
  <c r="H2189" i="5"/>
  <c r="G2189" i="5"/>
  <c r="F2189" i="5"/>
  <c r="E2189" i="5"/>
  <c r="I2188" i="5"/>
  <c r="H2188" i="5"/>
  <c r="G2188" i="5"/>
  <c r="F2188" i="5"/>
  <c r="E2188" i="5"/>
  <c r="I2187" i="5"/>
  <c r="H2187" i="5"/>
  <c r="G2187" i="5"/>
  <c r="F2187" i="5"/>
  <c r="E2187" i="5"/>
  <c r="I2186" i="5"/>
  <c r="H2186" i="5"/>
  <c r="G2186" i="5"/>
  <c r="F2186" i="5"/>
  <c r="E2186" i="5"/>
  <c r="I2185" i="5"/>
  <c r="H2185" i="5"/>
  <c r="G2185" i="5"/>
  <c r="F2185" i="5"/>
  <c r="E2185" i="5"/>
  <c r="I2184" i="5"/>
  <c r="H2184" i="5"/>
  <c r="G2184" i="5"/>
  <c r="F2184" i="5"/>
  <c r="E2184" i="5"/>
  <c r="I2183" i="5"/>
  <c r="H2183" i="5"/>
  <c r="G2183" i="5"/>
  <c r="F2183" i="5"/>
  <c r="E2183" i="5"/>
  <c r="I2182" i="5"/>
  <c r="H2182" i="5"/>
  <c r="G2182" i="5"/>
  <c r="F2182" i="5"/>
  <c r="E2182" i="5"/>
  <c r="I2181" i="5"/>
  <c r="H2181" i="5"/>
  <c r="G2181" i="5"/>
  <c r="F2181" i="5"/>
  <c r="E2181" i="5"/>
  <c r="I2180" i="5"/>
  <c r="H2180" i="5"/>
  <c r="G2180" i="5"/>
  <c r="F2180" i="5"/>
  <c r="E2180" i="5"/>
  <c r="I2179" i="5"/>
  <c r="H2179" i="5"/>
  <c r="G2179" i="5"/>
  <c r="F2179" i="5"/>
  <c r="E2179" i="5"/>
  <c r="I2178" i="5"/>
  <c r="H2178" i="5"/>
  <c r="G2178" i="5"/>
  <c r="F2178" i="5"/>
  <c r="E2178" i="5"/>
  <c r="I2177" i="5"/>
  <c r="H2177" i="5"/>
  <c r="G2177" i="5"/>
  <c r="F2177" i="5"/>
  <c r="E2177" i="5"/>
  <c r="I2176" i="5"/>
  <c r="H2176" i="5"/>
  <c r="G2176" i="5"/>
  <c r="F2176" i="5"/>
  <c r="E2176" i="5"/>
  <c r="I2175" i="5"/>
  <c r="H2175" i="5"/>
  <c r="G2175" i="5"/>
  <c r="F2175" i="5"/>
  <c r="E2175" i="5"/>
  <c r="I2174" i="5"/>
  <c r="H2174" i="5"/>
  <c r="G2174" i="5"/>
  <c r="F2174" i="5"/>
  <c r="E2174" i="5"/>
  <c r="I2173" i="5"/>
  <c r="H2173" i="5"/>
  <c r="G2173" i="5"/>
  <c r="F2173" i="5"/>
  <c r="E2173" i="5"/>
  <c r="I2172" i="5"/>
  <c r="H2172" i="5"/>
  <c r="G2172" i="5"/>
  <c r="F2172" i="5"/>
  <c r="E2172" i="5"/>
  <c r="I2171" i="5"/>
  <c r="H2171" i="5"/>
  <c r="G2171" i="5"/>
  <c r="F2171" i="5"/>
  <c r="E2171" i="5"/>
  <c r="I2170" i="5"/>
  <c r="H2170" i="5"/>
  <c r="G2170" i="5"/>
  <c r="F2170" i="5"/>
  <c r="E2170" i="5"/>
  <c r="I2169" i="5"/>
  <c r="H2169" i="5"/>
  <c r="G2169" i="5"/>
  <c r="F2169" i="5"/>
  <c r="E2169" i="5"/>
  <c r="I2168" i="5"/>
  <c r="H2168" i="5"/>
  <c r="G2168" i="5"/>
  <c r="F2168" i="5"/>
  <c r="E2168" i="5"/>
  <c r="I2167" i="5"/>
  <c r="H2167" i="5"/>
  <c r="G2167" i="5"/>
  <c r="F2167" i="5"/>
  <c r="E2167" i="5"/>
  <c r="I2166" i="5"/>
  <c r="H2166" i="5"/>
  <c r="G2166" i="5"/>
  <c r="F2166" i="5"/>
  <c r="E2166" i="5"/>
  <c r="I2165" i="5"/>
  <c r="H2165" i="5"/>
  <c r="G2165" i="5"/>
  <c r="F2165" i="5"/>
  <c r="E2165" i="5"/>
  <c r="I2164" i="5"/>
  <c r="H2164" i="5"/>
  <c r="G2164" i="5"/>
  <c r="F2164" i="5"/>
  <c r="E2164" i="5"/>
  <c r="I2163" i="5"/>
  <c r="H2163" i="5"/>
  <c r="G2163" i="5"/>
  <c r="F2163" i="5"/>
  <c r="E2163" i="5"/>
  <c r="I2162" i="5"/>
  <c r="H2162" i="5"/>
  <c r="G2162" i="5"/>
  <c r="F2162" i="5"/>
  <c r="E2162" i="5"/>
  <c r="I2161" i="5"/>
  <c r="H2161" i="5"/>
  <c r="G2161" i="5"/>
  <c r="F2161" i="5"/>
  <c r="E2161" i="5"/>
  <c r="I2160" i="5"/>
  <c r="H2160" i="5"/>
  <c r="G2160" i="5"/>
  <c r="F2160" i="5"/>
  <c r="E2160" i="5"/>
  <c r="I2159" i="5"/>
  <c r="H2159" i="5"/>
  <c r="G2159" i="5"/>
  <c r="F2159" i="5"/>
  <c r="E2159" i="5"/>
  <c r="I2158" i="5"/>
  <c r="H2158" i="5"/>
  <c r="G2158" i="5"/>
  <c r="F2158" i="5"/>
  <c r="E2158" i="5"/>
  <c r="I2157" i="5"/>
  <c r="H2157" i="5"/>
  <c r="G2157" i="5"/>
  <c r="F2157" i="5"/>
  <c r="E2157" i="5"/>
  <c r="I2156" i="5"/>
  <c r="H2156" i="5"/>
  <c r="G2156" i="5"/>
  <c r="F2156" i="5"/>
  <c r="E2156" i="5"/>
  <c r="I2155" i="5"/>
  <c r="H2155" i="5"/>
  <c r="G2155" i="5"/>
  <c r="F2155" i="5"/>
  <c r="E2155" i="5"/>
  <c r="I2154" i="5"/>
  <c r="H2154" i="5"/>
  <c r="G2154" i="5"/>
  <c r="F2154" i="5"/>
  <c r="E2154" i="5"/>
  <c r="I2153" i="5"/>
  <c r="H2153" i="5"/>
  <c r="G2153" i="5"/>
  <c r="F2153" i="5"/>
  <c r="E2153" i="5"/>
  <c r="I2152" i="5"/>
  <c r="H2152" i="5"/>
  <c r="G2152" i="5"/>
  <c r="F2152" i="5"/>
  <c r="E2152" i="5"/>
  <c r="I2151" i="5"/>
  <c r="H2151" i="5"/>
  <c r="G2151" i="5"/>
  <c r="F2151" i="5"/>
  <c r="E2151" i="5"/>
  <c r="I2150" i="5"/>
  <c r="H2150" i="5"/>
  <c r="G2150" i="5"/>
  <c r="F2150" i="5"/>
  <c r="E2150" i="5"/>
  <c r="I2149" i="5"/>
  <c r="H2149" i="5"/>
  <c r="G2149" i="5"/>
  <c r="F2149" i="5"/>
  <c r="E2149" i="5"/>
  <c r="I2148" i="5"/>
  <c r="H2148" i="5"/>
  <c r="G2148" i="5"/>
  <c r="F2148" i="5"/>
  <c r="E2148" i="5"/>
  <c r="I2147" i="5"/>
  <c r="H2147" i="5"/>
  <c r="G2147" i="5"/>
  <c r="F2147" i="5"/>
  <c r="E2147" i="5"/>
  <c r="I2146" i="5"/>
  <c r="H2146" i="5"/>
  <c r="G2146" i="5"/>
  <c r="F2146" i="5"/>
  <c r="E2146" i="5"/>
  <c r="I2145" i="5"/>
  <c r="H2145" i="5"/>
  <c r="G2145" i="5"/>
  <c r="F2145" i="5"/>
  <c r="E2145" i="5"/>
  <c r="I2144" i="5"/>
  <c r="H2144" i="5"/>
  <c r="G2144" i="5"/>
  <c r="F2144" i="5"/>
  <c r="E2144" i="5"/>
  <c r="I2143" i="5"/>
  <c r="H2143" i="5"/>
  <c r="G2143" i="5"/>
  <c r="F2143" i="5"/>
  <c r="E2143" i="5"/>
  <c r="I2142" i="5"/>
  <c r="H2142" i="5"/>
  <c r="G2142" i="5"/>
  <c r="F2142" i="5"/>
  <c r="E2142" i="5"/>
  <c r="I2141" i="5"/>
  <c r="H2141" i="5"/>
  <c r="G2141" i="5"/>
  <c r="F2141" i="5"/>
  <c r="E2141" i="5"/>
  <c r="I2140" i="5"/>
  <c r="H2140" i="5"/>
  <c r="G2140" i="5"/>
  <c r="F2140" i="5"/>
  <c r="E2140" i="5"/>
  <c r="I2139" i="5"/>
  <c r="H2139" i="5"/>
  <c r="G2139" i="5"/>
  <c r="F2139" i="5"/>
  <c r="E2139" i="5"/>
  <c r="I2138" i="5"/>
  <c r="H2138" i="5"/>
  <c r="G2138" i="5"/>
  <c r="F2138" i="5"/>
  <c r="E2138" i="5"/>
  <c r="I2137" i="5"/>
  <c r="H2137" i="5"/>
  <c r="G2137" i="5"/>
  <c r="F2137" i="5"/>
  <c r="E2137" i="5"/>
  <c r="I2136" i="5"/>
  <c r="H2136" i="5"/>
  <c r="G2136" i="5"/>
  <c r="F2136" i="5"/>
  <c r="E2136" i="5"/>
  <c r="I2135" i="5"/>
  <c r="H2135" i="5"/>
  <c r="G2135" i="5"/>
  <c r="F2135" i="5"/>
  <c r="E2135" i="5"/>
  <c r="I2134" i="5"/>
  <c r="H2134" i="5"/>
  <c r="G2134" i="5"/>
  <c r="F2134" i="5"/>
  <c r="E2134" i="5"/>
  <c r="I2133" i="5"/>
  <c r="H2133" i="5"/>
  <c r="G2133" i="5"/>
  <c r="F2133" i="5"/>
  <c r="E2133" i="5"/>
  <c r="I2132" i="5"/>
  <c r="H2132" i="5"/>
  <c r="G2132" i="5"/>
  <c r="F2132" i="5"/>
  <c r="E2132" i="5"/>
  <c r="I2131" i="5"/>
  <c r="H2131" i="5"/>
  <c r="G2131" i="5"/>
  <c r="F2131" i="5"/>
  <c r="E2131" i="5"/>
  <c r="I2130" i="5"/>
  <c r="H2130" i="5"/>
  <c r="G2130" i="5"/>
  <c r="F2130" i="5"/>
  <c r="E2130" i="5"/>
  <c r="I2129" i="5"/>
  <c r="H2129" i="5"/>
  <c r="G2129" i="5"/>
  <c r="F2129" i="5"/>
  <c r="E2129" i="5"/>
  <c r="I2128" i="5"/>
  <c r="H2128" i="5"/>
  <c r="G2128" i="5"/>
  <c r="F2128" i="5"/>
  <c r="E2128" i="5"/>
  <c r="I2127" i="5"/>
  <c r="H2127" i="5"/>
  <c r="G2127" i="5"/>
  <c r="F2127" i="5"/>
  <c r="E2127" i="5"/>
  <c r="I2126" i="5"/>
  <c r="H2126" i="5"/>
  <c r="G2126" i="5"/>
  <c r="F2126" i="5"/>
  <c r="E2126" i="5"/>
  <c r="I2125" i="5"/>
  <c r="H2125" i="5"/>
  <c r="G2125" i="5"/>
  <c r="F2125" i="5"/>
  <c r="E2125" i="5"/>
  <c r="I2124" i="5"/>
  <c r="H2124" i="5"/>
  <c r="G2124" i="5"/>
  <c r="F2124" i="5"/>
  <c r="E2124" i="5"/>
  <c r="I2123" i="5"/>
  <c r="H2123" i="5"/>
  <c r="G2123" i="5"/>
  <c r="F2123" i="5"/>
  <c r="E2123" i="5"/>
  <c r="I2122" i="5"/>
  <c r="H2122" i="5"/>
  <c r="G2122" i="5"/>
  <c r="F2122" i="5"/>
  <c r="E2122" i="5"/>
  <c r="I2121" i="5"/>
  <c r="H2121" i="5"/>
  <c r="G2121" i="5"/>
  <c r="F2121" i="5"/>
  <c r="E2121" i="5"/>
  <c r="I2120" i="5"/>
  <c r="H2120" i="5"/>
  <c r="G2120" i="5"/>
  <c r="F2120" i="5"/>
  <c r="E2120" i="5"/>
  <c r="I2119" i="5"/>
  <c r="H2119" i="5"/>
  <c r="G2119" i="5"/>
  <c r="F2119" i="5"/>
  <c r="E2119" i="5"/>
  <c r="I2118" i="5"/>
  <c r="H2118" i="5"/>
  <c r="G2118" i="5"/>
  <c r="F2118" i="5"/>
  <c r="E2118" i="5"/>
  <c r="I2117" i="5"/>
  <c r="H2117" i="5"/>
  <c r="G2117" i="5"/>
  <c r="F2117" i="5"/>
  <c r="E2117" i="5"/>
  <c r="I2116" i="5"/>
  <c r="H2116" i="5"/>
  <c r="G2116" i="5"/>
  <c r="F2116" i="5"/>
  <c r="E2116" i="5"/>
  <c r="I2115" i="5"/>
  <c r="H2115" i="5"/>
  <c r="G2115" i="5"/>
  <c r="F2115" i="5"/>
  <c r="E2115" i="5"/>
  <c r="I2114" i="5"/>
  <c r="H2114" i="5"/>
  <c r="G2114" i="5"/>
  <c r="F2114" i="5"/>
  <c r="E2114" i="5"/>
  <c r="I2113" i="5"/>
  <c r="H2113" i="5"/>
  <c r="G2113" i="5"/>
  <c r="F2113" i="5"/>
  <c r="E2113" i="5"/>
  <c r="I2112" i="5"/>
  <c r="H2112" i="5"/>
  <c r="G2112" i="5"/>
  <c r="F2112" i="5"/>
  <c r="E2112" i="5"/>
  <c r="I2111" i="5"/>
  <c r="H2111" i="5"/>
  <c r="G2111" i="5"/>
  <c r="F2111" i="5"/>
  <c r="E2111" i="5"/>
  <c r="I2110" i="5"/>
  <c r="H2110" i="5"/>
  <c r="G2110" i="5"/>
  <c r="F2110" i="5"/>
  <c r="E2110" i="5"/>
  <c r="I2109" i="5"/>
  <c r="H2109" i="5"/>
  <c r="G2109" i="5"/>
  <c r="F2109" i="5"/>
  <c r="E2109" i="5"/>
  <c r="I2108" i="5"/>
  <c r="H2108" i="5"/>
  <c r="G2108" i="5"/>
  <c r="F2108" i="5"/>
  <c r="E2108" i="5"/>
  <c r="I2107" i="5"/>
  <c r="H2107" i="5"/>
  <c r="G2107" i="5"/>
  <c r="F2107" i="5"/>
  <c r="E2107" i="5"/>
  <c r="I2106" i="5"/>
  <c r="H2106" i="5"/>
  <c r="G2106" i="5"/>
  <c r="F2106" i="5"/>
  <c r="E2106" i="5"/>
  <c r="I2105" i="5"/>
  <c r="H2105" i="5"/>
  <c r="G2105" i="5"/>
  <c r="F2105" i="5"/>
  <c r="E2105" i="5"/>
  <c r="I2104" i="5"/>
  <c r="H2104" i="5"/>
  <c r="G2104" i="5"/>
  <c r="F2104" i="5"/>
  <c r="E2104" i="5"/>
  <c r="I2103" i="5"/>
  <c r="H2103" i="5"/>
  <c r="G2103" i="5"/>
  <c r="F2103" i="5"/>
  <c r="E2103" i="5"/>
  <c r="I2102" i="5"/>
  <c r="H2102" i="5"/>
  <c r="G2102" i="5"/>
  <c r="F2102" i="5"/>
  <c r="E2102" i="5"/>
  <c r="I2101" i="5"/>
  <c r="H2101" i="5"/>
  <c r="G2101" i="5"/>
  <c r="F2101" i="5"/>
  <c r="E2101" i="5"/>
  <c r="I2100" i="5"/>
  <c r="H2100" i="5"/>
  <c r="G2100" i="5"/>
  <c r="F2100" i="5"/>
  <c r="E2100" i="5"/>
  <c r="I2099" i="5"/>
  <c r="H2099" i="5"/>
  <c r="G2099" i="5"/>
  <c r="F2099" i="5"/>
  <c r="E2099" i="5"/>
  <c r="I2098" i="5"/>
  <c r="H2098" i="5"/>
  <c r="G2098" i="5"/>
  <c r="F2098" i="5"/>
  <c r="E2098" i="5"/>
  <c r="I2097" i="5"/>
  <c r="H2097" i="5"/>
  <c r="G2097" i="5"/>
  <c r="F2097" i="5"/>
  <c r="E2097" i="5"/>
  <c r="I2096" i="5"/>
  <c r="H2096" i="5"/>
  <c r="G2096" i="5"/>
  <c r="F2096" i="5"/>
  <c r="E2096" i="5"/>
  <c r="I2095" i="5"/>
  <c r="H2095" i="5"/>
  <c r="G2095" i="5"/>
  <c r="F2095" i="5"/>
  <c r="E2095" i="5"/>
  <c r="I2094" i="5"/>
  <c r="H2094" i="5"/>
  <c r="G2094" i="5"/>
  <c r="F2094" i="5"/>
  <c r="E2094" i="5"/>
  <c r="I2093" i="5"/>
  <c r="H2093" i="5"/>
  <c r="G2093" i="5"/>
  <c r="F2093" i="5"/>
  <c r="E2093" i="5"/>
  <c r="I2092" i="5"/>
  <c r="H2092" i="5"/>
  <c r="G2092" i="5"/>
  <c r="F2092" i="5"/>
  <c r="E2092" i="5"/>
  <c r="I2091" i="5"/>
  <c r="H2091" i="5"/>
  <c r="G2091" i="5"/>
  <c r="F2091" i="5"/>
  <c r="E2091" i="5"/>
  <c r="I2090" i="5"/>
  <c r="H2090" i="5"/>
  <c r="G2090" i="5"/>
  <c r="F2090" i="5"/>
  <c r="E2090" i="5"/>
  <c r="I2089" i="5"/>
  <c r="H2089" i="5"/>
  <c r="G2089" i="5"/>
  <c r="F2089" i="5"/>
  <c r="E2089" i="5"/>
  <c r="I2088" i="5"/>
  <c r="H2088" i="5"/>
  <c r="G2088" i="5"/>
  <c r="F2088" i="5"/>
  <c r="E2088" i="5"/>
  <c r="I2087" i="5"/>
  <c r="H2087" i="5"/>
  <c r="G2087" i="5"/>
  <c r="F2087" i="5"/>
  <c r="E2087" i="5"/>
  <c r="I2086" i="5"/>
  <c r="H2086" i="5"/>
  <c r="G2086" i="5"/>
  <c r="F2086" i="5"/>
  <c r="E2086" i="5"/>
  <c r="I2085" i="5"/>
  <c r="H2085" i="5"/>
  <c r="G2085" i="5"/>
  <c r="F2085" i="5"/>
  <c r="E2085" i="5"/>
  <c r="I2084" i="5"/>
  <c r="H2084" i="5"/>
  <c r="G2084" i="5"/>
  <c r="F2084" i="5"/>
  <c r="E2084" i="5"/>
  <c r="I2083" i="5"/>
  <c r="H2083" i="5"/>
  <c r="G2083" i="5"/>
  <c r="F2083" i="5"/>
  <c r="E2083" i="5"/>
  <c r="I2082" i="5"/>
  <c r="H2082" i="5"/>
  <c r="G2082" i="5"/>
  <c r="F2082" i="5"/>
  <c r="E2082" i="5"/>
  <c r="I2081" i="5"/>
  <c r="H2081" i="5"/>
  <c r="G2081" i="5"/>
  <c r="F2081" i="5"/>
  <c r="E2081" i="5"/>
  <c r="I2080" i="5"/>
  <c r="H2080" i="5"/>
  <c r="G2080" i="5"/>
  <c r="F2080" i="5"/>
  <c r="E2080" i="5"/>
  <c r="I2079" i="5"/>
  <c r="H2079" i="5"/>
  <c r="G2079" i="5"/>
  <c r="F2079" i="5"/>
  <c r="E2079" i="5"/>
  <c r="I2078" i="5"/>
  <c r="H2078" i="5"/>
  <c r="G2078" i="5"/>
  <c r="F2078" i="5"/>
  <c r="E2078" i="5"/>
  <c r="I2077" i="5"/>
  <c r="H2077" i="5"/>
  <c r="G2077" i="5"/>
  <c r="F2077" i="5"/>
  <c r="E2077" i="5"/>
  <c r="I2076" i="5"/>
  <c r="H2076" i="5"/>
  <c r="G2076" i="5"/>
  <c r="F2076" i="5"/>
  <c r="E2076" i="5"/>
  <c r="I2075" i="5"/>
  <c r="H2075" i="5"/>
  <c r="G2075" i="5"/>
  <c r="F2075" i="5"/>
  <c r="E2075" i="5"/>
  <c r="I2074" i="5"/>
  <c r="H2074" i="5"/>
  <c r="G2074" i="5"/>
  <c r="F2074" i="5"/>
  <c r="E2074" i="5"/>
  <c r="I2073" i="5"/>
  <c r="H2073" i="5"/>
  <c r="G2073" i="5"/>
  <c r="F2073" i="5"/>
  <c r="E2073" i="5"/>
  <c r="I2072" i="5"/>
  <c r="H2072" i="5"/>
  <c r="G2072" i="5"/>
  <c r="F2072" i="5"/>
  <c r="E2072" i="5"/>
  <c r="I2071" i="5"/>
  <c r="H2071" i="5"/>
  <c r="G2071" i="5"/>
  <c r="F2071" i="5"/>
  <c r="E2071" i="5"/>
  <c r="I2070" i="5"/>
  <c r="H2070" i="5"/>
  <c r="G2070" i="5"/>
  <c r="F2070" i="5"/>
  <c r="E2070" i="5"/>
  <c r="I2069" i="5"/>
  <c r="H2069" i="5"/>
  <c r="G2069" i="5"/>
  <c r="F2069" i="5"/>
  <c r="E2069" i="5"/>
  <c r="I2068" i="5"/>
  <c r="H2068" i="5"/>
  <c r="G2068" i="5"/>
  <c r="F2068" i="5"/>
  <c r="E2068" i="5"/>
  <c r="I2067" i="5"/>
  <c r="H2067" i="5"/>
  <c r="G2067" i="5"/>
  <c r="F2067" i="5"/>
  <c r="E2067" i="5"/>
  <c r="I2066" i="5"/>
  <c r="H2066" i="5"/>
  <c r="G2066" i="5"/>
  <c r="F2066" i="5"/>
  <c r="E2066" i="5"/>
  <c r="I2065" i="5"/>
  <c r="H2065" i="5"/>
  <c r="G2065" i="5"/>
  <c r="F2065" i="5"/>
  <c r="E2065" i="5"/>
  <c r="I2064" i="5"/>
  <c r="H2064" i="5"/>
  <c r="G2064" i="5"/>
  <c r="F2064" i="5"/>
  <c r="E2064" i="5"/>
  <c r="I2063" i="5"/>
  <c r="H2063" i="5"/>
  <c r="G2063" i="5"/>
  <c r="F2063" i="5"/>
  <c r="E2063" i="5"/>
  <c r="I2062" i="5"/>
  <c r="H2062" i="5"/>
  <c r="G2062" i="5"/>
  <c r="F2062" i="5"/>
  <c r="E2062" i="5"/>
  <c r="I2061" i="5"/>
  <c r="H2061" i="5"/>
  <c r="G2061" i="5"/>
  <c r="F2061" i="5"/>
  <c r="E2061" i="5"/>
  <c r="I2060" i="5"/>
  <c r="H2060" i="5"/>
  <c r="G2060" i="5"/>
  <c r="F2060" i="5"/>
  <c r="E2060" i="5"/>
  <c r="I2059" i="5"/>
  <c r="H2059" i="5"/>
  <c r="G2059" i="5"/>
  <c r="F2059" i="5"/>
  <c r="E2059" i="5"/>
  <c r="I2058" i="5"/>
  <c r="H2058" i="5"/>
  <c r="G2058" i="5"/>
  <c r="F2058" i="5"/>
  <c r="E2058" i="5"/>
  <c r="I2057" i="5"/>
  <c r="H2057" i="5"/>
  <c r="G2057" i="5"/>
  <c r="F2057" i="5"/>
  <c r="E2057" i="5"/>
  <c r="I2056" i="5"/>
  <c r="H2056" i="5"/>
  <c r="G2056" i="5"/>
  <c r="F2056" i="5"/>
  <c r="E2056" i="5"/>
  <c r="I2055" i="5"/>
  <c r="H2055" i="5"/>
  <c r="G2055" i="5"/>
  <c r="F2055" i="5"/>
  <c r="E2055" i="5"/>
  <c r="I2054" i="5"/>
  <c r="H2054" i="5"/>
  <c r="G2054" i="5"/>
  <c r="F2054" i="5"/>
  <c r="E2054" i="5"/>
  <c r="I2053" i="5"/>
  <c r="H2053" i="5"/>
  <c r="G2053" i="5"/>
  <c r="F2053" i="5"/>
  <c r="E2053" i="5"/>
  <c r="I2052" i="5"/>
  <c r="H2052" i="5"/>
  <c r="G2052" i="5"/>
  <c r="F2052" i="5"/>
  <c r="E2052" i="5"/>
  <c r="I2051" i="5"/>
  <c r="H2051" i="5"/>
  <c r="G2051" i="5"/>
  <c r="F2051" i="5"/>
  <c r="E2051" i="5"/>
  <c r="I2050" i="5"/>
  <c r="H2050" i="5"/>
  <c r="G2050" i="5"/>
  <c r="F2050" i="5"/>
  <c r="E2050" i="5"/>
  <c r="I2049" i="5"/>
  <c r="H2049" i="5"/>
  <c r="G2049" i="5"/>
  <c r="F2049" i="5"/>
  <c r="E2049" i="5"/>
  <c r="I2048" i="5"/>
  <c r="H2048" i="5"/>
  <c r="G2048" i="5"/>
  <c r="F2048" i="5"/>
  <c r="E2048" i="5"/>
  <c r="I2047" i="5"/>
  <c r="H2047" i="5"/>
  <c r="G2047" i="5"/>
  <c r="F2047" i="5"/>
  <c r="E2047" i="5"/>
  <c r="I2046" i="5"/>
  <c r="H2046" i="5"/>
  <c r="G2046" i="5"/>
  <c r="F2046" i="5"/>
  <c r="E2046" i="5"/>
  <c r="I2045" i="5"/>
  <c r="H2045" i="5"/>
  <c r="G2045" i="5"/>
  <c r="F2045" i="5"/>
  <c r="E2045" i="5"/>
  <c r="I2044" i="5"/>
  <c r="H2044" i="5"/>
  <c r="G2044" i="5"/>
  <c r="F2044" i="5"/>
  <c r="E2044" i="5"/>
  <c r="I2043" i="5"/>
  <c r="H2043" i="5"/>
  <c r="G2043" i="5"/>
  <c r="F2043" i="5"/>
  <c r="E2043" i="5"/>
  <c r="I2042" i="5"/>
  <c r="H2042" i="5"/>
  <c r="G2042" i="5"/>
  <c r="F2042" i="5"/>
  <c r="E2042" i="5"/>
  <c r="I2041" i="5"/>
  <c r="H2041" i="5"/>
  <c r="G2041" i="5"/>
  <c r="F2041" i="5"/>
  <c r="E2041" i="5"/>
  <c r="I2040" i="5"/>
  <c r="H2040" i="5"/>
  <c r="G2040" i="5"/>
  <c r="F2040" i="5"/>
  <c r="E2040" i="5"/>
  <c r="I2039" i="5"/>
  <c r="H2039" i="5"/>
  <c r="G2039" i="5"/>
  <c r="F2039" i="5"/>
  <c r="E2039" i="5"/>
  <c r="I2038" i="5"/>
  <c r="H2038" i="5"/>
  <c r="G2038" i="5"/>
  <c r="F2038" i="5"/>
  <c r="E2038" i="5"/>
  <c r="I2037" i="5"/>
  <c r="H2037" i="5"/>
  <c r="G2037" i="5"/>
  <c r="F2037" i="5"/>
  <c r="E2037" i="5"/>
  <c r="I2036" i="5"/>
  <c r="H2036" i="5"/>
  <c r="G2036" i="5"/>
  <c r="F2036" i="5"/>
  <c r="E2036" i="5"/>
  <c r="I2035" i="5"/>
  <c r="H2035" i="5"/>
  <c r="G2035" i="5"/>
  <c r="F2035" i="5"/>
  <c r="E2035" i="5"/>
  <c r="I2034" i="5"/>
  <c r="H2034" i="5"/>
  <c r="G2034" i="5"/>
  <c r="F2034" i="5"/>
  <c r="E2034" i="5"/>
  <c r="I2033" i="5"/>
  <c r="H2033" i="5"/>
  <c r="G2033" i="5"/>
  <c r="F2033" i="5"/>
  <c r="E2033" i="5"/>
  <c r="I2032" i="5"/>
  <c r="H2032" i="5"/>
  <c r="G2032" i="5"/>
  <c r="F2032" i="5"/>
  <c r="E2032" i="5"/>
  <c r="I2031" i="5"/>
  <c r="H2031" i="5"/>
  <c r="G2031" i="5"/>
  <c r="F2031" i="5"/>
  <c r="E2031" i="5"/>
  <c r="I2030" i="5"/>
  <c r="H2030" i="5"/>
  <c r="G2030" i="5"/>
  <c r="F2030" i="5"/>
  <c r="E2030" i="5"/>
  <c r="I2029" i="5"/>
  <c r="H2029" i="5"/>
  <c r="G2029" i="5"/>
  <c r="F2029" i="5"/>
  <c r="E2029" i="5"/>
  <c r="I2028" i="5"/>
  <c r="H2028" i="5"/>
  <c r="G2028" i="5"/>
  <c r="F2028" i="5"/>
  <c r="E2028" i="5"/>
  <c r="I2027" i="5"/>
  <c r="H2027" i="5"/>
  <c r="G2027" i="5"/>
  <c r="F2027" i="5"/>
  <c r="E2027" i="5"/>
  <c r="I2026" i="5"/>
  <c r="H2026" i="5"/>
  <c r="G2026" i="5"/>
  <c r="F2026" i="5"/>
  <c r="E2026" i="5"/>
  <c r="I2025" i="5"/>
  <c r="H2025" i="5"/>
  <c r="G2025" i="5"/>
  <c r="F2025" i="5"/>
  <c r="E2025" i="5"/>
  <c r="I2024" i="5"/>
  <c r="H2024" i="5"/>
  <c r="G2024" i="5"/>
  <c r="F2024" i="5"/>
  <c r="E2024" i="5"/>
  <c r="I2023" i="5"/>
  <c r="H2023" i="5"/>
  <c r="G2023" i="5"/>
  <c r="F2023" i="5"/>
  <c r="E2023" i="5"/>
  <c r="I2022" i="5"/>
  <c r="H2022" i="5"/>
  <c r="G2022" i="5"/>
  <c r="F2022" i="5"/>
  <c r="E2022" i="5"/>
  <c r="I2021" i="5"/>
  <c r="H2021" i="5"/>
  <c r="G2021" i="5"/>
  <c r="F2021" i="5"/>
  <c r="E2021" i="5"/>
  <c r="I2020" i="5"/>
  <c r="H2020" i="5"/>
  <c r="G2020" i="5"/>
  <c r="F2020" i="5"/>
  <c r="E2020" i="5"/>
  <c r="I2019" i="5"/>
  <c r="H2019" i="5"/>
  <c r="G2019" i="5"/>
  <c r="F2019" i="5"/>
  <c r="E2019" i="5"/>
  <c r="I2018" i="5"/>
  <c r="H2018" i="5"/>
  <c r="G2018" i="5"/>
  <c r="F2018" i="5"/>
  <c r="E2018" i="5"/>
  <c r="I2017" i="5"/>
  <c r="H2017" i="5"/>
  <c r="G2017" i="5"/>
  <c r="F2017" i="5"/>
  <c r="E2017" i="5"/>
  <c r="I2016" i="5"/>
  <c r="H2016" i="5"/>
  <c r="G2016" i="5"/>
  <c r="F2016" i="5"/>
  <c r="E2016" i="5"/>
  <c r="I2015" i="5"/>
  <c r="H2015" i="5"/>
  <c r="G2015" i="5"/>
  <c r="F2015" i="5"/>
  <c r="E2015" i="5"/>
  <c r="I2014" i="5"/>
  <c r="H2014" i="5"/>
  <c r="G2014" i="5"/>
  <c r="F2014" i="5"/>
  <c r="E2014" i="5"/>
  <c r="I2013" i="5"/>
  <c r="H2013" i="5"/>
  <c r="G2013" i="5"/>
  <c r="F2013" i="5"/>
  <c r="E2013" i="5"/>
  <c r="I2012" i="5"/>
  <c r="H2012" i="5"/>
  <c r="G2012" i="5"/>
  <c r="F2012" i="5"/>
  <c r="E2012" i="5"/>
  <c r="I2011" i="5"/>
  <c r="H2011" i="5"/>
  <c r="G2011" i="5"/>
  <c r="F2011" i="5"/>
  <c r="E2011" i="5"/>
  <c r="I2010" i="5"/>
  <c r="H2010" i="5"/>
  <c r="G2010" i="5"/>
  <c r="F2010" i="5"/>
  <c r="E2010" i="5"/>
  <c r="I2009" i="5"/>
  <c r="H2009" i="5"/>
  <c r="G2009" i="5"/>
  <c r="F2009" i="5"/>
  <c r="E2009" i="5"/>
  <c r="I2008" i="5"/>
  <c r="H2008" i="5"/>
  <c r="G2008" i="5"/>
  <c r="F2008" i="5"/>
  <c r="E2008" i="5"/>
  <c r="I2007" i="5"/>
  <c r="H2007" i="5"/>
  <c r="G2007" i="5"/>
  <c r="F2007" i="5"/>
  <c r="E2007" i="5"/>
  <c r="I2006" i="5"/>
  <c r="H2006" i="5"/>
  <c r="G2006" i="5"/>
  <c r="F2006" i="5"/>
  <c r="E2006" i="5"/>
  <c r="I2005" i="5"/>
  <c r="H2005" i="5"/>
  <c r="G2005" i="5"/>
  <c r="F2005" i="5"/>
  <c r="E2005" i="5"/>
  <c r="I2004" i="5"/>
  <c r="H2004" i="5"/>
  <c r="G2004" i="5"/>
  <c r="F2004" i="5"/>
  <c r="E2004" i="5"/>
  <c r="I2003" i="5"/>
  <c r="H2003" i="5"/>
  <c r="G2003" i="5"/>
  <c r="F2003" i="5"/>
  <c r="E2003" i="5"/>
  <c r="I2002" i="5"/>
  <c r="H2002" i="5"/>
  <c r="G2002" i="5"/>
  <c r="F2002" i="5"/>
  <c r="E2002" i="5"/>
  <c r="I2001" i="5"/>
  <c r="H2001" i="5"/>
  <c r="G2001" i="5"/>
  <c r="F2001" i="5"/>
  <c r="E2001" i="5"/>
  <c r="I2000" i="5"/>
  <c r="H2000" i="5"/>
  <c r="G2000" i="5"/>
  <c r="F2000" i="5"/>
  <c r="E2000" i="5"/>
  <c r="I1999" i="5"/>
  <c r="H1999" i="5"/>
  <c r="G1999" i="5"/>
  <c r="F1999" i="5"/>
  <c r="E1999" i="5"/>
  <c r="I1998" i="5"/>
  <c r="H1998" i="5"/>
  <c r="G1998" i="5"/>
  <c r="F1998" i="5"/>
  <c r="E1998" i="5"/>
  <c r="I1997" i="5"/>
  <c r="H1997" i="5"/>
  <c r="G1997" i="5"/>
  <c r="F1997" i="5"/>
  <c r="E1997" i="5"/>
  <c r="I1996" i="5"/>
  <c r="H1996" i="5"/>
  <c r="G1996" i="5"/>
  <c r="F1996" i="5"/>
  <c r="E1996" i="5"/>
  <c r="I1995" i="5"/>
  <c r="H1995" i="5"/>
  <c r="G1995" i="5"/>
  <c r="F1995" i="5"/>
  <c r="E1995" i="5"/>
  <c r="I1994" i="5"/>
  <c r="H1994" i="5"/>
  <c r="G1994" i="5"/>
  <c r="F1994" i="5"/>
  <c r="E1994" i="5"/>
  <c r="I1993" i="5"/>
  <c r="H1993" i="5"/>
  <c r="G1993" i="5"/>
  <c r="F1993" i="5"/>
  <c r="E1993" i="5"/>
  <c r="I1992" i="5"/>
  <c r="H1992" i="5"/>
  <c r="G1992" i="5"/>
  <c r="F1992" i="5"/>
  <c r="E1992" i="5"/>
  <c r="I1991" i="5"/>
  <c r="H1991" i="5"/>
  <c r="G1991" i="5"/>
  <c r="F1991" i="5"/>
  <c r="E1991" i="5"/>
  <c r="I1990" i="5"/>
  <c r="H1990" i="5"/>
  <c r="G1990" i="5"/>
  <c r="F1990" i="5"/>
  <c r="E1990" i="5"/>
  <c r="I1989" i="5"/>
  <c r="H1989" i="5"/>
  <c r="G1989" i="5"/>
  <c r="F1989" i="5"/>
  <c r="E1989" i="5"/>
  <c r="I1988" i="5"/>
  <c r="H1988" i="5"/>
  <c r="G1988" i="5"/>
  <c r="F1988" i="5"/>
  <c r="E1988" i="5"/>
  <c r="I1987" i="5"/>
  <c r="H1987" i="5"/>
  <c r="G1987" i="5"/>
  <c r="F1987" i="5"/>
  <c r="E1987" i="5"/>
  <c r="I1986" i="5"/>
  <c r="H1986" i="5"/>
  <c r="G1986" i="5"/>
  <c r="F1986" i="5"/>
  <c r="E1986" i="5"/>
  <c r="I1985" i="5"/>
  <c r="H1985" i="5"/>
  <c r="G1985" i="5"/>
  <c r="F1985" i="5"/>
  <c r="E1985" i="5"/>
  <c r="I1984" i="5"/>
  <c r="H1984" i="5"/>
  <c r="G1984" i="5"/>
  <c r="F1984" i="5"/>
  <c r="E1984" i="5"/>
  <c r="I1983" i="5"/>
  <c r="H1983" i="5"/>
  <c r="G1983" i="5"/>
  <c r="F1983" i="5"/>
  <c r="E1983" i="5"/>
  <c r="I1982" i="5"/>
  <c r="H1982" i="5"/>
  <c r="G1982" i="5"/>
  <c r="F1982" i="5"/>
  <c r="E1982" i="5"/>
  <c r="I1981" i="5"/>
  <c r="H1981" i="5"/>
  <c r="G1981" i="5"/>
  <c r="F1981" i="5"/>
  <c r="E1981" i="5"/>
  <c r="I1980" i="5"/>
  <c r="H1980" i="5"/>
  <c r="G1980" i="5"/>
  <c r="F1980" i="5"/>
  <c r="E1980" i="5"/>
  <c r="I1979" i="5"/>
  <c r="H1979" i="5"/>
  <c r="G1979" i="5"/>
  <c r="F1979" i="5"/>
  <c r="E1979" i="5"/>
  <c r="I1978" i="5"/>
  <c r="H1978" i="5"/>
  <c r="G1978" i="5"/>
  <c r="F1978" i="5"/>
  <c r="E1978" i="5"/>
  <c r="I1977" i="5"/>
  <c r="H1977" i="5"/>
  <c r="G1977" i="5"/>
  <c r="F1977" i="5"/>
  <c r="E1977" i="5"/>
  <c r="I1976" i="5"/>
  <c r="H1976" i="5"/>
  <c r="G1976" i="5"/>
  <c r="F1976" i="5"/>
  <c r="E1976" i="5"/>
  <c r="I1975" i="5"/>
  <c r="H1975" i="5"/>
  <c r="G1975" i="5"/>
  <c r="F1975" i="5"/>
  <c r="E1975" i="5"/>
  <c r="I1974" i="5"/>
  <c r="H1974" i="5"/>
  <c r="G1974" i="5"/>
  <c r="F1974" i="5"/>
  <c r="E1974" i="5"/>
  <c r="I1973" i="5"/>
  <c r="H1973" i="5"/>
  <c r="G1973" i="5"/>
  <c r="F1973" i="5"/>
  <c r="E1973" i="5"/>
  <c r="I1972" i="5"/>
  <c r="H1972" i="5"/>
  <c r="G1972" i="5"/>
  <c r="F1972" i="5"/>
  <c r="E1972" i="5"/>
  <c r="I1971" i="5"/>
  <c r="H1971" i="5"/>
  <c r="G1971" i="5"/>
  <c r="F1971" i="5"/>
  <c r="E1971" i="5"/>
  <c r="I1970" i="5"/>
  <c r="H1970" i="5"/>
  <c r="G1970" i="5"/>
  <c r="F1970" i="5"/>
  <c r="E1970" i="5"/>
  <c r="I1969" i="5"/>
  <c r="H1969" i="5"/>
  <c r="G1969" i="5"/>
  <c r="F1969" i="5"/>
  <c r="E1969" i="5"/>
  <c r="I1968" i="5"/>
  <c r="H1968" i="5"/>
  <c r="G1968" i="5"/>
  <c r="F1968" i="5"/>
  <c r="E1968" i="5"/>
  <c r="I1967" i="5"/>
  <c r="H1967" i="5"/>
  <c r="G1967" i="5"/>
  <c r="F1967" i="5"/>
  <c r="E1967" i="5"/>
  <c r="I1966" i="5"/>
  <c r="H1966" i="5"/>
  <c r="G1966" i="5"/>
  <c r="F1966" i="5"/>
  <c r="E1966" i="5"/>
  <c r="I1965" i="5"/>
  <c r="H1965" i="5"/>
  <c r="G1965" i="5"/>
  <c r="F1965" i="5"/>
  <c r="E1965" i="5"/>
  <c r="I1964" i="5"/>
  <c r="H1964" i="5"/>
  <c r="G1964" i="5"/>
  <c r="F1964" i="5"/>
  <c r="E1964" i="5"/>
  <c r="I1963" i="5"/>
  <c r="H1963" i="5"/>
  <c r="G1963" i="5"/>
  <c r="F1963" i="5"/>
  <c r="E1963" i="5"/>
  <c r="I1962" i="5"/>
  <c r="H1962" i="5"/>
  <c r="G1962" i="5"/>
  <c r="F1962" i="5"/>
  <c r="E1962" i="5"/>
  <c r="I1961" i="5"/>
  <c r="H1961" i="5"/>
  <c r="G1961" i="5"/>
  <c r="F1961" i="5"/>
  <c r="E1961" i="5"/>
  <c r="I1960" i="5"/>
  <c r="H1960" i="5"/>
  <c r="G1960" i="5"/>
  <c r="F1960" i="5"/>
  <c r="E1960" i="5"/>
  <c r="I1959" i="5"/>
  <c r="H1959" i="5"/>
  <c r="G1959" i="5"/>
  <c r="F1959" i="5"/>
  <c r="E1959" i="5"/>
  <c r="I1958" i="5"/>
  <c r="H1958" i="5"/>
  <c r="G1958" i="5"/>
  <c r="F1958" i="5"/>
  <c r="E1958" i="5"/>
  <c r="I1957" i="5"/>
  <c r="H1957" i="5"/>
  <c r="G1957" i="5"/>
  <c r="F1957" i="5"/>
  <c r="E1957" i="5"/>
  <c r="I1956" i="5"/>
  <c r="H1956" i="5"/>
  <c r="G1956" i="5"/>
  <c r="F1956" i="5"/>
  <c r="E1956" i="5"/>
  <c r="I1955" i="5"/>
  <c r="H1955" i="5"/>
  <c r="G1955" i="5"/>
  <c r="F1955" i="5"/>
  <c r="E1955" i="5"/>
  <c r="I1954" i="5"/>
  <c r="H1954" i="5"/>
  <c r="G1954" i="5"/>
  <c r="F1954" i="5"/>
  <c r="E1954" i="5"/>
  <c r="I1953" i="5"/>
  <c r="H1953" i="5"/>
  <c r="G1953" i="5"/>
  <c r="F1953" i="5"/>
  <c r="E1953" i="5"/>
  <c r="I1952" i="5"/>
  <c r="H1952" i="5"/>
  <c r="G1952" i="5"/>
  <c r="F1952" i="5"/>
  <c r="E1952" i="5"/>
  <c r="I1951" i="5"/>
  <c r="H1951" i="5"/>
  <c r="G1951" i="5"/>
  <c r="F1951" i="5"/>
  <c r="E1951" i="5"/>
  <c r="I1950" i="5"/>
  <c r="H1950" i="5"/>
  <c r="G1950" i="5"/>
  <c r="F1950" i="5"/>
  <c r="E1950" i="5"/>
  <c r="I1949" i="5"/>
  <c r="H1949" i="5"/>
  <c r="G1949" i="5"/>
  <c r="F1949" i="5"/>
  <c r="E1949" i="5"/>
  <c r="I1948" i="5"/>
  <c r="H1948" i="5"/>
  <c r="G1948" i="5"/>
  <c r="F1948" i="5"/>
  <c r="E1948" i="5"/>
  <c r="I1947" i="5"/>
  <c r="H1947" i="5"/>
  <c r="G1947" i="5"/>
  <c r="F1947" i="5"/>
  <c r="E1947" i="5"/>
  <c r="I1946" i="5"/>
  <c r="H1946" i="5"/>
  <c r="G1946" i="5"/>
  <c r="F1946" i="5"/>
  <c r="E1946" i="5"/>
  <c r="I1945" i="5"/>
  <c r="H1945" i="5"/>
  <c r="G1945" i="5"/>
  <c r="F1945" i="5"/>
  <c r="E1945" i="5"/>
  <c r="I1944" i="5"/>
  <c r="H1944" i="5"/>
  <c r="G1944" i="5"/>
  <c r="F1944" i="5"/>
  <c r="E1944" i="5"/>
  <c r="I1943" i="5"/>
  <c r="H1943" i="5"/>
  <c r="G1943" i="5"/>
  <c r="F1943" i="5"/>
  <c r="E1943" i="5"/>
  <c r="I1942" i="5"/>
  <c r="H1942" i="5"/>
  <c r="G1942" i="5"/>
  <c r="F1942" i="5"/>
  <c r="E1942" i="5"/>
  <c r="I1941" i="5"/>
  <c r="H1941" i="5"/>
  <c r="G1941" i="5"/>
  <c r="F1941" i="5"/>
  <c r="E1941" i="5"/>
  <c r="I1940" i="5"/>
  <c r="H1940" i="5"/>
  <c r="G1940" i="5"/>
  <c r="F1940" i="5"/>
  <c r="E1940" i="5"/>
  <c r="I1939" i="5"/>
  <c r="H1939" i="5"/>
  <c r="G1939" i="5"/>
  <c r="F1939" i="5"/>
  <c r="E1939" i="5"/>
  <c r="I1938" i="5"/>
  <c r="H1938" i="5"/>
  <c r="G1938" i="5"/>
  <c r="F1938" i="5"/>
  <c r="E1938" i="5"/>
  <c r="I1937" i="5"/>
  <c r="H1937" i="5"/>
  <c r="G1937" i="5"/>
  <c r="F1937" i="5"/>
  <c r="E1937" i="5"/>
  <c r="I1936" i="5"/>
  <c r="H1936" i="5"/>
  <c r="G1936" i="5"/>
  <c r="F1936" i="5"/>
  <c r="E1936" i="5"/>
  <c r="I1935" i="5"/>
  <c r="H1935" i="5"/>
  <c r="G1935" i="5"/>
  <c r="F1935" i="5"/>
  <c r="E1935" i="5"/>
  <c r="I1934" i="5"/>
  <c r="H1934" i="5"/>
  <c r="G1934" i="5"/>
  <c r="F1934" i="5"/>
  <c r="E1934" i="5"/>
  <c r="I1933" i="5"/>
  <c r="H1933" i="5"/>
  <c r="G1933" i="5"/>
  <c r="F1933" i="5"/>
  <c r="E1933" i="5"/>
  <c r="I1932" i="5"/>
  <c r="H1932" i="5"/>
  <c r="G1932" i="5"/>
  <c r="F1932" i="5"/>
  <c r="E1932" i="5"/>
  <c r="I1931" i="5"/>
  <c r="H1931" i="5"/>
  <c r="G1931" i="5"/>
  <c r="F1931" i="5"/>
  <c r="E1931" i="5"/>
  <c r="I1930" i="5"/>
  <c r="H1930" i="5"/>
  <c r="G1930" i="5"/>
  <c r="F1930" i="5"/>
  <c r="E1930" i="5"/>
  <c r="I1929" i="5"/>
  <c r="H1929" i="5"/>
  <c r="G1929" i="5"/>
  <c r="F1929" i="5"/>
  <c r="E1929" i="5"/>
  <c r="I1928" i="5"/>
  <c r="H1928" i="5"/>
  <c r="G1928" i="5"/>
  <c r="F1928" i="5"/>
  <c r="E1928" i="5"/>
  <c r="I1927" i="5"/>
  <c r="H1927" i="5"/>
  <c r="G1927" i="5"/>
  <c r="F1927" i="5"/>
  <c r="E1927" i="5"/>
  <c r="I1926" i="5"/>
  <c r="H1926" i="5"/>
  <c r="G1926" i="5"/>
  <c r="F1926" i="5"/>
  <c r="E1926" i="5"/>
  <c r="I1925" i="5"/>
  <c r="H1925" i="5"/>
  <c r="G1925" i="5"/>
  <c r="F1925" i="5"/>
  <c r="E1925" i="5"/>
  <c r="I1924" i="5"/>
  <c r="H1924" i="5"/>
  <c r="G1924" i="5"/>
  <c r="F1924" i="5"/>
  <c r="E1924" i="5"/>
  <c r="I1923" i="5"/>
  <c r="H1923" i="5"/>
  <c r="G1923" i="5"/>
  <c r="F1923" i="5"/>
  <c r="E1923" i="5"/>
  <c r="I1922" i="5"/>
  <c r="H1922" i="5"/>
  <c r="G1922" i="5"/>
  <c r="F1922" i="5"/>
  <c r="E1922" i="5"/>
  <c r="I1921" i="5"/>
  <c r="H1921" i="5"/>
  <c r="G1921" i="5"/>
  <c r="F1921" i="5"/>
  <c r="E1921" i="5"/>
  <c r="I1920" i="5"/>
  <c r="H1920" i="5"/>
  <c r="G1920" i="5"/>
  <c r="F1920" i="5"/>
  <c r="E1920" i="5"/>
  <c r="I1919" i="5"/>
  <c r="H1919" i="5"/>
  <c r="G1919" i="5"/>
  <c r="F1919" i="5"/>
  <c r="E1919" i="5"/>
  <c r="I1918" i="5"/>
  <c r="H1918" i="5"/>
  <c r="G1918" i="5"/>
  <c r="F1918" i="5"/>
  <c r="E1918" i="5"/>
  <c r="I1917" i="5"/>
  <c r="H1917" i="5"/>
  <c r="G1917" i="5"/>
  <c r="F1917" i="5"/>
  <c r="E1917" i="5"/>
  <c r="I1916" i="5"/>
  <c r="H1916" i="5"/>
  <c r="G1916" i="5"/>
  <c r="F1916" i="5"/>
  <c r="E1916" i="5"/>
  <c r="I1915" i="5"/>
  <c r="H1915" i="5"/>
  <c r="G1915" i="5"/>
  <c r="F1915" i="5"/>
  <c r="E1915" i="5"/>
  <c r="I1914" i="5"/>
  <c r="H1914" i="5"/>
  <c r="G1914" i="5"/>
  <c r="F1914" i="5"/>
  <c r="E1914" i="5"/>
  <c r="I1913" i="5"/>
  <c r="H1913" i="5"/>
  <c r="G1913" i="5"/>
  <c r="F1913" i="5"/>
  <c r="E1913" i="5"/>
  <c r="I1912" i="5"/>
  <c r="H1912" i="5"/>
  <c r="G1912" i="5"/>
  <c r="F1912" i="5"/>
  <c r="E1912" i="5"/>
  <c r="I1911" i="5"/>
  <c r="H1911" i="5"/>
  <c r="G1911" i="5"/>
  <c r="F1911" i="5"/>
  <c r="E1911" i="5"/>
  <c r="I1910" i="5"/>
  <c r="H1910" i="5"/>
  <c r="G1910" i="5"/>
  <c r="F1910" i="5"/>
  <c r="E1910" i="5"/>
  <c r="I1909" i="5"/>
  <c r="H1909" i="5"/>
  <c r="G1909" i="5"/>
  <c r="F1909" i="5"/>
  <c r="E1909" i="5"/>
  <c r="I1908" i="5"/>
  <c r="H1908" i="5"/>
  <c r="G1908" i="5"/>
  <c r="F1908" i="5"/>
  <c r="E1908" i="5"/>
  <c r="I1907" i="5"/>
  <c r="H1907" i="5"/>
  <c r="G1907" i="5"/>
  <c r="F1907" i="5"/>
  <c r="E1907" i="5"/>
  <c r="I1906" i="5"/>
  <c r="H1906" i="5"/>
  <c r="G1906" i="5"/>
  <c r="F1906" i="5"/>
  <c r="E1906" i="5"/>
  <c r="I1905" i="5"/>
  <c r="H1905" i="5"/>
  <c r="G1905" i="5"/>
  <c r="F1905" i="5"/>
  <c r="E1905" i="5"/>
  <c r="I1904" i="5"/>
  <c r="H1904" i="5"/>
  <c r="G1904" i="5"/>
  <c r="F1904" i="5"/>
  <c r="E1904" i="5"/>
  <c r="I1903" i="5"/>
  <c r="H1903" i="5"/>
  <c r="G1903" i="5"/>
  <c r="F1903" i="5"/>
  <c r="E1903" i="5"/>
  <c r="I1902" i="5"/>
  <c r="H1902" i="5"/>
  <c r="G1902" i="5"/>
  <c r="F1902" i="5"/>
  <c r="E1902" i="5"/>
  <c r="I1901" i="5"/>
  <c r="H1901" i="5"/>
  <c r="G1901" i="5"/>
  <c r="F1901" i="5"/>
  <c r="E1901" i="5"/>
  <c r="I1900" i="5"/>
  <c r="H1900" i="5"/>
  <c r="G1900" i="5"/>
  <c r="F1900" i="5"/>
  <c r="E1900" i="5"/>
  <c r="I1899" i="5"/>
  <c r="H1899" i="5"/>
  <c r="G1899" i="5"/>
  <c r="F1899" i="5"/>
  <c r="E1899" i="5"/>
  <c r="I1898" i="5"/>
  <c r="H1898" i="5"/>
  <c r="G1898" i="5"/>
  <c r="F1898" i="5"/>
  <c r="E1898" i="5"/>
  <c r="I1897" i="5"/>
  <c r="H1897" i="5"/>
  <c r="G1897" i="5"/>
  <c r="F1897" i="5"/>
  <c r="E1897" i="5"/>
  <c r="I1896" i="5"/>
  <c r="H1896" i="5"/>
  <c r="G1896" i="5"/>
  <c r="F1896" i="5"/>
  <c r="E1896" i="5"/>
  <c r="I1895" i="5"/>
  <c r="H1895" i="5"/>
  <c r="G1895" i="5"/>
  <c r="F1895" i="5"/>
  <c r="E1895" i="5"/>
  <c r="I1894" i="5"/>
  <c r="H1894" i="5"/>
  <c r="G1894" i="5"/>
  <c r="F1894" i="5"/>
  <c r="E1894" i="5"/>
  <c r="I1893" i="5"/>
  <c r="H1893" i="5"/>
  <c r="G1893" i="5"/>
  <c r="F1893" i="5"/>
  <c r="E1893" i="5"/>
  <c r="I1892" i="5"/>
  <c r="H1892" i="5"/>
  <c r="G1892" i="5"/>
  <c r="F1892" i="5"/>
  <c r="E1892" i="5"/>
  <c r="I1891" i="5"/>
  <c r="H1891" i="5"/>
  <c r="G1891" i="5"/>
  <c r="F1891" i="5"/>
  <c r="E1891" i="5"/>
  <c r="I1890" i="5"/>
  <c r="H1890" i="5"/>
  <c r="G1890" i="5"/>
  <c r="F1890" i="5"/>
  <c r="E1890" i="5"/>
  <c r="I1889" i="5"/>
  <c r="H1889" i="5"/>
  <c r="G1889" i="5"/>
  <c r="F1889" i="5"/>
  <c r="E1889" i="5"/>
  <c r="I1888" i="5"/>
  <c r="H1888" i="5"/>
  <c r="G1888" i="5"/>
  <c r="F1888" i="5"/>
  <c r="E1888" i="5"/>
  <c r="I1887" i="5"/>
  <c r="H1887" i="5"/>
  <c r="G1887" i="5"/>
  <c r="F1887" i="5"/>
  <c r="E1887" i="5"/>
  <c r="I1886" i="5"/>
  <c r="H1886" i="5"/>
  <c r="G1886" i="5"/>
  <c r="F1886" i="5"/>
  <c r="E1886" i="5"/>
  <c r="I1885" i="5"/>
  <c r="H1885" i="5"/>
  <c r="G1885" i="5"/>
  <c r="F1885" i="5"/>
  <c r="E1885" i="5"/>
  <c r="I1884" i="5"/>
  <c r="H1884" i="5"/>
  <c r="G1884" i="5"/>
  <c r="F1884" i="5"/>
  <c r="E1884" i="5"/>
  <c r="I1883" i="5"/>
  <c r="H1883" i="5"/>
  <c r="G1883" i="5"/>
  <c r="F1883" i="5"/>
  <c r="E1883" i="5"/>
  <c r="I1882" i="5"/>
  <c r="H1882" i="5"/>
  <c r="G1882" i="5"/>
  <c r="F1882" i="5"/>
  <c r="E1882" i="5"/>
  <c r="I1881" i="5"/>
  <c r="H1881" i="5"/>
  <c r="G1881" i="5"/>
  <c r="F1881" i="5"/>
  <c r="E1881" i="5"/>
  <c r="I1880" i="5"/>
  <c r="H1880" i="5"/>
  <c r="G1880" i="5"/>
  <c r="F1880" i="5"/>
  <c r="E1880" i="5"/>
  <c r="I1879" i="5"/>
  <c r="H1879" i="5"/>
  <c r="G1879" i="5"/>
  <c r="F1879" i="5"/>
  <c r="E1879" i="5"/>
  <c r="I1878" i="5"/>
  <c r="H1878" i="5"/>
  <c r="G1878" i="5"/>
  <c r="F1878" i="5"/>
  <c r="E1878" i="5"/>
  <c r="I1877" i="5"/>
  <c r="H1877" i="5"/>
  <c r="G1877" i="5"/>
  <c r="F1877" i="5"/>
  <c r="E1877" i="5"/>
  <c r="I1876" i="5"/>
  <c r="H1876" i="5"/>
  <c r="G1876" i="5"/>
  <c r="F1876" i="5"/>
  <c r="E1876" i="5"/>
  <c r="I1875" i="5"/>
  <c r="H1875" i="5"/>
  <c r="G1875" i="5"/>
  <c r="F1875" i="5"/>
  <c r="E1875" i="5"/>
  <c r="I1874" i="5"/>
  <c r="H1874" i="5"/>
  <c r="G1874" i="5"/>
  <c r="F1874" i="5"/>
  <c r="E1874" i="5"/>
  <c r="I1873" i="5"/>
  <c r="H1873" i="5"/>
  <c r="G1873" i="5"/>
  <c r="F1873" i="5"/>
  <c r="E1873" i="5"/>
  <c r="I1872" i="5"/>
  <c r="H1872" i="5"/>
  <c r="G1872" i="5"/>
  <c r="F1872" i="5"/>
  <c r="E1872" i="5"/>
  <c r="I1871" i="5"/>
  <c r="H1871" i="5"/>
  <c r="G1871" i="5"/>
  <c r="F1871" i="5"/>
  <c r="E1871" i="5"/>
  <c r="I1870" i="5"/>
  <c r="H1870" i="5"/>
  <c r="G1870" i="5"/>
  <c r="F1870" i="5"/>
  <c r="E1870" i="5"/>
  <c r="I1869" i="5"/>
  <c r="H1869" i="5"/>
  <c r="G1869" i="5"/>
  <c r="F1869" i="5"/>
  <c r="E1869" i="5"/>
  <c r="I1868" i="5"/>
  <c r="H1868" i="5"/>
  <c r="G1868" i="5"/>
  <c r="F1868" i="5"/>
  <c r="E1868" i="5"/>
  <c r="I1867" i="5"/>
  <c r="H1867" i="5"/>
  <c r="G1867" i="5"/>
  <c r="F1867" i="5"/>
  <c r="E1867" i="5"/>
  <c r="I1866" i="5"/>
  <c r="H1866" i="5"/>
  <c r="G1866" i="5"/>
  <c r="F1866" i="5"/>
  <c r="E1866" i="5"/>
  <c r="I1865" i="5"/>
  <c r="H1865" i="5"/>
  <c r="G1865" i="5"/>
  <c r="F1865" i="5"/>
  <c r="E1865" i="5"/>
  <c r="I1864" i="5"/>
  <c r="H1864" i="5"/>
  <c r="G1864" i="5"/>
  <c r="F1864" i="5"/>
  <c r="E1864" i="5"/>
  <c r="I1863" i="5"/>
  <c r="H1863" i="5"/>
  <c r="G1863" i="5"/>
  <c r="F1863" i="5"/>
  <c r="E1863" i="5"/>
  <c r="I1862" i="5"/>
  <c r="H1862" i="5"/>
  <c r="G1862" i="5"/>
  <c r="F1862" i="5"/>
  <c r="E1862" i="5"/>
  <c r="I1861" i="5"/>
  <c r="H1861" i="5"/>
  <c r="G1861" i="5"/>
  <c r="F1861" i="5"/>
  <c r="E1861" i="5"/>
  <c r="I1860" i="5"/>
  <c r="H1860" i="5"/>
  <c r="G1860" i="5"/>
  <c r="F1860" i="5"/>
  <c r="E1860" i="5"/>
  <c r="I1859" i="5"/>
  <c r="H1859" i="5"/>
  <c r="G1859" i="5"/>
  <c r="F1859" i="5"/>
  <c r="E1859" i="5"/>
  <c r="I1858" i="5"/>
  <c r="H1858" i="5"/>
  <c r="G1858" i="5"/>
  <c r="F1858" i="5"/>
  <c r="E1858" i="5"/>
  <c r="I1857" i="5"/>
  <c r="H1857" i="5"/>
  <c r="G1857" i="5"/>
  <c r="F1857" i="5"/>
  <c r="E1857" i="5"/>
  <c r="I1856" i="5"/>
  <c r="H1856" i="5"/>
  <c r="G1856" i="5"/>
  <c r="F1856" i="5"/>
  <c r="E1856" i="5"/>
  <c r="I1855" i="5"/>
  <c r="H1855" i="5"/>
  <c r="G1855" i="5"/>
  <c r="F1855" i="5"/>
  <c r="E1855" i="5"/>
  <c r="I1854" i="5"/>
  <c r="H1854" i="5"/>
  <c r="G1854" i="5"/>
  <c r="F1854" i="5"/>
  <c r="E1854" i="5"/>
  <c r="I1853" i="5"/>
  <c r="H1853" i="5"/>
  <c r="G1853" i="5"/>
  <c r="F1853" i="5"/>
  <c r="E1853" i="5"/>
  <c r="I1852" i="5"/>
  <c r="H1852" i="5"/>
  <c r="G1852" i="5"/>
  <c r="F1852" i="5"/>
  <c r="E1852" i="5"/>
  <c r="I1851" i="5"/>
  <c r="H1851" i="5"/>
  <c r="G1851" i="5"/>
  <c r="F1851" i="5"/>
  <c r="E1851" i="5"/>
  <c r="I1850" i="5"/>
  <c r="H1850" i="5"/>
  <c r="G1850" i="5"/>
  <c r="F1850" i="5"/>
  <c r="E1850" i="5"/>
  <c r="I1849" i="5"/>
  <c r="H1849" i="5"/>
  <c r="G1849" i="5"/>
  <c r="F1849" i="5"/>
  <c r="E1849" i="5"/>
  <c r="I1848" i="5"/>
  <c r="H1848" i="5"/>
  <c r="G1848" i="5"/>
  <c r="F1848" i="5"/>
  <c r="E1848" i="5"/>
  <c r="I1847" i="5"/>
  <c r="H1847" i="5"/>
  <c r="G1847" i="5"/>
  <c r="F1847" i="5"/>
  <c r="E1847" i="5"/>
  <c r="I1846" i="5"/>
  <c r="H1846" i="5"/>
  <c r="G1846" i="5"/>
  <c r="F1846" i="5"/>
  <c r="E1846" i="5"/>
  <c r="I1845" i="5"/>
  <c r="H1845" i="5"/>
  <c r="G1845" i="5"/>
  <c r="F1845" i="5"/>
  <c r="E1845" i="5"/>
  <c r="I1844" i="5"/>
  <c r="H1844" i="5"/>
  <c r="G1844" i="5"/>
  <c r="F1844" i="5"/>
  <c r="E1844" i="5"/>
  <c r="I1843" i="5"/>
  <c r="H1843" i="5"/>
  <c r="G1843" i="5"/>
  <c r="F1843" i="5"/>
  <c r="E1843" i="5"/>
  <c r="I1842" i="5"/>
  <c r="H1842" i="5"/>
  <c r="G1842" i="5"/>
  <c r="F1842" i="5"/>
  <c r="E1842" i="5"/>
  <c r="I1841" i="5"/>
  <c r="H1841" i="5"/>
  <c r="G1841" i="5"/>
  <c r="F1841" i="5"/>
  <c r="E1841" i="5"/>
  <c r="I1840" i="5"/>
  <c r="H1840" i="5"/>
  <c r="G1840" i="5"/>
  <c r="F1840" i="5"/>
  <c r="E1840" i="5"/>
  <c r="I1839" i="5"/>
  <c r="H1839" i="5"/>
  <c r="G1839" i="5"/>
  <c r="F1839" i="5"/>
  <c r="E1839" i="5"/>
  <c r="I1838" i="5"/>
  <c r="H1838" i="5"/>
  <c r="G1838" i="5"/>
  <c r="F1838" i="5"/>
  <c r="E1838" i="5"/>
  <c r="I1837" i="5"/>
  <c r="H1837" i="5"/>
  <c r="G1837" i="5"/>
  <c r="F1837" i="5"/>
  <c r="E1837" i="5"/>
  <c r="I1836" i="5"/>
  <c r="H1836" i="5"/>
  <c r="G1836" i="5"/>
  <c r="F1836" i="5"/>
  <c r="E1836" i="5"/>
  <c r="I1835" i="5"/>
  <c r="H1835" i="5"/>
  <c r="G1835" i="5"/>
  <c r="F1835" i="5"/>
  <c r="E1835" i="5"/>
  <c r="I1834" i="5"/>
  <c r="H1834" i="5"/>
  <c r="G1834" i="5"/>
  <c r="F1834" i="5"/>
  <c r="E1834" i="5"/>
  <c r="I1833" i="5"/>
  <c r="H1833" i="5"/>
  <c r="G1833" i="5"/>
  <c r="F1833" i="5"/>
  <c r="E1833" i="5"/>
  <c r="I1832" i="5"/>
  <c r="H1832" i="5"/>
  <c r="G1832" i="5"/>
  <c r="F1832" i="5"/>
  <c r="E1832" i="5"/>
  <c r="I1831" i="5"/>
  <c r="H1831" i="5"/>
  <c r="G1831" i="5"/>
  <c r="F1831" i="5"/>
  <c r="E1831" i="5"/>
  <c r="I1830" i="5"/>
  <c r="H1830" i="5"/>
  <c r="G1830" i="5"/>
  <c r="F1830" i="5"/>
  <c r="E1830" i="5"/>
  <c r="I1829" i="5"/>
  <c r="H1829" i="5"/>
  <c r="G1829" i="5"/>
  <c r="F1829" i="5"/>
  <c r="E1829" i="5"/>
  <c r="I1828" i="5"/>
  <c r="H1828" i="5"/>
  <c r="G1828" i="5"/>
  <c r="F1828" i="5"/>
  <c r="E1828" i="5"/>
  <c r="I1827" i="5"/>
  <c r="H1827" i="5"/>
  <c r="G1827" i="5"/>
  <c r="F1827" i="5"/>
  <c r="E1827" i="5"/>
  <c r="I1826" i="5"/>
  <c r="H1826" i="5"/>
  <c r="G1826" i="5"/>
  <c r="F1826" i="5"/>
  <c r="E1826" i="5"/>
  <c r="I1825" i="5"/>
  <c r="H1825" i="5"/>
  <c r="G1825" i="5"/>
  <c r="F1825" i="5"/>
  <c r="E1825" i="5"/>
  <c r="I1824" i="5"/>
  <c r="H1824" i="5"/>
  <c r="G1824" i="5"/>
  <c r="F1824" i="5"/>
  <c r="E1824" i="5"/>
  <c r="I1823" i="5"/>
  <c r="H1823" i="5"/>
  <c r="G1823" i="5"/>
  <c r="F1823" i="5"/>
  <c r="E1823" i="5"/>
  <c r="I1822" i="5"/>
  <c r="H1822" i="5"/>
  <c r="G1822" i="5"/>
  <c r="F1822" i="5"/>
  <c r="E1822" i="5"/>
  <c r="I1821" i="5"/>
  <c r="H1821" i="5"/>
  <c r="G1821" i="5"/>
  <c r="F1821" i="5"/>
  <c r="E1821" i="5"/>
  <c r="I1820" i="5"/>
  <c r="H1820" i="5"/>
  <c r="G1820" i="5"/>
  <c r="F1820" i="5"/>
  <c r="E1820" i="5"/>
  <c r="I1819" i="5"/>
  <c r="H1819" i="5"/>
  <c r="G1819" i="5"/>
  <c r="F1819" i="5"/>
  <c r="E1819" i="5"/>
  <c r="I1818" i="5"/>
  <c r="H1818" i="5"/>
  <c r="G1818" i="5"/>
  <c r="F1818" i="5"/>
  <c r="E1818" i="5"/>
  <c r="I1817" i="5"/>
  <c r="H1817" i="5"/>
  <c r="G1817" i="5"/>
  <c r="F1817" i="5"/>
  <c r="E1817" i="5"/>
  <c r="I1816" i="5"/>
  <c r="H1816" i="5"/>
  <c r="G1816" i="5"/>
  <c r="F1816" i="5"/>
  <c r="E1816" i="5"/>
  <c r="I1815" i="5"/>
  <c r="H1815" i="5"/>
  <c r="G1815" i="5"/>
  <c r="F1815" i="5"/>
  <c r="E1815" i="5"/>
  <c r="I1814" i="5"/>
  <c r="H1814" i="5"/>
  <c r="G1814" i="5"/>
  <c r="F1814" i="5"/>
  <c r="E1814" i="5"/>
  <c r="I1813" i="5"/>
  <c r="H1813" i="5"/>
  <c r="G1813" i="5"/>
  <c r="F1813" i="5"/>
  <c r="E1813" i="5"/>
  <c r="I1812" i="5"/>
  <c r="H1812" i="5"/>
  <c r="G1812" i="5"/>
  <c r="F1812" i="5"/>
  <c r="E1812" i="5"/>
  <c r="I1811" i="5"/>
  <c r="H1811" i="5"/>
  <c r="G1811" i="5"/>
  <c r="F1811" i="5"/>
  <c r="E1811" i="5"/>
  <c r="I1810" i="5"/>
  <c r="H1810" i="5"/>
  <c r="G1810" i="5"/>
  <c r="F1810" i="5"/>
  <c r="E1810" i="5"/>
  <c r="I1809" i="5"/>
  <c r="H1809" i="5"/>
  <c r="G1809" i="5"/>
  <c r="F1809" i="5"/>
  <c r="E1809" i="5"/>
  <c r="I1808" i="5"/>
  <c r="H1808" i="5"/>
  <c r="G1808" i="5"/>
  <c r="F1808" i="5"/>
  <c r="E1808" i="5"/>
  <c r="I1807" i="5"/>
  <c r="H1807" i="5"/>
  <c r="G1807" i="5"/>
  <c r="F1807" i="5"/>
  <c r="E1807" i="5"/>
  <c r="I1806" i="5"/>
  <c r="H1806" i="5"/>
  <c r="G1806" i="5"/>
  <c r="F1806" i="5"/>
  <c r="E1806" i="5"/>
  <c r="I1805" i="5"/>
  <c r="H1805" i="5"/>
  <c r="G1805" i="5"/>
  <c r="F1805" i="5"/>
  <c r="E1805" i="5"/>
  <c r="I1804" i="5"/>
  <c r="H1804" i="5"/>
  <c r="G1804" i="5"/>
  <c r="F1804" i="5"/>
  <c r="E1804" i="5"/>
  <c r="I1803" i="5"/>
  <c r="H1803" i="5"/>
  <c r="G1803" i="5"/>
  <c r="F1803" i="5"/>
  <c r="E1803" i="5"/>
  <c r="I1802" i="5"/>
  <c r="H1802" i="5"/>
  <c r="G1802" i="5"/>
  <c r="F1802" i="5"/>
  <c r="E1802" i="5"/>
  <c r="I1801" i="5"/>
  <c r="H1801" i="5"/>
  <c r="G1801" i="5"/>
  <c r="F1801" i="5"/>
  <c r="E1801" i="5"/>
  <c r="I1800" i="5"/>
  <c r="H1800" i="5"/>
  <c r="G1800" i="5"/>
  <c r="F1800" i="5"/>
  <c r="E1800" i="5"/>
  <c r="I1799" i="5"/>
  <c r="H1799" i="5"/>
  <c r="G1799" i="5"/>
  <c r="F1799" i="5"/>
  <c r="E1799" i="5"/>
  <c r="I1798" i="5"/>
  <c r="H1798" i="5"/>
  <c r="G1798" i="5"/>
  <c r="F1798" i="5"/>
  <c r="E1798" i="5"/>
  <c r="I1797" i="5"/>
  <c r="H1797" i="5"/>
  <c r="G1797" i="5"/>
  <c r="F1797" i="5"/>
  <c r="E1797" i="5"/>
  <c r="I1796" i="5"/>
  <c r="H1796" i="5"/>
  <c r="G1796" i="5"/>
  <c r="F1796" i="5"/>
  <c r="E1796" i="5"/>
  <c r="I1795" i="5"/>
  <c r="H1795" i="5"/>
  <c r="G1795" i="5"/>
  <c r="F1795" i="5"/>
  <c r="E1795" i="5"/>
  <c r="I1794" i="5"/>
  <c r="H1794" i="5"/>
  <c r="G1794" i="5"/>
  <c r="F1794" i="5"/>
  <c r="E1794" i="5"/>
  <c r="I1793" i="5"/>
  <c r="H1793" i="5"/>
  <c r="G1793" i="5"/>
  <c r="F1793" i="5"/>
  <c r="E1793" i="5"/>
  <c r="I1792" i="5"/>
  <c r="H1792" i="5"/>
  <c r="G1792" i="5"/>
  <c r="F1792" i="5"/>
  <c r="E1792" i="5"/>
  <c r="I1791" i="5"/>
  <c r="H1791" i="5"/>
  <c r="G1791" i="5"/>
  <c r="F1791" i="5"/>
  <c r="E1791" i="5"/>
  <c r="I1790" i="5"/>
  <c r="H1790" i="5"/>
  <c r="G1790" i="5"/>
  <c r="F1790" i="5"/>
  <c r="E1790" i="5"/>
  <c r="I1789" i="5"/>
  <c r="H1789" i="5"/>
  <c r="G1789" i="5"/>
  <c r="F1789" i="5"/>
  <c r="E1789" i="5"/>
  <c r="I1788" i="5"/>
  <c r="H1788" i="5"/>
  <c r="G1788" i="5"/>
  <c r="F1788" i="5"/>
  <c r="E1788" i="5"/>
  <c r="I1787" i="5"/>
  <c r="H1787" i="5"/>
  <c r="G1787" i="5"/>
  <c r="F1787" i="5"/>
  <c r="E1787" i="5"/>
  <c r="I1786" i="5"/>
  <c r="H1786" i="5"/>
  <c r="G1786" i="5"/>
  <c r="F1786" i="5"/>
  <c r="E1786" i="5"/>
  <c r="I1785" i="5"/>
  <c r="H1785" i="5"/>
  <c r="G1785" i="5"/>
  <c r="F1785" i="5"/>
  <c r="E1785" i="5"/>
  <c r="I1784" i="5"/>
  <c r="H1784" i="5"/>
  <c r="G1784" i="5"/>
  <c r="F1784" i="5"/>
  <c r="E1784" i="5"/>
  <c r="I1783" i="5"/>
  <c r="H1783" i="5"/>
  <c r="G1783" i="5"/>
  <c r="F1783" i="5"/>
  <c r="E1783" i="5"/>
  <c r="I1782" i="5"/>
  <c r="H1782" i="5"/>
  <c r="G1782" i="5"/>
  <c r="F1782" i="5"/>
  <c r="E1782" i="5"/>
  <c r="I1781" i="5"/>
  <c r="H1781" i="5"/>
  <c r="G1781" i="5"/>
  <c r="F1781" i="5"/>
  <c r="E1781" i="5"/>
  <c r="I1780" i="5"/>
  <c r="H1780" i="5"/>
  <c r="G1780" i="5"/>
  <c r="F1780" i="5"/>
  <c r="E1780" i="5"/>
  <c r="I1779" i="5"/>
  <c r="H1779" i="5"/>
  <c r="G1779" i="5"/>
  <c r="F1779" i="5"/>
  <c r="E1779" i="5"/>
  <c r="I1778" i="5"/>
  <c r="H1778" i="5"/>
  <c r="G1778" i="5"/>
  <c r="F1778" i="5"/>
  <c r="E1778" i="5"/>
  <c r="I1777" i="5"/>
  <c r="H1777" i="5"/>
  <c r="G1777" i="5"/>
  <c r="F1777" i="5"/>
  <c r="E1777" i="5"/>
  <c r="I1776" i="5"/>
  <c r="H1776" i="5"/>
  <c r="G1776" i="5"/>
  <c r="F1776" i="5"/>
  <c r="E1776" i="5"/>
  <c r="I1775" i="5"/>
  <c r="H1775" i="5"/>
  <c r="G1775" i="5"/>
  <c r="F1775" i="5"/>
  <c r="E1775" i="5"/>
  <c r="I1774" i="5"/>
  <c r="H1774" i="5"/>
  <c r="G1774" i="5"/>
  <c r="F1774" i="5"/>
  <c r="E1774" i="5"/>
  <c r="I1773" i="5"/>
  <c r="H1773" i="5"/>
  <c r="G1773" i="5"/>
  <c r="F1773" i="5"/>
  <c r="E1773" i="5"/>
  <c r="I1772" i="5"/>
  <c r="H1772" i="5"/>
  <c r="G1772" i="5"/>
  <c r="F1772" i="5"/>
  <c r="E1772" i="5"/>
  <c r="I1771" i="5"/>
  <c r="H1771" i="5"/>
  <c r="G1771" i="5"/>
  <c r="F1771" i="5"/>
  <c r="E1771" i="5"/>
  <c r="I1770" i="5"/>
  <c r="H1770" i="5"/>
  <c r="G1770" i="5"/>
  <c r="F1770" i="5"/>
  <c r="E1770" i="5"/>
  <c r="I1769" i="5"/>
  <c r="H1769" i="5"/>
  <c r="G1769" i="5"/>
  <c r="F1769" i="5"/>
  <c r="E1769" i="5"/>
  <c r="I1768" i="5"/>
  <c r="H1768" i="5"/>
  <c r="G1768" i="5"/>
  <c r="F1768" i="5"/>
  <c r="E1768" i="5"/>
  <c r="I1767" i="5"/>
  <c r="H1767" i="5"/>
  <c r="G1767" i="5"/>
  <c r="F1767" i="5"/>
  <c r="E1767" i="5"/>
  <c r="I1766" i="5"/>
  <c r="H1766" i="5"/>
  <c r="G1766" i="5"/>
  <c r="F1766" i="5"/>
  <c r="E1766" i="5"/>
  <c r="I1765" i="5"/>
  <c r="H1765" i="5"/>
  <c r="G1765" i="5"/>
  <c r="F1765" i="5"/>
  <c r="E1765" i="5"/>
  <c r="I1764" i="5"/>
  <c r="H1764" i="5"/>
  <c r="G1764" i="5"/>
  <c r="F1764" i="5"/>
  <c r="E1764" i="5"/>
  <c r="I1763" i="5"/>
  <c r="H1763" i="5"/>
  <c r="G1763" i="5"/>
  <c r="F1763" i="5"/>
  <c r="E1763" i="5"/>
  <c r="I1762" i="5"/>
  <c r="H1762" i="5"/>
  <c r="G1762" i="5"/>
  <c r="F1762" i="5"/>
  <c r="E1762" i="5"/>
  <c r="I1761" i="5"/>
  <c r="H1761" i="5"/>
  <c r="G1761" i="5"/>
  <c r="F1761" i="5"/>
  <c r="E1761" i="5"/>
  <c r="I1760" i="5"/>
  <c r="H1760" i="5"/>
  <c r="G1760" i="5"/>
  <c r="F1760" i="5"/>
  <c r="E1760" i="5"/>
  <c r="I1759" i="5"/>
  <c r="H1759" i="5"/>
  <c r="G1759" i="5"/>
  <c r="F1759" i="5"/>
  <c r="E1759" i="5"/>
  <c r="I1758" i="5"/>
  <c r="H1758" i="5"/>
  <c r="G1758" i="5"/>
  <c r="F1758" i="5"/>
  <c r="E1758" i="5"/>
  <c r="I1757" i="5"/>
  <c r="H1757" i="5"/>
  <c r="G1757" i="5"/>
  <c r="F1757" i="5"/>
  <c r="E1757" i="5"/>
  <c r="I1756" i="5"/>
  <c r="H1756" i="5"/>
  <c r="G1756" i="5"/>
  <c r="F1756" i="5"/>
  <c r="E1756" i="5"/>
  <c r="I1755" i="5"/>
  <c r="H1755" i="5"/>
  <c r="G1755" i="5"/>
  <c r="F1755" i="5"/>
  <c r="E1755" i="5"/>
  <c r="I1754" i="5"/>
  <c r="H1754" i="5"/>
  <c r="G1754" i="5"/>
  <c r="F1754" i="5"/>
  <c r="E1754" i="5"/>
  <c r="I1753" i="5"/>
  <c r="H1753" i="5"/>
  <c r="G1753" i="5"/>
  <c r="F1753" i="5"/>
  <c r="E1753" i="5"/>
  <c r="I1752" i="5"/>
  <c r="H1752" i="5"/>
  <c r="G1752" i="5"/>
  <c r="F1752" i="5"/>
  <c r="E1752" i="5"/>
  <c r="I1751" i="5"/>
  <c r="H1751" i="5"/>
  <c r="G1751" i="5"/>
  <c r="F1751" i="5"/>
  <c r="E1751" i="5"/>
  <c r="I1750" i="5"/>
  <c r="H1750" i="5"/>
  <c r="G1750" i="5"/>
  <c r="F1750" i="5"/>
  <c r="E1750" i="5"/>
  <c r="I1749" i="5"/>
  <c r="H1749" i="5"/>
  <c r="G1749" i="5"/>
  <c r="F1749" i="5"/>
  <c r="E1749" i="5"/>
  <c r="I1748" i="5"/>
  <c r="H1748" i="5"/>
  <c r="G1748" i="5"/>
  <c r="F1748" i="5"/>
  <c r="E1748" i="5"/>
  <c r="I1747" i="5"/>
  <c r="H1747" i="5"/>
  <c r="G1747" i="5"/>
  <c r="F1747" i="5"/>
  <c r="E1747" i="5"/>
  <c r="I1746" i="5"/>
  <c r="H1746" i="5"/>
  <c r="G1746" i="5"/>
  <c r="F1746" i="5"/>
  <c r="E1746" i="5"/>
  <c r="I1745" i="5"/>
  <c r="H1745" i="5"/>
  <c r="G1745" i="5"/>
  <c r="F1745" i="5"/>
  <c r="E1745" i="5"/>
  <c r="I1744" i="5"/>
  <c r="H1744" i="5"/>
  <c r="G1744" i="5"/>
  <c r="F1744" i="5"/>
  <c r="E1744" i="5"/>
  <c r="I1743" i="5"/>
  <c r="H1743" i="5"/>
  <c r="G1743" i="5"/>
  <c r="F1743" i="5"/>
  <c r="E1743" i="5"/>
  <c r="I1742" i="5"/>
  <c r="H1742" i="5"/>
  <c r="G1742" i="5"/>
  <c r="F1742" i="5"/>
  <c r="E1742" i="5"/>
  <c r="I1741" i="5"/>
  <c r="H1741" i="5"/>
  <c r="G1741" i="5"/>
  <c r="F1741" i="5"/>
  <c r="E1741" i="5"/>
  <c r="I1740" i="5"/>
  <c r="H1740" i="5"/>
  <c r="G1740" i="5"/>
  <c r="F1740" i="5"/>
  <c r="E1740" i="5"/>
  <c r="I1739" i="5"/>
  <c r="H1739" i="5"/>
  <c r="G1739" i="5"/>
  <c r="F1739" i="5"/>
  <c r="E1739" i="5"/>
  <c r="I1738" i="5"/>
  <c r="H1738" i="5"/>
  <c r="G1738" i="5"/>
  <c r="F1738" i="5"/>
  <c r="E1738" i="5"/>
  <c r="I1737" i="5"/>
  <c r="H1737" i="5"/>
  <c r="G1737" i="5"/>
  <c r="F1737" i="5"/>
  <c r="E1737" i="5"/>
  <c r="I1736" i="5"/>
  <c r="H1736" i="5"/>
  <c r="G1736" i="5"/>
  <c r="F1736" i="5"/>
  <c r="E1736" i="5"/>
  <c r="I1735" i="5"/>
  <c r="H1735" i="5"/>
  <c r="G1735" i="5"/>
  <c r="F1735" i="5"/>
  <c r="E1735" i="5"/>
  <c r="I1734" i="5"/>
  <c r="H1734" i="5"/>
  <c r="G1734" i="5"/>
  <c r="F1734" i="5"/>
  <c r="E1734" i="5"/>
  <c r="I1733" i="5"/>
  <c r="H1733" i="5"/>
  <c r="G1733" i="5"/>
  <c r="F1733" i="5"/>
  <c r="E1733" i="5"/>
  <c r="I1732" i="5"/>
  <c r="H1732" i="5"/>
  <c r="G1732" i="5"/>
  <c r="F1732" i="5"/>
  <c r="E1732" i="5"/>
  <c r="I1731" i="5"/>
  <c r="H1731" i="5"/>
  <c r="G1731" i="5"/>
  <c r="F1731" i="5"/>
  <c r="E1731" i="5"/>
  <c r="I1730" i="5"/>
  <c r="H1730" i="5"/>
  <c r="G1730" i="5"/>
  <c r="F1730" i="5"/>
  <c r="E1730" i="5"/>
  <c r="I1729" i="5"/>
  <c r="H1729" i="5"/>
  <c r="G1729" i="5"/>
  <c r="F1729" i="5"/>
  <c r="E1729" i="5"/>
  <c r="I1728" i="5"/>
  <c r="H1728" i="5"/>
  <c r="G1728" i="5"/>
  <c r="F1728" i="5"/>
  <c r="E1728" i="5"/>
  <c r="I1727" i="5"/>
  <c r="H1727" i="5"/>
  <c r="G1727" i="5"/>
  <c r="F1727" i="5"/>
  <c r="E1727" i="5"/>
  <c r="I1726" i="5"/>
  <c r="H1726" i="5"/>
  <c r="G1726" i="5"/>
  <c r="F1726" i="5"/>
  <c r="E1726" i="5"/>
  <c r="I1725" i="5"/>
  <c r="H1725" i="5"/>
  <c r="G1725" i="5"/>
  <c r="F1725" i="5"/>
  <c r="E1725" i="5"/>
  <c r="I1724" i="5"/>
  <c r="H1724" i="5"/>
  <c r="G1724" i="5"/>
  <c r="F1724" i="5"/>
  <c r="E1724" i="5"/>
  <c r="I1723" i="5"/>
  <c r="H1723" i="5"/>
  <c r="G1723" i="5"/>
  <c r="F1723" i="5"/>
  <c r="E1723" i="5"/>
  <c r="I1722" i="5"/>
  <c r="H1722" i="5"/>
  <c r="G1722" i="5"/>
  <c r="F1722" i="5"/>
  <c r="E1722" i="5"/>
  <c r="I1721" i="5"/>
  <c r="H1721" i="5"/>
  <c r="G1721" i="5"/>
  <c r="F1721" i="5"/>
  <c r="E1721" i="5"/>
  <c r="I1720" i="5"/>
  <c r="H1720" i="5"/>
  <c r="G1720" i="5"/>
  <c r="F1720" i="5"/>
  <c r="E1720" i="5"/>
  <c r="I1719" i="5"/>
  <c r="H1719" i="5"/>
  <c r="G1719" i="5"/>
  <c r="F1719" i="5"/>
  <c r="E1719" i="5"/>
  <c r="I1718" i="5"/>
  <c r="H1718" i="5"/>
  <c r="G1718" i="5"/>
  <c r="F1718" i="5"/>
  <c r="E1718" i="5"/>
  <c r="I1717" i="5"/>
  <c r="H1717" i="5"/>
  <c r="G1717" i="5"/>
  <c r="F1717" i="5"/>
  <c r="E1717" i="5"/>
  <c r="I1716" i="5"/>
  <c r="H1716" i="5"/>
  <c r="G1716" i="5"/>
  <c r="F1716" i="5"/>
  <c r="E1716" i="5"/>
  <c r="I1715" i="5"/>
  <c r="H1715" i="5"/>
  <c r="G1715" i="5"/>
  <c r="F1715" i="5"/>
  <c r="E1715" i="5"/>
  <c r="I1714" i="5"/>
  <c r="H1714" i="5"/>
  <c r="G1714" i="5"/>
  <c r="F1714" i="5"/>
  <c r="E1714" i="5"/>
  <c r="I1713" i="5"/>
  <c r="H1713" i="5"/>
  <c r="G1713" i="5"/>
  <c r="F1713" i="5"/>
  <c r="E1713" i="5"/>
  <c r="I1712" i="5"/>
  <c r="H1712" i="5"/>
  <c r="G1712" i="5"/>
  <c r="F1712" i="5"/>
  <c r="E1712" i="5"/>
  <c r="I1711" i="5"/>
  <c r="H1711" i="5"/>
  <c r="G1711" i="5"/>
  <c r="F1711" i="5"/>
  <c r="E1711" i="5"/>
  <c r="I1710" i="5"/>
  <c r="H1710" i="5"/>
  <c r="G1710" i="5"/>
  <c r="F1710" i="5"/>
  <c r="E1710" i="5"/>
  <c r="I1709" i="5"/>
  <c r="H1709" i="5"/>
  <c r="G1709" i="5"/>
  <c r="F1709" i="5"/>
  <c r="E1709" i="5"/>
  <c r="I1708" i="5"/>
  <c r="H1708" i="5"/>
  <c r="G1708" i="5"/>
  <c r="F1708" i="5"/>
  <c r="E1708" i="5"/>
  <c r="I1707" i="5"/>
  <c r="H1707" i="5"/>
  <c r="G1707" i="5"/>
  <c r="F1707" i="5"/>
  <c r="E1707" i="5"/>
  <c r="I1706" i="5"/>
  <c r="H1706" i="5"/>
  <c r="G1706" i="5"/>
  <c r="F1706" i="5"/>
  <c r="E1706" i="5"/>
  <c r="I1705" i="5"/>
  <c r="H1705" i="5"/>
  <c r="G1705" i="5"/>
  <c r="F1705" i="5"/>
  <c r="E1705" i="5"/>
  <c r="I1704" i="5"/>
  <c r="H1704" i="5"/>
  <c r="G1704" i="5"/>
  <c r="F1704" i="5"/>
  <c r="E1704" i="5"/>
  <c r="I1703" i="5"/>
  <c r="H1703" i="5"/>
  <c r="G1703" i="5"/>
  <c r="F1703" i="5"/>
  <c r="E1703" i="5"/>
  <c r="I1702" i="5"/>
  <c r="H1702" i="5"/>
  <c r="G1702" i="5"/>
  <c r="F1702" i="5"/>
  <c r="E1702" i="5"/>
  <c r="I1701" i="5"/>
  <c r="H1701" i="5"/>
  <c r="G1701" i="5"/>
  <c r="F1701" i="5"/>
  <c r="E1701" i="5"/>
  <c r="I1700" i="5"/>
  <c r="H1700" i="5"/>
  <c r="G1700" i="5"/>
  <c r="F1700" i="5"/>
  <c r="E1700" i="5"/>
  <c r="I1699" i="5"/>
  <c r="H1699" i="5"/>
  <c r="G1699" i="5"/>
  <c r="F1699" i="5"/>
  <c r="E1699" i="5"/>
  <c r="I1698" i="5"/>
  <c r="H1698" i="5"/>
  <c r="G1698" i="5"/>
  <c r="F1698" i="5"/>
  <c r="E1698" i="5"/>
  <c r="I1697" i="5"/>
  <c r="H1697" i="5"/>
  <c r="G1697" i="5"/>
  <c r="F1697" i="5"/>
  <c r="E1697" i="5"/>
  <c r="I1696" i="5"/>
  <c r="H1696" i="5"/>
  <c r="G1696" i="5"/>
  <c r="F1696" i="5"/>
  <c r="E1696" i="5"/>
  <c r="I1695" i="5"/>
  <c r="H1695" i="5"/>
  <c r="G1695" i="5"/>
  <c r="F1695" i="5"/>
  <c r="E1695" i="5"/>
  <c r="I1694" i="5"/>
  <c r="H1694" i="5"/>
  <c r="G1694" i="5"/>
  <c r="F1694" i="5"/>
  <c r="E1694" i="5"/>
  <c r="I1693" i="5"/>
  <c r="H1693" i="5"/>
  <c r="G1693" i="5"/>
  <c r="F1693" i="5"/>
  <c r="E1693" i="5"/>
  <c r="I1692" i="5"/>
  <c r="H1692" i="5"/>
  <c r="G1692" i="5"/>
  <c r="F1692" i="5"/>
  <c r="E1692" i="5"/>
  <c r="I1691" i="5"/>
  <c r="H1691" i="5"/>
  <c r="G1691" i="5"/>
  <c r="F1691" i="5"/>
  <c r="E1691" i="5"/>
  <c r="I1690" i="5"/>
  <c r="H1690" i="5"/>
  <c r="G1690" i="5"/>
  <c r="F1690" i="5"/>
  <c r="E1690" i="5"/>
  <c r="I1689" i="5"/>
  <c r="H1689" i="5"/>
  <c r="G1689" i="5"/>
  <c r="F1689" i="5"/>
  <c r="E1689" i="5"/>
  <c r="I1688" i="5"/>
  <c r="H1688" i="5"/>
  <c r="G1688" i="5"/>
  <c r="F1688" i="5"/>
  <c r="E1688" i="5"/>
  <c r="I1687" i="5"/>
  <c r="H1687" i="5"/>
  <c r="G1687" i="5"/>
  <c r="F1687" i="5"/>
  <c r="E1687" i="5"/>
  <c r="I1686" i="5"/>
  <c r="H1686" i="5"/>
  <c r="G1686" i="5"/>
  <c r="F1686" i="5"/>
  <c r="E1686" i="5"/>
  <c r="I1685" i="5"/>
  <c r="H1685" i="5"/>
  <c r="G1685" i="5"/>
  <c r="F1685" i="5"/>
  <c r="E1685" i="5"/>
  <c r="I1684" i="5"/>
  <c r="H1684" i="5"/>
  <c r="G1684" i="5"/>
  <c r="F1684" i="5"/>
  <c r="E1684" i="5"/>
  <c r="I1683" i="5"/>
  <c r="H1683" i="5"/>
  <c r="G1683" i="5"/>
  <c r="F1683" i="5"/>
  <c r="E1683" i="5"/>
  <c r="I1682" i="5"/>
  <c r="H1682" i="5"/>
  <c r="G1682" i="5"/>
  <c r="F1682" i="5"/>
  <c r="E1682" i="5"/>
  <c r="I1681" i="5"/>
  <c r="H1681" i="5"/>
  <c r="G1681" i="5"/>
  <c r="F1681" i="5"/>
  <c r="E1681" i="5"/>
  <c r="I1680" i="5"/>
  <c r="H1680" i="5"/>
  <c r="G1680" i="5"/>
  <c r="F1680" i="5"/>
  <c r="E1680" i="5"/>
  <c r="I1679" i="5"/>
  <c r="H1679" i="5"/>
  <c r="G1679" i="5"/>
  <c r="F1679" i="5"/>
  <c r="E1679" i="5"/>
  <c r="I1678" i="5"/>
  <c r="H1678" i="5"/>
  <c r="G1678" i="5"/>
  <c r="F1678" i="5"/>
  <c r="E1678" i="5"/>
  <c r="I1677" i="5"/>
  <c r="H1677" i="5"/>
  <c r="G1677" i="5"/>
  <c r="F1677" i="5"/>
  <c r="E1677" i="5"/>
  <c r="I1676" i="5"/>
  <c r="H1676" i="5"/>
  <c r="G1676" i="5"/>
  <c r="F1676" i="5"/>
  <c r="E1676" i="5"/>
  <c r="I1675" i="5"/>
  <c r="H1675" i="5"/>
  <c r="G1675" i="5"/>
  <c r="F1675" i="5"/>
  <c r="E1675" i="5"/>
  <c r="I1674" i="5"/>
  <c r="H1674" i="5"/>
  <c r="G1674" i="5"/>
  <c r="F1674" i="5"/>
  <c r="E1674" i="5"/>
  <c r="I1673" i="5"/>
  <c r="H1673" i="5"/>
  <c r="G1673" i="5"/>
  <c r="F1673" i="5"/>
  <c r="E1673" i="5"/>
  <c r="I1672" i="5"/>
  <c r="H1672" i="5"/>
  <c r="G1672" i="5"/>
  <c r="F1672" i="5"/>
  <c r="E1672" i="5"/>
  <c r="I1671" i="5"/>
  <c r="H1671" i="5"/>
  <c r="G1671" i="5"/>
  <c r="F1671" i="5"/>
  <c r="E1671" i="5"/>
  <c r="I1670" i="5"/>
  <c r="H1670" i="5"/>
  <c r="G1670" i="5"/>
  <c r="F1670" i="5"/>
  <c r="E1670" i="5"/>
  <c r="I1669" i="5"/>
  <c r="H1669" i="5"/>
  <c r="G1669" i="5"/>
  <c r="F1669" i="5"/>
  <c r="E1669" i="5"/>
  <c r="I1668" i="5"/>
  <c r="H1668" i="5"/>
  <c r="G1668" i="5"/>
  <c r="F1668" i="5"/>
  <c r="E1668" i="5"/>
  <c r="I1667" i="5"/>
  <c r="H1667" i="5"/>
  <c r="G1667" i="5"/>
  <c r="F1667" i="5"/>
  <c r="E1667" i="5"/>
  <c r="I1666" i="5"/>
  <c r="H1666" i="5"/>
  <c r="G1666" i="5"/>
  <c r="F1666" i="5"/>
  <c r="E1666" i="5"/>
  <c r="I1665" i="5"/>
  <c r="H1665" i="5"/>
  <c r="G1665" i="5"/>
  <c r="F1665" i="5"/>
  <c r="E1665" i="5"/>
  <c r="I1664" i="5"/>
  <c r="H1664" i="5"/>
  <c r="G1664" i="5"/>
  <c r="F1664" i="5"/>
  <c r="E1664" i="5"/>
  <c r="I1663" i="5"/>
  <c r="H1663" i="5"/>
  <c r="G1663" i="5"/>
  <c r="F1663" i="5"/>
  <c r="E1663" i="5"/>
  <c r="I1662" i="5"/>
  <c r="H1662" i="5"/>
  <c r="G1662" i="5"/>
  <c r="F1662" i="5"/>
  <c r="E1662" i="5"/>
  <c r="I1661" i="5"/>
  <c r="H1661" i="5"/>
  <c r="G1661" i="5"/>
  <c r="F1661" i="5"/>
  <c r="E1661" i="5"/>
  <c r="I1660" i="5"/>
  <c r="H1660" i="5"/>
  <c r="G1660" i="5"/>
  <c r="F1660" i="5"/>
  <c r="E1660" i="5"/>
  <c r="I1659" i="5"/>
  <c r="H1659" i="5"/>
  <c r="G1659" i="5"/>
  <c r="F1659" i="5"/>
  <c r="E1659" i="5"/>
  <c r="I1658" i="5"/>
  <c r="H1658" i="5"/>
  <c r="G1658" i="5"/>
  <c r="F1658" i="5"/>
  <c r="E1658" i="5"/>
  <c r="I1657" i="5"/>
  <c r="H1657" i="5"/>
  <c r="G1657" i="5"/>
  <c r="F1657" i="5"/>
  <c r="E1657" i="5"/>
  <c r="I1656" i="5"/>
  <c r="H1656" i="5"/>
  <c r="G1656" i="5"/>
  <c r="F1656" i="5"/>
  <c r="E1656" i="5"/>
  <c r="I1655" i="5"/>
  <c r="H1655" i="5"/>
  <c r="G1655" i="5"/>
  <c r="F1655" i="5"/>
  <c r="E1655" i="5"/>
  <c r="I1654" i="5"/>
  <c r="H1654" i="5"/>
  <c r="G1654" i="5"/>
  <c r="F1654" i="5"/>
  <c r="E1654" i="5"/>
  <c r="I1653" i="5"/>
  <c r="H1653" i="5"/>
  <c r="G1653" i="5"/>
  <c r="F1653" i="5"/>
  <c r="E1653" i="5"/>
  <c r="I1652" i="5"/>
  <c r="H1652" i="5"/>
  <c r="G1652" i="5"/>
  <c r="F1652" i="5"/>
  <c r="E1652" i="5"/>
  <c r="I1651" i="5"/>
  <c r="H1651" i="5"/>
  <c r="G1651" i="5"/>
  <c r="F1651" i="5"/>
  <c r="E1651" i="5"/>
  <c r="I1650" i="5"/>
  <c r="H1650" i="5"/>
  <c r="G1650" i="5"/>
  <c r="F1650" i="5"/>
  <c r="E1650" i="5"/>
  <c r="I1649" i="5"/>
  <c r="H1649" i="5"/>
  <c r="G1649" i="5"/>
  <c r="F1649" i="5"/>
  <c r="E1649" i="5"/>
  <c r="I1648" i="5"/>
  <c r="H1648" i="5"/>
  <c r="G1648" i="5"/>
  <c r="F1648" i="5"/>
  <c r="E1648" i="5"/>
  <c r="I1647" i="5"/>
  <c r="H1647" i="5"/>
  <c r="G1647" i="5"/>
  <c r="F1647" i="5"/>
  <c r="E1647" i="5"/>
  <c r="I1646" i="5"/>
  <c r="H1646" i="5"/>
  <c r="G1646" i="5"/>
  <c r="F1646" i="5"/>
  <c r="E1646" i="5"/>
  <c r="I1645" i="5"/>
  <c r="H1645" i="5"/>
  <c r="G1645" i="5"/>
  <c r="F1645" i="5"/>
  <c r="E1645" i="5"/>
  <c r="I1644" i="5"/>
  <c r="H1644" i="5"/>
  <c r="G1644" i="5"/>
  <c r="F1644" i="5"/>
  <c r="E1644" i="5"/>
  <c r="I1643" i="5"/>
  <c r="H1643" i="5"/>
  <c r="G1643" i="5"/>
  <c r="F1643" i="5"/>
  <c r="E1643" i="5"/>
  <c r="I1642" i="5"/>
  <c r="H1642" i="5"/>
  <c r="G1642" i="5"/>
  <c r="F1642" i="5"/>
  <c r="E1642" i="5"/>
  <c r="I1641" i="5"/>
  <c r="H1641" i="5"/>
  <c r="G1641" i="5"/>
  <c r="F1641" i="5"/>
  <c r="E1641" i="5"/>
  <c r="I1640" i="5"/>
  <c r="H1640" i="5"/>
  <c r="G1640" i="5"/>
  <c r="F1640" i="5"/>
  <c r="E1640" i="5"/>
  <c r="I1639" i="5"/>
  <c r="H1639" i="5"/>
  <c r="G1639" i="5"/>
  <c r="F1639" i="5"/>
  <c r="E1639" i="5"/>
  <c r="I1638" i="5"/>
  <c r="H1638" i="5"/>
  <c r="G1638" i="5"/>
  <c r="F1638" i="5"/>
  <c r="E1638" i="5"/>
  <c r="I1637" i="5"/>
  <c r="H1637" i="5"/>
  <c r="G1637" i="5"/>
  <c r="F1637" i="5"/>
  <c r="E1637" i="5"/>
  <c r="I1636" i="5"/>
  <c r="H1636" i="5"/>
  <c r="G1636" i="5"/>
  <c r="F1636" i="5"/>
  <c r="E1636" i="5"/>
  <c r="I1635" i="5"/>
  <c r="H1635" i="5"/>
  <c r="G1635" i="5"/>
  <c r="F1635" i="5"/>
  <c r="E1635" i="5"/>
  <c r="I1634" i="5"/>
  <c r="H1634" i="5"/>
  <c r="G1634" i="5"/>
  <c r="F1634" i="5"/>
  <c r="E1634" i="5"/>
  <c r="I1633" i="5"/>
  <c r="H1633" i="5"/>
  <c r="G1633" i="5"/>
  <c r="F1633" i="5"/>
  <c r="E1633" i="5"/>
  <c r="I1632" i="5"/>
  <c r="H1632" i="5"/>
  <c r="G1632" i="5"/>
  <c r="F1632" i="5"/>
  <c r="E1632" i="5"/>
  <c r="I1631" i="5"/>
  <c r="H1631" i="5"/>
  <c r="G1631" i="5"/>
  <c r="F1631" i="5"/>
  <c r="E1631" i="5"/>
  <c r="I1630" i="5"/>
  <c r="H1630" i="5"/>
  <c r="G1630" i="5"/>
  <c r="F1630" i="5"/>
  <c r="E1630" i="5"/>
  <c r="I1629" i="5"/>
  <c r="H1629" i="5"/>
  <c r="G1629" i="5"/>
  <c r="F1629" i="5"/>
  <c r="E1629" i="5"/>
  <c r="I1628" i="5"/>
  <c r="H1628" i="5"/>
  <c r="G1628" i="5"/>
  <c r="F1628" i="5"/>
  <c r="E1628" i="5"/>
  <c r="I1627" i="5"/>
  <c r="H1627" i="5"/>
  <c r="G1627" i="5"/>
  <c r="F1627" i="5"/>
  <c r="E1627" i="5"/>
  <c r="I1626" i="5"/>
  <c r="H1626" i="5"/>
  <c r="G1626" i="5"/>
  <c r="F1626" i="5"/>
  <c r="E1626" i="5"/>
  <c r="I1625" i="5"/>
  <c r="H1625" i="5"/>
  <c r="G1625" i="5"/>
  <c r="F1625" i="5"/>
  <c r="E1625" i="5"/>
  <c r="I1624" i="5"/>
  <c r="H1624" i="5"/>
  <c r="G1624" i="5"/>
  <c r="F1624" i="5"/>
  <c r="E1624" i="5"/>
  <c r="I1623" i="5"/>
  <c r="H1623" i="5"/>
  <c r="G1623" i="5"/>
  <c r="F1623" i="5"/>
  <c r="E1623" i="5"/>
  <c r="I1622" i="5"/>
  <c r="H1622" i="5"/>
  <c r="G1622" i="5"/>
  <c r="F1622" i="5"/>
  <c r="E1622" i="5"/>
  <c r="I1621" i="5"/>
  <c r="H1621" i="5"/>
  <c r="G1621" i="5"/>
  <c r="F1621" i="5"/>
  <c r="E1621" i="5"/>
  <c r="I1620" i="5"/>
  <c r="H1620" i="5"/>
  <c r="G1620" i="5"/>
  <c r="F1620" i="5"/>
  <c r="E1620" i="5"/>
  <c r="I1619" i="5"/>
  <c r="H1619" i="5"/>
  <c r="G1619" i="5"/>
  <c r="F1619" i="5"/>
  <c r="E1619" i="5"/>
  <c r="I1618" i="5"/>
  <c r="H1618" i="5"/>
  <c r="G1618" i="5"/>
  <c r="F1618" i="5"/>
  <c r="E1618" i="5"/>
  <c r="I1617" i="5"/>
  <c r="H1617" i="5"/>
  <c r="G1617" i="5"/>
  <c r="F1617" i="5"/>
  <c r="E1617" i="5"/>
  <c r="I1616" i="5"/>
  <c r="H1616" i="5"/>
  <c r="G1616" i="5"/>
  <c r="F1616" i="5"/>
  <c r="E1616" i="5"/>
  <c r="I1615" i="5"/>
  <c r="H1615" i="5"/>
  <c r="G1615" i="5"/>
  <c r="F1615" i="5"/>
  <c r="E1615" i="5"/>
  <c r="I1614" i="5"/>
  <c r="H1614" i="5"/>
  <c r="G1614" i="5"/>
  <c r="F1614" i="5"/>
  <c r="E1614" i="5"/>
  <c r="I1613" i="5"/>
  <c r="H1613" i="5"/>
  <c r="G1613" i="5"/>
  <c r="F1613" i="5"/>
  <c r="E1613" i="5"/>
  <c r="I1612" i="5"/>
  <c r="H1612" i="5"/>
  <c r="G1612" i="5"/>
  <c r="F1612" i="5"/>
  <c r="E1612" i="5"/>
  <c r="I1611" i="5"/>
  <c r="H1611" i="5"/>
  <c r="G1611" i="5"/>
  <c r="F1611" i="5"/>
  <c r="E1611" i="5"/>
  <c r="I1610" i="5"/>
  <c r="H1610" i="5"/>
  <c r="G1610" i="5"/>
  <c r="F1610" i="5"/>
  <c r="E1610" i="5"/>
  <c r="I1609" i="5"/>
  <c r="H1609" i="5"/>
  <c r="G1609" i="5"/>
  <c r="F1609" i="5"/>
  <c r="E1609" i="5"/>
  <c r="I1608" i="5"/>
  <c r="H1608" i="5"/>
  <c r="G1608" i="5"/>
  <c r="F1608" i="5"/>
  <c r="E1608" i="5"/>
  <c r="I1607" i="5"/>
  <c r="H1607" i="5"/>
  <c r="G1607" i="5"/>
  <c r="F1607" i="5"/>
  <c r="E1607" i="5"/>
  <c r="I1606" i="5"/>
  <c r="H1606" i="5"/>
  <c r="G1606" i="5"/>
  <c r="F1606" i="5"/>
  <c r="E1606" i="5"/>
  <c r="I1605" i="5"/>
  <c r="H1605" i="5"/>
  <c r="G1605" i="5"/>
  <c r="F1605" i="5"/>
  <c r="E1605" i="5"/>
  <c r="I1604" i="5"/>
  <c r="H1604" i="5"/>
  <c r="G1604" i="5"/>
  <c r="F1604" i="5"/>
  <c r="E1604" i="5"/>
  <c r="I1603" i="5"/>
  <c r="H1603" i="5"/>
  <c r="G1603" i="5"/>
  <c r="F1603" i="5"/>
  <c r="E1603" i="5"/>
  <c r="I1602" i="5"/>
  <c r="H1602" i="5"/>
  <c r="G1602" i="5"/>
  <c r="F1602" i="5"/>
  <c r="E1602" i="5"/>
  <c r="I1601" i="5"/>
  <c r="H1601" i="5"/>
  <c r="G1601" i="5"/>
  <c r="F1601" i="5"/>
  <c r="E1601" i="5"/>
  <c r="I1600" i="5"/>
  <c r="H1600" i="5"/>
  <c r="G1600" i="5"/>
  <c r="F1600" i="5"/>
  <c r="E1600" i="5"/>
  <c r="I1599" i="5"/>
  <c r="H1599" i="5"/>
  <c r="G1599" i="5"/>
  <c r="F1599" i="5"/>
  <c r="E1599" i="5"/>
  <c r="I1598" i="5"/>
  <c r="H1598" i="5"/>
  <c r="G1598" i="5"/>
  <c r="F1598" i="5"/>
  <c r="E1598" i="5"/>
  <c r="I1597" i="5"/>
  <c r="H1597" i="5"/>
  <c r="G1597" i="5"/>
  <c r="F1597" i="5"/>
  <c r="E1597" i="5"/>
  <c r="I1596" i="5"/>
  <c r="H1596" i="5"/>
  <c r="G1596" i="5"/>
  <c r="F1596" i="5"/>
  <c r="E1596" i="5"/>
  <c r="I1595" i="5"/>
  <c r="H1595" i="5"/>
  <c r="G1595" i="5"/>
  <c r="F1595" i="5"/>
  <c r="E1595" i="5"/>
  <c r="I1594" i="5"/>
  <c r="H1594" i="5"/>
  <c r="G1594" i="5"/>
  <c r="F1594" i="5"/>
  <c r="E1594" i="5"/>
  <c r="I1593" i="5"/>
  <c r="H1593" i="5"/>
  <c r="G1593" i="5"/>
  <c r="F1593" i="5"/>
  <c r="E1593" i="5"/>
  <c r="I1592" i="5"/>
  <c r="H1592" i="5"/>
  <c r="G1592" i="5"/>
  <c r="F1592" i="5"/>
  <c r="E1592" i="5"/>
  <c r="I1591" i="5"/>
  <c r="H1591" i="5"/>
  <c r="G1591" i="5"/>
  <c r="F1591" i="5"/>
  <c r="E1591" i="5"/>
  <c r="I1590" i="5"/>
  <c r="H1590" i="5"/>
  <c r="G1590" i="5"/>
  <c r="F1590" i="5"/>
  <c r="E1590" i="5"/>
  <c r="I1589" i="5"/>
  <c r="H1589" i="5"/>
  <c r="G1589" i="5"/>
  <c r="F1589" i="5"/>
  <c r="E1589" i="5"/>
  <c r="I1588" i="5"/>
  <c r="H1588" i="5"/>
  <c r="G1588" i="5"/>
  <c r="F1588" i="5"/>
  <c r="E1588" i="5"/>
  <c r="I1587" i="5"/>
  <c r="H1587" i="5"/>
  <c r="G1587" i="5"/>
  <c r="F1587" i="5"/>
  <c r="E1587" i="5"/>
  <c r="I1586" i="5"/>
  <c r="H1586" i="5"/>
  <c r="G1586" i="5"/>
  <c r="F1586" i="5"/>
  <c r="E1586" i="5"/>
  <c r="I1585" i="5"/>
  <c r="H1585" i="5"/>
  <c r="G1585" i="5"/>
  <c r="F1585" i="5"/>
  <c r="E1585" i="5"/>
  <c r="I1584" i="5"/>
  <c r="H1584" i="5"/>
  <c r="G1584" i="5"/>
  <c r="F1584" i="5"/>
  <c r="E1584" i="5"/>
  <c r="I1583" i="5"/>
  <c r="H1583" i="5"/>
  <c r="G1583" i="5"/>
  <c r="F1583" i="5"/>
  <c r="E1583" i="5"/>
  <c r="I1582" i="5"/>
  <c r="H1582" i="5"/>
  <c r="G1582" i="5"/>
  <c r="F1582" i="5"/>
  <c r="E1582" i="5"/>
  <c r="I1581" i="5"/>
  <c r="H1581" i="5"/>
  <c r="G1581" i="5"/>
  <c r="F1581" i="5"/>
  <c r="E1581" i="5"/>
  <c r="I1580" i="5"/>
  <c r="H1580" i="5"/>
  <c r="G1580" i="5"/>
  <c r="F1580" i="5"/>
  <c r="E1580" i="5"/>
  <c r="I1579" i="5"/>
  <c r="H1579" i="5"/>
  <c r="G1579" i="5"/>
  <c r="F1579" i="5"/>
  <c r="E1579" i="5"/>
  <c r="I1578" i="5"/>
  <c r="H1578" i="5"/>
  <c r="G1578" i="5"/>
  <c r="F1578" i="5"/>
  <c r="E1578" i="5"/>
  <c r="I1577" i="5"/>
  <c r="H1577" i="5"/>
  <c r="G1577" i="5"/>
  <c r="F1577" i="5"/>
  <c r="E1577" i="5"/>
  <c r="I1576" i="5"/>
  <c r="H1576" i="5"/>
  <c r="G1576" i="5"/>
  <c r="F1576" i="5"/>
  <c r="E1576" i="5"/>
  <c r="I1575" i="5"/>
  <c r="H1575" i="5"/>
  <c r="G1575" i="5"/>
  <c r="F1575" i="5"/>
  <c r="E1575" i="5"/>
  <c r="I1574" i="5"/>
  <c r="H1574" i="5"/>
  <c r="G1574" i="5"/>
  <c r="F1574" i="5"/>
  <c r="E1574" i="5"/>
  <c r="I1573" i="5"/>
  <c r="H1573" i="5"/>
  <c r="G1573" i="5"/>
  <c r="F1573" i="5"/>
  <c r="E1573" i="5"/>
  <c r="I1572" i="5"/>
  <c r="H1572" i="5"/>
  <c r="G1572" i="5"/>
  <c r="F1572" i="5"/>
  <c r="E1572" i="5"/>
  <c r="I1571" i="5"/>
  <c r="H1571" i="5"/>
  <c r="G1571" i="5"/>
  <c r="F1571" i="5"/>
  <c r="E1571" i="5"/>
  <c r="I1570" i="5"/>
  <c r="H1570" i="5"/>
  <c r="G1570" i="5"/>
  <c r="F1570" i="5"/>
  <c r="E1570" i="5"/>
  <c r="I1569" i="5"/>
  <c r="H1569" i="5"/>
  <c r="G1569" i="5"/>
  <c r="F1569" i="5"/>
  <c r="E1569" i="5"/>
  <c r="I1568" i="5"/>
  <c r="H1568" i="5"/>
  <c r="G1568" i="5"/>
  <c r="F1568" i="5"/>
  <c r="E1568" i="5"/>
  <c r="I1567" i="5"/>
  <c r="H1567" i="5"/>
  <c r="G1567" i="5"/>
  <c r="F1567" i="5"/>
  <c r="E1567" i="5"/>
  <c r="I1566" i="5"/>
  <c r="H1566" i="5"/>
  <c r="G1566" i="5"/>
  <c r="F1566" i="5"/>
  <c r="E1566" i="5"/>
  <c r="I1565" i="5"/>
  <c r="H1565" i="5"/>
  <c r="G1565" i="5"/>
  <c r="F1565" i="5"/>
  <c r="E1565" i="5"/>
  <c r="I1564" i="5"/>
  <c r="H1564" i="5"/>
  <c r="G1564" i="5"/>
  <c r="F1564" i="5"/>
  <c r="E1564" i="5"/>
  <c r="I1563" i="5"/>
  <c r="H1563" i="5"/>
  <c r="G1563" i="5"/>
  <c r="F1563" i="5"/>
  <c r="E1563" i="5"/>
  <c r="I1562" i="5"/>
  <c r="H1562" i="5"/>
  <c r="G1562" i="5"/>
  <c r="F1562" i="5"/>
  <c r="E1562" i="5"/>
  <c r="I1561" i="5"/>
  <c r="H1561" i="5"/>
  <c r="G1561" i="5"/>
  <c r="F1561" i="5"/>
  <c r="E1561" i="5"/>
  <c r="I1560" i="5"/>
  <c r="H1560" i="5"/>
  <c r="G1560" i="5"/>
  <c r="F1560" i="5"/>
  <c r="E1560" i="5"/>
  <c r="I1559" i="5"/>
  <c r="H1559" i="5"/>
  <c r="G1559" i="5"/>
  <c r="F1559" i="5"/>
  <c r="E1559" i="5"/>
  <c r="I1558" i="5"/>
  <c r="H1558" i="5"/>
  <c r="G1558" i="5"/>
  <c r="F1558" i="5"/>
  <c r="E1558" i="5"/>
  <c r="I1557" i="5"/>
  <c r="H1557" i="5"/>
  <c r="G1557" i="5"/>
  <c r="F1557" i="5"/>
  <c r="E1557" i="5"/>
  <c r="I1556" i="5"/>
  <c r="H1556" i="5"/>
  <c r="G1556" i="5"/>
  <c r="F1556" i="5"/>
  <c r="E1556" i="5"/>
  <c r="I1555" i="5"/>
  <c r="H1555" i="5"/>
  <c r="G1555" i="5"/>
  <c r="F1555" i="5"/>
  <c r="E1555" i="5"/>
  <c r="I1554" i="5"/>
  <c r="H1554" i="5"/>
  <c r="G1554" i="5"/>
  <c r="F1554" i="5"/>
  <c r="E1554" i="5"/>
  <c r="I1553" i="5"/>
  <c r="H1553" i="5"/>
  <c r="G1553" i="5"/>
  <c r="F1553" i="5"/>
  <c r="E1553" i="5"/>
  <c r="I1552" i="5"/>
  <c r="H1552" i="5"/>
  <c r="G1552" i="5"/>
  <c r="F1552" i="5"/>
  <c r="E1552" i="5"/>
  <c r="I1551" i="5"/>
  <c r="H1551" i="5"/>
  <c r="G1551" i="5"/>
  <c r="F1551" i="5"/>
  <c r="E1551" i="5"/>
  <c r="I1550" i="5"/>
  <c r="H1550" i="5"/>
  <c r="G1550" i="5"/>
  <c r="F1550" i="5"/>
  <c r="E1550" i="5"/>
  <c r="I1549" i="5"/>
  <c r="H1549" i="5"/>
  <c r="G1549" i="5"/>
  <c r="F1549" i="5"/>
  <c r="E1549" i="5"/>
  <c r="I1548" i="5"/>
  <c r="H1548" i="5"/>
  <c r="G1548" i="5"/>
  <c r="F1548" i="5"/>
  <c r="E1548" i="5"/>
  <c r="I1547" i="5"/>
  <c r="H1547" i="5"/>
  <c r="G1547" i="5"/>
  <c r="F1547" i="5"/>
  <c r="E1547" i="5"/>
  <c r="I1546" i="5"/>
  <c r="H1546" i="5"/>
  <c r="G1546" i="5"/>
  <c r="F1546" i="5"/>
  <c r="E1546" i="5"/>
  <c r="I1545" i="5"/>
  <c r="H1545" i="5"/>
  <c r="G1545" i="5"/>
  <c r="F1545" i="5"/>
  <c r="E1545" i="5"/>
  <c r="I1544" i="5"/>
  <c r="H1544" i="5"/>
  <c r="G1544" i="5"/>
  <c r="F1544" i="5"/>
  <c r="E1544" i="5"/>
  <c r="I1543" i="5"/>
  <c r="H1543" i="5"/>
  <c r="G1543" i="5"/>
  <c r="F1543" i="5"/>
  <c r="E1543" i="5"/>
  <c r="I1542" i="5"/>
  <c r="H1542" i="5"/>
  <c r="G1542" i="5"/>
  <c r="F1542" i="5"/>
  <c r="E1542" i="5"/>
  <c r="I1541" i="5"/>
  <c r="H1541" i="5"/>
  <c r="G1541" i="5"/>
  <c r="F1541" i="5"/>
  <c r="E1541" i="5"/>
  <c r="I1540" i="5"/>
  <c r="H1540" i="5"/>
  <c r="G1540" i="5"/>
  <c r="F1540" i="5"/>
  <c r="E1540" i="5"/>
  <c r="I1539" i="5"/>
  <c r="H1539" i="5"/>
  <c r="G1539" i="5"/>
  <c r="F1539" i="5"/>
  <c r="E1539" i="5"/>
  <c r="I1538" i="5"/>
  <c r="H1538" i="5"/>
  <c r="G1538" i="5"/>
  <c r="F1538" i="5"/>
  <c r="E1538" i="5"/>
  <c r="I1537" i="5"/>
  <c r="H1537" i="5"/>
  <c r="G1537" i="5"/>
  <c r="F1537" i="5"/>
  <c r="E1537" i="5"/>
  <c r="I1536" i="5"/>
  <c r="H1536" i="5"/>
  <c r="G1536" i="5"/>
  <c r="F1536" i="5"/>
  <c r="E1536" i="5"/>
  <c r="I1535" i="5"/>
  <c r="H1535" i="5"/>
  <c r="G1535" i="5"/>
  <c r="F1535" i="5"/>
  <c r="E1535" i="5"/>
  <c r="I1534" i="5"/>
  <c r="H1534" i="5"/>
  <c r="G1534" i="5"/>
  <c r="F1534" i="5"/>
  <c r="E1534" i="5"/>
  <c r="I1533" i="5"/>
  <c r="H1533" i="5"/>
  <c r="G1533" i="5"/>
  <c r="F1533" i="5"/>
  <c r="E1533" i="5"/>
  <c r="I1532" i="5"/>
  <c r="H1532" i="5"/>
  <c r="G1532" i="5"/>
  <c r="F1532" i="5"/>
  <c r="E1532" i="5"/>
  <c r="I1531" i="5"/>
  <c r="H1531" i="5"/>
  <c r="G1531" i="5"/>
  <c r="F1531" i="5"/>
  <c r="E1531" i="5"/>
  <c r="I1530" i="5"/>
  <c r="H1530" i="5"/>
  <c r="G1530" i="5"/>
  <c r="F1530" i="5"/>
  <c r="E1530" i="5"/>
  <c r="I1529" i="5"/>
  <c r="H1529" i="5"/>
  <c r="G1529" i="5"/>
  <c r="F1529" i="5"/>
  <c r="E1529" i="5"/>
  <c r="I1528" i="5"/>
  <c r="H1528" i="5"/>
  <c r="G1528" i="5"/>
  <c r="F1528" i="5"/>
  <c r="E1528" i="5"/>
  <c r="I1527" i="5"/>
  <c r="H1527" i="5"/>
  <c r="G1527" i="5"/>
  <c r="F1527" i="5"/>
  <c r="E1527" i="5"/>
  <c r="I1526" i="5"/>
  <c r="H1526" i="5"/>
  <c r="G1526" i="5"/>
  <c r="F1526" i="5"/>
  <c r="E1526" i="5"/>
  <c r="I1525" i="5"/>
  <c r="H1525" i="5"/>
  <c r="G1525" i="5"/>
  <c r="F1525" i="5"/>
  <c r="E1525" i="5"/>
  <c r="I1524" i="5"/>
  <c r="H1524" i="5"/>
  <c r="G1524" i="5"/>
  <c r="F1524" i="5"/>
  <c r="E1524" i="5"/>
  <c r="I1523" i="5"/>
  <c r="H1523" i="5"/>
  <c r="G1523" i="5"/>
  <c r="F1523" i="5"/>
  <c r="E1523" i="5"/>
  <c r="I1522" i="5"/>
  <c r="H1522" i="5"/>
  <c r="G1522" i="5"/>
  <c r="F1522" i="5"/>
  <c r="E1522" i="5"/>
  <c r="I1521" i="5"/>
  <c r="H1521" i="5"/>
  <c r="G1521" i="5"/>
  <c r="F1521" i="5"/>
  <c r="E1521" i="5"/>
  <c r="I1520" i="5"/>
  <c r="H1520" i="5"/>
  <c r="G1520" i="5"/>
  <c r="F1520" i="5"/>
  <c r="E1520" i="5"/>
  <c r="I1519" i="5"/>
  <c r="H1519" i="5"/>
  <c r="G1519" i="5"/>
  <c r="F1519" i="5"/>
  <c r="E1519" i="5"/>
  <c r="I1518" i="5"/>
  <c r="H1518" i="5"/>
  <c r="G1518" i="5"/>
  <c r="F1518" i="5"/>
  <c r="E1518" i="5"/>
  <c r="I1517" i="5"/>
  <c r="H1517" i="5"/>
  <c r="G1517" i="5"/>
  <c r="F1517" i="5"/>
  <c r="E1517" i="5"/>
  <c r="I1516" i="5"/>
  <c r="H1516" i="5"/>
  <c r="G1516" i="5"/>
  <c r="F1516" i="5"/>
  <c r="E1516" i="5"/>
  <c r="I1515" i="5"/>
  <c r="H1515" i="5"/>
  <c r="G1515" i="5"/>
  <c r="F1515" i="5"/>
  <c r="E1515" i="5"/>
  <c r="I1514" i="5"/>
  <c r="H1514" i="5"/>
  <c r="G1514" i="5"/>
  <c r="F1514" i="5"/>
  <c r="E1514" i="5"/>
  <c r="I1513" i="5"/>
  <c r="H1513" i="5"/>
  <c r="G1513" i="5"/>
  <c r="F1513" i="5"/>
  <c r="E1513" i="5"/>
  <c r="I1512" i="5"/>
  <c r="H1512" i="5"/>
  <c r="G1512" i="5"/>
  <c r="F1512" i="5"/>
  <c r="E1512" i="5"/>
  <c r="I1511" i="5"/>
  <c r="H1511" i="5"/>
  <c r="G1511" i="5"/>
  <c r="F1511" i="5"/>
  <c r="E1511" i="5"/>
  <c r="I1510" i="5"/>
  <c r="H1510" i="5"/>
  <c r="G1510" i="5"/>
  <c r="F1510" i="5"/>
  <c r="E1510" i="5"/>
  <c r="I1509" i="5"/>
  <c r="H1509" i="5"/>
  <c r="G1509" i="5"/>
  <c r="F1509" i="5"/>
  <c r="E1509" i="5"/>
  <c r="I1508" i="5"/>
  <c r="H1508" i="5"/>
  <c r="G1508" i="5"/>
  <c r="F1508" i="5"/>
  <c r="E1508" i="5"/>
  <c r="I1507" i="5"/>
  <c r="H1507" i="5"/>
  <c r="G1507" i="5"/>
  <c r="F1507" i="5"/>
  <c r="E1507" i="5"/>
  <c r="I1506" i="5"/>
  <c r="H1506" i="5"/>
  <c r="G1506" i="5"/>
  <c r="F1506" i="5"/>
  <c r="E1506" i="5"/>
  <c r="I1505" i="5"/>
  <c r="H1505" i="5"/>
  <c r="G1505" i="5"/>
  <c r="F1505" i="5"/>
  <c r="E1505" i="5"/>
  <c r="I1504" i="5"/>
  <c r="H1504" i="5"/>
  <c r="G1504" i="5"/>
  <c r="F1504" i="5"/>
  <c r="E1504" i="5"/>
  <c r="I1503" i="5"/>
  <c r="H1503" i="5"/>
  <c r="G1503" i="5"/>
  <c r="F1503" i="5"/>
  <c r="E1503" i="5"/>
  <c r="I1502" i="5"/>
  <c r="H1502" i="5"/>
  <c r="G1502" i="5"/>
  <c r="F1502" i="5"/>
  <c r="E1502" i="5"/>
  <c r="I1501" i="5"/>
  <c r="H1501" i="5"/>
  <c r="G1501" i="5"/>
  <c r="F1501" i="5"/>
  <c r="E1501" i="5"/>
  <c r="I1500" i="5"/>
  <c r="H1500" i="5"/>
  <c r="G1500" i="5"/>
  <c r="F1500" i="5"/>
  <c r="E1500" i="5"/>
  <c r="I1499" i="5"/>
  <c r="H1499" i="5"/>
  <c r="G1499" i="5"/>
  <c r="F1499" i="5"/>
  <c r="E1499" i="5"/>
  <c r="I1498" i="5"/>
  <c r="H1498" i="5"/>
  <c r="G1498" i="5"/>
  <c r="F1498" i="5"/>
  <c r="E1498" i="5"/>
  <c r="I1497" i="5"/>
  <c r="H1497" i="5"/>
  <c r="G1497" i="5"/>
  <c r="F1497" i="5"/>
  <c r="E1497" i="5"/>
  <c r="I1496" i="5"/>
  <c r="H1496" i="5"/>
  <c r="G1496" i="5"/>
  <c r="F1496" i="5"/>
  <c r="E1496" i="5"/>
  <c r="I1495" i="5"/>
  <c r="H1495" i="5"/>
  <c r="G1495" i="5"/>
  <c r="F1495" i="5"/>
  <c r="E1495" i="5"/>
  <c r="I1494" i="5"/>
  <c r="H1494" i="5"/>
  <c r="G1494" i="5"/>
  <c r="F1494" i="5"/>
  <c r="E1494" i="5"/>
  <c r="I1493" i="5"/>
  <c r="H1493" i="5"/>
  <c r="G1493" i="5"/>
  <c r="F1493" i="5"/>
  <c r="E1493" i="5"/>
  <c r="I1492" i="5"/>
  <c r="H1492" i="5"/>
  <c r="G1492" i="5"/>
  <c r="F1492" i="5"/>
  <c r="E1492" i="5"/>
  <c r="I1491" i="5"/>
  <c r="H1491" i="5"/>
  <c r="G1491" i="5"/>
  <c r="F1491" i="5"/>
  <c r="E1491" i="5"/>
  <c r="I1490" i="5"/>
  <c r="H1490" i="5"/>
  <c r="G1490" i="5"/>
  <c r="F1490" i="5"/>
  <c r="E1490" i="5"/>
  <c r="I1489" i="5"/>
  <c r="H1489" i="5"/>
  <c r="G1489" i="5"/>
  <c r="F1489" i="5"/>
  <c r="E1489" i="5"/>
  <c r="I1488" i="5"/>
  <c r="H1488" i="5"/>
  <c r="G1488" i="5"/>
  <c r="F1488" i="5"/>
  <c r="E1488" i="5"/>
  <c r="I1487" i="5"/>
  <c r="H1487" i="5"/>
  <c r="G1487" i="5"/>
  <c r="F1487" i="5"/>
  <c r="E1487" i="5"/>
  <c r="I1486" i="5"/>
  <c r="H1486" i="5"/>
  <c r="G1486" i="5"/>
  <c r="F1486" i="5"/>
  <c r="E1486" i="5"/>
  <c r="I1485" i="5"/>
  <c r="H1485" i="5"/>
  <c r="G1485" i="5"/>
  <c r="F1485" i="5"/>
  <c r="E1485" i="5"/>
  <c r="I1484" i="5"/>
  <c r="H1484" i="5"/>
  <c r="G1484" i="5"/>
  <c r="F1484" i="5"/>
  <c r="E1484" i="5"/>
  <c r="I1483" i="5"/>
  <c r="H1483" i="5"/>
  <c r="G1483" i="5"/>
  <c r="F1483" i="5"/>
  <c r="E1483" i="5"/>
  <c r="I1482" i="5"/>
  <c r="H1482" i="5"/>
  <c r="G1482" i="5"/>
  <c r="F1482" i="5"/>
  <c r="E1482" i="5"/>
  <c r="I1481" i="5"/>
  <c r="H1481" i="5"/>
  <c r="G1481" i="5"/>
  <c r="F1481" i="5"/>
  <c r="E1481" i="5"/>
  <c r="I1480" i="5"/>
  <c r="H1480" i="5"/>
  <c r="G1480" i="5"/>
  <c r="F1480" i="5"/>
  <c r="E1480" i="5"/>
  <c r="I1479" i="5"/>
  <c r="H1479" i="5"/>
  <c r="G1479" i="5"/>
  <c r="F1479" i="5"/>
  <c r="E1479" i="5"/>
  <c r="I1478" i="5"/>
  <c r="H1478" i="5"/>
  <c r="G1478" i="5"/>
  <c r="F1478" i="5"/>
  <c r="E1478" i="5"/>
  <c r="I1477" i="5"/>
  <c r="H1477" i="5"/>
  <c r="G1477" i="5"/>
  <c r="F1477" i="5"/>
  <c r="E1477" i="5"/>
  <c r="I1476" i="5"/>
  <c r="H1476" i="5"/>
  <c r="G1476" i="5"/>
  <c r="F1476" i="5"/>
  <c r="E1476" i="5"/>
  <c r="I1475" i="5"/>
  <c r="H1475" i="5"/>
  <c r="G1475" i="5"/>
  <c r="F1475" i="5"/>
  <c r="E1475" i="5"/>
  <c r="I1474" i="5"/>
  <c r="H1474" i="5"/>
  <c r="G1474" i="5"/>
  <c r="F1474" i="5"/>
  <c r="E1474" i="5"/>
  <c r="I1473" i="5"/>
  <c r="H1473" i="5"/>
  <c r="G1473" i="5"/>
  <c r="F1473" i="5"/>
  <c r="E1473" i="5"/>
  <c r="I1472" i="5"/>
  <c r="H1472" i="5"/>
  <c r="G1472" i="5"/>
  <c r="F1472" i="5"/>
  <c r="E1472" i="5"/>
  <c r="I1471" i="5"/>
  <c r="H1471" i="5"/>
  <c r="G1471" i="5"/>
  <c r="F1471" i="5"/>
  <c r="E1471" i="5"/>
  <c r="I1470" i="5"/>
  <c r="H1470" i="5"/>
  <c r="G1470" i="5"/>
  <c r="F1470" i="5"/>
  <c r="E1470" i="5"/>
  <c r="I1469" i="5"/>
  <c r="H1469" i="5"/>
  <c r="G1469" i="5"/>
  <c r="F1469" i="5"/>
  <c r="E1469" i="5"/>
  <c r="I1468" i="5"/>
  <c r="H1468" i="5"/>
  <c r="G1468" i="5"/>
  <c r="F1468" i="5"/>
  <c r="E1468" i="5"/>
  <c r="I1467" i="5"/>
  <c r="H1467" i="5"/>
  <c r="G1467" i="5"/>
  <c r="F1467" i="5"/>
  <c r="E1467" i="5"/>
  <c r="I1466" i="5"/>
  <c r="H1466" i="5"/>
  <c r="G1466" i="5"/>
  <c r="F1466" i="5"/>
  <c r="E1466" i="5"/>
  <c r="I1465" i="5"/>
  <c r="H1465" i="5"/>
  <c r="G1465" i="5"/>
  <c r="F1465" i="5"/>
  <c r="E1465" i="5"/>
  <c r="I1464" i="5"/>
  <c r="H1464" i="5"/>
  <c r="G1464" i="5"/>
  <c r="F1464" i="5"/>
  <c r="E1464" i="5"/>
  <c r="I1463" i="5"/>
  <c r="H1463" i="5"/>
  <c r="G1463" i="5"/>
  <c r="F1463" i="5"/>
  <c r="E1463" i="5"/>
  <c r="I1462" i="5"/>
  <c r="H1462" i="5"/>
  <c r="G1462" i="5"/>
  <c r="F1462" i="5"/>
  <c r="E1462" i="5"/>
  <c r="I1461" i="5"/>
  <c r="H1461" i="5"/>
  <c r="G1461" i="5"/>
  <c r="F1461" i="5"/>
  <c r="E1461" i="5"/>
  <c r="I1460" i="5"/>
  <c r="H1460" i="5"/>
  <c r="G1460" i="5"/>
  <c r="F1460" i="5"/>
  <c r="E1460" i="5"/>
  <c r="I1459" i="5"/>
  <c r="H1459" i="5"/>
  <c r="G1459" i="5"/>
  <c r="F1459" i="5"/>
  <c r="E1459" i="5"/>
  <c r="I1458" i="5"/>
  <c r="H1458" i="5"/>
  <c r="G1458" i="5"/>
  <c r="F1458" i="5"/>
  <c r="E1458" i="5"/>
  <c r="I1457" i="5"/>
  <c r="H1457" i="5"/>
  <c r="G1457" i="5"/>
  <c r="F1457" i="5"/>
  <c r="E1457" i="5"/>
  <c r="I1456" i="5"/>
  <c r="H1456" i="5"/>
  <c r="G1456" i="5"/>
  <c r="F1456" i="5"/>
  <c r="E1456" i="5"/>
  <c r="I1455" i="5"/>
  <c r="H1455" i="5"/>
  <c r="G1455" i="5"/>
  <c r="F1455" i="5"/>
  <c r="E1455" i="5"/>
  <c r="I1454" i="5"/>
  <c r="H1454" i="5"/>
  <c r="G1454" i="5"/>
  <c r="F1454" i="5"/>
  <c r="E1454" i="5"/>
  <c r="I1453" i="5"/>
  <c r="H1453" i="5"/>
  <c r="G1453" i="5"/>
  <c r="F1453" i="5"/>
  <c r="E1453" i="5"/>
  <c r="I1452" i="5"/>
  <c r="H1452" i="5"/>
  <c r="G1452" i="5"/>
  <c r="F1452" i="5"/>
  <c r="E1452" i="5"/>
  <c r="I1451" i="5"/>
  <c r="H1451" i="5"/>
  <c r="G1451" i="5"/>
  <c r="F1451" i="5"/>
  <c r="E1451" i="5"/>
  <c r="I1450" i="5"/>
  <c r="H1450" i="5"/>
  <c r="G1450" i="5"/>
  <c r="F1450" i="5"/>
  <c r="E1450" i="5"/>
  <c r="I1449" i="5"/>
  <c r="H1449" i="5"/>
  <c r="G1449" i="5"/>
  <c r="F1449" i="5"/>
  <c r="E1449" i="5"/>
  <c r="I1448" i="5"/>
  <c r="H1448" i="5"/>
  <c r="G1448" i="5"/>
  <c r="F1448" i="5"/>
  <c r="E1448" i="5"/>
  <c r="I1447" i="5"/>
  <c r="H1447" i="5"/>
  <c r="G1447" i="5"/>
  <c r="F1447" i="5"/>
  <c r="E1447" i="5"/>
  <c r="I1446" i="5"/>
  <c r="H1446" i="5"/>
  <c r="G1446" i="5"/>
  <c r="F1446" i="5"/>
  <c r="E1446" i="5"/>
  <c r="I1445" i="5"/>
  <c r="H1445" i="5"/>
  <c r="G1445" i="5"/>
  <c r="F1445" i="5"/>
  <c r="E1445" i="5"/>
  <c r="I1444" i="5"/>
  <c r="H1444" i="5"/>
  <c r="G1444" i="5"/>
  <c r="F1444" i="5"/>
  <c r="E1444" i="5"/>
  <c r="I1443" i="5"/>
  <c r="H1443" i="5"/>
  <c r="G1443" i="5"/>
  <c r="F1443" i="5"/>
  <c r="E1443" i="5"/>
  <c r="I1442" i="5"/>
  <c r="H1442" i="5"/>
  <c r="G1442" i="5"/>
  <c r="F1442" i="5"/>
  <c r="E1442" i="5"/>
  <c r="I1441" i="5"/>
  <c r="H1441" i="5"/>
  <c r="G1441" i="5"/>
  <c r="F1441" i="5"/>
  <c r="E1441" i="5"/>
  <c r="I1440" i="5"/>
  <c r="H1440" i="5"/>
  <c r="G1440" i="5"/>
  <c r="F1440" i="5"/>
  <c r="E1440" i="5"/>
  <c r="I1439" i="5"/>
  <c r="H1439" i="5"/>
  <c r="G1439" i="5"/>
  <c r="F1439" i="5"/>
  <c r="E1439" i="5"/>
  <c r="I1438" i="5"/>
  <c r="H1438" i="5"/>
  <c r="G1438" i="5"/>
  <c r="F1438" i="5"/>
  <c r="E1438" i="5"/>
  <c r="I1437" i="5"/>
  <c r="H1437" i="5"/>
  <c r="G1437" i="5"/>
  <c r="F1437" i="5"/>
  <c r="E1437" i="5"/>
  <c r="I1436" i="5"/>
  <c r="H1436" i="5"/>
  <c r="G1436" i="5"/>
  <c r="F1436" i="5"/>
  <c r="E1436" i="5"/>
  <c r="I1435" i="5"/>
  <c r="H1435" i="5"/>
  <c r="G1435" i="5"/>
  <c r="F1435" i="5"/>
  <c r="E1435" i="5"/>
  <c r="I1434" i="5"/>
  <c r="H1434" i="5"/>
  <c r="G1434" i="5"/>
  <c r="F1434" i="5"/>
  <c r="E1434" i="5"/>
  <c r="I1433" i="5"/>
  <c r="H1433" i="5"/>
  <c r="G1433" i="5"/>
  <c r="F1433" i="5"/>
  <c r="E1433" i="5"/>
  <c r="I1432" i="5"/>
  <c r="H1432" i="5"/>
  <c r="G1432" i="5"/>
  <c r="F1432" i="5"/>
  <c r="E1432" i="5"/>
  <c r="I1431" i="5"/>
  <c r="H1431" i="5"/>
  <c r="G1431" i="5"/>
  <c r="F1431" i="5"/>
  <c r="E1431" i="5"/>
  <c r="I1430" i="5"/>
  <c r="H1430" i="5"/>
  <c r="G1430" i="5"/>
  <c r="F1430" i="5"/>
  <c r="E1430" i="5"/>
  <c r="I1429" i="5"/>
  <c r="H1429" i="5"/>
  <c r="G1429" i="5"/>
  <c r="F1429" i="5"/>
  <c r="E1429" i="5"/>
  <c r="I1428" i="5"/>
  <c r="H1428" i="5"/>
  <c r="G1428" i="5"/>
  <c r="F1428" i="5"/>
  <c r="E1428" i="5"/>
  <c r="I1427" i="5"/>
  <c r="H1427" i="5"/>
  <c r="G1427" i="5"/>
  <c r="F1427" i="5"/>
  <c r="E1427" i="5"/>
  <c r="I1426" i="5"/>
  <c r="H1426" i="5"/>
  <c r="G1426" i="5"/>
  <c r="F1426" i="5"/>
  <c r="E1426" i="5"/>
  <c r="I1425" i="5"/>
  <c r="H1425" i="5"/>
  <c r="G1425" i="5"/>
  <c r="F1425" i="5"/>
  <c r="E1425" i="5"/>
  <c r="I1424" i="5"/>
  <c r="H1424" i="5"/>
  <c r="G1424" i="5"/>
  <c r="F1424" i="5"/>
  <c r="E1424" i="5"/>
  <c r="I1423" i="5"/>
  <c r="H1423" i="5"/>
  <c r="G1423" i="5"/>
  <c r="F1423" i="5"/>
  <c r="E1423" i="5"/>
  <c r="I1422" i="5"/>
  <c r="H1422" i="5"/>
  <c r="G1422" i="5"/>
  <c r="F1422" i="5"/>
  <c r="E1422" i="5"/>
  <c r="I1421" i="5"/>
  <c r="H1421" i="5"/>
  <c r="G1421" i="5"/>
  <c r="F1421" i="5"/>
  <c r="E1421" i="5"/>
  <c r="I1420" i="5"/>
  <c r="H1420" i="5"/>
  <c r="G1420" i="5"/>
  <c r="F1420" i="5"/>
  <c r="E1420" i="5"/>
  <c r="I1419" i="5"/>
  <c r="H1419" i="5"/>
  <c r="G1419" i="5"/>
  <c r="F1419" i="5"/>
  <c r="E1419" i="5"/>
  <c r="I1418" i="5"/>
  <c r="H1418" i="5"/>
  <c r="G1418" i="5"/>
  <c r="F1418" i="5"/>
  <c r="E1418" i="5"/>
  <c r="I1417" i="5"/>
  <c r="H1417" i="5"/>
  <c r="G1417" i="5"/>
  <c r="F1417" i="5"/>
  <c r="E1417" i="5"/>
  <c r="I1416" i="5"/>
  <c r="H1416" i="5"/>
  <c r="G1416" i="5"/>
  <c r="F1416" i="5"/>
  <c r="E1416" i="5"/>
  <c r="I1415" i="5"/>
  <c r="H1415" i="5"/>
  <c r="G1415" i="5"/>
  <c r="F1415" i="5"/>
  <c r="E1415" i="5"/>
  <c r="I1414" i="5"/>
  <c r="H1414" i="5"/>
  <c r="G1414" i="5"/>
  <c r="F1414" i="5"/>
  <c r="E1414" i="5"/>
  <c r="I1413" i="5"/>
  <c r="H1413" i="5"/>
  <c r="G1413" i="5"/>
  <c r="F1413" i="5"/>
  <c r="E1413" i="5"/>
  <c r="I1412" i="5"/>
  <c r="H1412" i="5"/>
  <c r="G1412" i="5"/>
  <c r="F1412" i="5"/>
  <c r="E1412" i="5"/>
  <c r="I1411" i="5"/>
  <c r="H1411" i="5"/>
  <c r="G1411" i="5"/>
  <c r="F1411" i="5"/>
  <c r="E1411" i="5"/>
  <c r="I1410" i="5"/>
  <c r="H1410" i="5"/>
  <c r="G1410" i="5"/>
  <c r="F1410" i="5"/>
  <c r="E1410" i="5"/>
  <c r="I1409" i="5"/>
  <c r="H1409" i="5"/>
  <c r="G1409" i="5"/>
  <c r="F1409" i="5"/>
  <c r="E1409" i="5"/>
  <c r="I1408" i="5"/>
  <c r="H1408" i="5"/>
  <c r="G1408" i="5"/>
  <c r="F1408" i="5"/>
  <c r="E1408" i="5"/>
  <c r="I1407" i="5"/>
  <c r="H1407" i="5"/>
  <c r="G1407" i="5"/>
  <c r="F1407" i="5"/>
  <c r="E1407" i="5"/>
  <c r="I1406" i="5"/>
  <c r="H1406" i="5"/>
  <c r="G1406" i="5"/>
  <c r="F1406" i="5"/>
  <c r="E1406" i="5"/>
  <c r="I1405" i="5"/>
  <c r="H1405" i="5"/>
  <c r="G1405" i="5"/>
  <c r="F1405" i="5"/>
  <c r="E1405" i="5"/>
  <c r="I1404" i="5"/>
  <c r="H1404" i="5"/>
  <c r="G1404" i="5"/>
  <c r="F1404" i="5"/>
  <c r="E1404" i="5"/>
  <c r="I1403" i="5"/>
  <c r="H1403" i="5"/>
  <c r="G1403" i="5"/>
  <c r="F1403" i="5"/>
  <c r="E1403" i="5"/>
  <c r="I1402" i="5"/>
  <c r="H1402" i="5"/>
  <c r="G1402" i="5"/>
  <c r="F1402" i="5"/>
  <c r="E1402" i="5"/>
  <c r="I1401" i="5"/>
  <c r="H1401" i="5"/>
  <c r="G1401" i="5"/>
  <c r="F1401" i="5"/>
  <c r="E1401" i="5"/>
  <c r="I1400" i="5"/>
  <c r="H1400" i="5"/>
  <c r="G1400" i="5"/>
  <c r="F1400" i="5"/>
  <c r="E1400" i="5"/>
  <c r="I1399" i="5"/>
  <c r="H1399" i="5"/>
  <c r="G1399" i="5"/>
  <c r="F1399" i="5"/>
  <c r="E1399" i="5"/>
  <c r="I1398" i="5"/>
  <c r="H1398" i="5"/>
  <c r="G1398" i="5"/>
  <c r="F1398" i="5"/>
  <c r="E1398" i="5"/>
  <c r="I1397" i="5"/>
  <c r="H1397" i="5"/>
  <c r="G1397" i="5"/>
  <c r="F1397" i="5"/>
  <c r="E1397" i="5"/>
  <c r="I1396" i="5"/>
  <c r="H1396" i="5"/>
  <c r="G1396" i="5"/>
  <c r="F1396" i="5"/>
  <c r="E1396" i="5"/>
  <c r="I1395" i="5"/>
  <c r="H1395" i="5"/>
  <c r="G1395" i="5"/>
  <c r="F1395" i="5"/>
  <c r="E1395" i="5"/>
  <c r="I1394" i="5"/>
  <c r="H1394" i="5"/>
  <c r="G1394" i="5"/>
  <c r="F1394" i="5"/>
  <c r="E1394" i="5"/>
  <c r="I1393" i="5"/>
  <c r="H1393" i="5"/>
  <c r="G1393" i="5"/>
  <c r="F1393" i="5"/>
  <c r="E1393" i="5"/>
  <c r="I1392" i="5"/>
  <c r="H1392" i="5"/>
  <c r="G1392" i="5"/>
  <c r="F1392" i="5"/>
  <c r="E1392" i="5"/>
  <c r="I1391" i="5"/>
  <c r="H1391" i="5"/>
  <c r="G1391" i="5"/>
  <c r="F1391" i="5"/>
  <c r="E1391" i="5"/>
  <c r="I1390" i="5"/>
  <c r="H1390" i="5"/>
  <c r="G1390" i="5"/>
  <c r="F1390" i="5"/>
  <c r="E1390" i="5"/>
  <c r="I1389" i="5"/>
  <c r="H1389" i="5"/>
  <c r="G1389" i="5"/>
  <c r="F1389" i="5"/>
  <c r="E1389" i="5"/>
  <c r="I1388" i="5"/>
  <c r="H1388" i="5"/>
  <c r="G1388" i="5"/>
  <c r="F1388" i="5"/>
  <c r="E1388" i="5"/>
  <c r="I1387" i="5"/>
  <c r="H1387" i="5"/>
  <c r="G1387" i="5"/>
  <c r="F1387" i="5"/>
  <c r="E1387" i="5"/>
  <c r="I1386" i="5"/>
  <c r="H1386" i="5"/>
  <c r="G1386" i="5"/>
  <c r="F1386" i="5"/>
  <c r="E1386" i="5"/>
  <c r="I1385" i="5"/>
  <c r="H1385" i="5"/>
  <c r="G1385" i="5"/>
  <c r="F1385" i="5"/>
  <c r="E1385" i="5"/>
  <c r="I1384" i="5"/>
  <c r="H1384" i="5"/>
  <c r="G1384" i="5"/>
  <c r="F1384" i="5"/>
  <c r="E1384" i="5"/>
  <c r="I1383" i="5"/>
  <c r="H1383" i="5"/>
  <c r="G1383" i="5"/>
  <c r="F1383" i="5"/>
  <c r="E1383" i="5"/>
  <c r="I1382" i="5"/>
  <c r="H1382" i="5"/>
  <c r="G1382" i="5"/>
  <c r="F1382" i="5"/>
  <c r="E1382" i="5"/>
  <c r="I1381" i="5"/>
  <c r="H1381" i="5"/>
  <c r="G1381" i="5"/>
  <c r="F1381" i="5"/>
  <c r="E1381" i="5"/>
  <c r="I1380" i="5"/>
  <c r="H1380" i="5"/>
  <c r="G1380" i="5"/>
  <c r="F1380" i="5"/>
  <c r="E1380" i="5"/>
  <c r="I1379" i="5"/>
  <c r="H1379" i="5"/>
  <c r="G1379" i="5"/>
  <c r="F1379" i="5"/>
  <c r="E1379" i="5"/>
  <c r="I1378" i="5"/>
  <c r="H1378" i="5"/>
  <c r="G1378" i="5"/>
  <c r="F1378" i="5"/>
  <c r="E1378" i="5"/>
  <c r="I1377" i="5"/>
  <c r="H1377" i="5"/>
  <c r="G1377" i="5"/>
  <c r="F1377" i="5"/>
  <c r="E1377" i="5"/>
  <c r="I1376" i="5"/>
  <c r="H1376" i="5"/>
  <c r="G1376" i="5"/>
  <c r="F1376" i="5"/>
  <c r="E1376" i="5"/>
  <c r="I1375" i="5"/>
  <c r="H1375" i="5"/>
  <c r="G1375" i="5"/>
  <c r="F1375" i="5"/>
  <c r="E1375" i="5"/>
  <c r="I1374" i="5"/>
  <c r="H1374" i="5"/>
  <c r="G1374" i="5"/>
  <c r="F1374" i="5"/>
  <c r="E1374" i="5"/>
  <c r="I1373" i="5"/>
  <c r="H1373" i="5"/>
  <c r="G1373" i="5"/>
  <c r="F1373" i="5"/>
  <c r="E1373" i="5"/>
  <c r="I1372" i="5"/>
  <c r="H1372" i="5"/>
  <c r="G1372" i="5"/>
  <c r="F1372" i="5"/>
  <c r="E1372" i="5"/>
  <c r="I1371" i="5"/>
  <c r="H1371" i="5"/>
  <c r="G1371" i="5"/>
  <c r="F1371" i="5"/>
  <c r="E1371" i="5"/>
  <c r="I1370" i="5"/>
  <c r="H1370" i="5"/>
  <c r="G1370" i="5"/>
  <c r="F1370" i="5"/>
  <c r="E1370" i="5"/>
  <c r="I1369" i="5"/>
  <c r="H1369" i="5"/>
  <c r="G1369" i="5"/>
  <c r="F1369" i="5"/>
  <c r="E1369" i="5"/>
  <c r="I1368" i="5"/>
  <c r="H1368" i="5"/>
  <c r="G1368" i="5"/>
  <c r="F1368" i="5"/>
  <c r="E1368" i="5"/>
  <c r="I1367" i="5"/>
  <c r="H1367" i="5"/>
  <c r="G1367" i="5"/>
  <c r="F1367" i="5"/>
  <c r="E1367" i="5"/>
  <c r="I1366" i="5"/>
  <c r="H1366" i="5"/>
  <c r="G1366" i="5"/>
  <c r="F1366" i="5"/>
  <c r="E1366" i="5"/>
  <c r="I1365" i="5"/>
  <c r="H1365" i="5"/>
  <c r="G1365" i="5"/>
  <c r="F1365" i="5"/>
  <c r="E1365" i="5"/>
  <c r="I1364" i="5"/>
  <c r="H1364" i="5"/>
  <c r="G1364" i="5"/>
  <c r="F1364" i="5"/>
  <c r="E1364" i="5"/>
  <c r="I1363" i="5"/>
  <c r="H1363" i="5"/>
  <c r="G1363" i="5"/>
  <c r="F1363" i="5"/>
  <c r="E1363" i="5"/>
  <c r="I1362" i="5"/>
  <c r="H1362" i="5"/>
  <c r="G1362" i="5"/>
  <c r="F1362" i="5"/>
  <c r="E1362" i="5"/>
  <c r="I1361" i="5"/>
  <c r="H1361" i="5"/>
  <c r="G1361" i="5"/>
  <c r="F1361" i="5"/>
  <c r="E1361" i="5"/>
  <c r="I1360" i="5"/>
  <c r="H1360" i="5"/>
  <c r="G1360" i="5"/>
  <c r="F1360" i="5"/>
  <c r="E1360" i="5"/>
  <c r="I1359" i="5"/>
  <c r="H1359" i="5"/>
  <c r="G1359" i="5"/>
  <c r="F1359" i="5"/>
  <c r="E1359" i="5"/>
  <c r="I1358" i="5"/>
  <c r="H1358" i="5"/>
  <c r="G1358" i="5"/>
  <c r="F1358" i="5"/>
  <c r="E1358" i="5"/>
  <c r="I1357" i="5"/>
  <c r="H1357" i="5"/>
  <c r="G1357" i="5"/>
  <c r="F1357" i="5"/>
  <c r="E1357" i="5"/>
  <c r="I1356" i="5"/>
  <c r="H1356" i="5"/>
  <c r="G1356" i="5"/>
  <c r="F1356" i="5"/>
  <c r="E1356" i="5"/>
  <c r="I1355" i="5"/>
  <c r="H1355" i="5"/>
  <c r="G1355" i="5"/>
  <c r="F1355" i="5"/>
  <c r="E1355" i="5"/>
  <c r="I1354" i="5"/>
  <c r="H1354" i="5"/>
  <c r="G1354" i="5"/>
  <c r="F1354" i="5"/>
  <c r="E1354" i="5"/>
  <c r="I1353" i="5"/>
  <c r="H1353" i="5"/>
  <c r="G1353" i="5"/>
  <c r="F1353" i="5"/>
  <c r="E1353" i="5"/>
  <c r="I1352" i="5"/>
  <c r="H1352" i="5"/>
  <c r="G1352" i="5"/>
  <c r="F1352" i="5"/>
  <c r="E1352" i="5"/>
  <c r="I1351" i="5"/>
  <c r="H1351" i="5"/>
  <c r="G1351" i="5"/>
  <c r="F1351" i="5"/>
  <c r="E1351" i="5"/>
  <c r="I1350" i="5"/>
  <c r="H1350" i="5"/>
  <c r="G1350" i="5"/>
  <c r="F1350" i="5"/>
  <c r="E1350" i="5"/>
  <c r="I1349" i="5"/>
  <c r="H1349" i="5"/>
  <c r="G1349" i="5"/>
  <c r="F1349" i="5"/>
  <c r="E1349" i="5"/>
  <c r="I1348" i="5"/>
  <c r="H1348" i="5"/>
  <c r="G1348" i="5"/>
  <c r="F1348" i="5"/>
  <c r="E1348" i="5"/>
  <c r="I1347" i="5"/>
  <c r="H1347" i="5"/>
  <c r="G1347" i="5"/>
  <c r="F1347" i="5"/>
  <c r="E1347" i="5"/>
  <c r="I1346" i="5"/>
  <c r="H1346" i="5"/>
  <c r="G1346" i="5"/>
  <c r="F1346" i="5"/>
  <c r="E1346" i="5"/>
  <c r="I1345" i="5"/>
  <c r="H1345" i="5"/>
  <c r="G1345" i="5"/>
  <c r="F1345" i="5"/>
  <c r="E1345" i="5"/>
  <c r="I1344" i="5"/>
  <c r="H1344" i="5"/>
  <c r="G1344" i="5"/>
  <c r="F1344" i="5"/>
  <c r="E1344" i="5"/>
  <c r="I1343" i="5"/>
  <c r="H1343" i="5"/>
  <c r="G1343" i="5"/>
  <c r="F1343" i="5"/>
  <c r="E1343" i="5"/>
  <c r="I1342" i="5"/>
  <c r="H1342" i="5"/>
  <c r="G1342" i="5"/>
  <c r="F1342" i="5"/>
  <c r="E1342" i="5"/>
  <c r="I1341" i="5"/>
  <c r="H1341" i="5"/>
  <c r="G1341" i="5"/>
  <c r="F1341" i="5"/>
  <c r="E1341" i="5"/>
  <c r="I1340" i="5"/>
  <c r="H1340" i="5"/>
  <c r="G1340" i="5"/>
  <c r="F1340" i="5"/>
  <c r="E1340" i="5"/>
  <c r="I1339" i="5"/>
  <c r="H1339" i="5"/>
  <c r="G1339" i="5"/>
  <c r="F1339" i="5"/>
  <c r="E1339" i="5"/>
  <c r="I1338" i="5"/>
  <c r="H1338" i="5"/>
  <c r="G1338" i="5"/>
  <c r="F1338" i="5"/>
  <c r="E1338" i="5"/>
  <c r="I1337" i="5"/>
  <c r="H1337" i="5"/>
  <c r="G1337" i="5"/>
  <c r="F1337" i="5"/>
  <c r="E1337" i="5"/>
  <c r="I1336" i="5"/>
  <c r="H1336" i="5"/>
  <c r="G1336" i="5"/>
  <c r="F1336" i="5"/>
  <c r="E1336" i="5"/>
  <c r="I1335" i="5"/>
  <c r="H1335" i="5"/>
  <c r="G1335" i="5"/>
  <c r="F1335" i="5"/>
  <c r="E1335" i="5"/>
  <c r="I1334" i="5"/>
  <c r="H1334" i="5"/>
  <c r="G1334" i="5"/>
  <c r="F1334" i="5"/>
  <c r="E1334" i="5"/>
  <c r="I1333" i="5"/>
  <c r="H1333" i="5"/>
  <c r="G1333" i="5"/>
  <c r="F1333" i="5"/>
  <c r="E1333" i="5"/>
  <c r="I1332" i="5"/>
  <c r="H1332" i="5"/>
  <c r="G1332" i="5"/>
  <c r="F1332" i="5"/>
  <c r="E1332" i="5"/>
  <c r="I1331" i="5"/>
  <c r="H1331" i="5"/>
  <c r="G1331" i="5"/>
  <c r="F1331" i="5"/>
  <c r="E1331" i="5"/>
  <c r="I1330" i="5"/>
  <c r="H1330" i="5"/>
  <c r="G1330" i="5"/>
  <c r="F1330" i="5"/>
  <c r="E1330" i="5"/>
  <c r="I1329" i="5"/>
  <c r="H1329" i="5"/>
  <c r="G1329" i="5"/>
  <c r="F1329" i="5"/>
  <c r="E1329" i="5"/>
  <c r="I1328" i="5"/>
  <c r="H1328" i="5"/>
  <c r="G1328" i="5"/>
  <c r="F1328" i="5"/>
  <c r="E1328" i="5"/>
  <c r="I1327" i="5"/>
  <c r="H1327" i="5"/>
  <c r="G1327" i="5"/>
  <c r="F1327" i="5"/>
  <c r="E1327" i="5"/>
  <c r="I1326" i="5"/>
  <c r="H1326" i="5"/>
  <c r="G1326" i="5"/>
  <c r="F1326" i="5"/>
  <c r="E1326" i="5"/>
  <c r="I1325" i="5"/>
  <c r="H1325" i="5"/>
  <c r="G1325" i="5"/>
  <c r="F1325" i="5"/>
  <c r="E1325" i="5"/>
  <c r="I1324" i="5"/>
  <c r="H1324" i="5"/>
  <c r="G1324" i="5"/>
  <c r="F1324" i="5"/>
  <c r="E1324" i="5"/>
  <c r="I1323" i="5"/>
  <c r="H1323" i="5"/>
  <c r="G1323" i="5"/>
  <c r="F1323" i="5"/>
  <c r="E1323" i="5"/>
  <c r="I1322" i="5"/>
  <c r="H1322" i="5"/>
  <c r="G1322" i="5"/>
  <c r="F1322" i="5"/>
  <c r="E1322" i="5"/>
  <c r="I1321" i="5"/>
  <c r="H1321" i="5"/>
  <c r="G1321" i="5"/>
  <c r="F1321" i="5"/>
  <c r="E1321" i="5"/>
  <c r="I1320" i="5"/>
  <c r="H1320" i="5"/>
  <c r="G1320" i="5"/>
  <c r="F1320" i="5"/>
  <c r="E1320" i="5"/>
  <c r="I1319" i="5"/>
  <c r="H1319" i="5"/>
  <c r="G1319" i="5"/>
  <c r="F1319" i="5"/>
  <c r="E1319" i="5"/>
  <c r="I1318" i="5"/>
  <c r="H1318" i="5"/>
  <c r="G1318" i="5"/>
  <c r="F1318" i="5"/>
  <c r="E1318" i="5"/>
  <c r="I1317" i="5"/>
  <c r="H1317" i="5"/>
  <c r="G1317" i="5"/>
  <c r="F1317" i="5"/>
  <c r="E1317" i="5"/>
  <c r="I1316" i="5"/>
  <c r="H1316" i="5"/>
  <c r="G1316" i="5"/>
  <c r="F1316" i="5"/>
  <c r="E1316" i="5"/>
  <c r="I1315" i="5"/>
  <c r="H1315" i="5"/>
  <c r="G1315" i="5"/>
  <c r="F1315" i="5"/>
  <c r="E1315" i="5"/>
  <c r="I1314" i="5"/>
  <c r="H1314" i="5"/>
  <c r="G1314" i="5"/>
  <c r="F1314" i="5"/>
  <c r="E1314" i="5"/>
  <c r="I1313" i="5"/>
  <c r="H1313" i="5"/>
  <c r="G1313" i="5"/>
  <c r="F1313" i="5"/>
  <c r="E1313" i="5"/>
  <c r="I1312" i="5"/>
  <c r="H1312" i="5"/>
  <c r="G1312" i="5"/>
  <c r="F1312" i="5"/>
  <c r="E1312" i="5"/>
  <c r="I1311" i="5"/>
  <c r="H1311" i="5"/>
  <c r="G1311" i="5"/>
  <c r="F1311" i="5"/>
  <c r="E1311" i="5"/>
  <c r="I1310" i="5"/>
  <c r="H1310" i="5"/>
  <c r="G1310" i="5"/>
  <c r="F1310" i="5"/>
  <c r="E1310" i="5"/>
  <c r="I1309" i="5"/>
  <c r="H1309" i="5"/>
  <c r="G1309" i="5"/>
  <c r="F1309" i="5"/>
  <c r="E1309" i="5"/>
  <c r="I1308" i="5"/>
  <c r="H1308" i="5"/>
  <c r="G1308" i="5"/>
  <c r="F1308" i="5"/>
  <c r="E1308" i="5"/>
  <c r="I1307" i="5"/>
  <c r="H1307" i="5"/>
  <c r="G1307" i="5"/>
  <c r="F1307" i="5"/>
  <c r="E1307" i="5"/>
  <c r="I1306" i="5"/>
  <c r="H1306" i="5"/>
  <c r="G1306" i="5"/>
  <c r="F1306" i="5"/>
  <c r="E1306" i="5"/>
  <c r="I1305" i="5"/>
  <c r="H1305" i="5"/>
  <c r="G1305" i="5"/>
  <c r="F1305" i="5"/>
  <c r="E1305" i="5"/>
  <c r="I1304" i="5"/>
  <c r="H1304" i="5"/>
  <c r="G1304" i="5"/>
  <c r="F1304" i="5"/>
  <c r="E1304" i="5"/>
  <c r="I1303" i="5"/>
  <c r="H1303" i="5"/>
  <c r="G1303" i="5"/>
  <c r="F1303" i="5"/>
  <c r="E1303" i="5"/>
  <c r="I1302" i="5"/>
  <c r="H1302" i="5"/>
  <c r="G1302" i="5"/>
  <c r="F1302" i="5"/>
  <c r="E1302" i="5"/>
  <c r="I1301" i="5"/>
  <c r="H1301" i="5"/>
  <c r="G1301" i="5"/>
  <c r="F1301" i="5"/>
  <c r="E1301" i="5"/>
  <c r="I1300" i="5"/>
  <c r="H1300" i="5"/>
  <c r="G1300" i="5"/>
  <c r="F1300" i="5"/>
  <c r="E1300" i="5"/>
  <c r="I1299" i="5"/>
  <c r="H1299" i="5"/>
  <c r="G1299" i="5"/>
  <c r="F1299" i="5"/>
  <c r="E1299" i="5"/>
  <c r="I1298" i="5"/>
  <c r="H1298" i="5"/>
  <c r="G1298" i="5"/>
  <c r="F1298" i="5"/>
  <c r="E1298" i="5"/>
  <c r="I1297" i="5"/>
  <c r="H1297" i="5"/>
  <c r="G1297" i="5"/>
  <c r="F1297" i="5"/>
  <c r="E1297" i="5"/>
  <c r="I1296" i="5"/>
  <c r="H1296" i="5"/>
  <c r="G1296" i="5"/>
  <c r="F1296" i="5"/>
  <c r="E1296" i="5"/>
  <c r="I1295" i="5"/>
  <c r="H1295" i="5"/>
  <c r="G1295" i="5"/>
  <c r="F1295" i="5"/>
  <c r="E1295" i="5"/>
  <c r="I1294" i="5"/>
  <c r="H1294" i="5"/>
  <c r="G1294" i="5"/>
  <c r="F1294" i="5"/>
  <c r="E1294" i="5"/>
  <c r="I1293" i="5"/>
  <c r="H1293" i="5"/>
  <c r="G1293" i="5"/>
  <c r="F1293" i="5"/>
  <c r="E1293" i="5"/>
  <c r="I1292" i="5"/>
  <c r="H1292" i="5"/>
  <c r="G1292" i="5"/>
  <c r="F1292" i="5"/>
  <c r="E1292" i="5"/>
  <c r="I1291" i="5"/>
  <c r="H1291" i="5"/>
  <c r="G1291" i="5"/>
  <c r="F1291" i="5"/>
  <c r="E1291" i="5"/>
  <c r="I1290" i="5"/>
  <c r="H1290" i="5"/>
  <c r="G1290" i="5"/>
  <c r="F1290" i="5"/>
  <c r="E1290" i="5"/>
  <c r="I1289" i="5"/>
  <c r="H1289" i="5"/>
  <c r="G1289" i="5"/>
  <c r="F1289" i="5"/>
  <c r="E1289" i="5"/>
  <c r="I1288" i="5"/>
  <c r="H1288" i="5"/>
  <c r="G1288" i="5"/>
  <c r="F1288" i="5"/>
  <c r="E1288" i="5"/>
  <c r="I1287" i="5"/>
  <c r="H1287" i="5"/>
  <c r="G1287" i="5"/>
  <c r="F1287" i="5"/>
  <c r="E1287" i="5"/>
  <c r="I1286" i="5"/>
  <c r="H1286" i="5"/>
  <c r="G1286" i="5"/>
  <c r="F1286" i="5"/>
  <c r="E1286" i="5"/>
  <c r="I1285" i="5"/>
  <c r="H1285" i="5"/>
  <c r="G1285" i="5"/>
  <c r="F1285" i="5"/>
  <c r="E1285" i="5"/>
  <c r="I1284" i="5"/>
  <c r="H1284" i="5"/>
  <c r="G1284" i="5"/>
  <c r="F1284" i="5"/>
  <c r="E1284" i="5"/>
  <c r="I1283" i="5"/>
  <c r="H1283" i="5"/>
  <c r="G1283" i="5"/>
  <c r="F1283" i="5"/>
  <c r="E1283" i="5"/>
  <c r="I1282" i="5"/>
  <c r="H1282" i="5"/>
  <c r="G1282" i="5"/>
  <c r="F1282" i="5"/>
  <c r="E1282" i="5"/>
  <c r="I1281" i="5"/>
  <c r="H1281" i="5"/>
  <c r="G1281" i="5"/>
  <c r="F1281" i="5"/>
  <c r="E1281" i="5"/>
  <c r="I1280" i="5"/>
  <c r="H1280" i="5"/>
  <c r="G1280" i="5"/>
  <c r="F1280" i="5"/>
  <c r="E1280" i="5"/>
  <c r="I1279" i="5"/>
  <c r="H1279" i="5"/>
  <c r="G1279" i="5"/>
  <c r="F1279" i="5"/>
  <c r="E1279" i="5"/>
  <c r="I1278" i="5"/>
  <c r="H1278" i="5"/>
  <c r="G1278" i="5"/>
  <c r="F1278" i="5"/>
  <c r="E1278" i="5"/>
  <c r="I1277" i="5"/>
  <c r="H1277" i="5"/>
  <c r="G1277" i="5"/>
  <c r="F1277" i="5"/>
  <c r="E1277" i="5"/>
  <c r="I1276" i="5"/>
  <c r="H1276" i="5"/>
  <c r="G1276" i="5"/>
  <c r="F1276" i="5"/>
  <c r="E1276" i="5"/>
  <c r="I1275" i="5"/>
  <c r="H1275" i="5"/>
  <c r="G1275" i="5"/>
  <c r="F1275" i="5"/>
  <c r="E1275" i="5"/>
  <c r="I1274" i="5"/>
  <c r="H1274" i="5"/>
  <c r="G1274" i="5"/>
  <c r="F1274" i="5"/>
  <c r="E1274" i="5"/>
  <c r="I1273" i="5"/>
  <c r="H1273" i="5"/>
  <c r="G1273" i="5"/>
  <c r="F1273" i="5"/>
  <c r="E1273" i="5"/>
  <c r="I1272" i="5"/>
  <c r="H1272" i="5"/>
  <c r="G1272" i="5"/>
  <c r="F1272" i="5"/>
  <c r="E1272" i="5"/>
  <c r="I1271" i="5"/>
  <c r="H1271" i="5"/>
  <c r="G1271" i="5"/>
  <c r="F1271" i="5"/>
  <c r="E1271" i="5"/>
  <c r="I1270" i="5"/>
  <c r="H1270" i="5"/>
  <c r="G1270" i="5"/>
  <c r="F1270" i="5"/>
  <c r="E1270" i="5"/>
  <c r="I1269" i="5"/>
  <c r="H1269" i="5"/>
  <c r="G1269" i="5"/>
  <c r="F1269" i="5"/>
  <c r="E1269" i="5"/>
  <c r="I1268" i="5"/>
  <c r="H1268" i="5"/>
  <c r="G1268" i="5"/>
  <c r="F1268" i="5"/>
  <c r="E1268" i="5"/>
  <c r="I1267" i="5"/>
  <c r="H1267" i="5"/>
  <c r="G1267" i="5"/>
  <c r="F1267" i="5"/>
  <c r="E1267" i="5"/>
  <c r="I1266" i="5"/>
  <c r="H1266" i="5"/>
  <c r="G1266" i="5"/>
  <c r="F1266" i="5"/>
  <c r="E1266" i="5"/>
  <c r="I1265" i="5"/>
  <c r="H1265" i="5"/>
  <c r="G1265" i="5"/>
  <c r="F1265" i="5"/>
  <c r="E1265" i="5"/>
  <c r="I1264" i="5"/>
  <c r="H1264" i="5"/>
  <c r="G1264" i="5"/>
  <c r="F1264" i="5"/>
  <c r="E1264" i="5"/>
  <c r="I1263" i="5"/>
  <c r="H1263" i="5"/>
  <c r="G1263" i="5"/>
  <c r="F1263" i="5"/>
  <c r="E1263" i="5"/>
  <c r="I1262" i="5"/>
  <c r="H1262" i="5"/>
  <c r="G1262" i="5"/>
  <c r="F1262" i="5"/>
  <c r="E1262" i="5"/>
  <c r="I1261" i="5"/>
  <c r="H1261" i="5"/>
  <c r="G1261" i="5"/>
  <c r="F1261" i="5"/>
  <c r="E1261" i="5"/>
  <c r="I1260" i="5"/>
  <c r="H1260" i="5"/>
  <c r="G1260" i="5"/>
  <c r="F1260" i="5"/>
  <c r="E1260" i="5"/>
  <c r="I1259" i="5"/>
  <c r="H1259" i="5"/>
  <c r="G1259" i="5"/>
  <c r="F1259" i="5"/>
  <c r="E1259" i="5"/>
  <c r="I1258" i="5"/>
  <c r="H1258" i="5"/>
  <c r="G1258" i="5"/>
  <c r="F1258" i="5"/>
  <c r="E1258" i="5"/>
  <c r="I1257" i="5"/>
  <c r="H1257" i="5"/>
  <c r="G1257" i="5"/>
  <c r="F1257" i="5"/>
  <c r="E1257" i="5"/>
  <c r="I1256" i="5"/>
  <c r="H1256" i="5"/>
  <c r="G1256" i="5"/>
  <c r="F1256" i="5"/>
  <c r="E1256" i="5"/>
  <c r="I1255" i="5"/>
  <c r="H1255" i="5"/>
  <c r="G1255" i="5"/>
  <c r="F1255" i="5"/>
  <c r="E1255" i="5"/>
  <c r="I1254" i="5"/>
  <c r="H1254" i="5"/>
  <c r="G1254" i="5"/>
  <c r="F1254" i="5"/>
  <c r="E1254" i="5"/>
  <c r="I1253" i="5"/>
  <c r="H1253" i="5"/>
  <c r="G1253" i="5"/>
  <c r="F1253" i="5"/>
  <c r="E1253" i="5"/>
  <c r="I1252" i="5"/>
  <c r="H1252" i="5"/>
  <c r="G1252" i="5"/>
  <c r="F1252" i="5"/>
  <c r="E1252" i="5"/>
  <c r="I1251" i="5"/>
  <c r="H1251" i="5"/>
  <c r="G1251" i="5"/>
  <c r="F1251" i="5"/>
  <c r="E1251" i="5"/>
  <c r="I1250" i="5"/>
  <c r="H1250" i="5"/>
  <c r="G1250" i="5"/>
  <c r="F1250" i="5"/>
  <c r="E1250" i="5"/>
  <c r="I1249" i="5"/>
  <c r="H1249" i="5"/>
  <c r="G1249" i="5"/>
  <c r="F1249" i="5"/>
  <c r="E1249" i="5"/>
  <c r="I1248" i="5"/>
  <c r="H1248" i="5"/>
  <c r="G1248" i="5"/>
  <c r="F1248" i="5"/>
  <c r="E1248" i="5"/>
  <c r="I1247" i="5"/>
  <c r="H1247" i="5"/>
  <c r="G1247" i="5"/>
  <c r="F1247" i="5"/>
  <c r="E1247" i="5"/>
  <c r="I1246" i="5"/>
  <c r="H1246" i="5"/>
  <c r="G1246" i="5"/>
  <c r="F1246" i="5"/>
  <c r="E1246" i="5"/>
  <c r="I1245" i="5"/>
  <c r="H1245" i="5"/>
  <c r="G1245" i="5"/>
  <c r="F1245" i="5"/>
  <c r="E1245" i="5"/>
  <c r="I1244" i="5"/>
  <c r="H1244" i="5"/>
  <c r="G1244" i="5"/>
  <c r="F1244" i="5"/>
  <c r="E1244" i="5"/>
  <c r="I1243" i="5"/>
  <c r="H1243" i="5"/>
  <c r="G1243" i="5"/>
  <c r="F1243" i="5"/>
  <c r="E1243" i="5"/>
  <c r="I1242" i="5"/>
  <c r="H1242" i="5"/>
  <c r="G1242" i="5"/>
  <c r="F1242" i="5"/>
  <c r="E1242" i="5"/>
  <c r="I1241" i="5"/>
  <c r="H1241" i="5"/>
  <c r="G1241" i="5"/>
  <c r="F1241" i="5"/>
  <c r="E1241" i="5"/>
  <c r="I1240" i="5"/>
  <c r="H1240" i="5"/>
  <c r="G1240" i="5"/>
  <c r="F1240" i="5"/>
  <c r="E1240" i="5"/>
  <c r="I1239" i="5"/>
  <c r="H1239" i="5"/>
  <c r="G1239" i="5"/>
  <c r="F1239" i="5"/>
  <c r="E1239" i="5"/>
  <c r="I1238" i="5"/>
  <c r="H1238" i="5"/>
  <c r="G1238" i="5"/>
  <c r="F1238" i="5"/>
  <c r="E1238" i="5"/>
  <c r="I1237" i="5"/>
  <c r="H1237" i="5"/>
  <c r="G1237" i="5"/>
  <c r="F1237" i="5"/>
  <c r="E1237" i="5"/>
  <c r="I1236" i="5"/>
  <c r="H1236" i="5"/>
  <c r="G1236" i="5"/>
  <c r="F1236" i="5"/>
  <c r="E1236" i="5"/>
  <c r="I1235" i="5"/>
  <c r="H1235" i="5"/>
  <c r="G1235" i="5"/>
  <c r="F1235" i="5"/>
  <c r="E1235" i="5"/>
  <c r="I1234" i="5"/>
  <c r="H1234" i="5"/>
  <c r="G1234" i="5"/>
  <c r="F1234" i="5"/>
  <c r="E1234" i="5"/>
  <c r="I1233" i="5"/>
  <c r="H1233" i="5"/>
  <c r="G1233" i="5"/>
  <c r="F1233" i="5"/>
  <c r="E1233" i="5"/>
  <c r="I1232" i="5"/>
  <c r="H1232" i="5"/>
  <c r="G1232" i="5"/>
  <c r="F1232" i="5"/>
  <c r="E1232" i="5"/>
  <c r="I1231" i="5"/>
  <c r="H1231" i="5"/>
  <c r="G1231" i="5"/>
  <c r="F1231" i="5"/>
  <c r="E1231" i="5"/>
  <c r="I1230" i="5"/>
  <c r="H1230" i="5"/>
  <c r="G1230" i="5"/>
  <c r="F1230" i="5"/>
  <c r="E1230" i="5"/>
  <c r="I1229" i="5"/>
  <c r="H1229" i="5"/>
  <c r="G1229" i="5"/>
  <c r="F1229" i="5"/>
  <c r="E1229" i="5"/>
  <c r="I1228" i="5"/>
  <c r="H1228" i="5"/>
  <c r="G1228" i="5"/>
  <c r="F1228" i="5"/>
  <c r="E1228" i="5"/>
  <c r="I1227" i="5"/>
  <c r="H1227" i="5"/>
  <c r="G1227" i="5"/>
  <c r="F1227" i="5"/>
  <c r="E1227" i="5"/>
  <c r="I1226" i="5"/>
  <c r="H1226" i="5"/>
  <c r="G1226" i="5"/>
  <c r="F1226" i="5"/>
  <c r="E1226" i="5"/>
  <c r="I1225" i="5"/>
  <c r="H1225" i="5"/>
  <c r="G1225" i="5"/>
  <c r="F1225" i="5"/>
  <c r="E1225" i="5"/>
  <c r="I1224" i="5"/>
  <c r="H1224" i="5"/>
  <c r="G1224" i="5"/>
  <c r="F1224" i="5"/>
  <c r="E1224" i="5"/>
  <c r="I1223" i="5"/>
  <c r="H1223" i="5"/>
  <c r="G1223" i="5"/>
  <c r="F1223" i="5"/>
  <c r="E1223" i="5"/>
  <c r="I1222" i="5"/>
  <c r="H1222" i="5"/>
  <c r="G1222" i="5"/>
  <c r="F1222" i="5"/>
  <c r="E1222" i="5"/>
  <c r="I1221" i="5"/>
  <c r="H1221" i="5"/>
  <c r="G1221" i="5"/>
  <c r="F1221" i="5"/>
  <c r="E1221" i="5"/>
  <c r="I1220" i="5"/>
  <c r="H1220" i="5"/>
  <c r="G1220" i="5"/>
  <c r="F1220" i="5"/>
  <c r="E1220" i="5"/>
  <c r="I1219" i="5"/>
  <c r="H1219" i="5"/>
  <c r="G1219" i="5"/>
  <c r="F1219" i="5"/>
  <c r="E1219" i="5"/>
  <c r="I1218" i="5"/>
  <c r="H1218" i="5"/>
  <c r="G1218" i="5"/>
  <c r="F1218" i="5"/>
  <c r="E1218" i="5"/>
  <c r="I1217" i="5"/>
  <c r="H1217" i="5"/>
  <c r="G1217" i="5"/>
  <c r="F1217" i="5"/>
  <c r="E1217" i="5"/>
  <c r="I1216" i="5"/>
  <c r="H1216" i="5"/>
  <c r="G1216" i="5"/>
  <c r="F1216" i="5"/>
  <c r="E1216" i="5"/>
  <c r="I1215" i="5"/>
  <c r="H1215" i="5"/>
  <c r="G1215" i="5"/>
  <c r="F1215" i="5"/>
  <c r="E1215" i="5"/>
  <c r="I1214" i="5"/>
  <c r="H1214" i="5"/>
  <c r="G1214" i="5"/>
  <c r="F1214" i="5"/>
  <c r="E1214" i="5"/>
  <c r="I1213" i="5"/>
  <c r="H1213" i="5"/>
  <c r="G1213" i="5"/>
  <c r="F1213" i="5"/>
  <c r="E1213" i="5"/>
  <c r="I1212" i="5"/>
  <c r="H1212" i="5"/>
  <c r="G1212" i="5"/>
  <c r="F1212" i="5"/>
  <c r="E1212" i="5"/>
  <c r="I1211" i="5"/>
  <c r="H1211" i="5"/>
  <c r="G1211" i="5"/>
  <c r="F1211" i="5"/>
  <c r="E1211" i="5"/>
  <c r="I1210" i="5"/>
  <c r="H1210" i="5"/>
  <c r="G1210" i="5"/>
  <c r="F1210" i="5"/>
  <c r="E1210" i="5"/>
  <c r="I1209" i="5"/>
  <c r="H1209" i="5"/>
  <c r="G1209" i="5"/>
  <c r="F1209" i="5"/>
  <c r="E1209" i="5"/>
  <c r="I1208" i="5"/>
  <c r="H1208" i="5"/>
  <c r="G1208" i="5"/>
  <c r="F1208" i="5"/>
  <c r="E1208" i="5"/>
  <c r="I1207" i="5"/>
  <c r="H1207" i="5"/>
  <c r="G1207" i="5"/>
  <c r="F1207" i="5"/>
  <c r="E1207" i="5"/>
  <c r="I1206" i="5"/>
  <c r="H1206" i="5"/>
  <c r="G1206" i="5"/>
  <c r="F1206" i="5"/>
  <c r="E1206" i="5"/>
  <c r="I1205" i="5"/>
  <c r="H1205" i="5"/>
  <c r="G1205" i="5"/>
  <c r="F1205" i="5"/>
  <c r="E1205" i="5"/>
  <c r="I1204" i="5"/>
  <c r="H1204" i="5"/>
  <c r="G1204" i="5"/>
  <c r="F1204" i="5"/>
  <c r="E1204" i="5"/>
  <c r="I1203" i="5"/>
  <c r="H1203" i="5"/>
  <c r="G1203" i="5"/>
  <c r="F1203" i="5"/>
  <c r="E1203" i="5"/>
  <c r="I1202" i="5"/>
  <c r="H1202" i="5"/>
  <c r="G1202" i="5"/>
  <c r="F1202" i="5"/>
  <c r="E1202" i="5"/>
  <c r="I1201" i="5"/>
  <c r="H1201" i="5"/>
  <c r="G1201" i="5"/>
  <c r="F1201" i="5"/>
  <c r="E1201" i="5"/>
  <c r="I1200" i="5"/>
  <c r="H1200" i="5"/>
  <c r="G1200" i="5"/>
  <c r="F1200" i="5"/>
  <c r="E1200" i="5"/>
  <c r="I1199" i="5"/>
  <c r="H1199" i="5"/>
  <c r="G1199" i="5"/>
  <c r="F1199" i="5"/>
  <c r="E1199" i="5"/>
  <c r="I1198" i="5"/>
  <c r="H1198" i="5"/>
  <c r="G1198" i="5"/>
  <c r="F1198" i="5"/>
  <c r="E1198" i="5"/>
  <c r="I1197" i="5"/>
  <c r="H1197" i="5"/>
  <c r="G1197" i="5"/>
  <c r="F1197" i="5"/>
  <c r="E1197" i="5"/>
  <c r="I1196" i="5"/>
  <c r="H1196" i="5"/>
  <c r="G1196" i="5"/>
  <c r="F1196" i="5"/>
  <c r="E1196" i="5"/>
  <c r="I1195" i="5"/>
  <c r="H1195" i="5"/>
  <c r="G1195" i="5"/>
  <c r="F1195" i="5"/>
  <c r="E1195" i="5"/>
  <c r="I1194" i="5"/>
  <c r="H1194" i="5"/>
  <c r="G1194" i="5"/>
  <c r="F1194" i="5"/>
  <c r="E1194" i="5"/>
  <c r="I1193" i="5"/>
  <c r="H1193" i="5"/>
  <c r="G1193" i="5"/>
  <c r="F1193" i="5"/>
  <c r="E1193" i="5"/>
  <c r="I1192" i="5"/>
  <c r="H1192" i="5"/>
  <c r="G1192" i="5"/>
  <c r="F1192" i="5"/>
  <c r="E1192" i="5"/>
  <c r="I1191" i="5"/>
  <c r="H1191" i="5"/>
  <c r="G1191" i="5"/>
  <c r="F1191" i="5"/>
  <c r="E1191" i="5"/>
  <c r="I1190" i="5"/>
  <c r="H1190" i="5"/>
  <c r="G1190" i="5"/>
  <c r="F1190" i="5"/>
  <c r="E1190" i="5"/>
  <c r="I1189" i="5"/>
  <c r="H1189" i="5"/>
  <c r="G1189" i="5"/>
  <c r="F1189" i="5"/>
  <c r="E1189" i="5"/>
  <c r="I1188" i="5"/>
  <c r="H1188" i="5"/>
  <c r="G1188" i="5"/>
  <c r="F1188" i="5"/>
  <c r="E1188" i="5"/>
  <c r="I1187" i="5"/>
  <c r="H1187" i="5"/>
  <c r="G1187" i="5"/>
  <c r="F1187" i="5"/>
  <c r="E1187" i="5"/>
  <c r="I1186" i="5"/>
  <c r="H1186" i="5"/>
  <c r="G1186" i="5"/>
  <c r="F1186" i="5"/>
  <c r="E1186" i="5"/>
  <c r="I1185" i="5"/>
  <c r="H1185" i="5"/>
  <c r="G1185" i="5"/>
  <c r="F1185" i="5"/>
  <c r="E1185" i="5"/>
  <c r="I1184" i="5"/>
  <c r="H1184" i="5"/>
  <c r="G1184" i="5"/>
  <c r="F1184" i="5"/>
  <c r="E1184" i="5"/>
  <c r="I1183" i="5"/>
  <c r="H1183" i="5"/>
  <c r="G1183" i="5"/>
  <c r="F1183" i="5"/>
  <c r="E1183" i="5"/>
  <c r="I1182" i="5"/>
  <c r="H1182" i="5"/>
  <c r="G1182" i="5"/>
  <c r="F1182" i="5"/>
  <c r="E1182" i="5"/>
  <c r="I1181" i="5"/>
  <c r="H1181" i="5"/>
  <c r="G1181" i="5"/>
  <c r="F1181" i="5"/>
  <c r="E1181" i="5"/>
  <c r="I1180" i="5"/>
  <c r="H1180" i="5"/>
  <c r="G1180" i="5"/>
  <c r="F1180" i="5"/>
  <c r="E1180" i="5"/>
  <c r="I1179" i="5"/>
  <c r="H1179" i="5"/>
  <c r="G1179" i="5"/>
  <c r="F1179" i="5"/>
  <c r="E1179" i="5"/>
  <c r="I1178" i="5"/>
  <c r="H1178" i="5"/>
  <c r="G1178" i="5"/>
  <c r="F1178" i="5"/>
  <c r="E1178" i="5"/>
  <c r="I1177" i="5"/>
  <c r="H1177" i="5"/>
  <c r="G1177" i="5"/>
  <c r="F1177" i="5"/>
  <c r="E1177" i="5"/>
  <c r="I1176" i="5"/>
  <c r="H1176" i="5"/>
  <c r="G1176" i="5"/>
  <c r="F1176" i="5"/>
  <c r="E1176" i="5"/>
  <c r="I1175" i="5"/>
  <c r="H1175" i="5"/>
  <c r="G1175" i="5"/>
  <c r="F1175" i="5"/>
  <c r="E1175" i="5"/>
  <c r="I1174" i="5"/>
  <c r="H1174" i="5"/>
  <c r="G1174" i="5"/>
  <c r="F1174" i="5"/>
  <c r="E1174" i="5"/>
  <c r="I1173" i="5"/>
  <c r="H1173" i="5"/>
  <c r="G1173" i="5"/>
  <c r="F1173" i="5"/>
  <c r="E1173" i="5"/>
  <c r="I1172" i="5"/>
  <c r="H1172" i="5"/>
  <c r="G1172" i="5"/>
  <c r="F1172" i="5"/>
  <c r="E1172" i="5"/>
  <c r="I1171" i="5"/>
  <c r="H1171" i="5"/>
  <c r="G1171" i="5"/>
  <c r="F1171" i="5"/>
  <c r="E1171" i="5"/>
  <c r="I1170" i="5"/>
  <c r="H1170" i="5"/>
  <c r="G1170" i="5"/>
  <c r="F1170" i="5"/>
  <c r="E1170" i="5"/>
  <c r="I1169" i="5"/>
  <c r="H1169" i="5"/>
  <c r="G1169" i="5"/>
  <c r="F1169" i="5"/>
  <c r="E1169" i="5"/>
  <c r="I1168" i="5"/>
  <c r="H1168" i="5"/>
  <c r="G1168" i="5"/>
  <c r="F1168" i="5"/>
  <c r="E1168" i="5"/>
  <c r="I1167" i="5"/>
  <c r="H1167" i="5"/>
  <c r="G1167" i="5"/>
  <c r="F1167" i="5"/>
  <c r="E1167" i="5"/>
  <c r="I1166" i="5"/>
  <c r="H1166" i="5"/>
  <c r="G1166" i="5"/>
  <c r="F1166" i="5"/>
  <c r="E1166" i="5"/>
  <c r="I1165" i="5"/>
  <c r="H1165" i="5"/>
  <c r="G1165" i="5"/>
  <c r="F1165" i="5"/>
  <c r="E1165" i="5"/>
  <c r="I1164" i="5"/>
  <c r="H1164" i="5"/>
  <c r="G1164" i="5"/>
  <c r="F1164" i="5"/>
  <c r="E1164" i="5"/>
  <c r="I1163" i="5"/>
  <c r="H1163" i="5"/>
  <c r="G1163" i="5"/>
  <c r="F1163" i="5"/>
  <c r="E1163" i="5"/>
  <c r="I1162" i="5"/>
  <c r="H1162" i="5"/>
  <c r="G1162" i="5"/>
  <c r="F1162" i="5"/>
  <c r="E1162" i="5"/>
  <c r="I1161" i="5"/>
  <c r="H1161" i="5"/>
  <c r="G1161" i="5"/>
  <c r="F1161" i="5"/>
  <c r="E1161" i="5"/>
  <c r="I1160" i="5"/>
  <c r="H1160" i="5"/>
  <c r="G1160" i="5"/>
  <c r="F1160" i="5"/>
  <c r="E1160" i="5"/>
  <c r="I1159" i="5"/>
  <c r="H1159" i="5"/>
  <c r="G1159" i="5"/>
  <c r="F1159" i="5"/>
  <c r="E1159" i="5"/>
  <c r="I1158" i="5"/>
  <c r="H1158" i="5"/>
  <c r="G1158" i="5"/>
  <c r="F1158" i="5"/>
  <c r="E1158" i="5"/>
  <c r="I1157" i="5"/>
  <c r="H1157" i="5"/>
  <c r="G1157" i="5"/>
  <c r="F1157" i="5"/>
  <c r="E1157" i="5"/>
  <c r="I1156" i="5"/>
  <c r="H1156" i="5"/>
  <c r="G1156" i="5"/>
  <c r="F1156" i="5"/>
  <c r="E1156" i="5"/>
  <c r="I1155" i="5"/>
  <c r="H1155" i="5"/>
  <c r="G1155" i="5"/>
  <c r="F1155" i="5"/>
  <c r="E1155" i="5"/>
  <c r="I1154" i="5"/>
  <c r="H1154" i="5"/>
  <c r="G1154" i="5"/>
  <c r="F1154" i="5"/>
  <c r="E1154" i="5"/>
  <c r="I1153" i="5"/>
  <c r="H1153" i="5"/>
  <c r="G1153" i="5"/>
  <c r="F1153" i="5"/>
  <c r="E1153" i="5"/>
  <c r="I1152" i="5"/>
  <c r="H1152" i="5"/>
  <c r="G1152" i="5"/>
  <c r="F1152" i="5"/>
  <c r="E1152" i="5"/>
  <c r="I1151" i="5"/>
  <c r="H1151" i="5"/>
  <c r="G1151" i="5"/>
  <c r="F1151" i="5"/>
  <c r="E1151" i="5"/>
  <c r="I1150" i="5"/>
  <c r="H1150" i="5"/>
  <c r="G1150" i="5"/>
  <c r="F1150" i="5"/>
  <c r="E1150" i="5"/>
  <c r="I1149" i="5"/>
  <c r="H1149" i="5"/>
  <c r="G1149" i="5"/>
  <c r="F1149" i="5"/>
  <c r="E1149" i="5"/>
  <c r="I1148" i="5"/>
  <c r="H1148" i="5"/>
  <c r="G1148" i="5"/>
  <c r="F1148" i="5"/>
  <c r="E1148" i="5"/>
  <c r="I1147" i="5"/>
  <c r="H1147" i="5"/>
  <c r="G1147" i="5"/>
  <c r="F1147" i="5"/>
  <c r="E1147" i="5"/>
  <c r="I1146" i="5"/>
  <c r="H1146" i="5"/>
  <c r="G1146" i="5"/>
  <c r="F1146" i="5"/>
  <c r="E1146" i="5"/>
  <c r="I1145" i="5"/>
  <c r="H1145" i="5"/>
  <c r="G1145" i="5"/>
  <c r="F1145" i="5"/>
  <c r="E1145" i="5"/>
  <c r="I1144" i="5"/>
  <c r="H1144" i="5"/>
  <c r="G1144" i="5"/>
  <c r="F1144" i="5"/>
  <c r="E1144" i="5"/>
  <c r="I1143" i="5"/>
  <c r="H1143" i="5"/>
  <c r="G1143" i="5"/>
  <c r="F1143" i="5"/>
  <c r="E1143" i="5"/>
  <c r="I1142" i="5"/>
  <c r="H1142" i="5"/>
  <c r="G1142" i="5"/>
  <c r="F1142" i="5"/>
  <c r="E1142" i="5"/>
  <c r="I1141" i="5"/>
  <c r="H1141" i="5"/>
  <c r="G1141" i="5"/>
  <c r="F1141" i="5"/>
  <c r="E1141" i="5"/>
  <c r="I1140" i="5"/>
  <c r="H1140" i="5"/>
  <c r="G1140" i="5"/>
  <c r="F1140" i="5"/>
  <c r="E1140" i="5"/>
  <c r="I1139" i="5"/>
  <c r="H1139" i="5"/>
  <c r="G1139" i="5"/>
  <c r="F1139" i="5"/>
  <c r="E1139" i="5"/>
  <c r="I1138" i="5"/>
  <c r="H1138" i="5"/>
  <c r="G1138" i="5"/>
  <c r="F1138" i="5"/>
  <c r="E1138" i="5"/>
  <c r="I1137" i="5"/>
  <c r="H1137" i="5"/>
  <c r="G1137" i="5"/>
  <c r="F1137" i="5"/>
  <c r="E1137" i="5"/>
  <c r="I1136" i="5"/>
  <c r="H1136" i="5"/>
  <c r="G1136" i="5"/>
  <c r="F1136" i="5"/>
  <c r="E1136" i="5"/>
  <c r="I1135" i="5"/>
  <c r="H1135" i="5"/>
  <c r="G1135" i="5"/>
  <c r="F1135" i="5"/>
  <c r="E1135" i="5"/>
  <c r="I1134" i="5"/>
  <c r="H1134" i="5"/>
  <c r="G1134" i="5"/>
  <c r="F1134" i="5"/>
  <c r="E1134" i="5"/>
  <c r="I1133" i="5"/>
  <c r="H1133" i="5"/>
  <c r="G1133" i="5"/>
  <c r="F1133" i="5"/>
  <c r="E1133" i="5"/>
  <c r="I1132" i="5"/>
  <c r="H1132" i="5"/>
  <c r="G1132" i="5"/>
  <c r="F1132" i="5"/>
  <c r="E1132" i="5"/>
  <c r="I1131" i="5"/>
  <c r="H1131" i="5"/>
  <c r="G1131" i="5"/>
  <c r="F1131" i="5"/>
  <c r="E1131" i="5"/>
  <c r="I1130" i="5"/>
  <c r="H1130" i="5"/>
  <c r="G1130" i="5"/>
  <c r="F1130" i="5"/>
  <c r="E1130" i="5"/>
  <c r="I1129" i="5"/>
  <c r="H1129" i="5"/>
  <c r="G1129" i="5"/>
  <c r="F1129" i="5"/>
  <c r="E1129" i="5"/>
  <c r="I1128" i="5"/>
  <c r="H1128" i="5"/>
  <c r="G1128" i="5"/>
  <c r="F1128" i="5"/>
  <c r="E1128" i="5"/>
  <c r="I1127" i="5"/>
  <c r="H1127" i="5"/>
  <c r="G1127" i="5"/>
  <c r="F1127" i="5"/>
  <c r="E1127" i="5"/>
  <c r="I1126" i="5"/>
  <c r="H1126" i="5"/>
  <c r="G1126" i="5"/>
  <c r="F1126" i="5"/>
  <c r="E1126" i="5"/>
  <c r="I1125" i="5"/>
  <c r="H1125" i="5"/>
  <c r="G1125" i="5"/>
  <c r="F1125" i="5"/>
  <c r="E1125" i="5"/>
  <c r="I1124" i="5"/>
  <c r="H1124" i="5"/>
  <c r="G1124" i="5"/>
  <c r="F1124" i="5"/>
  <c r="E1124" i="5"/>
  <c r="I1123" i="5"/>
  <c r="H1123" i="5"/>
  <c r="G1123" i="5"/>
  <c r="F1123" i="5"/>
  <c r="E1123" i="5"/>
  <c r="I1122" i="5"/>
  <c r="H1122" i="5"/>
  <c r="G1122" i="5"/>
  <c r="F1122" i="5"/>
  <c r="E1122" i="5"/>
  <c r="I1121" i="5"/>
  <c r="H1121" i="5"/>
  <c r="G1121" i="5"/>
  <c r="F1121" i="5"/>
  <c r="E1121" i="5"/>
  <c r="I1120" i="5"/>
  <c r="H1120" i="5"/>
  <c r="G1120" i="5"/>
  <c r="F1120" i="5"/>
  <c r="E1120" i="5"/>
  <c r="I1119" i="5"/>
  <c r="H1119" i="5"/>
  <c r="G1119" i="5"/>
  <c r="F1119" i="5"/>
  <c r="E1119" i="5"/>
  <c r="I1118" i="5"/>
  <c r="H1118" i="5"/>
  <c r="G1118" i="5"/>
  <c r="F1118" i="5"/>
  <c r="E1118" i="5"/>
  <c r="I1117" i="5"/>
  <c r="H1117" i="5"/>
  <c r="G1117" i="5"/>
  <c r="F1117" i="5"/>
  <c r="E1117" i="5"/>
  <c r="I1116" i="5"/>
  <c r="H1116" i="5"/>
  <c r="G1116" i="5"/>
  <c r="F1116" i="5"/>
  <c r="E1116" i="5"/>
  <c r="I1115" i="5"/>
  <c r="H1115" i="5"/>
  <c r="G1115" i="5"/>
  <c r="F1115" i="5"/>
  <c r="E1115" i="5"/>
  <c r="I1114" i="5"/>
  <c r="H1114" i="5"/>
  <c r="G1114" i="5"/>
  <c r="F1114" i="5"/>
  <c r="E1114" i="5"/>
  <c r="I1113" i="5"/>
  <c r="H1113" i="5"/>
  <c r="G1113" i="5"/>
  <c r="F1113" i="5"/>
  <c r="E1113" i="5"/>
  <c r="I1112" i="5"/>
  <c r="H1112" i="5"/>
  <c r="G1112" i="5"/>
  <c r="F1112" i="5"/>
  <c r="E1112" i="5"/>
  <c r="I1111" i="5"/>
  <c r="H1111" i="5"/>
  <c r="G1111" i="5"/>
  <c r="F1111" i="5"/>
  <c r="E1111" i="5"/>
  <c r="I1110" i="5"/>
  <c r="H1110" i="5"/>
  <c r="G1110" i="5"/>
  <c r="F1110" i="5"/>
  <c r="E1110" i="5"/>
  <c r="I1109" i="5"/>
  <c r="H1109" i="5"/>
  <c r="G1109" i="5"/>
  <c r="F1109" i="5"/>
  <c r="E1109" i="5"/>
  <c r="I1108" i="5"/>
  <c r="H1108" i="5"/>
  <c r="G1108" i="5"/>
  <c r="F1108" i="5"/>
  <c r="E1108" i="5"/>
  <c r="I1107" i="5"/>
  <c r="H1107" i="5"/>
  <c r="G1107" i="5"/>
  <c r="F1107" i="5"/>
  <c r="E1107" i="5"/>
  <c r="I1106" i="5"/>
  <c r="H1106" i="5"/>
  <c r="G1106" i="5"/>
  <c r="F1106" i="5"/>
  <c r="E1106" i="5"/>
  <c r="I1105" i="5"/>
  <c r="H1105" i="5"/>
  <c r="G1105" i="5"/>
  <c r="F1105" i="5"/>
  <c r="E1105" i="5"/>
  <c r="I1104" i="5"/>
  <c r="H1104" i="5"/>
  <c r="G1104" i="5"/>
  <c r="F1104" i="5"/>
  <c r="E1104" i="5"/>
  <c r="I1103" i="5"/>
  <c r="H1103" i="5"/>
  <c r="G1103" i="5"/>
  <c r="F1103" i="5"/>
  <c r="E1103" i="5"/>
  <c r="I1102" i="5"/>
  <c r="H1102" i="5"/>
  <c r="G1102" i="5"/>
  <c r="F1102" i="5"/>
  <c r="E1102" i="5"/>
  <c r="I1101" i="5"/>
  <c r="H1101" i="5"/>
  <c r="G1101" i="5"/>
  <c r="F1101" i="5"/>
  <c r="E1101" i="5"/>
  <c r="I1100" i="5"/>
  <c r="H1100" i="5"/>
  <c r="G1100" i="5"/>
  <c r="F1100" i="5"/>
  <c r="E1100" i="5"/>
  <c r="I1099" i="5"/>
  <c r="H1099" i="5"/>
  <c r="G1099" i="5"/>
  <c r="F1099" i="5"/>
  <c r="E1099" i="5"/>
  <c r="I1098" i="5"/>
  <c r="H1098" i="5"/>
  <c r="G1098" i="5"/>
  <c r="F1098" i="5"/>
  <c r="E1098" i="5"/>
  <c r="I1097" i="5"/>
  <c r="H1097" i="5"/>
  <c r="G1097" i="5"/>
  <c r="F1097" i="5"/>
  <c r="E1097" i="5"/>
  <c r="I1096" i="5"/>
  <c r="H1096" i="5"/>
  <c r="G1096" i="5"/>
  <c r="F1096" i="5"/>
  <c r="E1096" i="5"/>
  <c r="I1095" i="5"/>
  <c r="H1095" i="5"/>
  <c r="G1095" i="5"/>
  <c r="F1095" i="5"/>
  <c r="E1095" i="5"/>
  <c r="I1094" i="5"/>
  <c r="H1094" i="5"/>
  <c r="G1094" i="5"/>
  <c r="F1094" i="5"/>
  <c r="E1094" i="5"/>
  <c r="I1093" i="5"/>
  <c r="H1093" i="5"/>
  <c r="G1093" i="5"/>
  <c r="F1093" i="5"/>
  <c r="E1093" i="5"/>
  <c r="I1092" i="5"/>
  <c r="H1092" i="5"/>
  <c r="G1092" i="5"/>
  <c r="F1092" i="5"/>
  <c r="E1092" i="5"/>
  <c r="I1091" i="5"/>
  <c r="H1091" i="5"/>
  <c r="G1091" i="5"/>
  <c r="F1091" i="5"/>
  <c r="E1091" i="5"/>
  <c r="I1090" i="5"/>
  <c r="H1090" i="5"/>
  <c r="G1090" i="5"/>
  <c r="F1090" i="5"/>
  <c r="E1090" i="5"/>
  <c r="I1089" i="5"/>
  <c r="H1089" i="5"/>
  <c r="G1089" i="5"/>
  <c r="F1089" i="5"/>
  <c r="E1089" i="5"/>
  <c r="I1088" i="5"/>
  <c r="H1088" i="5"/>
  <c r="G1088" i="5"/>
  <c r="F1088" i="5"/>
  <c r="E1088" i="5"/>
  <c r="I1087" i="5"/>
  <c r="H1087" i="5"/>
  <c r="G1087" i="5"/>
  <c r="F1087" i="5"/>
  <c r="E1087" i="5"/>
  <c r="I1086" i="5"/>
  <c r="H1086" i="5"/>
  <c r="G1086" i="5"/>
  <c r="F1086" i="5"/>
  <c r="E1086" i="5"/>
  <c r="I1085" i="5"/>
  <c r="H1085" i="5"/>
  <c r="G1085" i="5"/>
  <c r="F1085" i="5"/>
  <c r="E1085" i="5"/>
  <c r="I1084" i="5"/>
  <c r="H1084" i="5"/>
  <c r="G1084" i="5"/>
  <c r="F1084" i="5"/>
  <c r="E1084" i="5"/>
  <c r="I1083" i="5"/>
  <c r="H1083" i="5"/>
  <c r="G1083" i="5"/>
  <c r="F1083" i="5"/>
  <c r="E1083" i="5"/>
  <c r="I1082" i="5"/>
  <c r="H1082" i="5"/>
  <c r="G1082" i="5"/>
  <c r="F1082" i="5"/>
  <c r="E1082" i="5"/>
  <c r="I1081" i="5"/>
  <c r="H1081" i="5"/>
  <c r="G1081" i="5"/>
  <c r="F1081" i="5"/>
  <c r="E1081" i="5"/>
  <c r="I1080" i="5"/>
  <c r="H1080" i="5"/>
  <c r="G1080" i="5"/>
  <c r="F1080" i="5"/>
  <c r="E1080" i="5"/>
  <c r="I1079" i="5"/>
  <c r="H1079" i="5"/>
  <c r="G1079" i="5"/>
  <c r="F1079" i="5"/>
  <c r="E1079" i="5"/>
  <c r="I1078" i="5"/>
  <c r="H1078" i="5"/>
  <c r="G1078" i="5"/>
  <c r="F1078" i="5"/>
  <c r="E1078" i="5"/>
  <c r="I1077" i="5"/>
  <c r="H1077" i="5"/>
  <c r="G1077" i="5"/>
  <c r="F1077" i="5"/>
  <c r="E1077" i="5"/>
  <c r="I1076" i="5"/>
  <c r="H1076" i="5"/>
  <c r="G1076" i="5"/>
  <c r="F1076" i="5"/>
  <c r="E1076" i="5"/>
  <c r="I1075" i="5"/>
  <c r="H1075" i="5"/>
  <c r="G1075" i="5"/>
  <c r="F1075" i="5"/>
  <c r="E1075" i="5"/>
  <c r="I1074" i="5"/>
  <c r="H1074" i="5"/>
  <c r="G1074" i="5"/>
  <c r="F1074" i="5"/>
  <c r="E1074" i="5"/>
  <c r="I1073" i="5"/>
  <c r="H1073" i="5"/>
  <c r="G1073" i="5"/>
  <c r="F1073" i="5"/>
  <c r="E1073" i="5"/>
  <c r="I1072" i="5"/>
  <c r="H1072" i="5"/>
  <c r="G1072" i="5"/>
  <c r="F1072" i="5"/>
  <c r="E1072" i="5"/>
  <c r="I1071" i="5"/>
  <c r="H1071" i="5"/>
  <c r="G1071" i="5"/>
  <c r="F1071" i="5"/>
  <c r="E1071" i="5"/>
  <c r="I1070" i="5"/>
  <c r="H1070" i="5"/>
  <c r="G1070" i="5"/>
  <c r="F1070" i="5"/>
  <c r="E1070" i="5"/>
  <c r="I1069" i="5"/>
  <c r="H1069" i="5"/>
  <c r="G1069" i="5"/>
  <c r="F1069" i="5"/>
  <c r="E1069" i="5"/>
  <c r="I1068" i="5"/>
  <c r="H1068" i="5"/>
  <c r="G1068" i="5"/>
  <c r="F1068" i="5"/>
  <c r="E1068" i="5"/>
  <c r="I1067" i="5"/>
  <c r="H1067" i="5"/>
  <c r="G1067" i="5"/>
  <c r="F1067" i="5"/>
  <c r="E1067" i="5"/>
  <c r="I1066" i="5"/>
  <c r="H1066" i="5"/>
  <c r="G1066" i="5"/>
  <c r="F1066" i="5"/>
  <c r="E1066" i="5"/>
  <c r="I1065" i="5"/>
  <c r="H1065" i="5"/>
  <c r="G1065" i="5"/>
  <c r="F1065" i="5"/>
  <c r="E1065" i="5"/>
  <c r="I1064" i="5"/>
  <c r="H1064" i="5"/>
  <c r="G1064" i="5"/>
  <c r="F1064" i="5"/>
  <c r="E1064" i="5"/>
  <c r="I1063" i="5"/>
  <c r="H1063" i="5"/>
  <c r="G1063" i="5"/>
  <c r="F1063" i="5"/>
  <c r="E1063" i="5"/>
  <c r="I1062" i="5"/>
  <c r="H1062" i="5"/>
  <c r="G1062" i="5"/>
  <c r="F1062" i="5"/>
  <c r="E1062" i="5"/>
  <c r="I1061" i="5"/>
  <c r="H1061" i="5"/>
  <c r="G1061" i="5"/>
  <c r="F1061" i="5"/>
  <c r="E1061" i="5"/>
  <c r="I1060" i="5"/>
  <c r="H1060" i="5"/>
  <c r="G1060" i="5"/>
  <c r="F1060" i="5"/>
  <c r="E1060" i="5"/>
  <c r="I1059" i="5"/>
  <c r="H1059" i="5"/>
  <c r="G1059" i="5"/>
  <c r="F1059" i="5"/>
  <c r="E1059" i="5"/>
  <c r="I1058" i="5"/>
  <c r="H1058" i="5"/>
  <c r="G1058" i="5"/>
  <c r="F1058" i="5"/>
  <c r="E1058" i="5"/>
  <c r="I1057" i="5"/>
  <c r="H1057" i="5"/>
  <c r="G1057" i="5"/>
  <c r="F1057" i="5"/>
  <c r="E1057" i="5"/>
  <c r="I1056" i="5"/>
  <c r="H1056" i="5"/>
  <c r="G1056" i="5"/>
  <c r="F1056" i="5"/>
  <c r="E1056" i="5"/>
  <c r="I1055" i="5"/>
  <c r="H1055" i="5"/>
  <c r="G1055" i="5"/>
  <c r="F1055" i="5"/>
  <c r="E1055" i="5"/>
  <c r="I1054" i="5"/>
  <c r="H1054" i="5"/>
  <c r="G1054" i="5"/>
  <c r="F1054" i="5"/>
  <c r="E1054" i="5"/>
  <c r="I1053" i="5"/>
  <c r="H1053" i="5"/>
  <c r="G1053" i="5"/>
  <c r="F1053" i="5"/>
  <c r="E1053" i="5"/>
  <c r="I1052" i="5"/>
  <c r="H1052" i="5"/>
  <c r="G1052" i="5"/>
  <c r="F1052" i="5"/>
  <c r="E1052" i="5"/>
  <c r="I1051" i="5"/>
  <c r="H1051" i="5"/>
  <c r="G1051" i="5"/>
  <c r="F1051" i="5"/>
  <c r="E1051" i="5"/>
  <c r="I1050" i="5"/>
  <c r="H1050" i="5"/>
  <c r="G1050" i="5"/>
  <c r="F1050" i="5"/>
  <c r="E1050" i="5"/>
  <c r="I1049" i="5"/>
  <c r="H1049" i="5"/>
  <c r="G1049" i="5"/>
  <c r="F1049" i="5"/>
  <c r="E1049" i="5"/>
  <c r="I1048" i="5"/>
  <c r="H1048" i="5"/>
  <c r="G1048" i="5"/>
  <c r="F1048" i="5"/>
  <c r="E1048" i="5"/>
  <c r="I1047" i="5"/>
  <c r="H1047" i="5"/>
  <c r="G1047" i="5"/>
  <c r="F1047" i="5"/>
  <c r="E1047" i="5"/>
  <c r="I1046" i="5"/>
  <c r="H1046" i="5"/>
  <c r="G1046" i="5"/>
  <c r="F1046" i="5"/>
  <c r="E1046" i="5"/>
  <c r="I1045" i="5"/>
  <c r="H1045" i="5"/>
  <c r="G1045" i="5"/>
  <c r="F1045" i="5"/>
  <c r="E1045" i="5"/>
  <c r="I1044" i="5"/>
  <c r="H1044" i="5"/>
  <c r="G1044" i="5"/>
  <c r="F1044" i="5"/>
  <c r="E1044" i="5"/>
  <c r="I1043" i="5"/>
  <c r="H1043" i="5"/>
  <c r="G1043" i="5"/>
  <c r="F1043" i="5"/>
  <c r="E1043" i="5"/>
  <c r="I1042" i="5"/>
  <c r="H1042" i="5"/>
  <c r="G1042" i="5"/>
  <c r="F1042" i="5"/>
  <c r="E1042" i="5"/>
  <c r="I1041" i="5"/>
  <c r="H1041" i="5"/>
  <c r="G1041" i="5"/>
  <c r="F1041" i="5"/>
  <c r="E1041" i="5"/>
  <c r="I1040" i="5"/>
  <c r="H1040" i="5"/>
  <c r="G1040" i="5"/>
  <c r="F1040" i="5"/>
  <c r="E1040" i="5"/>
  <c r="I1039" i="5"/>
  <c r="H1039" i="5"/>
  <c r="G1039" i="5"/>
  <c r="F1039" i="5"/>
  <c r="E1039" i="5"/>
  <c r="I1038" i="5"/>
  <c r="H1038" i="5"/>
  <c r="G1038" i="5"/>
  <c r="F1038" i="5"/>
  <c r="E1038" i="5"/>
  <c r="I1037" i="5"/>
  <c r="H1037" i="5"/>
  <c r="G1037" i="5"/>
  <c r="F1037" i="5"/>
  <c r="E1037" i="5"/>
  <c r="I1036" i="5"/>
  <c r="H1036" i="5"/>
  <c r="G1036" i="5"/>
  <c r="F1036" i="5"/>
  <c r="E1036" i="5"/>
  <c r="I1035" i="5"/>
  <c r="H1035" i="5"/>
  <c r="G1035" i="5"/>
  <c r="F1035" i="5"/>
  <c r="E1035" i="5"/>
  <c r="I1034" i="5"/>
  <c r="H1034" i="5"/>
  <c r="G1034" i="5"/>
  <c r="F1034" i="5"/>
  <c r="E1034" i="5"/>
  <c r="I1033" i="5"/>
  <c r="H1033" i="5"/>
  <c r="G1033" i="5"/>
  <c r="F1033" i="5"/>
  <c r="E1033" i="5"/>
  <c r="I1032" i="5"/>
  <c r="H1032" i="5"/>
  <c r="G1032" i="5"/>
  <c r="F1032" i="5"/>
  <c r="E1032" i="5"/>
  <c r="I1031" i="5"/>
  <c r="H1031" i="5"/>
  <c r="G1031" i="5"/>
  <c r="F1031" i="5"/>
  <c r="E1031" i="5"/>
  <c r="I1030" i="5"/>
  <c r="H1030" i="5"/>
  <c r="G1030" i="5"/>
  <c r="F1030" i="5"/>
  <c r="E1030" i="5"/>
  <c r="I1029" i="5"/>
  <c r="H1029" i="5"/>
  <c r="G1029" i="5"/>
  <c r="F1029" i="5"/>
  <c r="E1029" i="5"/>
  <c r="I1028" i="5"/>
  <c r="H1028" i="5"/>
  <c r="G1028" i="5"/>
  <c r="F1028" i="5"/>
  <c r="E1028" i="5"/>
  <c r="I1027" i="5"/>
  <c r="H1027" i="5"/>
  <c r="G1027" i="5"/>
  <c r="F1027" i="5"/>
  <c r="E1027" i="5"/>
  <c r="I1026" i="5"/>
  <c r="H1026" i="5"/>
  <c r="G1026" i="5"/>
  <c r="F1026" i="5"/>
  <c r="E1026" i="5"/>
  <c r="I1025" i="5"/>
  <c r="H1025" i="5"/>
  <c r="G1025" i="5"/>
  <c r="F1025" i="5"/>
  <c r="E1025" i="5"/>
  <c r="I1024" i="5"/>
  <c r="H1024" i="5"/>
  <c r="G1024" i="5"/>
  <c r="F1024" i="5"/>
  <c r="E1024" i="5"/>
  <c r="I1023" i="5"/>
  <c r="H1023" i="5"/>
  <c r="G1023" i="5"/>
  <c r="F1023" i="5"/>
  <c r="E1023" i="5"/>
  <c r="I1022" i="5"/>
  <c r="H1022" i="5"/>
  <c r="G1022" i="5"/>
  <c r="F1022" i="5"/>
  <c r="E1022" i="5"/>
  <c r="I1021" i="5"/>
  <c r="H1021" i="5"/>
  <c r="G1021" i="5"/>
  <c r="F1021" i="5"/>
  <c r="E1021" i="5"/>
  <c r="I1020" i="5"/>
  <c r="H1020" i="5"/>
  <c r="G1020" i="5"/>
  <c r="F1020" i="5"/>
  <c r="E1020" i="5"/>
  <c r="I1019" i="5"/>
  <c r="H1019" i="5"/>
  <c r="G1019" i="5"/>
  <c r="F1019" i="5"/>
  <c r="E1019" i="5"/>
  <c r="I1018" i="5"/>
  <c r="H1018" i="5"/>
  <c r="G1018" i="5"/>
  <c r="F1018" i="5"/>
  <c r="E1018" i="5"/>
  <c r="I1017" i="5"/>
  <c r="H1017" i="5"/>
  <c r="G1017" i="5"/>
  <c r="F1017" i="5"/>
  <c r="E1017" i="5"/>
  <c r="I1016" i="5"/>
  <c r="H1016" i="5"/>
  <c r="G1016" i="5"/>
  <c r="F1016" i="5"/>
  <c r="E1016" i="5"/>
  <c r="I1015" i="5"/>
  <c r="H1015" i="5"/>
  <c r="G1015" i="5"/>
  <c r="F1015" i="5"/>
  <c r="E1015" i="5"/>
  <c r="I1014" i="5"/>
  <c r="H1014" i="5"/>
  <c r="G1014" i="5"/>
  <c r="F1014" i="5"/>
  <c r="E1014" i="5"/>
  <c r="I1013" i="5"/>
  <c r="H1013" i="5"/>
  <c r="G1013" i="5"/>
  <c r="F1013" i="5"/>
  <c r="E1013" i="5"/>
  <c r="I1012" i="5"/>
  <c r="H1012" i="5"/>
  <c r="G1012" i="5"/>
  <c r="F1012" i="5"/>
  <c r="E1012" i="5"/>
  <c r="I1011" i="5"/>
  <c r="H1011" i="5"/>
  <c r="G1011" i="5"/>
  <c r="F1011" i="5"/>
  <c r="E1011" i="5"/>
  <c r="I1010" i="5"/>
  <c r="H1010" i="5"/>
  <c r="G1010" i="5"/>
  <c r="F1010" i="5"/>
  <c r="E1010" i="5"/>
  <c r="I1009" i="5"/>
  <c r="H1009" i="5"/>
  <c r="G1009" i="5"/>
  <c r="F1009" i="5"/>
  <c r="E1009" i="5"/>
  <c r="I1008" i="5"/>
  <c r="H1008" i="5"/>
  <c r="G1008" i="5"/>
  <c r="F1008" i="5"/>
  <c r="E1008" i="5"/>
  <c r="I1007" i="5"/>
  <c r="H1007" i="5"/>
  <c r="G1007" i="5"/>
  <c r="F1007" i="5"/>
  <c r="E1007" i="5"/>
  <c r="I1006" i="5"/>
  <c r="H1006" i="5"/>
  <c r="G1006" i="5"/>
  <c r="F1006" i="5"/>
  <c r="E1006" i="5"/>
  <c r="I1005" i="5"/>
  <c r="H1005" i="5"/>
  <c r="G1005" i="5"/>
  <c r="F1005" i="5"/>
  <c r="E1005" i="5"/>
  <c r="I1004" i="5"/>
  <c r="H1004" i="5"/>
  <c r="G1004" i="5"/>
  <c r="F1004" i="5"/>
  <c r="E1004" i="5"/>
  <c r="I1003" i="5"/>
  <c r="H1003" i="5"/>
  <c r="G1003" i="5"/>
  <c r="F1003" i="5"/>
  <c r="E1003" i="5"/>
  <c r="I1002" i="5"/>
  <c r="H1002" i="5"/>
  <c r="G1002" i="5"/>
  <c r="F1002" i="5"/>
  <c r="E1002" i="5"/>
  <c r="I1001" i="5"/>
  <c r="H1001" i="5"/>
  <c r="G1001" i="5"/>
  <c r="F1001" i="5"/>
  <c r="E1001" i="5"/>
  <c r="I1000" i="5"/>
  <c r="H1000" i="5"/>
  <c r="G1000" i="5"/>
  <c r="F1000" i="5"/>
  <c r="E1000" i="5"/>
  <c r="I999" i="5"/>
  <c r="H999" i="5"/>
  <c r="G999" i="5"/>
  <c r="F999" i="5"/>
  <c r="E999" i="5"/>
  <c r="I998" i="5"/>
  <c r="H998" i="5"/>
  <c r="G998" i="5"/>
  <c r="F998" i="5"/>
  <c r="E998" i="5"/>
  <c r="I997" i="5"/>
  <c r="H997" i="5"/>
  <c r="G997" i="5"/>
  <c r="F997" i="5"/>
  <c r="E997" i="5"/>
  <c r="I996" i="5"/>
  <c r="H996" i="5"/>
  <c r="G996" i="5"/>
  <c r="F996" i="5"/>
  <c r="E996" i="5"/>
  <c r="I995" i="5"/>
  <c r="H995" i="5"/>
  <c r="G995" i="5"/>
  <c r="F995" i="5"/>
  <c r="E995" i="5"/>
  <c r="I994" i="5"/>
  <c r="H994" i="5"/>
  <c r="G994" i="5"/>
  <c r="F994" i="5"/>
  <c r="E994" i="5"/>
  <c r="I993" i="5"/>
  <c r="H993" i="5"/>
  <c r="G993" i="5"/>
  <c r="F993" i="5"/>
  <c r="E993" i="5"/>
  <c r="I992" i="5"/>
  <c r="H992" i="5"/>
  <c r="G992" i="5"/>
  <c r="F992" i="5"/>
  <c r="E992" i="5"/>
  <c r="I991" i="5"/>
  <c r="H991" i="5"/>
  <c r="G991" i="5"/>
  <c r="F991" i="5"/>
  <c r="E991" i="5"/>
  <c r="I990" i="5"/>
  <c r="H990" i="5"/>
  <c r="G990" i="5"/>
  <c r="F990" i="5"/>
  <c r="E990" i="5"/>
  <c r="I989" i="5"/>
  <c r="H989" i="5"/>
  <c r="G989" i="5"/>
  <c r="F989" i="5"/>
  <c r="E989" i="5"/>
  <c r="I988" i="5"/>
  <c r="H988" i="5"/>
  <c r="G988" i="5"/>
  <c r="F988" i="5"/>
  <c r="E988" i="5"/>
  <c r="I987" i="5"/>
  <c r="H987" i="5"/>
  <c r="G987" i="5"/>
  <c r="F987" i="5"/>
  <c r="E987" i="5"/>
  <c r="I986" i="5"/>
  <c r="H986" i="5"/>
  <c r="G986" i="5"/>
  <c r="F986" i="5"/>
  <c r="E986" i="5"/>
  <c r="I985" i="5"/>
  <c r="H985" i="5"/>
  <c r="G985" i="5"/>
  <c r="F985" i="5"/>
  <c r="E985" i="5"/>
  <c r="I984" i="5"/>
  <c r="H984" i="5"/>
  <c r="G984" i="5"/>
  <c r="F984" i="5"/>
  <c r="E984" i="5"/>
  <c r="I983" i="5"/>
  <c r="H983" i="5"/>
  <c r="G983" i="5"/>
  <c r="F983" i="5"/>
  <c r="E983" i="5"/>
  <c r="I982" i="5"/>
  <c r="H982" i="5"/>
  <c r="G982" i="5"/>
  <c r="F982" i="5"/>
  <c r="E982" i="5"/>
  <c r="I981" i="5"/>
  <c r="H981" i="5"/>
  <c r="G981" i="5"/>
  <c r="F981" i="5"/>
  <c r="E981" i="5"/>
  <c r="I980" i="5"/>
  <c r="H980" i="5"/>
  <c r="G980" i="5"/>
  <c r="F980" i="5"/>
  <c r="E980" i="5"/>
  <c r="I979" i="5"/>
  <c r="H979" i="5"/>
  <c r="G979" i="5"/>
  <c r="F979" i="5"/>
  <c r="E979" i="5"/>
  <c r="I978" i="5"/>
  <c r="H978" i="5"/>
  <c r="G978" i="5"/>
  <c r="F978" i="5"/>
  <c r="E978" i="5"/>
  <c r="I977" i="5"/>
  <c r="H977" i="5"/>
  <c r="G977" i="5"/>
  <c r="F977" i="5"/>
  <c r="E977" i="5"/>
  <c r="I976" i="5"/>
  <c r="H976" i="5"/>
  <c r="G976" i="5"/>
  <c r="F976" i="5"/>
  <c r="E976" i="5"/>
  <c r="I975" i="5"/>
  <c r="H975" i="5"/>
  <c r="G975" i="5"/>
  <c r="F975" i="5"/>
  <c r="E975" i="5"/>
  <c r="I974" i="5"/>
  <c r="H974" i="5"/>
  <c r="G974" i="5"/>
  <c r="F974" i="5"/>
  <c r="E974" i="5"/>
  <c r="I973" i="5"/>
  <c r="H973" i="5"/>
  <c r="G973" i="5"/>
  <c r="F973" i="5"/>
  <c r="E973" i="5"/>
  <c r="I972" i="5"/>
  <c r="H972" i="5"/>
  <c r="G972" i="5"/>
  <c r="F972" i="5"/>
  <c r="E972" i="5"/>
  <c r="I971" i="5"/>
  <c r="H971" i="5"/>
  <c r="G971" i="5"/>
  <c r="F971" i="5"/>
  <c r="E971" i="5"/>
  <c r="I970" i="5"/>
  <c r="H970" i="5"/>
  <c r="G970" i="5"/>
  <c r="F970" i="5"/>
  <c r="E970" i="5"/>
  <c r="I969" i="5"/>
  <c r="H969" i="5"/>
  <c r="G969" i="5"/>
  <c r="F969" i="5"/>
  <c r="E969" i="5"/>
  <c r="I968" i="5"/>
  <c r="H968" i="5"/>
  <c r="G968" i="5"/>
  <c r="F968" i="5"/>
  <c r="E968" i="5"/>
  <c r="I967" i="5"/>
  <c r="H967" i="5"/>
  <c r="G967" i="5"/>
  <c r="F967" i="5"/>
  <c r="E967" i="5"/>
  <c r="I966" i="5"/>
  <c r="H966" i="5"/>
  <c r="G966" i="5"/>
  <c r="F966" i="5"/>
  <c r="E966" i="5"/>
  <c r="I965" i="5"/>
  <c r="H965" i="5"/>
  <c r="G965" i="5"/>
  <c r="F965" i="5"/>
  <c r="E965" i="5"/>
  <c r="I964" i="5"/>
  <c r="H964" i="5"/>
  <c r="G964" i="5"/>
  <c r="F964" i="5"/>
  <c r="E964" i="5"/>
  <c r="I963" i="5"/>
  <c r="H963" i="5"/>
  <c r="G963" i="5"/>
  <c r="F963" i="5"/>
  <c r="E963" i="5"/>
  <c r="I962" i="5"/>
  <c r="H962" i="5"/>
  <c r="G962" i="5"/>
  <c r="F962" i="5"/>
  <c r="E962" i="5"/>
  <c r="I961" i="5"/>
  <c r="H961" i="5"/>
  <c r="G961" i="5"/>
  <c r="F961" i="5"/>
  <c r="E961" i="5"/>
  <c r="I960" i="5"/>
  <c r="H960" i="5"/>
  <c r="G960" i="5"/>
  <c r="F960" i="5"/>
  <c r="E960" i="5"/>
  <c r="I959" i="5"/>
  <c r="H959" i="5"/>
  <c r="G959" i="5"/>
  <c r="F959" i="5"/>
  <c r="E959" i="5"/>
  <c r="I958" i="5"/>
  <c r="H958" i="5"/>
  <c r="G958" i="5"/>
  <c r="F958" i="5"/>
  <c r="E958" i="5"/>
  <c r="I957" i="5"/>
  <c r="H957" i="5"/>
  <c r="G957" i="5"/>
  <c r="F957" i="5"/>
  <c r="E957" i="5"/>
  <c r="I956" i="5"/>
  <c r="H956" i="5"/>
  <c r="G956" i="5"/>
  <c r="F956" i="5"/>
  <c r="E956" i="5"/>
  <c r="I955" i="5"/>
  <c r="H955" i="5"/>
  <c r="G955" i="5"/>
  <c r="F955" i="5"/>
  <c r="E955" i="5"/>
  <c r="I954" i="5"/>
  <c r="H954" i="5"/>
  <c r="G954" i="5"/>
  <c r="F954" i="5"/>
  <c r="E954" i="5"/>
  <c r="I953" i="5"/>
  <c r="H953" i="5"/>
  <c r="G953" i="5"/>
  <c r="F953" i="5"/>
  <c r="E953" i="5"/>
  <c r="I952" i="5"/>
  <c r="H952" i="5"/>
  <c r="G952" i="5"/>
  <c r="F952" i="5"/>
  <c r="E952" i="5"/>
  <c r="I951" i="5"/>
  <c r="H951" i="5"/>
  <c r="G951" i="5"/>
  <c r="F951" i="5"/>
  <c r="E951" i="5"/>
  <c r="I950" i="5"/>
  <c r="H950" i="5"/>
  <c r="G950" i="5"/>
  <c r="F950" i="5"/>
  <c r="E950" i="5"/>
  <c r="I949" i="5"/>
  <c r="H949" i="5"/>
  <c r="G949" i="5"/>
  <c r="F949" i="5"/>
  <c r="E949" i="5"/>
  <c r="I948" i="5"/>
  <c r="H948" i="5"/>
  <c r="G948" i="5"/>
  <c r="F948" i="5"/>
  <c r="E948" i="5"/>
  <c r="I947" i="5"/>
  <c r="H947" i="5"/>
  <c r="G947" i="5"/>
  <c r="F947" i="5"/>
  <c r="E947" i="5"/>
  <c r="I946" i="5"/>
  <c r="H946" i="5"/>
  <c r="G946" i="5"/>
  <c r="F946" i="5"/>
  <c r="E946" i="5"/>
  <c r="I945" i="5"/>
  <c r="H945" i="5"/>
  <c r="G945" i="5"/>
  <c r="F945" i="5"/>
  <c r="E945" i="5"/>
  <c r="I944" i="5"/>
  <c r="H944" i="5"/>
  <c r="G944" i="5"/>
  <c r="F944" i="5"/>
  <c r="E944" i="5"/>
  <c r="I943" i="5"/>
  <c r="H943" i="5"/>
  <c r="G943" i="5"/>
  <c r="F943" i="5"/>
  <c r="E943" i="5"/>
  <c r="I942" i="5"/>
  <c r="H942" i="5"/>
  <c r="G942" i="5"/>
  <c r="F942" i="5"/>
  <c r="E942" i="5"/>
  <c r="I941" i="5"/>
  <c r="H941" i="5"/>
  <c r="G941" i="5"/>
  <c r="F941" i="5"/>
  <c r="E941" i="5"/>
  <c r="I940" i="5"/>
  <c r="H940" i="5"/>
  <c r="G940" i="5"/>
  <c r="F940" i="5"/>
  <c r="E940" i="5"/>
  <c r="I939" i="5"/>
  <c r="H939" i="5"/>
  <c r="G939" i="5"/>
  <c r="F939" i="5"/>
  <c r="E939" i="5"/>
  <c r="I938" i="5"/>
  <c r="H938" i="5"/>
  <c r="G938" i="5"/>
  <c r="F938" i="5"/>
  <c r="E938" i="5"/>
  <c r="I937" i="5"/>
  <c r="H937" i="5"/>
  <c r="G937" i="5"/>
  <c r="F937" i="5"/>
  <c r="E937" i="5"/>
  <c r="I936" i="5"/>
  <c r="H936" i="5"/>
  <c r="G936" i="5"/>
  <c r="F936" i="5"/>
  <c r="E936" i="5"/>
  <c r="I935" i="5"/>
  <c r="H935" i="5"/>
  <c r="G935" i="5"/>
  <c r="F935" i="5"/>
  <c r="E935" i="5"/>
  <c r="I934" i="5"/>
  <c r="H934" i="5"/>
  <c r="G934" i="5"/>
  <c r="F934" i="5"/>
  <c r="E934" i="5"/>
  <c r="I933" i="5"/>
  <c r="H933" i="5"/>
  <c r="G933" i="5"/>
  <c r="F933" i="5"/>
  <c r="E933" i="5"/>
  <c r="I932" i="5"/>
  <c r="H932" i="5"/>
  <c r="G932" i="5"/>
  <c r="F932" i="5"/>
  <c r="E932" i="5"/>
  <c r="I931" i="5"/>
  <c r="H931" i="5"/>
  <c r="G931" i="5"/>
  <c r="F931" i="5"/>
  <c r="E931" i="5"/>
  <c r="I930" i="5"/>
  <c r="H930" i="5"/>
  <c r="G930" i="5"/>
  <c r="F930" i="5"/>
  <c r="E930" i="5"/>
  <c r="I929" i="5"/>
  <c r="H929" i="5"/>
  <c r="G929" i="5"/>
  <c r="F929" i="5"/>
  <c r="E929" i="5"/>
  <c r="I928" i="5"/>
  <c r="H928" i="5"/>
  <c r="G928" i="5"/>
  <c r="F928" i="5"/>
  <c r="E928" i="5"/>
  <c r="I927" i="5"/>
  <c r="H927" i="5"/>
  <c r="G927" i="5"/>
  <c r="F927" i="5"/>
  <c r="E927" i="5"/>
  <c r="I926" i="5"/>
  <c r="H926" i="5"/>
  <c r="G926" i="5"/>
  <c r="F926" i="5"/>
  <c r="E926" i="5"/>
  <c r="I925" i="5"/>
  <c r="H925" i="5"/>
  <c r="G925" i="5"/>
  <c r="F925" i="5"/>
  <c r="E925" i="5"/>
  <c r="I924" i="5"/>
  <c r="H924" i="5"/>
  <c r="G924" i="5"/>
  <c r="F924" i="5"/>
  <c r="E924" i="5"/>
  <c r="I923" i="5"/>
  <c r="H923" i="5"/>
  <c r="G923" i="5"/>
  <c r="F923" i="5"/>
  <c r="E923" i="5"/>
  <c r="I922" i="5"/>
  <c r="H922" i="5"/>
  <c r="G922" i="5"/>
  <c r="F922" i="5"/>
  <c r="E922" i="5"/>
  <c r="I921" i="5"/>
  <c r="H921" i="5"/>
  <c r="G921" i="5"/>
  <c r="F921" i="5"/>
  <c r="E921" i="5"/>
  <c r="I920" i="5"/>
  <c r="H920" i="5"/>
  <c r="G920" i="5"/>
  <c r="F920" i="5"/>
  <c r="E920" i="5"/>
  <c r="I919" i="5"/>
  <c r="H919" i="5"/>
  <c r="G919" i="5"/>
  <c r="F919" i="5"/>
  <c r="E919" i="5"/>
  <c r="I918" i="5"/>
  <c r="H918" i="5"/>
  <c r="G918" i="5"/>
  <c r="F918" i="5"/>
  <c r="E918" i="5"/>
  <c r="I917" i="5"/>
  <c r="H917" i="5"/>
  <c r="G917" i="5"/>
  <c r="F917" i="5"/>
  <c r="E917" i="5"/>
  <c r="I916" i="5"/>
  <c r="H916" i="5"/>
  <c r="G916" i="5"/>
  <c r="F916" i="5"/>
  <c r="E916" i="5"/>
  <c r="I915" i="5"/>
  <c r="H915" i="5"/>
  <c r="G915" i="5"/>
  <c r="F915" i="5"/>
  <c r="E915" i="5"/>
  <c r="I914" i="5"/>
  <c r="H914" i="5"/>
  <c r="G914" i="5"/>
  <c r="F914" i="5"/>
  <c r="E914" i="5"/>
  <c r="I913" i="5"/>
  <c r="H913" i="5"/>
  <c r="G913" i="5"/>
  <c r="F913" i="5"/>
  <c r="E913" i="5"/>
  <c r="I912" i="5"/>
  <c r="H912" i="5"/>
  <c r="G912" i="5"/>
  <c r="F912" i="5"/>
  <c r="E912" i="5"/>
  <c r="I911" i="5"/>
  <c r="H911" i="5"/>
  <c r="G911" i="5"/>
  <c r="F911" i="5"/>
  <c r="E911" i="5"/>
  <c r="I910" i="5"/>
  <c r="H910" i="5"/>
  <c r="G910" i="5"/>
  <c r="F910" i="5"/>
  <c r="E910" i="5"/>
  <c r="I909" i="5"/>
  <c r="H909" i="5"/>
  <c r="G909" i="5"/>
  <c r="F909" i="5"/>
  <c r="E909" i="5"/>
  <c r="I908" i="5"/>
  <c r="H908" i="5"/>
  <c r="G908" i="5"/>
  <c r="F908" i="5"/>
  <c r="E908" i="5"/>
  <c r="I907" i="5"/>
  <c r="H907" i="5"/>
  <c r="G907" i="5"/>
  <c r="F907" i="5"/>
  <c r="E907" i="5"/>
  <c r="I906" i="5"/>
  <c r="H906" i="5"/>
  <c r="G906" i="5"/>
  <c r="F906" i="5"/>
  <c r="E906" i="5"/>
  <c r="I905" i="5"/>
  <c r="H905" i="5"/>
  <c r="G905" i="5"/>
  <c r="F905" i="5"/>
  <c r="E905" i="5"/>
  <c r="I904" i="5"/>
  <c r="H904" i="5"/>
  <c r="G904" i="5"/>
  <c r="F904" i="5"/>
  <c r="E904" i="5"/>
  <c r="I903" i="5"/>
  <c r="H903" i="5"/>
  <c r="G903" i="5"/>
  <c r="F903" i="5"/>
  <c r="E903" i="5"/>
  <c r="I902" i="5"/>
  <c r="H902" i="5"/>
  <c r="G902" i="5"/>
  <c r="F902" i="5"/>
  <c r="E902" i="5"/>
  <c r="I901" i="5"/>
  <c r="H901" i="5"/>
  <c r="G901" i="5"/>
  <c r="F901" i="5"/>
  <c r="E901" i="5"/>
  <c r="I900" i="5"/>
  <c r="H900" i="5"/>
  <c r="G900" i="5"/>
  <c r="F900" i="5"/>
  <c r="E900" i="5"/>
  <c r="I899" i="5"/>
  <c r="H899" i="5"/>
  <c r="G899" i="5"/>
  <c r="F899" i="5"/>
  <c r="E899" i="5"/>
  <c r="I898" i="5"/>
  <c r="H898" i="5"/>
  <c r="G898" i="5"/>
  <c r="F898" i="5"/>
  <c r="E898" i="5"/>
  <c r="I897" i="5"/>
  <c r="H897" i="5"/>
  <c r="G897" i="5"/>
  <c r="F897" i="5"/>
  <c r="E897" i="5"/>
  <c r="I896" i="5"/>
  <c r="H896" i="5"/>
  <c r="G896" i="5"/>
  <c r="F896" i="5"/>
  <c r="E896" i="5"/>
  <c r="I895" i="5"/>
  <c r="H895" i="5"/>
  <c r="G895" i="5"/>
  <c r="F895" i="5"/>
  <c r="E895" i="5"/>
  <c r="I894" i="5"/>
  <c r="H894" i="5"/>
  <c r="G894" i="5"/>
  <c r="F894" i="5"/>
  <c r="E894" i="5"/>
  <c r="I893" i="5"/>
  <c r="H893" i="5"/>
  <c r="G893" i="5"/>
  <c r="F893" i="5"/>
  <c r="E893" i="5"/>
  <c r="I892" i="5"/>
  <c r="H892" i="5"/>
  <c r="G892" i="5"/>
  <c r="F892" i="5"/>
  <c r="E892" i="5"/>
  <c r="I891" i="5"/>
  <c r="H891" i="5"/>
  <c r="G891" i="5"/>
  <c r="F891" i="5"/>
  <c r="E891" i="5"/>
  <c r="I890" i="5"/>
  <c r="H890" i="5"/>
  <c r="G890" i="5"/>
  <c r="F890" i="5"/>
  <c r="E890" i="5"/>
  <c r="I889" i="5"/>
  <c r="H889" i="5"/>
  <c r="G889" i="5"/>
  <c r="F889" i="5"/>
  <c r="E889" i="5"/>
  <c r="I888" i="5"/>
  <c r="H888" i="5"/>
  <c r="G888" i="5"/>
  <c r="F888" i="5"/>
  <c r="E888" i="5"/>
  <c r="I887" i="5"/>
  <c r="H887" i="5"/>
  <c r="G887" i="5"/>
  <c r="F887" i="5"/>
  <c r="E887" i="5"/>
  <c r="I886" i="5"/>
  <c r="H886" i="5"/>
  <c r="G886" i="5"/>
  <c r="F886" i="5"/>
  <c r="E886" i="5"/>
  <c r="I885" i="5"/>
  <c r="H885" i="5"/>
  <c r="G885" i="5"/>
  <c r="F885" i="5"/>
  <c r="E885" i="5"/>
  <c r="I884" i="5"/>
  <c r="H884" i="5"/>
  <c r="G884" i="5"/>
  <c r="F884" i="5"/>
  <c r="E884" i="5"/>
  <c r="I883" i="5"/>
  <c r="H883" i="5"/>
  <c r="G883" i="5"/>
  <c r="F883" i="5"/>
  <c r="E883" i="5"/>
  <c r="I882" i="5"/>
  <c r="H882" i="5"/>
  <c r="G882" i="5"/>
  <c r="F882" i="5"/>
  <c r="E882" i="5"/>
  <c r="I881" i="5"/>
  <c r="H881" i="5"/>
  <c r="G881" i="5"/>
  <c r="F881" i="5"/>
  <c r="E881" i="5"/>
  <c r="I880" i="5"/>
  <c r="H880" i="5"/>
  <c r="G880" i="5"/>
  <c r="F880" i="5"/>
  <c r="E880" i="5"/>
  <c r="I879" i="5"/>
  <c r="H879" i="5"/>
  <c r="G879" i="5"/>
  <c r="F879" i="5"/>
  <c r="E879" i="5"/>
  <c r="I878" i="5"/>
  <c r="H878" i="5"/>
  <c r="G878" i="5"/>
  <c r="F878" i="5"/>
  <c r="E878" i="5"/>
  <c r="I877" i="5"/>
  <c r="H877" i="5"/>
  <c r="G877" i="5"/>
  <c r="F877" i="5"/>
  <c r="E877" i="5"/>
  <c r="I876" i="5"/>
  <c r="H876" i="5"/>
  <c r="G876" i="5"/>
  <c r="F876" i="5"/>
  <c r="E876" i="5"/>
  <c r="I875" i="5"/>
  <c r="H875" i="5"/>
  <c r="G875" i="5"/>
  <c r="F875" i="5"/>
  <c r="E875" i="5"/>
  <c r="I874" i="5"/>
  <c r="H874" i="5"/>
  <c r="G874" i="5"/>
  <c r="F874" i="5"/>
  <c r="E874" i="5"/>
  <c r="I873" i="5"/>
  <c r="H873" i="5"/>
  <c r="G873" i="5"/>
  <c r="F873" i="5"/>
  <c r="E873" i="5"/>
  <c r="I872" i="5"/>
  <c r="H872" i="5"/>
  <c r="G872" i="5"/>
  <c r="F872" i="5"/>
  <c r="E872" i="5"/>
  <c r="I871" i="5"/>
  <c r="H871" i="5"/>
  <c r="G871" i="5"/>
  <c r="F871" i="5"/>
  <c r="E871" i="5"/>
  <c r="I870" i="5"/>
  <c r="H870" i="5"/>
  <c r="G870" i="5"/>
  <c r="F870" i="5"/>
  <c r="E870" i="5"/>
  <c r="I869" i="5"/>
  <c r="H869" i="5"/>
  <c r="G869" i="5"/>
  <c r="F869" i="5"/>
  <c r="E869" i="5"/>
  <c r="I868" i="5"/>
  <c r="H868" i="5"/>
  <c r="G868" i="5"/>
  <c r="F868" i="5"/>
  <c r="E868" i="5"/>
  <c r="I867" i="5"/>
  <c r="H867" i="5"/>
  <c r="G867" i="5"/>
  <c r="F867" i="5"/>
  <c r="E867" i="5"/>
  <c r="I866" i="5"/>
  <c r="H866" i="5"/>
  <c r="G866" i="5"/>
  <c r="F866" i="5"/>
  <c r="E866" i="5"/>
  <c r="I865" i="5"/>
  <c r="H865" i="5"/>
  <c r="G865" i="5"/>
  <c r="F865" i="5"/>
  <c r="E865" i="5"/>
  <c r="I864" i="5"/>
  <c r="H864" i="5"/>
  <c r="G864" i="5"/>
  <c r="F864" i="5"/>
  <c r="E864" i="5"/>
  <c r="I863" i="5"/>
  <c r="H863" i="5"/>
  <c r="G863" i="5"/>
  <c r="F863" i="5"/>
  <c r="E863" i="5"/>
  <c r="I862" i="5"/>
  <c r="H862" i="5"/>
  <c r="G862" i="5"/>
  <c r="F862" i="5"/>
  <c r="E862" i="5"/>
  <c r="I861" i="5"/>
  <c r="H861" i="5"/>
  <c r="G861" i="5"/>
  <c r="F861" i="5"/>
  <c r="E861" i="5"/>
  <c r="I860" i="5"/>
  <c r="H860" i="5"/>
  <c r="G860" i="5"/>
  <c r="F860" i="5"/>
  <c r="E860" i="5"/>
  <c r="I859" i="5"/>
  <c r="H859" i="5"/>
  <c r="G859" i="5"/>
  <c r="F859" i="5"/>
  <c r="E859" i="5"/>
  <c r="I858" i="5"/>
  <c r="H858" i="5"/>
  <c r="G858" i="5"/>
  <c r="F858" i="5"/>
  <c r="E858" i="5"/>
  <c r="I857" i="5"/>
  <c r="H857" i="5"/>
  <c r="G857" i="5"/>
  <c r="F857" i="5"/>
  <c r="E857" i="5"/>
  <c r="I856" i="5"/>
  <c r="H856" i="5"/>
  <c r="G856" i="5"/>
  <c r="F856" i="5"/>
  <c r="E856" i="5"/>
  <c r="I855" i="5"/>
  <c r="H855" i="5"/>
  <c r="G855" i="5"/>
  <c r="F855" i="5"/>
  <c r="E855" i="5"/>
  <c r="I854" i="5"/>
  <c r="H854" i="5"/>
  <c r="G854" i="5"/>
  <c r="F854" i="5"/>
  <c r="E854" i="5"/>
  <c r="I853" i="5"/>
  <c r="H853" i="5"/>
  <c r="G853" i="5"/>
  <c r="F853" i="5"/>
  <c r="E853" i="5"/>
  <c r="I852" i="5"/>
  <c r="H852" i="5"/>
  <c r="G852" i="5"/>
  <c r="F852" i="5"/>
  <c r="E852" i="5"/>
  <c r="I851" i="5"/>
  <c r="H851" i="5"/>
  <c r="G851" i="5"/>
  <c r="F851" i="5"/>
  <c r="E851" i="5"/>
  <c r="I850" i="5"/>
  <c r="H850" i="5"/>
  <c r="G850" i="5"/>
  <c r="F850" i="5"/>
  <c r="E850" i="5"/>
  <c r="I849" i="5"/>
  <c r="H849" i="5"/>
  <c r="G849" i="5"/>
  <c r="F849" i="5"/>
  <c r="E849" i="5"/>
  <c r="I848" i="5"/>
  <c r="H848" i="5"/>
  <c r="G848" i="5"/>
  <c r="F848" i="5"/>
  <c r="E848" i="5"/>
  <c r="I847" i="5"/>
  <c r="H847" i="5"/>
  <c r="G847" i="5"/>
  <c r="F847" i="5"/>
  <c r="E847" i="5"/>
  <c r="I846" i="5"/>
  <c r="H846" i="5"/>
  <c r="G846" i="5"/>
  <c r="F846" i="5"/>
  <c r="E846" i="5"/>
  <c r="I845" i="5"/>
  <c r="H845" i="5"/>
  <c r="G845" i="5"/>
  <c r="F845" i="5"/>
  <c r="E845" i="5"/>
  <c r="I844" i="5"/>
  <c r="H844" i="5"/>
  <c r="G844" i="5"/>
  <c r="F844" i="5"/>
  <c r="E844" i="5"/>
  <c r="I843" i="5"/>
  <c r="H843" i="5"/>
  <c r="G843" i="5"/>
  <c r="F843" i="5"/>
  <c r="E843" i="5"/>
  <c r="I842" i="5"/>
  <c r="H842" i="5"/>
  <c r="G842" i="5"/>
  <c r="F842" i="5"/>
  <c r="E842" i="5"/>
  <c r="I841" i="5"/>
  <c r="H841" i="5"/>
  <c r="G841" i="5"/>
  <c r="F841" i="5"/>
  <c r="E841" i="5"/>
  <c r="I840" i="5"/>
  <c r="H840" i="5"/>
  <c r="G840" i="5"/>
  <c r="F840" i="5"/>
  <c r="E840" i="5"/>
  <c r="I839" i="5"/>
  <c r="H839" i="5"/>
  <c r="G839" i="5"/>
  <c r="F839" i="5"/>
  <c r="E839" i="5"/>
  <c r="I838" i="5"/>
  <c r="H838" i="5"/>
  <c r="G838" i="5"/>
  <c r="F838" i="5"/>
  <c r="E838" i="5"/>
  <c r="I837" i="5"/>
  <c r="H837" i="5"/>
  <c r="G837" i="5"/>
  <c r="F837" i="5"/>
  <c r="E837" i="5"/>
  <c r="I836" i="5"/>
  <c r="H836" i="5"/>
  <c r="G836" i="5"/>
  <c r="F836" i="5"/>
  <c r="E836" i="5"/>
  <c r="I835" i="5"/>
  <c r="H835" i="5"/>
  <c r="G835" i="5"/>
  <c r="F835" i="5"/>
  <c r="E835" i="5"/>
  <c r="I834" i="5"/>
  <c r="H834" i="5"/>
  <c r="G834" i="5"/>
  <c r="F834" i="5"/>
  <c r="E834" i="5"/>
  <c r="I833" i="5"/>
  <c r="H833" i="5"/>
  <c r="G833" i="5"/>
  <c r="F833" i="5"/>
  <c r="E833" i="5"/>
  <c r="I832" i="5"/>
  <c r="H832" i="5"/>
  <c r="G832" i="5"/>
  <c r="F832" i="5"/>
  <c r="E832" i="5"/>
  <c r="I831" i="5"/>
  <c r="H831" i="5"/>
  <c r="G831" i="5"/>
  <c r="F831" i="5"/>
  <c r="E831" i="5"/>
  <c r="I830" i="5"/>
  <c r="H830" i="5"/>
  <c r="G830" i="5"/>
  <c r="F830" i="5"/>
  <c r="E830" i="5"/>
  <c r="I829" i="5"/>
  <c r="H829" i="5"/>
  <c r="G829" i="5"/>
  <c r="F829" i="5"/>
  <c r="E829" i="5"/>
  <c r="I828" i="5"/>
  <c r="H828" i="5"/>
  <c r="G828" i="5"/>
  <c r="F828" i="5"/>
  <c r="E828" i="5"/>
  <c r="I827" i="5"/>
  <c r="H827" i="5"/>
  <c r="G827" i="5"/>
  <c r="F827" i="5"/>
  <c r="E827" i="5"/>
  <c r="I826" i="5"/>
  <c r="H826" i="5"/>
  <c r="G826" i="5"/>
  <c r="F826" i="5"/>
  <c r="E826" i="5"/>
  <c r="I825" i="5"/>
  <c r="H825" i="5"/>
  <c r="G825" i="5"/>
  <c r="F825" i="5"/>
  <c r="E825" i="5"/>
  <c r="I824" i="5"/>
  <c r="H824" i="5"/>
  <c r="G824" i="5"/>
  <c r="F824" i="5"/>
  <c r="E824" i="5"/>
  <c r="I823" i="5"/>
  <c r="H823" i="5"/>
  <c r="G823" i="5"/>
  <c r="F823" i="5"/>
  <c r="E823" i="5"/>
  <c r="I822" i="5"/>
  <c r="H822" i="5"/>
  <c r="G822" i="5"/>
  <c r="F822" i="5"/>
  <c r="E822" i="5"/>
  <c r="I821" i="5"/>
  <c r="H821" i="5"/>
  <c r="G821" i="5"/>
  <c r="F821" i="5"/>
  <c r="E821" i="5"/>
  <c r="I820" i="5"/>
  <c r="H820" i="5"/>
  <c r="G820" i="5"/>
  <c r="F820" i="5"/>
  <c r="E820" i="5"/>
  <c r="I819" i="5"/>
  <c r="H819" i="5"/>
  <c r="G819" i="5"/>
  <c r="F819" i="5"/>
  <c r="E819" i="5"/>
  <c r="I818" i="5"/>
  <c r="H818" i="5"/>
  <c r="G818" i="5"/>
  <c r="F818" i="5"/>
  <c r="E818" i="5"/>
  <c r="I817" i="5"/>
  <c r="H817" i="5"/>
  <c r="G817" i="5"/>
  <c r="F817" i="5"/>
  <c r="E817" i="5"/>
  <c r="I816" i="5"/>
  <c r="H816" i="5"/>
  <c r="G816" i="5"/>
  <c r="F816" i="5"/>
  <c r="E816" i="5"/>
  <c r="I815" i="5"/>
  <c r="H815" i="5"/>
  <c r="G815" i="5"/>
  <c r="F815" i="5"/>
  <c r="E815" i="5"/>
  <c r="I814" i="5"/>
  <c r="H814" i="5"/>
  <c r="G814" i="5"/>
  <c r="F814" i="5"/>
  <c r="E814" i="5"/>
  <c r="I813" i="5"/>
  <c r="H813" i="5"/>
  <c r="G813" i="5"/>
  <c r="F813" i="5"/>
  <c r="E813" i="5"/>
  <c r="I812" i="5"/>
  <c r="H812" i="5"/>
  <c r="G812" i="5"/>
  <c r="F812" i="5"/>
  <c r="E812" i="5"/>
  <c r="I811" i="5"/>
  <c r="H811" i="5"/>
  <c r="G811" i="5"/>
  <c r="F811" i="5"/>
  <c r="E811" i="5"/>
  <c r="I810" i="5"/>
  <c r="H810" i="5"/>
  <c r="G810" i="5"/>
  <c r="F810" i="5"/>
  <c r="E810" i="5"/>
  <c r="I809" i="5"/>
  <c r="H809" i="5"/>
  <c r="G809" i="5"/>
  <c r="F809" i="5"/>
  <c r="E809" i="5"/>
  <c r="I808" i="5"/>
  <c r="H808" i="5"/>
  <c r="G808" i="5"/>
  <c r="F808" i="5"/>
  <c r="E808" i="5"/>
  <c r="I807" i="5"/>
  <c r="H807" i="5"/>
  <c r="G807" i="5"/>
  <c r="F807" i="5"/>
  <c r="E807" i="5"/>
  <c r="I806" i="5"/>
  <c r="H806" i="5"/>
  <c r="G806" i="5"/>
  <c r="F806" i="5"/>
  <c r="E806" i="5"/>
  <c r="I805" i="5"/>
  <c r="H805" i="5"/>
  <c r="G805" i="5"/>
  <c r="F805" i="5"/>
  <c r="E805" i="5"/>
  <c r="I804" i="5"/>
  <c r="H804" i="5"/>
  <c r="G804" i="5"/>
  <c r="F804" i="5"/>
  <c r="E804" i="5"/>
  <c r="I803" i="5"/>
  <c r="H803" i="5"/>
  <c r="G803" i="5"/>
  <c r="F803" i="5"/>
  <c r="E803" i="5"/>
  <c r="I802" i="5"/>
  <c r="H802" i="5"/>
  <c r="G802" i="5"/>
  <c r="F802" i="5"/>
  <c r="E802" i="5"/>
  <c r="I801" i="5"/>
  <c r="H801" i="5"/>
  <c r="G801" i="5"/>
  <c r="F801" i="5"/>
  <c r="E801" i="5"/>
  <c r="I800" i="5"/>
  <c r="H800" i="5"/>
  <c r="G800" i="5"/>
  <c r="F800" i="5"/>
  <c r="E800" i="5"/>
  <c r="I799" i="5"/>
  <c r="H799" i="5"/>
  <c r="G799" i="5"/>
  <c r="F799" i="5"/>
  <c r="E799" i="5"/>
  <c r="I798" i="5"/>
  <c r="H798" i="5"/>
  <c r="G798" i="5"/>
  <c r="F798" i="5"/>
  <c r="E798" i="5"/>
  <c r="I797" i="5"/>
  <c r="H797" i="5"/>
  <c r="G797" i="5"/>
  <c r="F797" i="5"/>
  <c r="E797" i="5"/>
  <c r="I796" i="5"/>
  <c r="H796" i="5"/>
  <c r="G796" i="5"/>
  <c r="F796" i="5"/>
  <c r="E796" i="5"/>
  <c r="I795" i="5"/>
  <c r="H795" i="5"/>
  <c r="G795" i="5"/>
  <c r="F795" i="5"/>
  <c r="E795" i="5"/>
  <c r="I794" i="5"/>
  <c r="H794" i="5"/>
  <c r="G794" i="5"/>
  <c r="F794" i="5"/>
  <c r="E794" i="5"/>
  <c r="I793" i="5"/>
  <c r="H793" i="5"/>
  <c r="G793" i="5"/>
  <c r="F793" i="5"/>
  <c r="E793" i="5"/>
  <c r="I792" i="5"/>
  <c r="H792" i="5"/>
  <c r="G792" i="5"/>
  <c r="F792" i="5"/>
  <c r="E792" i="5"/>
  <c r="I791" i="5"/>
  <c r="H791" i="5"/>
  <c r="G791" i="5"/>
  <c r="F791" i="5"/>
  <c r="E791" i="5"/>
  <c r="I790" i="5"/>
  <c r="H790" i="5"/>
  <c r="G790" i="5"/>
  <c r="F790" i="5"/>
  <c r="E790" i="5"/>
  <c r="I789" i="5"/>
  <c r="H789" i="5"/>
  <c r="G789" i="5"/>
  <c r="F789" i="5"/>
  <c r="E789" i="5"/>
  <c r="I788" i="5"/>
  <c r="H788" i="5"/>
  <c r="G788" i="5"/>
  <c r="F788" i="5"/>
  <c r="E788" i="5"/>
  <c r="I787" i="5"/>
  <c r="H787" i="5"/>
  <c r="G787" i="5"/>
  <c r="F787" i="5"/>
  <c r="E787" i="5"/>
  <c r="I786" i="5"/>
  <c r="H786" i="5"/>
  <c r="G786" i="5"/>
  <c r="F786" i="5"/>
  <c r="E786" i="5"/>
  <c r="I785" i="5"/>
  <c r="H785" i="5"/>
  <c r="G785" i="5"/>
  <c r="F785" i="5"/>
  <c r="E785" i="5"/>
  <c r="I784" i="5"/>
  <c r="H784" i="5"/>
  <c r="G784" i="5"/>
  <c r="F784" i="5"/>
  <c r="E784" i="5"/>
  <c r="I783" i="5"/>
  <c r="H783" i="5"/>
  <c r="G783" i="5"/>
  <c r="F783" i="5"/>
  <c r="E783" i="5"/>
  <c r="I782" i="5"/>
  <c r="H782" i="5"/>
  <c r="G782" i="5"/>
  <c r="F782" i="5"/>
  <c r="E782" i="5"/>
  <c r="I781" i="5"/>
  <c r="H781" i="5"/>
  <c r="G781" i="5"/>
  <c r="F781" i="5"/>
  <c r="E781" i="5"/>
  <c r="I780" i="5"/>
  <c r="H780" i="5"/>
  <c r="G780" i="5"/>
  <c r="F780" i="5"/>
  <c r="E780" i="5"/>
  <c r="I779" i="5"/>
  <c r="H779" i="5"/>
  <c r="G779" i="5"/>
  <c r="F779" i="5"/>
  <c r="E779" i="5"/>
  <c r="I778" i="5"/>
  <c r="H778" i="5"/>
  <c r="G778" i="5"/>
  <c r="F778" i="5"/>
  <c r="E778" i="5"/>
  <c r="I777" i="5"/>
  <c r="H777" i="5"/>
  <c r="G777" i="5"/>
  <c r="F777" i="5"/>
  <c r="E777" i="5"/>
  <c r="I776" i="5"/>
  <c r="H776" i="5"/>
  <c r="G776" i="5"/>
  <c r="F776" i="5"/>
  <c r="E776" i="5"/>
  <c r="I775" i="5"/>
  <c r="H775" i="5"/>
  <c r="G775" i="5"/>
  <c r="F775" i="5"/>
  <c r="E775" i="5"/>
  <c r="I774" i="5"/>
  <c r="H774" i="5"/>
  <c r="G774" i="5"/>
  <c r="F774" i="5"/>
  <c r="E774" i="5"/>
  <c r="I773" i="5"/>
  <c r="H773" i="5"/>
  <c r="G773" i="5"/>
  <c r="F773" i="5"/>
  <c r="E773" i="5"/>
  <c r="I772" i="5"/>
  <c r="H772" i="5"/>
  <c r="G772" i="5"/>
  <c r="F772" i="5"/>
  <c r="E772" i="5"/>
  <c r="I771" i="5"/>
  <c r="H771" i="5"/>
  <c r="G771" i="5"/>
  <c r="F771" i="5"/>
  <c r="E771" i="5"/>
  <c r="I770" i="5"/>
  <c r="H770" i="5"/>
  <c r="G770" i="5"/>
  <c r="F770" i="5"/>
  <c r="E770" i="5"/>
  <c r="I769" i="5"/>
  <c r="H769" i="5"/>
  <c r="G769" i="5"/>
  <c r="F769" i="5"/>
  <c r="E769" i="5"/>
  <c r="I768" i="5"/>
  <c r="H768" i="5"/>
  <c r="G768" i="5"/>
  <c r="F768" i="5"/>
  <c r="E768" i="5"/>
  <c r="I767" i="5"/>
  <c r="H767" i="5"/>
  <c r="G767" i="5"/>
  <c r="F767" i="5"/>
  <c r="E767" i="5"/>
  <c r="I766" i="5"/>
  <c r="H766" i="5"/>
  <c r="G766" i="5"/>
  <c r="F766" i="5"/>
  <c r="E766" i="5"/>
  <c r="I765" i="5"/>
  <c r="H765" i="5"/>
  <c r="G765" i="5"/>
  <c r="F765" i="5"/>
  <c r="E765" i="5"/>
  <c r="I764" i="5"/>
  <c r="H764" i="5"/>
  <c r="G764" i="5"/>
  <c r="F764" i="5"/>
  <c r="E764" i="5"/>
  <c r="I763" i="5"/>
  <c r="H763" i="5"/>
  <c r="G763" i="5"/>
  <c r="F763" i="5"/>
  <c r="E763" i="5"/>
  <c r="I762" i="5"/>
  <c r="H762" i="5"/>
  <c r="G762" i="5"/>
  <c r="F762" i="5"/>
  <c r="E762" i="5"/>
  <c r="I761" i="5"/>
  <c r="H761" i="5"/>
  <c r="G761" i="5"/>
  <c r="F761" i="5"/>
  <c r="E761" i="5"/>
  <c r="I760" i="5"/>
  <c r="H760" i="5"/>
  <c r="G760" i="5"/>
  <c r="F760" i="5"/>
  <c r="E760" i="5"/>
  <c r="I759" i="5"/>
  <c r="H759" i="5"/>
  <c r="G759" i="5"/>
  <c r="F759" i="5"/>
  <c r="E759" i="5"/>
  <c r="I758" i="5"/>
  <c r="H758" i="5"/>
  <c r="G758" i="5"/>
  <c r="F758" i="5"/>
  <c r="E758" i="5"/>
  <c r="I757" i="5"/>
  <c r="H757" i="5"/>
  <c r="G757" i="5"/>
  <c r="F757" i="5"/>
  <c r="E757" i="5"/>
  <c r="I756" i="5"/>
  <c r="H756" i="5"/>
  <c r="G756" i="5"/>
  <c r="F756" i="5"/>
  <c r="E756" i="5"/>
  <c r="I755" i="5"/>
  <c r="H755" i="5"/>
  <c r="G755" i="5"/>
  <c r="F755" i="5"/>
  <c r="E755" i="5"/>
  <c r="I754" i="5"/>
  <c r="H754" i="5"/>
  <c r="G754" i="5"/>
  <c r="F754" i="5"/>
  <c r="E754" i="5"/>
  <c r="I753" i="5"/>
  <c r="H753" i="5"/>
  <c r="G753" i="5"/>
  <c r="F753" i="5"/>
  <c r="E753" i="5"/>
  <c r="I752" i="5"/>
  <c r="H752" i="5"/>
  <c r="G752" i="5"/>
  <c r="F752" i="5"/>
  <c r="E752" i="5"/>
  <c r="I751" i="5"/>
  <c r="H751" i="5"/>
  <c r="G751" i="5"/>
  <c r="F751" i="5"/>
  <c r="E751" i="5"/>
  <c r="I750" i="5"/>
  <c r="H750" i="5"/>
  <c r="G750" i="5"/>
  <c r="F750" i="5"/>
  <c r="E750" i="5"/>
  <c r="I749" i="5"/>
  <c r="H749" i="5"/>
  <c r="G749" i="5"/>
  <c r="F749" i="5"/>
  <c r="E749" i="5"/>
  <c r="I748" i="5"/>
  <c r="H748" i="5"/>
  <c r="G748" i="5"/>
  <c r="F748" i="5"/>
  <c r="E748" i="5"/>
  <c r="I747" i="5"/>
  <c r="H747" i="5"/>
  <c r="G747" i="5"/>
  <c r="F747" i="5"/>
  <c r="E747" i="5"/>
  <c r="I746" i="5"/>
  <c r="H746" i="5"/>
  <c r="G746" i="5"/>
  <c r="F746" i="5"/>
  <c r="E746" i="5"/>
  <c r="I745" i="5"/>
  <c r="H745" i="5"/>
  <c r="G745" i="5"/>
  <c r="F745" i="5"/>
  <c r="E745" i="5"/>
  <c r="I744" i="5"/>
  <c r="H744" i="5"/>
  <c r="G744" i="5"/>
  <c r="F744" i="5"/>
  <c r="E744" i="5"/>
  <c r="I743" i="5"/>
  <c r="H743" i="5"/>
  <c r="G743" i="5"/>
  <c r="F743" i="5"/>
  <c r="E743" i="5"/>
  <c r="I742" i="5"/>
  <c r="H742" i="5"/>
  <c r="G742" i="5"/>
  <c r="F742" i="5"/>
  <c r="E742" i="5"/>
  <c r="I741" i="5"/>
  <c r="H741" i="5"/>
  <c r="G741" i="5"/>
  <c r="F741" i="5"/>
  <c r="E741" i="5"/>
  <c r="I740" i="5"/>
  <c r="H740" i="5"/>
  <c r="G740" i="5"/>
  <c r="F740" i="5"/>
  <c r="E740" i="5"/>
  <c r="I739" i="5"/>
  <c r="H739" i="5"/>
  <c r="G739" i="5"/>
  <c r="F739" i="5"/>
  <c r="E739" i="5"/>
  <c r="I738" i="5"/>
  <c r="H738" i="5"/>
  <c r="G738" i="5"/>
  <c r="F738" i="5"/>
  <c r="E738" i="5"/>
  <c r="I737" i="5"/>
  <c r="H737" i="5"/>
  <c r="G737" i="5"/>
  <c r="F737" i="5"/>
  <c r="E737" i="5"/>
  <c r="I736" i="5"/>
  <c r="H736" i="5"/>
  <c r="G736" i="5"/>
  <c r="F736" i="5"/>
  <c r="E736" i="5"/>
  <c r="I735" i="5"/>
  <c r="H735" i="5"/>
  <c r="G735" i="5"/>
  <c r="F735" i="5"/>
  <c r="E735" i="5"/>
  <c r="I734" i="5"/>
  <c r="H734" i="5"/>
  <c r="G734" i="5"/>
  <c r="F734" i="5"/>
  <c r="E734" i="5"/>
  <c r="I733" i="5"/>
  <c r="H733" i="5"/>
  <c r="G733" i="5"/>
  <c r="F733" i="5"/>
  <c r="E733" i="5"/>
  <c r="I732" i="5"/>
  <c r="H732" i="5"/>
  <c r="G732" i="5"/>
  <c r="F732" i="5"/>
  <c r="E732" i="5"/>
  <c r="I731" i="5"/>
  <c r="H731" i="5"/>
  <c r="G731" i="5"/>
  <c r="F731" i="5"/>
  <c r="E731" i="5"/>
  <c r="I730" i="5"/>
  <c r="H730" i="5"/>
  <c r="G730" i="5"/>
  <c r="F730" i="5"/>
  <c r="E730" i="5"/>
  <c r="I729" i="5"/>
  <c r="H729" i="5"/>
  <c r="G729" i="5"/>
  <c r="F729" i="5"/>
  <c r="E729" i="5"/>
  <c r="I728" i="5"/>
  <c r="H728" i="5"/>
  <c r="G728" i="5"/>
  <c r="F728" i="5"/>
  <c r="E728" i="5"/>
  <c r="I727" i="5"/>
  <c r="H727" i="5"/>
  <c r="G727" i="5"/>
  <c r="F727" i="5"/>
  <c r="E727" i="5"/>
  <c r="I726" i="5"/>
  <c r="H726" i="5"/>
  <c r="G726" i="5"/>
  <c r="F726" i="5"/>
  <c r="E726" i="5"/>
  <c r="I725" i="5"/>
  <c r="H725" i="5"/>
  <c r="G725" i="5"/>
  <c r="F725" i="5"/>
  <c r="E725" i="5"/>
  <c r="I724" i="5"/>
  <c r="H724" i="5"/>
  <c r="G724" i="5"/>
  <c r="F724" i="5"/>
  <c r="E724" i="5"/>
  <c r="I723" i="5"/>
  <c r="H723" i="5"/>
  <c r="G723" i="5"/>
  <c r="F723" i="5"/>
  <c r="E723" i="5"/>
  <c r="I722" i="5"/>
  <c r="H722" i="5"/>
  <c r="G722" i="5"/>
  <c r="F722" i="5"/>
  <c r="E722" i="5"/>
  <c r="I721" i="5"/>
  <c r="H721" i="5"/>
  <c r="G721" i="5"/>
  <c r="F721" i="5"/>
  <c r="E721" i="5"/>
  <c r="I720" i="5"/>
  <c r="H720" i="5"/>
  <c r="G720" i="5"/>
  <c r="F720" i="5"/>
  <c r="E720" i="5"/>
  <c r="I719" i="5"/>
  <c r="H719" i="5"/>
  <c r="G719" i="5"/>
  <c r="F719" i="5"/>
  <c r="E719" i="5"/>
  <c r="I718" i="5"/>
  <c r="H718" i="5"/>
  <c r="G718" i="5"/>
  <c r="F718" i="5"/>
  <c r="E718" i="5"/>
  <c r="I717" i="5"/>
  <c r="H717" i="5"/>
  <c r="G717" i="5"/>
  <c r="F717" i="5"/>
  <c r="E717" i="5"/>
  <c r="I716" i="5"/>
  <c r="H716" i="5"/>
  <c r="G716" i="5"/>
  <c r="F716" i="5"/>
  <c r="E716" i="5"/>
  <c r="I715" i="5"/>
  <c r="H715" i="5"/>
  <c r="G715" i="5"/>
  <c r="F715" i="5"/>
  <c r="E715" i="5"/>
  <c r="I714" i="5"/>
  <c r="H714" i="5"/>
  <c r="G714" i="5"/>
  <c r="F714" i="5"/>
  <c r="E714" i="5"/>
  <c r="I713" i="5"/>
  <c r="H713" i="5"/>
  <c r="G713" i="5"/>
  <c r="F713" i="5"/>
  <c r="E713" i="5"/>
  <c r="I712" i="5"/>
  <c r="H712" i="5"/>
  <c r="G712" i="5"/>
  <c r="F712" i="5"/>
  <c r="E712" i="5"/>
  <c r="I711" i="5"/>
  <c r="H711" i="5"/>
  <c r="G711" i="5"/>
  <c r="F711" i="5"/>
  <c r="E711" i="5"/>
  <c r="I710" i="5"/>
  <c r="H710" i="5"/>
  <c r="G710" i="5"/>
  <c r="F710" i="5"/>
  <c r="E710" i="5"/>
  <c r="I709" i="5"/>
  <c r="H709" i="5"/>
  <c r="G709" i="5"/>
  <c r="F709" i="5"/>
  <c r="E709" i="5"/>
  <c r="I708" i="5"/>
  <c r="H708" i="5"/>
  <c r="G708" i="5"/>
  <c r="F708" i="5"/>
  <c r="E708" i="5"/>
  <c r="I707" i="5"/>
  <c r="H707" i="5"/>
  <c r="G707" i="5"/>
  <c r="F707" i="5"/>
  <c r="E707" i="5"/>
  <c r="I706" i="5"/>
  <c r="H706" i="5"/>
  <c r="G706" i="5"/>
  <c r="F706" i="5"/>
  <c r="E706" i="5"/>
  <c r="I705" i="5"/>
  <c r="H705" i="5"/>
  <c r="G705" i="5"/>
  <c r="F705" i="5"/>
  <c r="E705" i="5"/>
  <c r="I704" i="5"/>
  <c r="H704" i="5"/>
  <c r="G704" i="5"/>
  <c r="F704" i="5"/>
  <c r="E704" i="5"/>
  <c r="I703" i="5"/>
  <c r="H703" i="5"/>
  <c r="G703" i="5"/>
  <c r="F703" i="5"/>
  <c r="E703" i="5"/>
  <c r="I702" i="5"/>
  <c r="H702" i="5"/>
  <c r="G702" i="5"/>
  <c r="F702" i="5"/>
  <c r="E702" i="5"/>
  <c r="I701" i="5"/>
  <c r="H701" i="5"/>
  <c r="G701" i="5"/>
  <c r="F701" i="5"/>
  <c r="E701" i="5"/>
  <c r="I700" i="5"/>
  <c r="H700" i="5"/>
  <c r="G700" i="5"/>
  <c r="F700" i="5"/>
  <c r="E700" i="5"/>
  <c r="I699" i="5"/>
  <c r="H699" i="5"/>
  <c r="G699" i="5"/>
  <c r="F699" i="5"/>
  <c r="E699" i="5"/>
  <c r="I698" i="5"/>
  <c r="H698" i="5"/>
  <c r="G698" i="5"/>
  <c r="F698" i="5"/>
  <c r="E698" i="5"/>
  <c r="I697" i="5"/>
  <c r="H697" i="5"/>
  <c r="G697" i="5"/>
  <c r="F697" i="5"/>
  <c r="E697" i="5"/>
  <c r="I696" i="5"/>
  <c r="H696" i="5"/>
  <c r="G696" i="5"/>
  <c r="F696" i="5"/>
  <c r="E696" i="5"/>
  <c r="I695" i="5"/>
  <c r="H695" i="5"/>
  <c r="G695" i="5"/>
  <c r="F695" i="5"/>
  <c r="E695" i="5"/>
  <c r="I694" i="5"/>
  <c r="H694" i="5"/>
  <c r="G694" i="5"/>
  <c r="F694" i="5"/>
  <c r="E694" i="5"/>
  <c r="I693" i="5"/>
  <c r="H693" i="5"/>
  <c r="G693" i="5"/>
  <c r="F693" i="5"/>
  <c r="E693" i="5"/>
  <c r="I692" i="5"/>
  <c r="H692" i="5"/>
  <c r="G692" i="5"/>
  <c r="F692" i="5"/>
  <c r="E692" i="5"/>
  <c r="I691" i="5"/>
  <c r="H691" i="5"/>
  <c r="G691" i="5"/>
  <c r="F691" i="5"/>
  <c r="E691" i="5"/>
  <c r="I690" i="5"/>
  <c r="H690" i="5"/>
  <c r="G690" i="5"/>
  <c r="F690" i="5"/>
  <c r="E690" i="5"/>
  <c r="I689" i="5"/>
  <c r="H689" i="5"/>
  <c r="G689" i="5"/>
  <c r="F689" i="5"/>
  <c r="E689" i="5"/>
  <c r="I688" i="5"/>
  <c r="H688" i="5"/>
  <c r="G688" i="5"/>
  <c r="F688" i="5"/>
  <c r="E688" i="5"/>
  <c r="I687" i="5"/>
  <c r="H687" i="5"/>
  <c r="G687" i="5"/>
  <c r="F687" i="5"/>
  <c r="E687" i="5"/>
  <c r="I686" i="5"/>
  <c r="H686" i="5"/>
  <c r="G686" i="5"/>
  <c r="F686" i="5"/>
  <c r="E686" i="5"/>
  <c r="I685" i="5"/>
  <c r="H685" i="5"/>
  <c r="G685" i="5"/>
  <c r="F685" i="5"/>
  <c r="E685" i="5"/>
  <c r="I684" i="5"/>
  <c r="H684" i="5"/>
  <c r="G684" i="5"/>
  <c r="F684" i="5"/>
  <c r="E684" i="5"/>
  <c r="I683" i="5"/>
  <c r="H683" i="5"/>
  <c r="G683" i="5"/>
  <c r="F683" i="5"/>
  <c r="E683" i="5"/>
  <c r="I682" i="5"/>
  <c r="H682" i="5"/>
  <c r="G682" i="5"/>
  <c r="F682" i="5"/>
  <c r="E682" i="5"/>
  <c r="I681" i="5"/>
  <c r="H681" i="5"/>
  <c r="G681" i="5"/>
  <c r="F681" i="5"/>
  <c r="E681" i="5"/>
  <c r="I680" i="5"/>
  <c r="H680" i="5"/>
  <c r="G680" i="5"/>
  <c r="F680" i="5"/>
  <c r="E680" i="5"/>
  <c r="I679" i="5"/>
  <c r="H679" i="5"/>
  <c r="G679" i="5"/>
  <c r="F679" i="5"/>
  <c r="E679" i="5"/>
  <c r="I678" i="5"/>
  <c r="H678" i="5"/>
  <c r="G678" i="5"/>
  <c r="F678" i="5"/>
  <c r="E678" i="5"/>
  <c r="I677" i="5"/>
  <c r="H677" i="5"/>
  <c r="G677" i="5"/>
  <c r="F677" i="5"/>
  <c r="E677" i="5"/>
  <c r="I676" i="5"/>
  <c r="H676" i="5"/>
  <c r="G676" i="5"/>
  <c r="F676" i="5"/>
  <c r="E676" i="5"/>
  <c r="I675" i="5"/>
  <c r="H675" i="5"/>
  <c r="G675" i="5"/>
  <c r="F675" i="5"/>
  <c r="E675" i="5"/>
  <c r="I674" i="5"/>
  <c r="H674" i="5"/>
  <c r="G674" i="5"/>
  <c r="F674" i="5"/>
  <c r="E674" i="5"/>
  <c r="I673" i="5"/>
  <c r="H673" i="5"/>
  <c r="G673" i="5"/>
  <c r="F673" i="5"/>
  <c r="E673" i="5"/>
  <c r="I672" i="5"/>
  <c r="H672" i="5"/>
  <c r="G672" i="5"/>
  <c r="F672" i="5"/>
  <c r="E672" i="5"/>
  <c r="I671" i="5"/>
  <c r="H671" i="5"/>
  <c r="G671" i="5"/>
  <c r="F671" i="5"/>
  <c r="E671" i="5"/>
  <c r="I670" i="5"/>
  <c r="H670" i="5"/>
  <c r="G670" i="5"/>
  <c r="F670" i="5"/>
  <c r="E670" i="5"/>
  <c r="I669" i="5"/>
  <c r="H669" i="5"/>
  <c r="G669" i="5"/>
  <c r="F669" i="5"/>
  <c r="E669" i="5"/>
  <c r="I668" i="5"/>
  <c r="H668" i="5"/>
  <c r="G668" i="5"/>
  <c r="F668" i="5"/>
  <c r="E668" i="5"/>
  <c r="I667" i="5"/>
  <c r="H667" i="5"/>
  <c r="G667" i="5"/>
  <c r="F667" i="5"/>
  <c r="E667" i="5"/>
  <c r="I666" i="5"/>
  <c r="H666" i="5"/>
  <c r="G666" i="5"/>
  <c r="F666" i="5"/>
  <c r="E666" i="5"/>
  <c r="I665" i="5"/>
  <c r="H665" i="5"/>
  <c r="G665" i="5"/>
  <c r="F665" i="5"/>
  <c r="E665" i="5"/>
  <c r="I664" i="5"/>
  <c r="H664" i="5"/>
  <c r="G664" i="5"/>
  <c r="F664" i="5"/>
  <c r="E664" i="5"/>
  <c r="I663" i="5"/>
  <c r="H663" i="5"/>
  <c r="G663" i="5"/>
  <c r="F663" i="5"/>
  <c r="E663" i="5"/>
  <c r="I662" i="5"/>
  <c r="H662" i="5"/>
  <c r="G662" i="5"/>
  <c r="F662" i="5"/>
  <c r="E662" i="5"/>
  <c r="I661" i="5"/>
  <c r="H661" i="5"/>
  <c r="G661" i="5"/>
  <c r="F661" i="5"/>
  <c r="E661" i="5"/>
  <c r="I660" i="5"/>
  <c r="H660" i="5"/>
  <c r="G660" i="5"/>
  <c r="F660" i="5"/>
  <c r="E660" i="5"/>
  <c r="I659" i="5"/>
  <c r="H659" i="5"/>
  <c r="G659" i="5"/>
  <c r="F659" i="5"/>
  <c r="E659" i="5"/>
  <c r="I658" i="5"/>
  <c r="H658" i="5"/>
  <c r="G658" i="5"/>
  <c r="F658" i="5"/>
  <c r="E658" i="5"/>
  <c r="I657" i="5"/>
  <c r="H657" i="5"/>
  <c r="G657" i="5"/>
  <c r="F657" i="5"/>
  <c r="E657" i="5"/>
  <c r="I656" i="5"/>
  <c r="H656" i="5"/>
  <c r="G656" i="5"/>
  <c r="F656" i="5"/>
  <c r="E656" i="5"/>
  <c r="I655" i="5"/>
  <c r="H655" i="5"/>
  <c r="G655" i="5"/>
  <c r="F655" i="5"/>
  <c r="E655" i="5"/>
  <c r="I654" i="5"/>
  <c r="H654" i="5"/>
  <c r="G654" i="5"/>
  <c r="F654" i="5"/>
  <c r="E654" i="5"/>
  <c r="I653" i="5"/>
  <c r="H653" i="5"/>
  <c r="G653" i="5"/>
  <c r="F653" i="5"/>
  <c r="E653" i="5"/>
  <c r="I652" i="5"/>
  <c r="H652" i="5"/>
  <c r="G652" i="5"/>
  <c r="F652" i="5"/>
  <c r="E652" i="5"/>
  <c r="I651" i="5"/>
  <c r="H651" i="5"/>
  <c r="G651" i="5"/>
  <c r="F651" i="5"/>
  <c r="E651" i="5"/>
  <c r="I650" i="5"/>
  <c r="H650" i="5"/>
  <c r="G650" i="5"/>
  <c r="F650" i="5"/>
  <c r="E650" i="5"/>
  <c r="I649" i="5"/>
  <c r="H649" i="5"/>
  <c r="G649" i="5"/>
  <c r="F649" i="5"/>
  <c r="E649" i="5"/>
  <c r="I648" i="5"/>
  <c r="H648" i="5"/>
  <c r="G648" i="5"/>
  <c r="F648" i="5"/>
  <c r="E648" i="5"/>
  <c r="I647" i="5"/>
  <c r="H647" i="5"/>
  <c r="G647" i="5"/>
  <c r="F647" i="5"/>
  <c r="E647" i="5"/>
  <c r="I646" i="5"/>
  <c r="H646" i="5"/>
  <c r="G646" i="5"/>
  <c r="F646" i="5"/>
  <c r="E646" i="5"/>
  <c r="I645" i="5"/>
  <c r="H645" i="5"/>
  <c r="G645" i="5"/>
  <c r="F645" i="5"/>
  <c r="E645" i="5"/>
  <c r="I644" i="5"/>
  <c r="H644" i="5"/>
  <c r="G644" i="5"/>
  <c r="F644" i="5"/>
  <c r="E644" i="5"/>
  <c r="I643" i="5"/>
  <c r="H643" i="5"/>
  <c r="G643" i="5"/>
  <c r="F643" i="5"/>
  <c r="E643" i="5"/>
  <c r="I642" i="5"/>
  <c r="H642" i="5"/>
  <c r="G642" i="5"/>
  <c r="F642" i="5"/>
  <c r="E642" i="5"/>
  <c r="I641" i="5"/>
  <c r="H641" i="5"/>
  <c r="G641" i="5"/>
  <c r="F641" i="5"/>
  <c r="E641" i="5"/>
  <c r="I640" i="5"/>
  <c r="H640" i="5"/>
  <c r="G640" i="5"/>
  <c r="F640" i="5"/>
  <c r="E640" i="5"/>
  <c r="I639" i="5"/>
  <c r="H639" i="5"/>
  <c r="G639" i="5"/>
  <c r="F639" i="5"/>
  <c r="E639" i="5"/>
  <c r="I638" i="5"/>
  <c r="H638" i="5"/>
  <c r="G638" i="5"/>
  <c r="F638" i="5"/>
  <c r="E638" i="5"/>
  <c r="I637" i="5"/>
  <c r="H637" i="5"/>
  <c r="G637" i="5"/>
  <c r="F637" i="5"/>
  <c r="E637" i="5"/>
  <c r="I636" i="5"/>
  <c r="H636" i="5"/>
  <c r="G636" i="5"/>
  <c r="F636" i="5"/>
  <c r="E636" i="5"/>
  <c r="I635" i="5"/>
  <c r="H635" i="5"/>
  <c r="G635" i="5"/>
  <c r="F635" i="5"/>
  <c r="E635" i="5"/>
  <c r="I634" i="5"/>
  <c r="H634" i="5"/>
  <c r="G634" i="5"/>
  <c r="F634" i="5"/>
  <c r="E634" i="5"/>
  <c r="I633" i="5"/>
  <c r="H633" i="5"/>
  <c r="G633" i="5"/>
  <c r="F633" i="5"/>
  <c r="E633" i="5"/>
  <c r="I632" i="5"/>
  <c r="H632" i="5"/>
  <c r="G632" i="5"/>
  <c r="F632" i="5"/>
  <c r="E632" i="5"/>
  <c r="I631" i="5"/>
  <c r="H631" i="5"/>
  <c r="G631" i="5"/>
  <c r="F631" i="5"/>
  <c r="E631" i="5"/>
  <c r="I630" i="5"/>
  <c r="H630" i="5"/>
  <c r="G630" i="5"/>
  <c r="F630" i="5"/>
  <c r="E630" i="5"/>
  <c r="I629" i="5"/>
  <c r="H629" i="5"/>
  <c r="G629" i="5"/>
  <c r="F629" i="5"/>
  <c r="E629" i="5"/>
  <c r="I628" i="5"/>
  <c r="H628" i="5"/>
  <c r="G628" i="5"/>
  <c r="F628" i="5"/>
  <c r="E628" i="5"/>
  <c r="I627" i="5"/>
  <c r="H627" i="5"/>
  <c r="G627" i="5"/>
  <c r="F627" i="5"/>
  <c r="E627" i="5"/>
  <c r="I626" i="5"/>
  <c r="H626" i="5"/>
  <c r="G626" i="5"/>
  <c r="F626" i="5"/>
  <c r="E626" i="5"/>
  <c r="I625" i="5"/>
  <c r="H625" i="5"/>
  <c r="G625" i="5"/>
  <c r="F625" i="5"/>
  <c r="E625" i="5"/>
  <c r="I624" i="5"/>
  <c r="H624" i="5"/>
  <c r="G624" i="5"/>
  <c r="F624" i="5"/>
  <c r="E624" i="5"/>
  <c r="I623" i="5"/>
  <c r="H623" i="5"/>
  <c r="G623" i="5"/>
  <c r="F623" i="5"/>
  <c r="E623" i="5"/>
  <c r="I622" i="5"/>
  <c r="H622" i="5"/>
  <c r="G622" i="5"/>
  <c r="F622" i="5"/>
  <c r="E622" i="5"/>
  <c r="I621" i="5"/>
  <c r="H621" i="5"/>
  <c r="G621" i="5"/>
  <c r="F621" i="5"/>
  <c r="E621" i="5"/>
  <c r="I620" i="5"/>
  <c r="H620" i="5"/>
  <c r="G620" i="5"/>
  <c r="F620" i="5"/>
  <c r="E620" i="5"/>
  <c r="I619" i="5"/>
  <c r="H619" i="5"/>
  <c r="G619" i="5"/>
  <c r="F619" i="5"/>
  <c r="E619" i="5"/>
  <c r="I618" i="5"/>
  <c r="H618" i="5"/>
  <c r="G618" i="5"/>
  <c r="F618" i="5"/>
  <c r="E618" i="5"/>
  <c r="I617" i="5"/>
  <c r="H617" i="5"/>
  <c r="G617" i="5"/>
  <c r="F617" i="5"/>
  <c r="E617" i="5"/>
  <c r="I616" i="5"/>
  <c r="H616" i="5"/>
  <c r="G616" i="5"/>
  <c r="F616" i="5"/>
  <c r="E616" i="5"/>
  <c r="I615" i="5"/>
  <c r="H615" i="5"/>
  <c r="G615" i="5"/>
  <c r="F615" i="5"/>
  <c r="E615" i="5"/>
  <c r="I614" i="5"/>
  <c r="H614" i="5"/>
  <c r="G614" i="5"/>
  <c r="F614" i="5"/>
  <c r="E614" i="5"/>
  <c r="I613" i="5"/>
  <c r="H613" i="5"/>
  <c r="G613" i="5"/>
  <c r="F613" i="5"/>
  <c r="E613" i="5"/>
  <c r="I612" i="5"/>
  <c r="H612" i="5"/>
  <c r="G612" i="5"/>
  <c r="F612" i="5"/>
  <c r="E612" i="5"/>
  <c r="I611" i="5"/>
  <c r="H611" i="5"/>
  <c r="G611" i="5"/>
  <c r="F611" i="5"/>
  <c r="E611" i="5"/>
  <c r="I610" i="5"/>
  <c r="H610" i="5"/>
  <c r="G610" i="5"/>
  <c r="F610" i="5"/>
  <c r="E610" i="5"/>
  <c r="I609" i="5"/>
  <c r="H609" i="5"/>
  <c r="G609" i="5"/>
  <c r="F609" i="5"/>
  <c r="E609" i="5"/>
  <c r="I608" i="5"/>
  <c r="H608" i="5"/>
  <c r="G608" i="5"/>
  <c r="F608" i="5"/>
  <c r="E608" i="5"/>
  <c r="I607" i="5"/>
  <c r="H607" i="5"/>
  <c r="G607" i="5"/>
  <c r="F607" i="5"/>
  <c r="E607" i="5"/>
  <c r="I606" i="5"/>
  <c r="H606" i="5"/>
  <c r="G606" i="5"/>
  <c r="F606" i="5"/>
  <c r="E606" i="5"/>
  <c r="I605" i="5"/>
  <c r="H605" i="5"/>
  <c r="G605" i="5"/>
  <c r="F605" i="5"/>
  <c r="E605" i="5"/>
  <c r="I604" i="5"/>
  <c r="H604" i="5"/>
  <c r="G604" i="5"/>
  <c r="F604" i="5"/>
  <c r="E604" i="5"/>
  <c r="I603" i="5"/>
  <c r="H603" i="5"/>
  <c r="G603" i="5"/>
  <c r="F603" i="5"/>
  <c r="E603" i="5"/>
  <c r="I602" i="5"/>
  <c r="H602" i="5"/>
  <c r="G602" i="5"/>
  <c r="F602" i="5"/>
  <c r="E602" i="5"/>
  <c r="I601" i="5"/>
  <c r="H601" i="5"/>
  <c r="G601" i="5"/>
  <c r="F601" i="5"/>
  <c r="E601" i="5"/>
  <c r="I600" i="5"/>
  <c r="H600" i="5"/>
  <c r="G600" i="5"/>
  <c r="F600" i="5"/>
  <c r="E600" i="5"/>
  <c r="I599" i="5"/>
  <c r="H599" i="5"/>
  <c r="G599" i="5"/>
  <c r="F599" i="5"/>
  <c r="E599" i="5"/>
  <c r="I598" i="5"/>
  <c r="H598" i="5"/>
  <c r="G598" i="5"/>
  <c r="F598" i="5"/>
  <c r="E598" i="5"/>
  <c r="I597" i="5"/>
  <c r="H597" i="5"/>
  <c r="G597" i="5"/>
  <c r="F597" i="5"/>
  <c r="E597" i="5"/>
  <c r="I596" i="5"/>
  <c r="H596" i="5"/>
  <c r="G596" i="5"/>
  <c r="F596" i="5"/>
  <c r="E596" i="5"/>
  <c r="I595" i="5"/>
  <c r="H595" i="5"/>
  <c r="G595" i="5"/>
  <c r="F595" i="5"/>
  <c r="E595" i="5"/>
  <c r="I594" i="5"/>
  <c r="H594" i="5"/>
  <c r="G594" i="5"/>
  <c r="F594" i="5"/>
  <c r="E594" i="5"/>
  <c r="I593" i="5"/>
  <c r="H593" i="5"/>
  <c r="G593" i="5"/>
  <c r="F593" i="5"/>
  <c r="E593" i="5"/>
  <c r="I592" i="5"/>
  <c r="H592" i="5"/>
  <c r="G592" i="5"/>
  <c r="F592" i="5"/>
  <c r="E592" i="5"/>
  <c r="I591" i="5"/>
  <c r="H591" i="5"/>
  <c r="G591" i="5"/>
  <c r="F591" i="5"/>
  <c r="E591" i="5"/>
  <c r="I590" i="5"/>
  <c r="H590" i="5"/>
  <c r="G590" i="5"/>
  <c r="F590" i="5"/>
  <c r="E590" i="5"/>
  <c r="I589" i="5"/>
  <c r="H589" i="5"/>
  <c r="G589" i="5"/>
  <c r="F589" i="5"/>
  <c r="E589" i="5"/>
  <c r="I588" i="5"/>
  <c r="H588" i="5"/>
  <c r="G588" i="5"/>
  <c r="F588" i="5"/>
  <c r="E588" i="5"/>
  <c r="I587" i="5"/>
  <c r="H587" i="5"/>
  <c r="G587" i="5"/>
  <c r="F587" i="5"/>
  <c r="E587" i="5"/>
  <c r="I586" i="5"/>
  <c r="H586" i="5"/>
  <c r="G586" i="5"/>
  <c r="F586" i="5"/>
  <c r="E586" i="5"/>
  <c r="I585" i="5"/>
  <c r="H585" i="5"/>
  <c r="G585" i="5"/>
  <c r="F585" i="5"/>
  <c r="E585" i="5"/>
  <c r="I584" i="5"/>
  <c r="H584" i="5"/>
  <c r="G584" i="5"/>
  <c r="F584" i="5"/>
  <c r="E584" i="5"/>
  <c r="I583" i="5"/>
  <c r="H583" i="5"/>
  <c r="G583" i="5"/>
  <c r="F583" i="5"/>
  <c r="E583" i="5"/>
  <c r="I582" i="5"/>
  <c r="H582" i="5"/>
  <c r="G582" i="5"/>
  <c r="F582" i="5"/>
  <c r="E582" i="5"/>
  <c r="I581" i="5"/>
  <c r="H581" i="5"/>
  <c r="G581" i="5"/>
  <c r="F581" i="5"/>
  <c r="E581" i="5"/>
  <c r="I580" i="5"/>
  <c r="H580" i="5"/>
  <c r="G580" i="5"/>
  <c r="F580" i="5"/>
  <c r="E580" i="5"/>
  <c r="I579" i="5"/>
  <c r="H579" i="5"/>
  <c r="G579" i="5"/>
  <c r="F579" i="5"/>
  <c r="E579" i="5"/>
  <c r="I578" i="5"/>
  <c r="H578" i="5"/>
  <c r="G578" i="5"/>
  <c r="F578" i="5"/>
  <c r="E578" i="5"/>
  <c r="I577" i="5"/>
  <c r="H577" i="5"/>
  <c r="G577" i="5"/>
  <c r="F577" i="5"/>
  <c r="E577" i="5"/>
  <c r="I576" i="5"/>
  <c r="H576" i="5"/>
  <c r="G576" i="5"/>
  <c r="F576" i="5"/>
  <c r="E576" i="5"/>
  <c r="I575" i="5"/>
  <c r="H575" i="5"/>
  <c r="G575" i="5"/>
  <c r="F575" i="5"/>
  <c r="E575" i="5"/>
  <c r="I574" i="5"/>
  <c r="H574" i="5"/>
  <c r="G574" i="5"/>
  <c r="F574" i="5"/>
  <c r="E574" i="5"/>
  <c r="I573" i="5"/>
  <c r="H573" i="5"/>
  <c r="G573" i="5"/>
  <c r="F573" i="5"/>
  <c r="E573" i="5"/>
  <c r="I572" i="5"/>
  <c r="H572" i="5"/>
  <c r="G572" i="5"/>
  <c r="F572" i="5"/>
  <c r="E572" i="5"/>
  <c r="I571" i="5"/>
  <c r="H571" i="5"/>
  <c r="G571" i="5"/>
  <c r="F571" i="5"/>
  <c r="E571" i="5"/>
  <c r="I570" i="5"/>
  <c r="H570" i="5"/>
  <c r="G570" i="5"/>
  <c r="F570" i="5"/>
  <c r="E570" i="5"/>
  <c r="I569" i="5"/>
  <c r="H569" i="5"/>
  <c r="G569" i="5"/>
  <c r="F569" i="5"/>
  <c r="E569" i="5"/>
  <c r="I568" i="5"/>
  <c r="H568" i="5"/>
  <c r="G568" i="5"/>
  <c r="F568" i="5"/>
  <c r="E568" i="5"/>
  <c r="I567" i="5"/>
  <c r="H567" i="5"/>
  <c r="G567" i="5"/>
  <c r="F567" i="5"/>
  <c r="E567" i="5"/>
  <c r="I566" i="5"/>
  <c r="H566" i="5"/>
  <c r="G566" i="5"/>
  <c r="F566" i="5"/>
  <c r="E566" i="5"/>
  <c r="I565" i="5"/>
  <c r="H565" i="5"/>
  <c r="G565" i="5"/>
  <c r="F565" i="5"/>
  <c r="E565" i="5"/>
  <c r="I564" i="5"/>
  <c r="H564" i="5"/>
  <c r="G564" i="5"/>
  <c r="F564" i="5"/>
  <c r="E564" i="5"/>
  <c r="I563" i="5"/>
  <c r="H563" i="5"/>
  <c r="G563" i="5"/>
  <c r="F563" i="5"/>
  <c r="E563" i="5"/>
  <c r="I562" i="5"/>
  <c r="H562" i="5"/>
  <c r="G562" i="5"/>
  <c r="F562" i="5"/>
  <c r="E562" i="5"/>
  <c r="I561" i="5"/>
  <c r="H561" i="5"/>
  <c r="G561" i="5"/>
  <c r="F561" i="5"/>
  <c r="E561" i="5"/>
  <c r="I560" i="5"/>
  <c r="H560" i="5"/>
  <c r="G560" i="5"/>
  <c r="F560" i="5"/>
  <c r="E560" i="5"/>
  <c r="I559" i="5"/>
  <c r="H559" i="5"/>
  <c r="G559" i="5"/>
  <c r="F559" i="5"/>
  <c r="E559" i="5"/>
  <c r="I558" i="5"/>
  <c r="H558" i="5"/>
  <c r="G558" i="5"/>
  <c r="F558" i="5"/>
  <c r="E558" i="5"/>
  <c r="I557" i="5"/>
  <c r="H557" i="5"/>
  <c r="G557" i="5"/>
  <c r="F557" i="5"/>
  <c r="E557" i="5"/>
  <c r="I556" i="5"/>
  <c r="H556" i="5"/>
  <c r="G556" i="5"/>
  <c r="F556" i="5"/>
  <c r="E556" i="5"/>
  <c r="I555" i="5"/>
  <c r="H555" i="5"/>
  <c r="G555" i="5"/>
  <c r="F555" i="5"/>
  <c r="E555" i="5"/>
  <c r="I554" i="5"/>
  <c r="H554" i="5"/>
  <c r="G554" i="5"/>
  <c r="F554" i="5"/>
  <c r="E554" i="5"/>
  <c r="I553" i="5"/>
  <c r="H553" i="5"/>
  <c r="G553" i="5"/>
  <c r="F553" i="5"/>
  <c r="E553" i="5"/>
  <c r="I552" i="5"/>
  <c r="H552" i="5"/>
  <c r="G552" i="5"/>
  <c r="F552" i="5"/>
  <c r="E552" i="5"/>
  <c r="I551" i="5"/>
  <c r="H551" i="5"/>
  <c r="G551" i="5"/>
  <c r="F551" i="5"/>
  <c r="E551" i="5"/>
  <c r="I550" i="5"/>
  <c r="H550" i="5"/>
  <c r="G550" i="5"/>
  <c r="F550" i="5"/>
  <c r="E550" i="5"/>
  <c r="I549" i="5"/>
  <c r="H549" i="5"/>
  <c r="G549" i="5"/>
  <c r="F549" i="5"/>
  <c r="E549" i="5"/>
  <c r="I548" i="5"/>
  <c r="H548" i="5"/>
  <c r="G548" i="5"/>
  <c r="F548" i="5"/>
  <c r="E548" i="5"/>
  <c r="I547" i="5"/>
  <c r="H547" i="5"/>
  <c r="G547" i="5"/>
  <c r="F547" i="5"/>
  <c r="E547" i="5"/>
  <c r="I546" i="5"/>
  <c r="H546" i="5"/>
  <c r="G546" i="5"/>
  <c r="F546" i="5"/>
  <c r="E546" i="5"/>
  <c r="I545" i="5"/>
  <c r="H545" i="5"/>
  <c r="G545" i="5"/>
  <c r="F545" i="5"/>
  <c r="E545" i="5"/>
  <c r="I544" i="5"/>
  <c r="H544" i="5"/>
  <c r="G544" i="5"/>
  <c r="F544" i="5"/>
  <c r="E544" i="5"/>
  <c r="I543" i="5"/>
  <c r="H543" i="5"/>
  <c r="G543" i="5"/>
  <c r="F543" i="5"/>
  <c r="E543" i="5"/>
  <c r="I542" i="5"/>
  <c r="H542" i="5"/>
  <c r="G542" i="5"/>
  <c r="F542" i="5"/>
  <c r="E542" i="5"/>
  <c r="I541" i="5"/>
  <c r="H541" i="5"/>
  <c r="G541" i="5"/>
  <c r="F541" i="5"/>
  <c r="E541" i="5"/>
  <c r="I540" i="5"/>
  <c r="H540" i="5"/>
  <c r="G540" i="5"/>
  <c r="F540" i="5"/>
  <c r="E540" i="5"/>
  <c r="I539" i="5"/>
  <c r="H539" i="5"/>
  <c r="G539" i="5"/>
  <c r="F539" i="5"/>
  <c r="E539" i="5"/>
  <c r="I538" i="5"/>
  <c r="H538" i="5"/>
  <c r="G538" i="5"/>
  <c r="F538" i="5"/>
  <c r="E538" i="5"/>
  <c r="I537" i="5"/>
  <c r="H537" i="5"/>
  <c r="G537" i="5"/>
  <c r="F537" i="5"/>
  <c r="E537" i="5"/>
  <c r="I536" i="5"/>
  <c r="H536" i="5"/>
  <c r="G536" i="5"/>
  <c r="F536" i="5"/>
  <c r="E536" i="5"/>
  <c r="I535" i="5"/>
  <c r="H535" i="5"/>
  <c r="G535" i="5"/>
  <c r="F535" i="5"/>
  <c r="E535" i="5"/>
  <c r="I534" i="5"/>
  <c r="H534" i="5"/>
  <c r="G534" i="5"/>
  <c r="F534" i="5"/>
  <c r="E534" i="5"/>
  <c r="I533" i="5"/>
  <c r="H533" i="5"/>
  <c r="G533" i="5"/>
  <c r="F533" i="5"/>
  <c r="E533" i="5"/>
  <c r="I532" i="5"/>
  <c r="H532" i="5"/>
  <c r="G532" i="5"/>
  <c r="F532" i="5"/>
  <c r="E532" i="5"/>
  <c r="I531" i="5"/>
  <c r="H531" i="5"/>
  <c r="G531" i="5"/>
  <c r="F531" i="5"/>
  <c r="E531" i="5"/>
  <c r="I530" i="5"/>
  <c r="H530" i="5"/>
  <c r="G530" i="5"/>
  <c r="F530" i="5"/>
  <c r="E530" i="5"/>
  <c r="I529" i="5"/>
  <c r="H529" i="5"/>
  <c r="G529" i="5"/>
  <c r="F529" i="5"/>
  <c r="E529" i="5"/>
  <c r="I528" i="5"/>
  <c r="H528" i="5"/>
  <c r="G528" i="5"/>
  <c r="F528" i="5"/>
  <c r="E528" i="5"/>
  <c r="I527" i="5"/>
  <c r="H527" i="5"/>
  <c r="G527" i="5"/>
  <c r="F527" i="5"/>
  <c r="E527" i="5"/>
  <c r="I526" i="5"/>
  <c r="H526" i="5"/>
  <c r="G526" i="5"/>
  <c r="F526" i="5"/>
  <c r="E526" i="5"/>
  <c r="I525" i="5"/>
  <c r="H525" i="5"/>
  <c r="G525" i="5"/>
  <c r="F525" i="5"/>
  <c r="E525" i="5"/>
  <c r="I524" i="5"/>
  <c r="H524" i="5"/>
  <c r="G524" i="5"/>
  <c r="F524" i="5"/>
  <c r="E524" i="5"/>
  <c r="I523" i="5"/>
  <c r="H523" i="5"/>
  <c r="G523" i="5"/>
  <c r="F523" i="5"/>
  <c r="E523" i="5"/>
  <c r="I522" i="5"/>
  <c r="H522" i="5"/>
  <c r="G522" i="5"/>
  <c r="F522" i="5"/>
  <c r="E522" i="5"/>
  <c r="I521" i="5"/>
  <c r="H521" i="5"/>
  <c r="G521" i="5"/>
  <c r="F521" i="5"/>
  <c r="E521" i="5"/>
  <c r="I520" i="5"/>
  <c r="H520" i="5"/>
  <c r="G520" i="5"/>
  <c r="F520" i="5"/>
  <c r="E520" i="5"/>
  <c r="I519" i="5"/>
  <c r="H519" i="5"/>
  <c r="G519" i="5"/>
  <c r="F519" i="5"/>
  <c r="E519" i="5"/>
  <c r="I518" i="5"/>
  <c r="H518" i="5"/>
  <c r="G518" i="5"/>
  <c r="F518" i="5"/>
  <c r="E518" i="5"/>
  <c r="I517" i="5"/>
  <c r="H517" i="5"/>
  <c r="G517" i="5"/>
  <c r="F517" i="5"/>
  <c r="E517" i="5"/>
  <c r="I516" i="5"/>
  <c r="H516" i="5"/>
  <c r="G516" i="5"/>
  <c r="F516" i="5"/>
  <c r="E516" i="5"/>
  <c r="I515" i="5"/>
  <c r="H515" i="5"/>
  <c r="G515" i="5"/>
  <c r="F515" i="5"/>
  <c r="E515" i="5"/>
  <c r="I514" i="5"/>
  <c r="H514" i="5"/>
  <c r="G514" i="5"/>
  <c r="F514" i="5"/>
  <c r="E514" i="5"/>
  <c r="I513" i="5"/>
  <c r="H513" i="5"/>
  <c r="G513" i="5"/>
  <c r="F513" i="5"/>
  <c r="E513" i="5"/>
  <c r="I512" i="5"/>
  <c r="H512" i="5"/>
  <c r="G512" i="5"/>
  <c r="F512" i="5"/>
  <c r="E512" i="5"/>
  <c r="I511" i="5"/>
  <c r="H511" i="5"/>
  <c r="G511" i="5"/>
  <c r="F511" i="5"/>
  <c r="E511" i="5"/>
  <c r="I510" i="5"/>
  <c r="H510" i="5"/>
  <c r="G510" i="5"/>
  <c r="F510" i="5"/>
  <c r="E510" i="5"/>
  <c r="I509" i="5"/>
  <c r="H509" i="5"/>
  <c r="G509" i="5"/>
  <c r="F509" i="5"/>
  <c r="E509" i="5"/>
  <c r="I508" i="5"/>
  <c r="H508" i="5"/>
  <c r="G508" i="5"/>
  <c r="F508" i="5"/>
  <c r="E508" i="5"/>
  <c r="I507" i="5"/>
  <c r="H507" i="5"/>
  <c r="G507" i="5"/>
  <c r="F507" i="5"/>
  <c r="E507" i="5"/>
  <c r="I506" i="5"/>
  <c r="H506" i="5"/>
  <c r="G506" i="5"/>
  <c r="F506" i="5"/>
  <c r="E506" i="5"/>
  <c r="I505" i="5"/>
  <c r="H505" i="5"/>
  <c r="G505" i="5"/>
  <c r="F505" i="5"/>
  <c r="E505" i="5"/>
  <c r="I504" i="5"/>
  <c r="H504" i="5"/>
  <c r="G504" i="5"/>
  <c r="F504" i="5"/>
  <c r="E504" i="5"/>
  <c r="I503" i="5"/>
  <c r="H503" i="5"/>
  <c r="G503" i="5"/>
  <c r="F503" i="5"/>
  <c r="E503" i="5"/>
  <c r="I502" i="5"/>
  <c r="H502" i="5"/>
  <c r="G502" i="5"/>
  <c r="F502" i="5"/>
  <c r="E502" i="5"/>
  <c r="I501" i="5"/>
  <c r="H501" i="5"/>
  <c r="G501" i="5"/>
  <c r="F501" i="5"/>
  <c r="E501" i="5"/>
  <c r="I500" i="5"/>
  <c r="H500" i="5"/>
  <c r="G500" i="5"/>
  <c r="F500" i="5"/>
  <c r="E500" i="5"/>
  <c r="I499" i="5"/>
  <c r="H499" i="5"/>
  <c r="G499" i="5"/>
  <c r="F499" i="5"/>
  <c r="E499" i="5"/>
  <c r="I498" i="5"/>
  <c r="H498" i="5"/>
  <c r="G498" i="5"/>
  <c r="F498" i="5"/>
  <c r="E498" i="5"/>
  <c r="I497" i="5"/>
  <c r="H497" i="5"/>
  <c r="G497" i="5"/>
  <c r="F497" i="5"/>
  <c r="E497" i="5"/>
  <c r="I496" i="5"/>
  <c r="H496" i="5"/>
  <c r="G496" i="5"/>
  <c r="F496" i="5"/>
  <c r="E496" i="5"/>
  <c r="I495" i="5"/>
  <c r="H495" i="5"/>
  <c r="G495" i="5"/>
  <c r="F495" i="5"/>
  <c r="E495" i="5"/>
  <c r="I494" i="5"/>
  <c r="H494" i="5"/>
  <c r="G494" i="5"/>
  <c r="F494" i="5"/>
  <c r="E494" i="5"/>
  <c r="I493" i="5"/>
  <c r="H493" i="5"/>
  <c r="G493" i="5"/>
  <c r="F493" i="5"/>
  <c r="E493" i="5"/>
  <c r="I492" i="5"/>
  <c r="H492" i="5"/>
  <c r="G492" i="5"/>
  <c r="F492" i="5"/>
  <c r="E492" i="5"/>
  <c r="I491" i="5"/>
  <c r="H491" i="5"/>
  <c r="G491" i="5"/>
  <c r="F491" i="5"/>
  <c r="E491" i="5"/>
  <c r="I490" i="5"/>
  <c r="H490" i="5"/>
  <c r="G490" i="5"/>
  <c r="F490" i="5"/>
  <c r="E490" i="5"/>
  <c r="I489" i="5"/>
  <c r="H489" i="5"/>
  <c r="G489" i="5"/>
  <c r="F489" i="5"/>
  <c r="E489" i="5"/>
  <c r="I488" i="5"/>
  <c r="H488" i="5"/>
  <c r="G488" i="5"/>
  <c r="F488" i="5"/>
  <c r="E488" i="5"/>
  <c r="I487" i="5"/>
  <c r="H487" i="5"/>
  <c r="G487" i="5"/>
  <c r="F487" i="5"/>
  <c r="E487" i="5"/>
  <c r="I486" i="5"/>
  <c r="H486" i="5"/>
  <c r="G486" i="5"/>
  <c r="F486" i="5"/>
  <c r="E486" i="5"/>
  <c r="I485" i="5"/>
  <c r="H485" i="5"/>
  <c r="G485" i="5"/>
  <c r="F485" i="5"/>
  <c r="E485" i="5"/>
  <c r="I484" i="5"/>
  <c r="H484" i="5"/>
  <c r="G484" i="5"/>
  <c r="F484" i="5"/>
  <c r="E484" i="5"/>
  <c r="I483" i="5"/>
  <c r="H483" i="5"/>
  <c r="G483" i="5"/>
  <c r="F483" i="5"/>
  <c r="E483" i="5"/>
  <c r="I482" i="5"/>
  <c r="H482" i="5"/>
  <c r="G482" i="5"/>
  <c r="F482" i="5"/>
  <c r="E482" i="5"/>
  <c r="I481" i="5"/>
  <c r="H481" i="5"/>
  <c r="G481" i="5"/>
  <c r="F481" i="5"/>
  <c r="E481" i="5"/>
  <c r="I480" i="5"/>
  <c r="H480" i="5"/>
  <c r="G480" i="5"/>
  <c r="F480" i="5"/>
  <c r="E480" i="5"/>
  <c r="I479" i="5"/>
  <c r="H479" i="5"/>
  <c r="G479" i="5"/>
  <c r="F479" i="5"/>
  <c r="E479" i="5"/>
  <c r="I478" i="5"/>
  <c r="H478" i="5"/>
  <c r="G478" i="5"/>
  <c r="F478" i="5"/>
  <c r="E478" i="5"/>
  <c r="I477" i="5"/>
  <c r="H477" i="5"/>
  <c r="G477" i="5"/>
  <c r="F477" i="5"/>
  <c r="E477" i="5"/>
  <c r="I476" i="5"/>
  <c r="H476" i="5"/>
  <c r="G476" i="5"/>
  <c r="F476" i="5"/>
  <c r="E476" i="5"/>
  <c r="I475" i="5"/>
  <c r="H475" i="5"/>
  <c r="G475" i="5"/>
  <c r="F475" i="5"/>
  <c r="E475" i="5"/>
  <c r="I474" i="5"/>
  <c r="H474" i="5"/>
  <c r="G474" i="5"/>
  <c r="F474" i="5"/>
  <c r="E474" i="5"/>
  <c r="I473" i="5"/>
  <c r="H473" i="5"/>
  <c r="G473" i="5"/>
  <c r="F473" i="5"/>
  <c r="E473" i="5"/>
  <c r="I472" i="5"/>
  <c r="H472" i="5"/>
  <c r="G472" i="5"/>
  <c r="F472" i="5"/>
  <c r="E472" i="5"/>
  <c r="I471" i="5"/>
  <c r="H471" i="5"/>
  <c r="G471" i="5"/>
  <c r="F471" i="5"/>
  <c r="E471" i="5"/>
  <c r="I470" i="5"/>
  <c r="H470" i="5"/>
  <c r="G470" i="5"/>
  <c r="F470" i="5"/>
  <c r="E470" i="5"/>
  <c r="I469" i="5"/>
  <c r="H469" i="5"/>
  <c r="G469" i="5"/>
  <c r="F469" i="5"/>
  <c r="E469" i="5"/>
  <c r="I468" i="5"/>
  <c r="H468" i="5"/>
  <c r="G468" i="5"/>
  <c r="F468" i="5"/>
  <c r="E468" i="5"/>
  <c r="I467" i="5"/>
  <c r="H467" i="5"/>
  <c r="G467" i="5"/>
  <c r="F467" i="5"/>
  <c r="E467" i="5"/>
  <c r="I466" i="5"/>
  <c r="H466" i="5"/>
  <c r="G466" i="5"/>
  <c r="F466" i="5"/>
  <c r="E466" i="5"/>
  <c r="I465" i="5"/>
  <c r="H465" i="5"/>
  <c r="G465" i="5"/>
  <c r="F465" i="5"/>
  <c r="E465" i="5"/>
  <c r="I464" i="5"/>
  <c r="H464" i="5"/>
  <c r="G464" i="5"/>
  <c r="F464" i="5"/>
  <c r="E464" i="5"/>
  <c r="I463" i="5"/>
  <c r="H463" i="5"/>
  <c r="G463" i="5"/>
  <c r="F463" i="5"/>
  <c r="E463" i="5"/>
  <c r="I462" i="5"/>
  <c r="H462" i="5"/>
  <c r="G462" i="5"/>
  <c r="F462" i="5"/>
  <c r="E462" i="5"/>
  <c r="I461" i="5"/>
  <c r="H461" i="5"/>
  <c r="G461" i="5"/>
  <c r="F461" i="5"/>
  <c r="E461" i="5"/>
  <c r="I460" i="5"/>
  <c r="H460" i="5"/>
  <c r="G460" i="5"/>
  <c r="F460" i="5"/>
  <c r="E460" i="5"/>
  <c r="I459" i="5"/>
  <c r="H459" i="5"/>
  <c r="G459" i="5"/>
  <c r="F459" i="5"/>
  <c r="E459" i="5"/>
  <c r="I458" i="5"/>
  <c r="H458" i="5"/>
  <c r="G458" i="5"/>
  <c r="F458" i="5"/>
  <c r="E458" i="5"/>
  <c r="I457" i="5"/>
  <c r="H457" i="5"/>
  <c r="G457" i="5"/>
  <c r="F457" i="5"/>
  <c r="E457" i="5"/>
  <c r="I456" i="5"/>
  <c r="H456" i="5"/>
  <c r="G456" i="5"/>
  <c r="F456" i="5"/>
  <c r="E456" i="5"/>
  <c r="I455" i="5"/>
  <c r="H455" i="5"/>
  <c r="G455" i="5"/>
  <c r="F455" i="5"/>
  <c r="E455" i="5"/>
  <c r="I454" i="5"/>
  <c r="H454" i="5"/>
  <c r="G454" i="5"/>
  <c r="F454" i="5"/>
  <c r="E454" i="5"/>
  <c r="I453" i="5"/>
  <c r="H453" i="5"/>
  <c r="G453" i="5"/>
  <c r="F453" i="5"/>
  <c r="E453" i="5"/>
  <c r="I452" i="5"/>
  <c r="H452" i="5"/>
  <c r="G452" i="5"/>
  <c r="F452" i="5"/>
  <c r="E452" i="5"/>
  <c r="I451" i="5"/>
  <c r="H451" i="5"/>
  <c r="G451" i="5"/>
  <c r="F451" i="5"/>
  <c r="E451" i="5"/>
  <c r="I450" i="5"/>
  <c r="H450" i="5"/>
  <c r="G450" i="5"/>
  <c r="F450" i="5"/>
  <c r="E450" i="5"/>
  <c r="I449" i="5"/>
  <c r="H449" i="5"/>
  <c r="G449" i="5"/>
  <c r="F449" i="5"/>
  <c r="E449" i="5"/>
  <c r="I448" i="5"/>
  <c r="H448" i="5"/>
  <c r="G448" i="5"/>
  <c r="F448" i="5"/>
  <c r="E448" i="5"/>
  <c r="I447" i="5"/>
  <c r="H447" i="5"/>
  <c r="G447" i="5"/>
  <c r="F447" i="5"/>
  <c r="E447" i="5"/>
  <c r="I446" i="5"/>
  <c r="H446" i="5"/>
  <c r="G446" i="5"/>
  <c r="F446" i="5"/>
  <c r="E446" i="5"/>
  <c r="I445" i="5"/>
  <c r="H445" i="5"/>
  <c r="G445" i="5"/>
  <c r="F445" i="5"/>
  <c r="E445" i="5"/>
  <c r="I444" i="5"/>
  <c r="H444" i="5"/>
  <c r="G444" i="5"/>
  <c r="F444" i="5"/>
  <c r="E444" i="5"/>
  <c r="I443" i="5"/>
  <c r="H443" i="5"/>
  <c r="G443" i="5"/>
  <c r="F443" i="5"/>
  <c r="E443" i="5"/>
  <c r="I442" i="5"/>
  <c r="H442" i="5"/>
  <c r="G442" i="5"/>
  <c r="F442" i="5"/>
  <c r="E442" i="5"/>
  <c r="I441" i="5"/>
  <c r="H441" i="5"/>
  <c r="G441" i="5"/>
  <c r="F441" i="5"/>
  <c r="E441" i="5"/>
  <c r="I440" i="5"/>
  <c r="H440" i="5"/>
  <c r="G440" i="5"/>
  <c r="F440" i="5"/>
  <c r="E440" i="5"/>
  <c r="I439" i="5"/>
  <c r="H439" i="5"/>
  <c r="G439" i="5"/>
  <c r="F439" i="5"/>
  <c r="E439" i="5"/>
  <c r="I438" i="5"/>
  <c r="H438" i="5"/>
  <c r="G438" i="5"/>
  <c r="F438" i="5"/>
  <c r="E438" i="5"/>
  <c r="I437" i="5"/>
  <c r="H437" i="5"/>
  <c r="G437" i="5"/>
  <c r="F437" i="5"/>
  <c r="E437" i="5"/>
  <c r="I436" i="5"/>
  <c r="H436" i="5"/>
  <c r="G436" i="5"/>
  <c r="F436" i="5"/>
  <c r="E436" i="5"/>
  <c r="I435" i="5"/>
  <c r="H435" i="5"/>
  <c r="G435" i="5"/>
  <c r="F435" i="5"/>
  <c r="E435" i="5"/>
  <c r="I434" i="5"/>
  <c r="H434" i="5"/>
  <c r="G434" i="5"/>
  <c r="F434" i="5"/>
  <c r="E434" i="5"/>
  <c r="I433" i="5"/>
  <c r="H433" i="5"/>
  <c r="G433" i="5"/>
  <c r="F433" i="5"/>
  <c r="E433" i="5"/>
  <c r="I432" i="5"/>
  <c r="H432" i="5"/>
  <c r="G432" i="5"/>
  <c r="F432" i="5"/>
  <c r="E432" i="5"/>
  <c r="I431" i="5"/>
  <c r="H431" i="5"/>
  <c r="G431" i="5"/>
  <c r="F431" i="5"/>
  <c r="E431" i="5"/>
  <c r="I430" i="5"/>
  <c r="H430" i="5"/>
  <c r="G430" i="5"/>
  <c r="F430" i="5"/>
  <c r="E430" i="5"/>
  <c r="I429" i="5"/>
  <c r="H429" i="5"/>
  <c r="G429" i="5"/>
  <c r="F429" i="5"/>
  <c r="E429" i="5"/>
  <c r="I428" i="5"/>
  <c r="H428" i="5"/>
  <c r="G428" i="5"/>
  <c r="F428" i="5"/>
  <c r="E428" i="5"/>
  <c r="I427" i="5"/>
  <c r="H427" i="5"/>
  <c r="G427" i="5"/>
  <c r="F427" i="5"/>
  <c r="E427" i="5"/>
  <c r="I426" i="5"/>
  <c r="H426" i="5"/>
  <c r="G426" i="5"/>
  <c r="F426" i="5"/>
  <c r="E426" i="5"/>
  <c r="I425" i="5"/>
  <c r="H425" i="5"/>
  <c r="G425" i="5"/>
  <c r="F425" i="5"/>
  <c r="E425" i="5"/>
  <c r="I424" i="5"/>
  <c r="H424" i="5"/>
  <c r="G424" i="5"/>
  <c r="F424" i="5"/>
  <c r="E424" i="5"/>
  <c r="I423" i="5"/>
  <c r="H423" i="5"/>
  <c r="G423" i="5"/>
  <c r="F423" i="5"/>
  <c r="E423" i="5"/>
  <c r="I422" i="5"/>
  <c r="H422" i="5"/>
  <c r="G422" i="5"/>
  <c r="F422" i="5"/>
  <c r="E422" i="5"/>
  <c r="I421" i="5"/>
  <c r="H421" i="5"/>
  <c r="G421" i="5"/>
  <c r="F421" i="5"/>
  <c r="E421" i="5"/>
  <c r="I420" i="5"/>
  <c r="H420" i="5"/>
  <c r="G420" i="5"/>
  <c r="F420" i="5"/>
  <c r="E420" i="5"/>
  <c r="I419" i="5"/>
  <c r="H419" i="5"/>
  <c r="G419" i="5"/>
  <c r="F419" i="5"/>
  <c r="E419" i="5"/>
  <c r="I418" i="5"/>
  <c r="H418" i="5"/>
  <c r="G418" i="5"/>
  <c r="F418" i="5"/>
  <c r="E418" i="5"/>
  <c r="I417" i="5"/>
  <c r="H417" i="5"/>
  <c r="G417" i="5"/>
  <c r="F417" i="5"/>
  <c r="E417" i="5"/>
  <c r="I416" i="5"/>
  <c r="H416" i="5"/>
  <c r="G416" i="5"/>
  <c r="F416" i="5"/>
  <c r="E416" i="5"/>
  <c r="I415" i="5"/>
  <c r="H415" i="5"/>
  <c r="G415" i="5"/>
  <c r="F415" i="5"/>
  <c r="E415" i="5"/>
  <c r="I414" i="5"/>
  <c r="H414" i="5"/>
  <c r="G414" i="5"/>
  <c r="F414" i="5"/>
  <c r="E414" i="5"/>
  <c r="I413" i="5"/>
  <c r="H413" i="5"/>
  <c r="G413" i="5"/>
  <c r="F413" i="5"/>
  <c r="E413" i="5"/>
  <c r="I412" i="5"/>
  <c r="H412" i="5"/>
  <c r="G412" i="5"/>
  <c r="F412" i="5"/>
  <c r="E412" i="5"/>
  <c r="I411" i="5"/>
  <c r="H411" i="5"/>
  <c r="G411" i="5"/>
  <c r="F411" i="5"/>
  <c r="E411" i="5"/>
  <c r="I410" i="5"/>
  <c r="H410" i="5"/>
  <c r="G410" i="5"/>
  <c r="F410" i="5"/>
  <c r="E410" i="5"/>
  <c r="I409" i="5"/>
  <c r="H409" i="5"/>
  <c r="G409" i="5"/>
  <c r="F409" i="5"/>
  <c r="E409" i="5"/>
  <c r="I408" i="5"/>
  <c r="H408" i="5"/>
  <c r="G408" i="5"/>
  <c r="F408" i="5"/>
  <c r="E408" i="5"/>
  <c r="I407" i="5"/>
  <c r="H407" i="5"/>
  <c r="G407" i="5"/>
  <c r="F407" i="5"/>
  <c r="E407" i="5"/>
  <c r="I406" i="5"/>
  <c r="H406" i="5"/>
  <c r="G406" i="5"/>
  <c r="F406" i="5"/>
  <c r="E406" i="5"/>
  <c r="I405" i="5"/>
  <c r="H405" i="5"/>
  <c r="G405" i="5"/>
  <c r="F405" i="5"/>
  <c r="E405" i="5"/>
  <c r="I404" i="5"/>
  <c r="H404" i="5"/>
  <c r="G404" i="5"/>
  <c r="F404" i="5"/>
  <c r="E404" i="5"/>
  <c r="I403" i="5"/>
  <c r="H403" i="5"/>
  <c r="G403" i="5"/>
  <c r="F403" i="5"/>
  <c r="E403" i="5"/>
  <c r="I402" i="5"/>
  <c r="H402" i="5"/>
  <c r="G402" i="5"/>
  <c r="F402" i="5"/>
  <c r="E402" i="5"/>
  <c r="I401" i="5"/>
  <c r="H401" i="5"/>
  <c r="G401" i="5"/>
  <c r="F401" i="5"/>
  <c r="E401" i="5"/>
  <c r="I400" i="5"/>
  <c r="H400" i="5"/>
  <c r="G400" i="5"/>
  <c r="F400" i="5"/>
  <c r="E400" i="5"/>
  <c r="I399" i="5"/>
  <c r="H399" i="5"/>
  <c r="G399" i="5"/>
  <c r="F399" i="5"/>
  <c r="E399" i="5"/>
  <c r="I398" i="5"/>
  <c r="H398" i="5"/>
  <c r="G398" i="5"/>
  <c r="F398" i="5"/>
  <c r="E398" i="5"/>
  <c r="I397" i="5"/>
  <c r="H397" i="5"/>
  <c r="G397" i="5"/>
  <c r="F397" i="5"/>
  <c r="E397" i="5"/>
  <c r="I396" i="5"/>
  <c r="H396" i="5"/>
  <c r="G396" i="5"/>
  <c r="F396" i="5"/>
  <c r="E396" i="5"/>
  <c r="I395" i="5"/>
  <c r="H395" i="5"/>
  <c r="G395" i="5"/>
  <c r="F395" i="5"/>
  <c r="E395" i="5"/>
  <c r="I394" i="5"/>
  <c r="H394" i="5"/>
  <c r="G394" i="5"/>
  <c r="F394" i="5"/>
  <c r="E394" i="5"/>
  <c r="I393" i="5"/>
  <c r="H393" i="5"/>
  <c r="G393" i="5"/>
  <c r="F393" i="5"/>
  <c r="E393" i="5"/>
  <c r="I392" i="5"/>
  <c r="H392" i="5"/>
  <c r="G392" i="5"/>
  <c r="F392" i="5"/>
  <c r="E392" i="5"/>
  <c r="I391" i="5"/>
  <c r="H391" i="5"/>
  <c r="G391" i="5"/>
  <c r="F391" i="5"/>
  <c r="E391" i="5"/>
  <c r="I390" i="5"/>
  <c r="H390" i="5"/>
  <c r="G390" i="5"/>
  <c r="F390" i="5"/>
  <c r="E390" i="5"/>
  <c r="I389" i="5"/>
  <c r="H389" i="5"/>
  <c r="G389" i="5"/>
  <c r="F389" i="5"/>
  <c r="E389" i="5"/>
  <c r="I388" i="5"/>
  <c r="H388" i="5"/>
  <c r="G388" i="5"/>
  <c r="F388" i="5"/>
  <c r="E388" i="5"/>
  <c r="I387" i="5"/>
  <c r="H387" i="5"/>
  <c r="G387" i="5"/>
  <c r="F387" i="5"/>
  <c r="E387" i="5"/>
  <c r="I386" i="5"/>
  <c r="H386" i="5"/>
  <c r="G386" i="5"/>
  <c r="F386" i="5"/>
  <c r="E386" i="5"/>
  <c r="I385" i="5"/>
  <c r="H385" i="5"/>
  <c r="G385" i="5"/>
  <c r="F385" i="5"/>
  <c r="E385" i="5"/>
  <c r="I384" i="5"/>
  <c r="H384" i="5"/>
  <c r="G384" i="5"/>
  <c r="F384" i="5"/>
  <c r="E384" i="5"/>
  <c r="I383" i="5"/>
  <c r="H383" i="5"/>
  <c r="G383" i="5"/>
  <c r="F383" i="5"/>
  <c r="E383" i="5"/>
  <c r="I382" i="5"/>
  <c r="H382" i="5"/>
  <c r="G382" i="5"/>
  <c r="F382" i="5"/>
  <c r="E382" i="5"/>
  <c r="I381" i="5"/>
  <c r="H381" i="5"/>
  <c r="G381" i="5"/>
  <c r="F381" i="5"/>
  <c r="E381" i="5"/>
  <c r="I380" i="5"/>
  <c r="H380" i="5"/>
  <c r="G380" i="5"/>
  <c r="F380" i="5"/>
  <c r="E380" i="5"/>
  <c r="I379" i="5"/>
  <c r="H379" i="5"/>
  <c r="G379" i="5"/>
  <c r="F379" i="5"/>
  <c r="E379" i="5"/>
  <c r="I378" i="5"/>
  <c r="H378" i="5"/>
  <c r="G378" i="5"/>
  <c r="F378" i="5"/>
  <c r="E378" i="5"/>
  <c r="I377" i="5"/>
  <c r="H377" i="5"/>
  <c r="G377" i="5"/>
  <c r="F377" i="5"/>
  <c r="E377" i="5"/>
  <c r="I376" i="5"/>
  <c r="H376" i="5"/>
  <c r="G376" i="5"/>
  <c r="F376" i="5"/>
  <c r="E376" i="5"/>
  <c r="I375" i="5"/>
  <c r="H375" i="5"/>
  <c r="G375" i="5"/>
  <c r="F375" i="5"/>
  <c r="E375" i="5"/>
  <c r="I374" i="5"/>
  <c r="H374" i="5"/>
  <c r="G374" i="5"/>
  <c r="F374" i="5"/>
  <c r="E374" i="5"/>
  <c r="I373" i="5"/>
  <c r="H373" i="5"/>
  <c r="G373" i="5"/>
  <c r="F373" i="5"/>
  <c r="E373" i="5"/>
  <c r="I372" i="5"/>
  <c r="H372" i="5"/>
  <c r="G372" i="5"/>
  <c r="F372" i="5"/>
  <c r="E372" i="5"/>
  <c r="I371" i="5"/>
  <c r="H371" i="5"/>
  <c r="G371" i="5"/>
  <c r="F371" i="5"/>
  <c r="E371" i="5"/>
  <c r="I370" i="5"/>
  <c r="H370" i="5"/>
  <c r="G370" i="5"/>
  <c r="F370" i="5"/>
  <c r="E370" i="5"/>
  <c r="I369" i="5"/>
  <c r="H369" i="5"/>
  <c r="G369" i="5"/>
  <c r="F369" i="5"/>
  <c r="E369" i="5"/>
  <c r="I368" i="5"/>
  <c r="H368" i="5"/>
  <c r="G368" i="5"/>
  <c r="F368" i="5"/>
  <c r="E368" i="5"/>
  <c r="I367" i="5"/>
  <c r="H367" i="5"/>
  <c r="G367" i="5"/>
  <c r="F367" i="5"/>
  <c r="E367" i="5"/>
  <c r="I366" i="5"/>
  <c r="H366" i="5"/>
  <c r="G366" i="5"/>
  <c r="F366" i="5"/>
  <c r="E366" i="5"/>
  <c r="I365" i="5"/>
  <c r="H365" i="5"/>
  <c r="G365" i="5"/>
  <c r="F365" i="5"/>
  <c r="E365" i="5"/>
  <c r="I364" i="5"/>
  <c r="H364" i="5"/>
  <c r="G364" i="5"/>
  <c r="F364" i="5"/>
  <c r="E364" i="5"/>
  <c r="I363" i="5"/>
  <c r="H363" i="5"/>
  <c r="G363" i="5"/>
  <c r="F363" i="5"/>
  <c r="E363" i="5"/>
  <c r="I362" i="5"/>
  <c r="H362" i="5"/>
  <c r="G362" i="5"/>
  <c r="F362" i="5"/>
  <c r="E362" i="5"/>
  <c r="I361" i="5"/>
  <c r="H361" i="5"/>
  <c r="G361" i="5"/>
  <c r="F361" i="5"/>
  <c r="E361" i="5"/>
  <c r="I360" i="5"/>
  <c r="H360" i="5"/>
  <c r="G360" i="5"/>
  <c r="F360" i="5"/>
  <c r="E360" i="5"/>
  <c r="I359" i="5"/>
  <c r="H359" i="5"/>
  <c r="G359" i="5"/>
  <c r="F359" i="5"/>
  <c r="E359" i="5"/>
  <c r="I358" i="5"/>
  <c r="H358" i="5"/>
  <c r="G358" i="5"/>
  <c r="F358" i="5"/>
  <c r="E358" i="5"/>
  <c r="I357" i="5"/>
  <c r="H357" i="5"/>
  <c r="G357" i="5"/>
  <c r="F357" i="5"/>
  <c r="E357" i="5"/>
  <c r="I356" i="5"/>
  <c r="H356" i="5"/>
  <c r="G356" i="5"/>
  <c r="F356" i="5"/>
  <c r="E356" i="5"/>
  <c r="I355" i="5"/>
  <c r="H355" i="5"/>
  <c r="G355" i="5"/>
  <c r="F355" i="5"/>
  <c r="E355" i="5"/>
  <c r="I354" i="5"/>
  <c r="H354" i="5"/>
  <c r="G354" i="5"/>
  <c r="F354" i="5"/>
  <c r="E354" i="5"/>
  <c r="I353" i="5"/>
  <c r="H353" i="5"/>
  <c r="G353" i="5"/>
  <c r="F353" i="5"/>
  <c r="E353" i="5"/>
  <c r="I352" i="5"/>
  <c r="H352" i="5"/>
  <c r="G352" i="5"/>
  <c r="F352" i="5"/>
  <c r="E352" i="5"/>
  <c r="I351" i="5"/>
  <c r="H351" i="5"/>
  <c r="G351" i="5"/>
  <c r="F351" i="5"/>
  <c r="E351" i="5"/>
  <c r="I350" i="5"/>
  <c r="H350" i="5"/>
  <c r="G350" i="5"/>
  <c r="F350" i="5"/>
  <c r="E350" i="5"/>
  <c r="I349" i="5"/>
  <c r="H349" i="5"/>
  <c r="G349" i="5"/>
  <c r="F349" i="5"/>
  <c r="E349" i="5"/>
  <c r="I348" i="5"/>
  <c r="H348" i="5"/>
  <c r="G348" i="5"/>
  <c r="F348" i="5"/>
  <c r="E348" i="5"/>
  <c r="I347" i="5"/>
  <c r="H347" i="5"/>
  <c r="G347" i="5"/>
  <c r="F347" i="5"/>
  <c r="E347" i="5"/>
  <c r="I346" i="5"/>
  <c r="H346" i="5"/>
  <c r="G346" i="5"/>
  <c r="F346" i="5"/>
  <c r="E346" i="5"/>
  <c r="I345" i="5"/>
  <c r="H345" i="5"/>
  <c r="G345" i="5"/>
  <c r="F345" i="5"/>
  <c r="E345" i="5"/>
  <c r="I344" i="5"/>
  <c r="H344" i="5"/>
  <c r="G344" i="5"/>
  <c r="F344" i="5"/>
  <c r="E344" i="5"/>
  <c r="I343" i="5"/>
  <c r="H343" i="5"/>
  <c r="G343" i="5"/>
  <c r="F343" i="5"/>
  <c r="E343" i="5"/>
  <c r="I342" i="5"/>
  <c r="H342" i="5"/>
  <c r="G342" i="5"/>
  <c r="F342" i="5"/>
  <c r="E342" i="5"/>
  <c r="I341" i="5"/>
  <c r="H341" i="5"/>
  <c r="G341" i="5"/>
  <c r="F341" i="5"/>
  <c r="E341" i="5"/>
  <c r="I340" i="5"/>
  <c r="H340" i="5"/>
  <c r="G340" i="5"/>
  <c r="F340" i="5"/>
  <c r="E340" i="5"/>
  <c r="I339" i="5"/>
  <c r="H339" i="5"/>
  <c r="G339" i="5"/>
  <c r="F339" i="5"/>
  <c r="E339" i="5"/>
  <c r="I338" i="5"/>
  <c r="H338" i="5"/>
  <c r="G338" i="5"/>
  <c r="F338" i="5"/>
  <c r="E338" i="5"/>
  <c r="I337" i="5"/>
  <c r="H337" i="5"/>
  <c r="G337" i="5"/>
  <c r="F337" i="5"/>
  <c r="E337" i="5"/>
  <c r="I336" i="5"/>
  <c r="H336" i="5"/>
  <c r="G336" i="5"/>
  <c r="F336" i="5"/>
  <c r="E336" i="5"/>
  <c r="I335" i="5"/>
  <c r="H335" i="5"/>
  <c r="G335" i="5"/>
  <c r="F335" i="5"/>
  <c r="E335" i="5"/>
  <c r="I334" i="5"/>
  <c r="H334" i="5"/>
  <c r="G334" i="5"/>
  <c r="F334" i="5"/>
  <c r="E334" i="5"/>
  <c r="I333" i="5"/>
  <c r="H333" i="5"/>
  <c r="G333" i="5"/>
  <c r="F333" i="5"/>
  <c r="E333" i="5"/>
  <c r="I332" i="5"/>
  <c r="H332" i="5"/>
  <c r="G332" i="5"/>
  <c r="F332" i="5"/>
  <c r="E332" i="5"/>
  <c r="I331" i="5"/>
  <c r="H331" i="5"/>
  <c r="G331" i="5"/>
  <c r="F331" i="5"/>
  <c r="E331" i="5"/>
  <c r="I330" i="5"/>
  <c r="H330" i="5"/>
  <c r="G330" i="5"/>
  <c r="F330" i="5"/>
  <c r="E330" i="5"/>
  <c r="I329" i="5"/>
  <c r="H329" i="5"/>
  <c r="G329" i="5"/>
  <c r="F329" i="5"/>
  <c r="E329" i="5"/>
  <c r="I328" i="5"/>
  <c r="H328" i="5"/>
  <c r="G328" i="5"/>
  <c r="F328" i="5"/>
  <c r="E328" i="5"/>
  <c r="I327" i="5"/>
  <c r="H327" i="5"/>
  <c r="G327" i="5"/>
  <c r="F327" i="5"/>
  <c r="E327" i="5"/>
  <c r="I326" i="5"/>
  <c r="H326" i="5"/>
  <c r="G326" i="5"/>
  <c r="F326" i="5"/>
  <c r="E326" i="5"/>
  <c r="I325" i="5"/>
  <c r="H325" i="5"/>
  <c r="G325" i="5"/>
  <c r="F325" i="5"/>
  <c r="E325" i="5"/>
  <c r="I324" i="5"/>
  <c r="H324" i="5"/>
  <c r="G324" i="5"/>
  <c r="F324" i="5"/>
  <c r="E324" i="5"/>
  <c r="I323" i="5"/>
  <c r="H323" i="5"/>
  <c r="G323" i="5"/>
  <c r="F323" i="5"/>
  <c r="E323" i="5"/>
  <c r="I322" i="5"/>
  <c r="H322" i="5"/>
  <c r="G322" i="5"/>
  <c r="F322" i="5"/>
  <c r="E322" i="5"/>
  <c r="I321" i="5"/>
  <c r="H321" i="5"/>
  <c r="G321" i="5"/>
  <c r="F321" i="5"/>
  <c r="E321" i="5"/>
  <c r="I320" i="5"/>
  <c r="H320" i="5"/>
  <c r="G320" i="5"/>
  <c r="F320" i="5"/>
  <c r="E320" i="5"/>
  <c r="I319" i="5"/>
  <c r="H319" i="5"/>
  <c r="G319" i="5"/>
  <c r="F319" i="5"/>
  <c r="E319" i="5"/>
  <c r="I318" i="5"/>
  <c r="H318" i="5"/>
  <c r="G318" i="5"/>
  <c r="F318" i="5"/>
  <c r="E318" i="5"/>
  <c r="I317" i="5"/>
  <c r="H317" i="5"/>
  <c r="G317" i="5"/>
  <c r="F317" i="5"/>
  <c r="E317" i="5"/>
  <c r="I316" i="5"/>
  <c r="H316" i="5"/>
  <c r="G316" i="5"/>
  <c r="F316" i="5"/>
  <c r="E316" i="5"/>
  <c r="I315" i="5"/>
  <c r="H315" i="5"/>
  <c r="G315" i="5"/>
  <c r="F315" i="5"/>
  <c r="E315" i="5"/>
  <c r="I314" i="5"/>
  <c r="H314" i="5"/>
  <c r="G314" i="5"/>
  <c r="F314" i="5"/>
  <c r="E314" i="5"/>
  <c r="I313" i="5"/>
  <c r="H313" i="5"/>
  <c r="G313" i="5"/>
  <c r="F313" i="5"/>
  <c r="E313" i="5"/>
  <c r="I312" i="5"/>
  <c r="H312" i="5"/>
  <c r="G312" i="5"/>
  <c r="F312" i="5"/>
  <c r="E312" i="5"/>
  <c r="I311" i="5"/>
  <c r="H311" i="5"/>
  <c r="G311" i="5"/>
  <c r="F311" i="5"/>
  <c r="E311" i="5"/>
  <c r="I310" i="5"/>
  <c r="H310" i="5"/>
  <c r="G310" i="5"/>
  <c r="F310" i="5"/>
  <c r="E310" i="5"/>
  <c r="I309" i="5"/>
  <c r="H309" i="5"/>
  <c r="G309" i="5"/>
  <c r="F309" i="5"/>
  <c r="E309" i="5"/>
  <c r="I308" i="5"/>
  <c r="H308" i="5"/>
  <c r="G308" i="5"/>
  <c r="F308" i="5"/>
  <c r="E308" i="5"/>
  <c r="I307" i="5"/>
  <c r="H307" i="5"/>
  <c r="G307" i="5"/>
  <c r="F307" i="5"/>
  <c r="E307" i="5"/>
  <c r="I306" i="5"/>
  <c r="H306" i="5"/>
  <c r="G306" i="5"/>
  <c r="F306" i="5"/>
  <c r="E306" i="5"/>
  <c r="I305" i="5"/>
  <c r="H305" i="5"/>
  <c r="G305" i="5"/>
  <c r="F305" i="5"/>
  <c r="E305" i="5"/>
  <c r="I304" i="5"/>
  <c r="H304" i="5"/>
  <c r="G304" i="5"/>
  <c r="F304" i="5"/>
  <c r="E304" i="5"/>
  <c r="I303" i="5"/>
  <c r="H303" i="5"/>
  <c r="G303" i="5"/>
  <c r="F303" i="5"/>
  <c r="E303" i="5"/>
  <c r="I302" i="5"/>
  <c r="H302" i="5"/>
  <c r="G302" i="5"/>
  <c r="F302" i="5"/>
  <c r="E302" i="5"/>
  <c r="I301" i="5"/>
  <c r="H301" i="5"/>
  <c r="G301" i="5"/>
  <c r="F301" i="5"/>
  <c r="E301" i="5"/>
  <c r="I300" i="5"/>
  <c r="H300" i="5"/>
  <c r="G300" i="5"/>
  <c r="F300" i="5"/>
  <c r="E300" i="5"/>
  <c r="I299" i="5"/>
  <c r="H299" i="5"/>
  <c r="G299" i="5"/>
  <c r="F299" i="5"/>
  <c r="E299" i="5"/>
  <c r="I298" i="5"/>
  <c r="H298" i="5"/>
  <c r="G298" i="5"/>
  <c r="F298" i="5"/>
  <c r="E298" i="5"/>
  <c r="I297" i="5"/>
  <c r="H297" i="5"/>
  <c r="G297" i="5"/>
  <c r="F297" i="5"/>
  <c r="E297" i="5"/>
  <c r="I296" i="5"/>
  <c r="H296" i="5"/>
  <c r="G296" i="5"/>
  <c r="F296" i="5"/>
  <c r="E296" i="5"/>
  <c r="I295" i="5"/>
  <c r="H295" i="5"/>
  <c r="G295" i="5"/>
  <c r="F295" i="5"/>
  <c r="E295" i="5"/>
  <c r="I294" i="5"/>
  <c r="H294" i="5"/>
  <c r="G294" i="5"/>
  <c r="F294" i="5"/>
  <c r="E294" i="5"/>
  <c r="I293" i="5"/>
  <c r="H293" i="5"/>
  <c r="G293" i="5"/>
  <c r="F293" i="5"/>
  <c r="E293" i="5"/>
  <c r="I292" i="5"/>
  <c r="H292" i="5"/>
  <c r="G292" i="5"/>
  <c r="F292" i="5"/>
  <c r="E292" i="5"/>
  <c r="I291" i="5"/>
  <c r="H291" i="5"/>
  <c r="G291" i="5"/>
  <c r="F291" i="5"/>
  <c r="E291" i="5"/>
  <c r="I290" i="5"/>
  <c r="H290" i="5"/>
  <c r="G290" i="5"/>
  <c r="F290" i="5"/>
  <c r="E290" i="5"/>
  <c r="I289" i="5"/>
  <c r="H289" i="5"/>
  <c r="G289" i="5"/>
  <c r="F289" i="5"/>
  <c r="E289" i="5"/>
  <c r="I288" i="5"/>
  <c r="H288" i="5"/>
  <c r="G288" i="5"/>
  <c r="F288" i="5"/>
  <c r="E288" i="5"/>
  <c r="I287" i="5"/>
  <c r="H287" i="5"/>
  <c r="G287" i="5"/>
  <c r="F287" i="5"/>
  <c r="E287" i="5"/>
  <c r="I286" i="5"/>
  <c r="H286" i="5"/>
  <c r="G286" i="5"/>
  <c r="F286" i="5"/>
  <c r="E286" i="5"/>
  <c r="I285" i="5"/>
  <c r="H285" i="5"/>
  <c r="G285" i="5"/>
  <c r="F285" i="5"/>
  <c r="E285" i="5"/>
  <c r="I284" i="5"/>
  <c r="H284" i="5"/>
  <c r="G284" i="5"/>
  <c r="F284" i="5"/>
  <c r="E284" i="5"/>
  <c r="I283" i="5"/>
  <c r="H283" i="5"/>
  <c r="G283" i="5"/>
  <c r="F283" i="5"/>
  <c r="E283" i="5"/>
  <c r="I282" i="5"/>
  <c r="H282" i="5"/>
  <c r="G282" i="5"/>
  <c r="F282" i="5"/>
  <c r="E282" i="5"/>
  <c r="I281" i="5"/>
  <c r="H281" i="5"/>
  <c r="G281" i="5"/>
  <c r="F281" i="5"/>
  <c r="E281" i="5"/>
  <c r="I280" i="5"/>
  <c r="H280" i="5"/>
  <c r="G280" i="5"/>
  <c r="F280" i="5"/>
  <c r="E280" i="5"/>
  <c r="I279" i="5"/>
  <c r="H279" i="5"/>
  <c r="G279" i="5"/>
  <c r="F279" i="5"/>
  <c r="E279" i="5"/>
  <c r="I278" i="5"/>
  <c r="H278" i="5"/>
  <c r="G278" i="5"/>
  <c r="F278" i="5"/>
  <c r="E278" i="5"/>
  <c r="I277" i="5"/>
  <c r="H277" i="5"/>
  <c r="G277" i="5"/>
  <c r="F277" i="5"/>
  <c r="E277" i="5"/>
  <c r="I276" i="5"/>
  <c r="H276" i="5"/>
  <c r="G276" i="5"/>
  <c r="F276" i="5"/>
  <c r="E276" i="5"/>
  <c r="I275" i="5"/>
  <c r="H275" i="5"/>
  <c r="G275" i="5"/>
  <c r="F275" i="5"/>
  <c r="E275" i="5"/>
  <c r="I274" i="5"/>
  <c r="H274" i="5"/>
  <c r="G274" i="5"/>
  <c r="F274" i="5"/>
  <c r="E274" i="5"/>
  <c r="I273" i="5"/>
  <c r="H273" i="5"/>
  <c r="G273" i="5"/>
  <c r="F273" i="5"/>
  <c r="E273" i="5"/>
  <c r="I272" i="5"/>
  <c r="H272" i="5"/>
  <c r="G272" i="5"/>
  <c r="F272" i="5"/>
  <c r="E272" i="5"/>
  <c r="I271" i="5"/>
  <c r="H271" i="5"/>
  <c r="G271" i="5"/>
  <c r="F271" i="5"/>
  <c r="E271" i="5"/>
  <c r="I270" i="5"/>
  <c r="H270" i="5"/>
  <c r="G270" i="5"/>
  <c r="F270" i="5"/>
  <c r="E270" i="5"/>
  <c r="I269" i="5"/>
  <c r="H269" i="5"/>
  <c r="G269" i="5"/>
  <c r="F269" i="5"/>
  <c r="E269" i="5"/>
  <c r="I268" i="5"/>
  <c r="H268" i="5"/>
  <c r="G268" i="5"/>
  <c r="F268" i="5"/>
  <c r="E268" i="5"/>
  <c r="I267" i="5"/>
  <c r="H267" i="5"/>
  <c r="G267" i="5"/>
  <c r="F267" i="5"/>
  <c r="E267" i="5"/>
  <c r="I266" i="5"/>
  <c r="H266" i="5"/>
  <c r="G266" i="5"/>
  <c r="F266" i="5"/>
  <c r="E266" i="5"/>
  <c r="I265" i="5"/>
  <c r="H265" i="5"/>
  <c r="G265" i="5"/>
  <c r="F265" i="5"/>
  <c r="E265" i="5"/>
  <c r="I264" i="5"/>
  <c r="H264" i="5"/>
  <c r="G264" i="5"/>
  <c r="F264" i="5"/>
  <c r="E264" i="5"/>
  <c r="I263" i="5"/>
  <c r="H263" i="5"/>
  <c r="G263" i="5"/>
  <c r="F263" i="5"/>
  <c r="E263" i="5"/>
  <c r="I262" i="5"/>
  <c r="H262" i="5"/>
  <c r="G262" i="5"/>
  <c r="F262" i="5"/>
  <c r="E262" i="5"/>
  <c r="I261" i="5"/>
  <c r="H261" i="5"/>
  <c r="G261" i="5"/>
  <c r="F261" i="5"/>
  <c r="E261" i="5"/>
  <c r="I260" i="5"/>
  <c r="H260" i="5"/>
  <c r="G260" i="5"/>
  <c r="F260" i="5"/>
  <c r="E260" i="5"/>
  <c r="I259" i="5"/>
  <c r="H259" i="5"/>
  <c r="G259" i="5"/>
  <c r="F259" i="5"/>
  <c r="E259" i="5"/>
  <c r="I258" i="5"/>
  <c r="H258" i="5"/>
  <c r="G258" i="5"/>
  <c r="F258" i="5"/>
  <c r="E258" i="5"/>
  <c r="I257" i="5"/>
  <c r="H257" i="5"/>
  <c r="G257" i="5"/>
  <c r="F257" i="5"/>
  <c r="E257" i="5"/>
  <c r="I256" i="5"/>
  <c r="H256" i="5"/>
  <c r="G256" i="5"/>
  <c r="F256" i="5"/>
  <c r="E256" i="5"/>
  <c r="I255" i="5"/>
  <c r="H255" i="5"/>
  <c r="G255" i="5"/>
  <c r="F255" i="5"/>
  <c r="E255" i="5"/>
  <c r="I254" i="5"/>
  <c r="H254" i="5"/>
  <c r="G254" i="5"/>
  <c r="F254" i="5"/>
  <c r="E254" i="5"/>
  <c r="I253" i="5"/>
  <c r="H253" i="5"/>
  <c r="G253" i="5"/>
  <c r="F253" i="5"/>
  <c r="E253" i="5"/>
  <c r="I252" i="5"/>
  <c r="H252" i="5"/>
  <c r="G252" i="5"/>
  <c r="F252" i="5"/>
  <c r="E252" i="5"/>
  <c r="I251" i="5"/>
  <c r="H251" i="5"/>
  <c r="G251" i="5"/>
  <c r="F251" i="5"/>
  <c r="E251" i="5"/>
  <c r="I250" i="5"/>
  <c r="H250" i="5"/>
  <c r="G250" i="5"/>
  <c r="F250" i="5"/>
  <c r="E250" i="5"/>
  <c r="I249" i="5"/>
  <c r="H249" i="5"/>
  <c r="G249" i="5"/>
  <c r="F249" i="5"/>
  <c r="E249" i="5"/>
  <c r="I248" i="5"/>
  <c r="H248" i="5"/>
  <c r="G248" i="5"/>
  <c r="F248" i="5"/>
  <c r="E248" i="5"/>
  <c r="I247" i="5"/>
  <c r="H247" i="5"/>
  <c r="G247" i="5"/>
  <c r="F247" i="5"/>
  <c r="E247" i="5"/>
  <c r="I246" i="5"/>
  <c r="H246" i="5"/>
  <c r="G246" i="5"/>
  <c r="F246" i="5"/>
  <c r="E246" i="5"/>
  <c r="I245" i="5"/>
  <c r="H245" i="5"/>
  <c r="G245" i="5"/>
  <c r="F245" i="5"/>
  <c r="E245" i="5"/>
  <c r="I244" i="5"/>
  <c r="H244" i="5"/>
  <c r="G244" i="5"/>
  <c r="F244" i="5"/>
  <c r="E244" i="5"/>
  <c r="I243" i="5"/>
  <c r="H243" i="5"/>
  <c r="G243" i="5"/>
  <c r="F243" i="5"/>
  <c r="E243" i="5"/>
  <c r="I242" i="5"/>
  <c r="H242" i="5"/>
  <c r="G242" i="5"/>
  <c r="F242" i="5"/>
  <c r="E242" i="5"/>
  <c r="I241" i="5"/>
  <c r="H241" i="5"/>
  <c r="G241" i="5"/>
  <c r="F241" i="5"/>
  <c r="E241" i="5"/>
  <c r="I240" i="5"/>
  <c r="H240" i="5"/>
  <c r="G240" i="5"/>
  <c r="F240" i="5"/>
  <c r="E240" i="5"/>
  <c r="I239" i="5"/>
  <c r="H239" i="5"/>
  <c r="G239" i="5"/>
  <c r="F239" i="5"/>
  <c r="E239" i="5"/>
  <c r="I238" i="5"/>
  <c r="H238" i="5"/>
  <c r="G238" i="5"/>
  <c r="F238" i="5"/>
  <c r="E238" i="5"/>
  <c r="I237" i="5"/>
  <c r="H237" i="5"/>
  <c r="G237" i="5"/>
  <c r="F237" i="5"/>
  <c r="E237" i="5"/>
  <c r="I236" i="5"/>
  <c r="H236" i="5"/>
  <c r="G236" i="5"/>
  <c r="F236" i="5"/>
  <c r="E236" i="5"/>
  <c r="I235" i="5"/>
  <c r="H235" i="5"/>
  <c r="G235" i="5"/>
  <c r="F235" i="5"/>
  <c r="E235" i="5"/>
  <c r="I234" i="5"/>
  <c r="H234" i="5"/>
  <c r="G234" i="5"/>
  <c r="F234" i="5"/>
  <c r="E234" i="5"/>
  <c r="I233" i="5"/>
  <c r="H233" i="5"/>
  <c r="G233" i="5"/>
  <c r="F233" i="5"/>
  <c r="E233" i="5"/>
  <c r="I232" i="5"/>
  <c r="H232" i="5"/>
  <c r="G232" i="5"/>
  <c r="F232" i="5"/>
  <c r="E232" i="5"/>
  <c r="I231" i="5"/>
  <c r="H231" i="5"/>
  <c r="G231" i="5"/>
  <c r="F231" i="5"/>
  <c r="E231" i="5"/>
  <c r="I230" i="5"/>
  <c r="H230" i="5"/>
  <c r="G230" i="5"/>
  <c r="F230" i="5"/>
  <c r="E230" i="5"/>
  <c r="I229" i="5"/>
  <c r="H229" i="5"/>
  <c r="G229" i="5"/>
  <c r="F229" i="5"/>
  <c r="E229" i="5"/>
  <c r="I228" i="5"/>
  <c r="H228" i="5"/>
  <c r="G228" i="5"/>
  <c r="F228" i="5"/>
  <c r="E228" i="5"/>
  <c r="I227" i="5"/>
  <c r="H227" i="5"/>
  <c r="G227" i="5"/>
  <c r="F227" i="5"/>
  <c r="E227" i="5"/>
  <c r="I226" i="5"/>
  <c r="H226" i="5"/>
  <c r="G226" i="5"/>
  <c r="F226" i="5"/>
  <c r="E226" i="5"/>
  <c r="I225" i="5"/>
  <c r="H225" i="5"/>
  <c r="G225" i="5"/>
  <c r="F225" i="5"/>
  <c r="E225" i="5"/>
  <c r="I224" i="5"/>
  <c r="H224" i="5"/>
  <c r="G224" i="5"/>
  <c r="F224" i="5"/>
  <c r="E224" i="5"/>
  <c r="I223" i="5"/>
  <c r="H223" i="5"/>
  <c r="G223" i="5"/>
  <c r="F223" i="5"/>
  <c r="E223" i="5"/>
  <c r="I222" i="5"/>
  <c r="H222" i="5"/>
  <c r="G222" i="5"/>
  <c r="F222" i="5"/>
  <c r="E222" i="5"/>
  <c r="I221" i="5"/>
  <c r="H221" i="5"/>
  <c r="G221" i="5"/>
  <c r="F221" i="5"/>
  <c r="E221" i="5"/>
  <c r="I220" i="5"/>
  <c r="H220" i="5"/>
  <c r="G220" i="5"/>
  <c r="F220" i="5"/>
  <c r="E220" i="5"/>
  <c r="I219" i="5"/>
  <c r="H219" i="5"/>
  <c r="G219" i="5"/>
  <c r="F219" i="5"/>
  <c r="E219" i="5"/>
  <c r="I218" i="5"/>
  <c r="H218" i="5"/>
  <c r="G218" i="5"/>
  <c r="F218" i="5"/>
  <c r="E218" i="5"/>
  <c r="I217" i="5"/>
  <c r="H217" i="5"/>
  <c r="G217" i="5"/>
  <c r="F217" i="5"/>
  <c r="E217" i="5"/>
  <c r="I216" i="5"/>
  <c r="H216" i="5"/>
  <c r="G216" i="5"/>
  <c r="F216" i="5"/>
  <c r="E216" i="5"/>
  <c r="I215" i="5"/>
  <c r="H215" i="5"/>
  <c r="G215" i="5"/>
  <c r="F215" i="5"/>
  <c r="E215" i="5"/>
  <c r="I214" i="5"/>
  <c r="H214" i="5"/>
  <c r="G214" i="5"/>
  <c r="F214" i="5"/>
  <c r="E214" i="5"/>
  <c r="I213" i="5"/>
  <c r="H213" i="5"/>
  <c r="G213" i="5"/>
  <c r="F213" i="5"/>
  <c r="E213" i="5"/>
  <c r="I212" i="5"/>
  <c r="H212" i="5"/>
  <c r="G212" i="5"/>
  <c r="F212" i="5"/>
  <c r="E212" i="5"/>
  <c r="I211" i="5"/>
  <c r="H211" i="5"/>
  <c r="G211" i="5"/>
  <c r="F211" i="5"/>
  <c r="E211" i="5"/>
  <c r="I210" i="5"/>
  <c r="H210" i="5"/>
  <c r="G210" i="5"/>
  <c r="F210" i="5"/>
  <c r="E210" i="5"/>
  <c r="I209" i="5"/>
  <c r="H209" i="5"/>
  <c r="G209" i="5"/>
  <c r="F209" i="5"/>
  <c r="E209" i="5"/>
  <c r="I208" i="5"/>
  <c r="H208" i="5"/>
  <c r="G208" i="5"/>
  <c r="F208" i="5"/>
  <c r="E208" i="5"/>
  <c r="I207" i="5"/>
  <c r="H207" i="5"/>
  <c r="G207" i="5"/>
  <c r="F207" i="5"/>
  <c r="E207" i="5"/>
  <c r="I206" i="5"/>
  <c r="H206" i="5"/>
  <c r="G206" i="5"/>
  <c r="F206" i="5"/>
  <c r="E206" i="5"/>
  <c r="I205" i="5"/>
  <c r="H205" i="5"/>
  <c r="G205" i="5"/>
  <c r="F205" i="5"/>
  <c r="E205" i="5"/>
  <c r="I204" i="5"/>
  <c r="H204" i="5"/>
  <c r="G204" i="5"/>
  <c r="F204" i="5"/>
  <c r="E204" i="5"/>
  <c r="I203" i="5"/>
  <c r="H203" i="5"/>
  <c r="G203" i="5"/>
  <c r="F203" i="5"/>
  <c r="E203" i="5"/>
  <c r="I202" i="5"/>
  <c r="H202" i="5"/>
  <c r="G202" i="5"/>
  <c r="F202" i="5"/>
  <c r="E202" i="5"/>
  <c r="I201" i="5"/>
  <c r="H201" i="5"/>
  <c r="G201" i="5"/>
  <c r="F201" i="5"/>
  <c r="E201" i="5"/>
  <c r="I200" i="5"/>
  <c r="H200" i="5"/>
  <c r="G200" i="5"/>
  <c r="F200" i="5"/>
  <c r="E200" i="5"/>
  <c r="I199" i="5"/>
  <c r="H199" i="5"/>
  <c r="G199" i="5"/>
  <c r="F199" i="5"/>
  <c r="E199" i="5"/>
  <c r="I198" i="5"/>
  <c r="H198" i="5"/>
  <c r="G198" i="5"/>
  <c r="F198" i="5"/>
  <c r="E198" i="5"/>
  <c r="I197" i="5"/>
  <c r="H197" i="5"/>
  <c r="G197" i="5"/>
  <c r="F197" i="5"/>
  <c r="E197" i="5"/>
  <c r="I196" i="5"/>
  <c r="H196" i="5"/>
  <c r="G196" i="5"/>
  <c r="F196" i="5"/>
  <c r="E196" i="5"/>
  <c r="I195" i="5"/>
  <c r="H195" i="5"/>
  <c r="G195" i="5"/>
  <c r="F195" i="5"/>
  <c r="E195" i="5"/>
  <c r="I194" i="5"/>
  <c r="H194" i="5"/>
  <c r="G194" i="5"/>
  <c r="F194" i="5"/>
  <c r="E194" i="5"/>
  <c r="I193" i="5"/>
  <c r="H193" i="5"/>
  <c r="G193" i="5"/>
  <c r="F193" i="5"/>
  <c r="E193" i="5"/>
  <c r="I192" i="5"/>
  <c r="H192" i="5"/>
  <c r="G192" i="5"/>
  <c r="F192" i="5"/>
  <c r="E192" i="5"/>
  <c r="I191" i="5"/>
  <c r="H191" i="5"/>
  <c r="G191" i="5"/>
  <c r="F191" i="5"/>
  <c r="E191" i="5"/>
  <c r="I190" i="5"/>
  <c r="H190" i="5"/>
  <c r="G190" i="5"/>
  <c r="F190" i="5"/>
  <c r="E190" i="5"/>
  <c r="I189" i="5"/>
  <c r="H189" i="5"/>
  <c r="G189" i="5"/>
  <c r="F189" i="5"/>
  <c r="E189" i="5"/>
  <c r="I188" i="5"/>
  <c r="H188" i="5"/>
  <c r="G188" i="5"/>
  <c r="F188" i="5"/>
  <c r="E188" i="5"/>
  <c r="I187" i="5"/>
  <c r="H187" i="5"/>
  <c r="G187" i="5"/>
  <c r="F187" i="5"/>
  <c r="E187" i="5"/>
  <c r="I186" i="5"/>
  <c r="H186" i="5"/>
  <c r="G186" i="5"/>
  <c r="F186" i="5"/>
  <c r="E186" i="5"/>
  <c r="I185" i="5"/>
  <c r="H185" i="5"/>
  <c r="G185" i="5"/>
  <c r="F185" i="5"/>
  <c r="E185" i="5"/>
  <c r="I184" i="5"/>
  <c r="H184" i="5"/>
  <c r="G184" i="5"/>
  <c r="F184" i="5"/>
  <c r="E184" i="5"/>
  <c r="I183" i="5"/>
  <c r="H183" i="5"/>
  <c r="G183" i="5"/>
  <c r="F183" i="5"/>
  <c r="E183" i="5"/>
  <c r="I182" i="5"/>
  <c r="H182" i="5"/>
  <c r="G182" i="5"/>
  <c r="F182" i="5"/>
  <c r="E182" i="5"/>
  <c r="I181" i="5"/>
  <c r="H181" i="5"/>
  <c r="G181" i="5"/>
  <c r="F181" i="5"/>
  <c r="E181" i="5"/>
  <c r="I180" i="5"/>
  <c r="H180" i="5"/>
  <c r="G180" i="5"/>
  <c r="F180" i="5"/>
  <c r="E180" i="5"/>
  <c r="I179" i="5"/>
  <c r="H179" i="5"/>
  <c r="G179" i="5"/>
  <c r="F179" i="5"/>
  <c r="E179" i="5"/>
  <c r="I178" i="5"/>
  <c r="H178" i="5"/>
  <c r="G178" i="5"/>
  <c r="F178" i="5"/>
  <c r="E178" i="5"/>
  <c r="I177" i="5"/>
  <c r="H177" i="5"/>
  <c r="G177" i="5"/>
  <c r="F177" i="5"/>
  <c r="E177" i="5"/>
  <c r="I176" i="5"/>
  <c r="H176" i="5"/>
  <c r="G176" i="5"/>
  <c r="F176" i="5"/>
  <c r="E176" i="5"/>
  <c r="I175" i="5"/>
  <c r="H175" i="5"/>
  <c r="G175" i="5"/>
  <c r="F175" i="5"/>
  <c r="E175" i="5"/>
  <c r="I174" i="5"/>
  <c r="H174" i="5"/>
  <c r="G174" i="5"/>
  <c r="F174" i="5"/>
  <c r="E174" i="5"/>
  <c r="I173" i="5"/>
  <c r="H173" i="5"/>
  <c r="G173" i="5"/>
  <c r="F173" i="5"/>
  <c r="E173" i="5"/>
  <c r="I172" i="5"/>
  <c r="H172" i="5"/>
  <c r="G172" i="5"/>
  <c r="F172" i="5"/>
  <c r="E172" i="5"/>
  <c r="I171" i="5"/>
  <c r="H171" i="5"/>
  <c r="G171" i="5"/>
  <c r="F171" i="5"/>
  <c r="E171" i="5"/>
  <c r="I170" i="5"/>
  <c r="H170" i="5"/>
  <c r="G170" i="5"/>
  <c r="F170" i="5"/>
  <c r="E170" i="5"/>
  <c r="I169" i="5"/>
  <c r="H169" i="5"/>
  <c r="G169" i="5"/>
  <c r="F169" i="5"/>
  <c r="E169" i="5"/>
  <c r="I168" i="5"/>
  <c r="H168" i="5"/>
  <c r="G168" i="5"/>
  <c r="F168" i="5"/>
  <c r="E168" i="5"/>
  <c r="I167" i="5"/>
  <c r="H167" i="5"/>
  <c r="G167" i="5"/>
  <c r="F167" i="5"/>
  <c r="E167" i="5"/>
  <c r="I166" i="5"/>
  <c r="H166" i="5"/>
  <c r="G166" i="5"/>
  <c r="F166" i="5"/>
  <c r="E166" i="5"/>
  <c r="I165" i="5"/>
  <c r="H165" i="5"/>
  <c r="G165" i="5"/>
  <c r="F165" i="5"/>
  <c r="E165" i="5"/>
  <c r="I164" i="5"/>
  <c r="H164" i="5"/>
  <c r="G164" i="5"/>
  <c r="F164" i="5"/>
  <c r="E164" i="5"/>
  <c r="I163" i="5"/>
  <c r="H163" i="5"/>
  <c r="G163" i="5"/>
  <c r="F163" i="5"/>
  <c r="E163" i="5"/>
  <c r="I162" i="5"/>
  <c r="H162" i="5"/>
  <c r="G162" i="5"/>
  <c r="F162" i="5"/>
  <c r="E162" i="5"/>
  <c r="I161" i="5"/>
  <c r="H161" i="5"/>
  <c r="G161" i="5"/>
  <c r="F161" i="5"/>
  <c r="E161" i="5"/>
  <c r="I160" i="5"/>
  <c r="H160" i="5"/>
  <c r="G160" i="5"/>
  <c r="F160" i="5"/>
  <c r="E160" i="5"/>
  <c r="I159" i="5"/>
  <c r="H159" i="5"/>
  <c r="G159" i="5"/>
  <c r="F159" i="5"/>
  <c r="E159" i="5"/>
  <c r="I158" i="5"/>
  <c r="H158" i="5"/>
  <c r="G158" i="5"/>
  <c r="F158" i="5"/>
  <c r="E158" i="5"/>
  <c r="I157" i="5"/>
  <c r="H157" i="5"/>
  <c r="G157" i="5"/>
  <c r="F157" i="5"/>
  <c r="E157" i="5"/>
  <c r="I156" i="5"/>
  <c r="H156" i="5"/>
  <c r="G156" i="5"/>
  <c r="F156" i="5"/>
  <c r="E156" i="5"/>
  <c r="I155" i="5"/>
  <c r="H155" i="5"/>
  <c r="G155" i="5"/>
  <c r="F155" i="5"/>
  <c r="E155" i="5"/>
  <c r="I154" i="5"/>
  <c r="H154" i="5"/>
  <c r="G154" i="5"/>
  <c r="F154" i="5"/>
  <c r="E154" i="5"/>
  <c r="I153" i="5"/>
  <c r="H153" i="5"/>
  <c r="G153" i="5"/>
  <c r="F153" i="5"/>
  <c r="E153" i="5"/>
  <c r="I152" i="5"/>
  <c r="H152" i="5"/>
  <c r="G152" i="5"/>
  <c r="F152" i="5"/>
  <c r="E152" i="5"/>
  <c r="I151" i="5"/>
  <c r="H151" i="5"/>
  <c r="G151" i="5"/>
  <c r="F151" i="5"/>
  <c r="E151" i="5"/>
  <c r="I150" i="5"/>
  <c r="H150" i="5"/>
  <c r="G150" i="5"/>
  <c r="F150" i="5"/>
  <c r="E150" i="5"/>
  <c r="I149" i="5"/>
  <c r="H149" i="5"/>
  <c r="G149" i="5"/>
  <c r="F149" i="5"/>
  <c r="E149" i="5"/>
  <c r="I148" i="5"/>
  <c r="H148" i="5"/>
  <c r="G148" i="5"/>
  <c r="F148" i="5"/>
  <c r="E148" i="5"/>
  <c r="I147" i="5"/>
  <c r="H147" i="5"/>
  <c r="G147" i="5"/>
  <c r="F147" i="5"/>
  <c r="E147" i="5"/>
  <c r="I146" i="5"/>
  <c r="H146" i="5"/>
  <c r="G146" i="5"/>
  <c r="F146" i="5"/>
  <c r="E146" i="5"/>
  <c r="I145" i="5"/>
  <c r="H145" i="5"/>
  <c r="G145" i="5"/>
  <c r="F145" i="5"/>
  <c r="E145" i="5"/>
  <c r="I144" i="5"/>
  <c r="H144" i="5"/>
  <c r="G144" i="5"/>
  <c r="F144" i="5"/>
  <c r="E144" i="5"/>
  <c r="I143" i="5"/>
  <c r="H143" i="5"/>
  <c r="G143" i="5"/>
  <c r="F143" i="5"/>
  <c r="E143" i="5"/>
  <c r="I142" i="5"/>
  <c r="H142" i="5"/>
  <c r="G142" i="5"/>
  <c r="F142" i="5"/>
  <c r="E142" i="5"/>
  <c r="I141" i="5"/>
  <c r="H141" i="5"/>
  <c r="G141" i="5"/>
  <c r="F141" i="5"/>
  <c r="E141" i="5"/>
  <c r="I140" i="5"/>
  <c r="H140" i="5"/>
  <c r="G140" i="5"/>
  <c r="F140" i="5"/>
  <c r="E140" i="5"/>
  <c r="I139" i="5"/>
  <c r="H139" i="5"/>
  <c r="G139" i="5"/>
  <c r="F139" i="5"/>
  <c r="E139" i="5"/>
  <c r="I138" i="5"/>
  <c r="H138" i="5"/>
  <c r="G138" i="5"/>
  <c r="F138" i="5"/>
  <c r="E138" i="5"/>
  <c r="I137" i="5"/>
  <c r="H137" i="5"/>
  <c r="G137" i="5"/>
  <c r="F137" i="5"/>
  <c r="E137" i="5"/>
  <c r="I136" i="5"/>
  <c r="H136" i="5"/>
  <c r="G136" i="5"/>
  <c r="F136" i="5"/>
  <c r="E136" i="5"/>
  <c r="I135" i="5"/>
  <c r="H135" i="5"/>
  <c r="G135" i="5"/>
  <c r="F135" i="5"/>
  <c r="E135" i="5"/>
  <c r="I134" i="5"/>
  <c r="H134" i="5"/>
  <c r="G134" i="5"/>
  <c r="F134" i="5"/>
  <c r="E134" i="5"/>
  <c r="I133" i="5"/>
  <c r="H133" i="5"/>
  <c r="G133" i="5"/>
  <c r="F133" i="5"/>
  <c r="E133" i="5"/>
  <c r="I132" i="5"/>
  <c r="H132" i="5"/>
  <c r="G132" i="5"/>
  <c r="F132" i="5"/>
  <c r="E132" i="5"/>
  <c r="I131" i="5"/>
  <c r="H131" i="5"/>
  <c r="G131" i="5"/>
  <c r="F131" i="5"/>
  <c r="E131" i="5"/>
  <c r="I130" i="5"/>
  <c r="H130" i="5"/>
  <c r="G130" i="5"/>
  <c r="F130" i="5"/>
  <c r="E130" i="5"/>
  <c r="I129" i="5"/>
  <c r="H129" i="5"/>
  <c r="G129" i="5"/>
  <c r="F129" i="5"/>
  <c r="E129" i="5"/>
  <c r="I128" i="5"/>
  <c r="H128" i="5"/>
  <c r="G128" i="5"/>
  <c r="F128" i="5"/>
  <c r="E128" i="5"/>
  <c r="I127" i="5"/>
  <c r="H127" i="5"/>
  <c r="G127" i="5"/>
  <c r="F127" i="5"/>
  <c r="E127" i="5"/>
  <c r="I126" i="5"/>
  <c r="H126" i="5"/>
  <c r="G126" i="5"/>
  <c r="F126" i="5"/>
  <c r="E126" i="5"/>
  <c r="I125" i="5"/>
  <c r="H125" i="5"/>
  <c r="G125" i="5"/>
  <c r="F125" i="5"/>
  <c r="E125" i="5"/>
  <c r="I124" i="5"/>
  <c r="H124" i="5"/>
  <c r="G124" i="5"/>
  <c r="F124" i="5"/>
  <c r="E124" i="5"/>
  <c r="I123" i="5"/>
  <c r="H123" i="5"/>
  <c r="G123" i="5"/>
  <c r="F123" i="5"/>
  <c r="E123" i="5"/>
  <c r="I122" i="5"/>
  <c r="H122" i="5"/>
  <c r="G122" i="5"/>
  <c r="F122" i="5"/>
  <c r="E122" i="5"/>
  <c r="I121" i="5"/>
  <c r="H121" i="5"/>
  <c r="G121" i="5"/>
  <c r="F121" i="5"/>
  <c r="E121" i="5"/>
  <c r="I120" i="5"/>
  <c r="H120" i="5"/>
  <c r="G120" i="5"/>
  <c r="F120" i="5"/>
  <c r="E120"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3" i="5"/>
  <c r="H113" i="5"/>
  <c r="G113" i="5"/>
  <c r="F113" i="5"/>
  <c r="E113" i="5"/>
  <c r="I112" i="5"/>
  <c r="H112" i="5"/>
  <c r="G112" i="5"/>
  <c r="F112" i="5"/>
  <c r="E112" i="5"/>
  <c r="I111" i="5"/>
  <c r="H111" i="5"/>
  <c r="G111" i="5"/>
  <c r="F111" i="5"/>
  <c r="E111" i="5"/>
  <c r="I110" i="5"/>
  <c r="H110" i="5"/>
  <c r="G110" i="5"/>
  <c r="F110" i="5"/>
  <c r="E110" i="5"/>
  <c r="I109" i="5"/>
  <c r="H109" i="5"/>
  <c r="G109" i="5"/>
  <c r="F109" i="5"/>
  <c r="E109" i="5"/>
  <c r="I108" i="5"/>
  <c r="H108" i="5"/>
  <c r="G108" i="5"/>
  <c r="F108" i="5"/>
  <c r="E108" i="5"/>
  <c r="I107" i="5"/>
  <c r="H107" i="5"/>
  <c r="G107" i="5"/>
  <c r="F107" i="5"/>
  <c r="E107" i="5"/>
  <c r="I106" i="5"/>
  <c r="H106" i="5"/>
  <c r="G106" i="5"/>
  <c r="F106" i="5"/>
  <c r="E106" i="5"/>
  <c r="I105" i="5"/>
  <c r="H105" i="5"/>
  <c r="G105" i="5"/>
  <c r="F105" i="5"/>
  <c r="E105" i="5"/>
  <c r="I104" i="5"/>
  <c r="H104" i="5"/>
  <c r="G104" i="5"/>
  <c r="F104" i="5"/>
  <c r="E104" i="5"/>
  <c r="I103" i="5"/>
  <c r="H103" i="5"/>
  <c r="G103" i="5"/>
  <c r="F103" i="5"/>
  <c r="E103" i="5"/>
  <c r="I102" i="5"/>
  <c r="H102" i="5"/>
  <c r="G102" i="5"/>
  <c r="F102" i="5"/>
  <c r="E102" i="5"/>
  <c r="I101" i="5"/>
  <c r="H101" i="5"/>
  <c r="G101" i="5"/>
  <c r="F101" i="5"/>
  <c r="E101" i="5"/>
  <c r="I100" i="5"/>
  <c r="H100" i="5"/>
  <c r="G100" i="5"/>
  <c r="F100" i="5"/>
  <c r="E100" i="5"/>
  <c r="I99" i="5"/>
  <c r="H99" i="5"/>
  <c r="G99" i="5"/>
  <c r="F99" i="5"/>
  <c r="E99" i="5"/>
  <c r="I98" i="5"/>
  <c r="H98" i="5"/>
  <c r="G98" i="5"/>
  <c r="F98" i="5"/>
  <c r="E98" i="5"/>
  <c r="I97" i="5"/>
  <c r="H97" i="5"/>
  <c r="G97" i="5"/>
  <c r="F97" i="5"/>
  <c r="E97" i="5"/>
  <c r="I96" i="5"/>
  <c r="H96" i="5"/>
  <c r="G96" i="5"/>
  <c r="F96" i="5"/>
  <c r="E96" i="5"/>
  <c r="I95" i="5"/>
  <c r="H95" i="5"/>
  <c r="G95" i="5"/>
  <c r="F95" i="5"/>
  <c r="E95" i="5"/>
  <c r="I94" i="5"/>
  <c r="H94" i="5"/>
  <c r="G94" i="5"/>
  <c r="F94" i="5"/>
  <c r="E94" i="5"/>
  <c r="I93" i="5"/>
  <c r="H93" i="5"/>
  <c r="G93" i="5"/>
  <c r="F93" i="5"/>
  <c r="E93" i="5"/>
  <c r="I92" i="5"/>
  <c r="H92" i="5"/>
  <c r="G92" i="5"/>
  <c r="F92" i="5"/>
  <c r="E92" i="5"/>
  <c r="I91" i="5"/>
  <c r="H91" i="5"/>
  <c r="G91" i="5"/>
  <c r="F91" i="5"/>
  <c r="E91" i="5"/>
  <c r="I90" i="5"/>
  <c r="H90" i="5"/>
  <c r="G90" i="5"/>
  <c r="F90" i="5"/>
  <c r="E90" i="5"/>
  <c r="I89" i="5"/>
  <c r="H89" i="5"/>
  <c r="G89" i="5"/>
  <c r="F89" i="5"/>
  <c r="E89" i="5"/>
  <c r="I88" i="5"/>
  <c r="H88" i="5"/>
  <c r="G88" i="5"/>
  <c r="F88" i="5"/>
  <c r="E88" i="5"/>
  <c r="I87" i="5"/>
  <c r="H87" i="5"/>
  <c r="G87" i="5"/>
  <c r="F87" i="5"/>
  <c r="E87" i="5"/>
  <c r="I86" i="5"/>
  <c r="H86" i="5"/>
  <c r="G86" i="5"/>
  <c r="F86" i="5"/>
  <c r="E86" i="5"/>
  <c r="I85" i="5"/>
  <c r="H85" i="5"/>
  <c r="G85" i="5"/>
  <c r="F85" i="5"/>
  <c r="E85" i="5"/>
  <c r="I84" i="5"/>
  <c r="H84" i="5"/>
  <c r="G84" i="5"/>
  <c r="F84" i="5"/>
  <c r="E84" i="5"/>
  <c r="I83" i="5"/>
  <c r="H83" i="5"/>
  <c r="G83" i="5"/>
  <c r="F83" i="5"/>
  <c r="E83" i="5"/>
  <c r="I82" i="5"/>
  <c r="H82" i="5"/>
  <c r="G82" i="5"/>
  <c r="F82" i="5"/>
  <c r="E82" i="5"/>
  <c r="I81" i="5"/>
  <c r="H81" i="5"/>
  <c r="G81" i="5"/>
  <c r="F81" i="5"/>
  <c r="E81" i="5"/>
  <c r="I80" i="5"/>
  <c r="H80" i="5"/>
  <c r="G80" i="5"/>
  <c r="F80" i="5"/>
  <c r="E80" i="5"/>
  <c r="I79" i="5"/>
  <c r="H79" i="5"/>
  <c r="G79" i="5"/>
  <c r="F79" i="5"/>
  <c r="E79" i="5"/>
  <c r="I78" i="5"/>
  <c r="H78" i="5"/>
  <c r="G78" i="5"/>
  <c r="F78" i="5"/>
  <c r="E78" i="5"/>
  <c r="I77" i="5"/>
  <c r="H77" i="5"/>
  <c r="G77" i="5"/>
  <c r="F77" i="5"/>
  <c r="E77" i="5"/>
  <c r="I76" i="5"/>
  <c r="H76" i="5"/>
  <c r="G76" i="5"/>
  <c r="F76" i="5"/>
  <c r="E76" i="5"/>
  <c r="I75" i="5"/>
  <c r="H75" i="5"/>
  <c r="G75" i="5"/>
  <c r="F75" i="5"/>
  <c r="E75" i="5"/>
  <c r="I74" i="5"/>
  <c r="H74" i="5"/>
  <c r="G74" i="5"/>
  <c r="F74" i="5"/>
  <c r="E74" i="5"/>
  <c r="I73" i="5"/>
  <c r="H73" i="5"/>
  <c r="G73" i="5"/>
  <c r="F73" i="5"/>
  <c r="E73" i="5"/>
  <c r="I72" i="5"/>
  <c r="H72" i="5"/>
  <c r="G72" i="5"/>
  <c r="F72" i="5"/>
  <c r="E72" i="5"/>
  <c r="I71" i="5"/>
  <c r="H71" i="5"/>
  <c r="G71" i="5"/>
  <c r="F71" i="5"/>
  <c r="E71" i="5"/>
  <c r="I70" i="5"/>
  <c r="H70" i="5"/>
  <c r="G70" i="5"/>
  <c r="F70" i="5"/>
  <c r="E70" i="5"/>
  <c r="I69" i="5"/>
  <c r="H69" i="5"/>
  <c r="G69" i="5"/>
  <c r="F69" i="5"/>
  <c r="E69" i="5"/>
  <c r="I68" i="5"/>
  <c r="H68" i="5"/>
  <c r="G68" i="5"/>
  <c r="F68" i="5"/>
  <c r="E68" i="5"/>
  <c r="I67" i="5"/>
  <c r="H67" i="5"/>
  <c r="G67" i="5"/>
  <c r="F67" i="5"/>
  <c r="E67" i="5"/>
  <c r="I66" i="5"/>
  <c r="H66" i="5"/>
  <c r="G66" i="5"/>
  <c r="F66" i="5"/>
  <c r="E66" i="5"/>
  <c r="I65" i="5"/>
  <c r="H65" i="5"/>
  <c r="G65" i="5"/>
  <c r="F65" i="5"/>
  <c r="E65" i="5"/>
  <c r="I64" i="5"/>
  <c r="H64" i="5"/>
  <c r="G64" i="5"/>
  <c r="F64" i="5"/>
  <c r="E64" i="5"/>
  <c r="I63" i="5"/>
  <c r="H63" i="5"/>
  <c r="G63" i="5"/>
  <c r="F63" i="5"/>
  <c r="E63" i="5"/>
  <c r="I62" i="5"/>
  <c r="H62" i="5"/>
  <c r="G62" i="5"/>
  <c r="F62" i="5"/>
  <c r="E62" i="5"/>
  <c r="I61" i="5"/>
  <c r="H61" i="5"/>
  <c r="G61" i="5"/>
  <c r="F61" i="5"/>
  <c r="E61" i="5"/>
  <c r="I60" i="5"/>
  <c r="H60" i="5"/>
  <c r="G60" i="5"/>
  <c r="F60" i="5"/>
  <c r="E60" i="5"/>
  <c r="I59" i="5"/>
  <c r="H59" i="5"/>
  <c r="G59" i="5"/>
  <c r="F59" i="5"/>
  <c r="E59" i="5"/>
  <c r="I58" i="5"/>
  <c r="H58" i="5"/>
  <c r="G58" i="5"/>
  <c r="F58" i="5"/>
  <c r="E58" i="5"/>
  <c r="I57" i="5"/>
  <c r="H57" i="5"/>
  <c r="G57" i="5"/>
  <c r="F57" i="5"/>
  <c r="E57" i="5"/>
  <c r="I56" i="5"/>
  <c r="H56" i="5"/>
  <c r="G56" i="5"/>
  <c r="F56" i="5"/>
  <c r="E56" i="5"/>
  <c r="I55" i="5"/>
  <c r="H55" i="5"/>
  <c r="G55" i="5"/>
  <c r="F55" i="5"/>
  <c r="E55" i="5"/>
  <c r="I54" i="5"/>
  <c r="H54" i="5"/>
  <c r="G54" i="5"/>
  <c r="F54" i="5"/>
  <c r="E54" i="5"/>
  <c r="I53" i="5"/>
  <c r="H53" i="5"/>
  <c r="G53" i="5"/>
  <c r="F53" i="5"/>
  <c r="E53" i="5"/>
  <c r="I52" i="5"/>
  <c r="H52" i="5"/>
  <c r="G52" i="5"/>
  <c r="F52" i="5"/>
  <c r="E52" i="5"/>
  <c r="I51" i="5"/>
  <c r="H51" i="5"/>
  <c r="G51" i="5"/>
  <c r="F51" i="5"/>
  <c r="E51" i="5"/>
  <c r="I50" i="5"/>
  <c r="H50" i="5"/>
  <c r="G50" i="5"/>
  <c r="F50" i="5"/>
  <c r="E50" i="5"/>
  <c r="I49" i="5"/>
  <c r="H49" i="5"/>
  <c r="G49" i="5"/>
  <c r="F49" i="5"/>
  <c r="E49" i="5"/>
  <c r="I48" i="5"/>
  <c r="H48" i="5"/>
  <c r="G48" i="5"/>
  <c r="F48" i="5"/>
  <c r="E48" i="5"/>
  <c r="I47" i="5"/>
  <c r="H47" i="5"/>
  <c r="G47" i="5"/>
  <c r="F47" i="5"/>
  <c r="E47" i="5"/>
  <c r="I46" i="5"/>
  <c r="H46" i="5"/>
  <c r="G46" i="5"/>
  <c r="F46" i="5"/>
  <c r="E46" i="5"/>
  <c r="I45" i="5"/>
  <c r="H45" i="5"/>
  <c r="G45" i="5"/>
  <c r="F45" i="5"/>
  <c r="E45" i="5"/>
  <c r="I44" i="5"/>
  <c r="H44" i="5"/>
  <c r="G44" i="5"/>
  <c r="F44" i="5"/>
  <c r="E44" i="5"/>
  <c r="I43" i="5"/>
  <c r="H43" i="5"/>
  <c r="G43" i="5"/>
  <c r="F43" i="5"/>
  <c r="E43" i="5"/>
  <c r="I42" i="5"/>
  <c r="H42" i="5"/>
  <c r="G42" i="5"/>
  <c r="F42" i="5"/>
  <c r="E42" i="5"/>
  <c r="I41" i="5"/>
  <c r="H41" i="5"/>
  <c r="G41" i="5"/>
  <c r="F41" i="5"/>
  <c r="E41" i="5"/>
  <c r="I40" i="5"/>
  <c r="H40" i="5"/>
  <c r="G40" i="5"/>
  <c r="F40" i="5"/>
  <c r="E40" i="5"/>
  <c r="I39" i="5"/>
  <c r="H39" i="5"/>
  <c r="G39" i="5"/>
  <c r="F39" i="5"/>
  <c r="E39" i="5"/>
  <c r="I38" i="5"/>
  <c r="H38" i="5"/>
  <c r="G38" i="5"/>
  <c r="F38" i="5"/>
  <c r="E38" i="5"/>
  <c r="I37" i="5"/>
  <c r="H37" i="5"/>
  <c r="G37" i="5"/>
  <c r="F37" i="5"/>
  <c r="E37" i="5"/>
  <c r="I36" i="5"/>
  <c r="H36" i="5"/>
  <c r="G36" i="5"/>
  <c r="F36" i="5"/>
  <c r="E36" i="5"/>
  <c r="I35" i="5"/>
  <c r="H35" i="5"/>
  <c r="G35" i="5"/>
  <c r="F35" i="5"/>
  <c r="E35" i="5"/>
  <c r="I34" i="5"/>
  <c r="H34" i="5"/>
  <c r="G34" i="5"/>
  <c r="F34" i="5"/>
  <c r="E34" i="5"/>
  <c r="I33" i="5"/>
  <c r="H33" i="5"/>
  <c r="G33" i="5"/>
  <c r="F33" i="5"/>
  <c r="E33" i="5"/>
  <c r="I32" i="5"/>
  <c r="H32" i="5"/>
  <c r="G32" i="5"/>
  <c r="F32" i="5"/>
  <c r="E32" i="5"/>
  <c r="I31" i="5"/>
  <c r="H31" i="5"/>
  <c r="G31" i="5"/>
  <c r="F31" i="5"/>
  <c r="E31" i="5"/>
  <c r="I30" i="5"/>
  <c r="H30" i="5"/>
  <c r="G30" i="5"/>
  <c r="F30" i="5"/>
  <c r="E30" i="5"/>
  <c r="I29" i="5"/>
  <c r="H29" i="5"/>
  <c r="G29" i="5"/>
  <c r="F29" i="5"/>
  <c r="E29" i="5"/>
  <c r="I28" i="5"/>
  <c r="H28" i="5"/>
  <c r="G28" i="5"/>
  <c r="F28" i="5"/>
  <c r="E28" i="5"/>
  <c r="I27" i="5"/>
  <c r="H27" i="5"/>
  <c r="G27" i="5"/>
  <c r="F27" i="5"/>
  <c r="E27" i="5"/>
  <c r="I26" i="5"/>
  <c r="H26" i="5"/>
  <c r="G26" i="5"/>
  <c r="F26" i="5"/>
  <c r="E26" i="5"/>
  <c r="I25" i="5"/>
  <c r="H25" i="5"/>
  <c r="G25" i="5"/>
  <c r="F25" i="5"/>
  <c r="E25" i="5"/>
  <c r="I24" i="5"/>
  <c r="H24" i="5"/>
  <c r="G24" i="5"/>
  <c r="F24" i="5"/>
  <c r="E24" i="5"/>
  <c r="I23" i="5"/>
  <c r="H23" i="5"/>
  <c r="G23" i="5"/>
  <c r="F23" i="5"/>
  <c r="E23" i="5"/>
  <c r="I22" i="5"/>
  <c r="H22" i="5"/>
  <c r="G22" i="5"/>
  <c r="F22" i="5"/>
  <c r="E22" i="5"/>
  <c r="I21" i="5"/>
  <c r="H21" i="5"/>
  <c r="G21" i="5"/>
  <c r="F21" i="5"/>
  <c r="E21" i="5"/>
  <c r="I20" i="5"/>
  <c r="H20" i="5"/>
  <c r="G20" i="5"/>
  <c r="F20" i="5"/>
  <c r="E20" i="5"/>
  <c r="I19" i="5"/>
  <c r="H19" i="5"/>
  <c r="G19" i="5"/>
  <c r="F19" i="5"/>
  <c r="E19" i="5"/>
  <c r="I18" i="5"/>
  <c r="H18" i="5"/>
  <c r="G18" i="5"/>
  <c r="F18" i="5"/>
  <c r="E18" i="5"/>
  <c r="I17" i="5"/>
  <c r="H17" i="5"/>
  <c r="G17" i="5"/>
  <c r="F17" i="5"/>
  <c r="E17" i="5"/>
  <c r="I16" i="5"/>
  <c r="H16" i="5"/>
  <c r="G16" i="5"/>
  <c r="F16" i="5"/>
  <c r="E16" i="5"/>
  <c r="I15" i="5"/>
  <c r="H15" i="5"/>
  <c r="G15" i="5"/>
  <c r="F15" i="5"/>
  <c r="E15" i="5"/>
  <c r="I14" i="5"/>
  <c r="H14" i="5"/>
  <c r="G14" i="5"/>
  <c r="F14" i="5"/>
  <c r="E14" i="5"/>
  <c r="I13" i="5"/>
  <c r="H13" i="5"/>
  <c r="G13" i="5"/>
  <c r="F13" i="5"/>
  <c r="E13" i="5"/>
  <c r="I12" i="5"/>
  <c r="H12" i="5"/>
  <c r="G12" i="5"/>
  <c r="F12" i="5"/>
  <c r="E12" i="5"/>
  <c r="I11" i="5"/>
  <c r="H11" i="5"/>
  <c r="G11" i="5"/>
  <c r="F11" i="5"/>
  <c r="E11" i="5"/>
  <c r="I10" i="5"/>
  <c r="H10" i="5"/>
  <c r="G10" i="5"/>
  <c r="F10" i="5"/>
  <c r="E10" i="5"/>
  <c r="I9" i="5"/>
  <c r="H9" i="5"/>
  <c r="G9" i="5"/>
  <c r="F9" i="5"/>
  <c r="E9" i="5"/>
  <c r="I8" i="5"/>
  <c r="H8" i="5"/>
  <c r="G8" i="5"/>
  <c r="F8" i="5"/>
  <c r="E8" i="5"/>
  <c r="I7" i="5"/>
  <c r="H7" i="5"/>
  <c r="G7" i="5"/>
  <c r="F7" i="5"/>
  <c r="E7" i="5"/>
  <c r="I6" i="5"/>
  <c r="H6" i="5"/>
  <c r="G6" i="5"/>
  <c r="F6" i="5"/>
  <c r="E6" i="5"/>
  <c r="I5" i="5"/>
  <c r="H5" i="5"/>
  <c r="G5" i="5"/>
  <c r="F5" i="5"/>
  <c r="E5" i="5"/>
  <c r="I4" i="5"/>
  <c r="H4" i="5"/>
  <c r="G4" i="5"/>
  <c r="F4" i="5"/>
  <c r="E4" i="5"/>
  <c r="I3" i="5"/>
  <c r="H3" i="5"/>
  <c r="G3" i="5"/>
  <c r="F3" i="5"/>
  <c r="E3" i="5"/>
  <c r="I2" i="5"/>
  <c r="H2" i="5"/>
  <c r="G2" i="5"/>
  <c r="F2" i="5"/>
  <c r="E2" i="5"/>
  <c r="G35" i="1"/>
  <c r="G34" i="1"/>
  <c r="L37" i="1"/>
  <c r="K37" i="1"/>
  <c r="J37" i="1"/>
  <c r="F34" i="1"/>
  <c r="J36"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4" i="1"/>
  <c r="A21" i="1"/>
  <c r="A22" i="1"/>
  <c r="J17" i="3"/>
  <c r="D22" i="3"/>
  <c r="J16" i="3"/>
  <c r="J18" i="3"/>
  <c r="J19" i="3"/>
  <c r="J20" i="3"/>
  <c r="J21" i="3"/>
  <c r="J22" i="3"/>
  <c r="J15" i="3"/>
  <c r="D17" i="3"/>
  <c r="D18" i="3"/>
  <c r="D19" i="3"/>
  <c r="D20" i="3"/>
  <c r="D21" i="3"/>
  <c r="D16" i="3"/>
  <c r="D15" i="3"/>
  <c r="G22" i="3"/>
  <c r="G21" i="3"/>
  <c r="G20" i="3"/>
  <c r="G19" i="3"/>
  <c r="G18" i="3"/>
  <c r="G17" i="3"/>
  <c r="G16" i="3"/>
  <c r="G15" i="3"/>
  <c r="M16" i="3"/>
  <c r="M17" i="3"/>
  <c r="M18" i="3"/>
  <c r="M19" i="3"/>
  <c r="M20" i="3"/>
  <c r="M21" i="3"/>
  <c r="M22" i="3"/>
  <c r="M15" i="3"/>
  <c r="F22" i="3"/>
  <c r="L22" i="3"/>
  <c r="K22" i="3"/>
  <c r="K23" i="3"/>
  <c r="E22" i="3"/>
  <c r="E23" i="3"/>
  <c r="G61" i="1"/>
  <c r="D53" i="1"/>
  <c r="D37" i="1"/>
  <c r="Q31" i="1"/>
  <c r="P31" i="1"/>
  <c r="P33" i="1"/>
  <c r="J33" i="1"/>
  <c r="R31" i="1"/>
  <c r="L31" i="1"/>
  <c r="R30" i="1"/>
  <c r="L30" i="1"/>
  <c r="R29" i="1"/>
  <c r="L29" i="1"/>
  <c r="R28" i="1"/>
  <c r="L28" i="1"/>
  <c r="R27" i="1"/>
  <c r="L27" i="1"/>
  <c r="R26" i="1"/>
  <c r="L26" i="1"/>
  <c r="R25" i="1"/>
  <c r="L25" i="1"/>
  <c r="R24" i="1"/>
  <c r="L24" i="1"/>
  <c r="R23" i="1"/>
  <c r="L23" i="1"/>
  <c r="R22" i="1"/>
  <c r="L22" i="1"/>
  <c r="R21" i="1"/>
  <c r="L21" i="1"/>
  <c r="R20" i="1"/>
  <c r="L20" i="1"/>
  <c r="R19" i="1"/>
  <c r="L19" i="1"/>
  <c r="R18" i="1"/>
  <c r="L18" i="1"/>
  <c r="R17" i="1"/>
  <c r="L17" i="1"/>
  <c r="R16" i="1"/>
  <c r="L16" i="1"/>
  <c r="R15" i="1"/>
  <c r="L15" i="1"/>
  <c r="R14" i="1"/>
  <c r="L14" i="1"/>
  <c r="R13" i="1"/>
  <c r="L13" i="1"/>
  <c r="R12" i="1"/>
  <c r="L12" i="1"/>
  <c r="R11" i="1"/>
  <c r="L11" i="1"/>
  <c r="R10" i="1"/>
  <c r="L10" i="1"/>
  <c r="R9" i="1"/>
  <c r="L9" i="1"/>
  <c r="R8" i="1"/>
  <c r="L8" i="1"/>
  <c r="R7" i="1"/>
  <c r="L7" i="1"/>
  <c r="R6" i="1"/>
  <c r="L6" i="1"/>
  <c r="R5" i="1"/>
  <c r="L5" i="1"/>
  <c r="R4" i="1"/>
  <c r="L4" i="1"/>
</calcChain>
</file>

<file path=xl/sharedStrings.xml><?xml version="1.0" encoding="utf-8"?>
<sst xmlns="http://schemas.openxmlformats.org/spreadsheetml/2006/main" count="354" uniqueCount="149">
  <si>
    <t>AGOSTO</t>
  </si>
  <si>
    <t>SEPTIEMBRE</t>
  </si>
  <si>
    <t>AGOSTO_2</t>
  </si>
  <si>
    <t>DIA SEMANA</t>
  </si>
  <si>
    <t>USERS AGOSTO</t>
  </si>
  <si>
    <t>ERROR AGOSTO</t>
  </si>
  <si>
    <t>SEPTIEMBREº</t>
  </si>
  <si>
    <t>USUARIOS SEP</t>
  </si>
  <si>
    <t>ERROR SEP</t>
  </si>
  <si>
    <t>%</t>
  </si>
  <si>
    <t>Etiquetas de fila</t>
  </si>
  <si>
    <t>Suma de users_sept</t>
  </si>
  <si>
    <t>Suma de error_sept</t>
  </si>
  <si>
    <t>dia</t>
  </si>
  <si>
    <t>Suma de users_agos</t>
  </si>
  <si>
    <t>Suma de error_agos</t>
  </si>
  <si>
    <t xml:space="preserve">miercoles </t>
  </si>
  <si>
    <t>sabado</t>
  </si>
  <si>
    <t>jueves</t>
  </si>
  <si>
    <t>domingo</t>
  </si>
  <si>
    <t>viernes</t>
  </si>
  <si>
    <t>lunes</t>
  </si>
  <si>
    <t>martes</t>
  </si>
  <si>
    <t>miércoles</t>
  </si>
  <si>
    <t>sábado</t>
  </si>
  <si>
    <t>Total general</t>
  </si>
  <si>
    <t>(%error sobre tt)</t>
  </si>
  <si>
    <t xml:space="preserve">TASA ERROR SEPT </t>
  </si>
  <si>
    <t>error sobre tt</t>
  </si>
  <si>
    <t>(vacías)</t>
  </si>
  <si>
    <t>SIN RECT</t>
  </si>
  <si>
    <t>TASA ERROR AGOSTO</t>
  </si>
  <si>
    <t>BBDD</t>
  </si>
  <si>
    <t>Para el analisis mas objetivo, se normaliza la muestra de Agosto, eliminando los datos de 00:00 de Septiembre, he integrandoselos a el mes correspondiente,  Septiembre.</t>
  </si>
  <si>
    <t>SI AL BONO</t>
  </si>
  <si>
    <t>% error TABLA AGO2</t>
  </si>
  <si>
    <t xml:space="preserve">% ERROR SEPT </t>
  </si>
  <si>
    <t>DIFERENCIA  AGOS -SEP</t>
  </si>
  <si>
    <t>NOTA solución</t>
  </si>
  <si>
    <t xml:space="preserve">SIN MINIMIZAR ERRORES,  LA CANTIDAD DE ERRORES </t>
  </si>
  <si>
    <t xml:space="preserve">PODEMOS INFERIR BAJA DE ERRORES FUE DEL ORDEN DE </t>
  </si>
  <si>
    <t>DIFERENCIA  PORCENTUAL ENTRE  AGOS -SEP</t>
  </si>
  <si>
    <t>STORAGE ALTERNATIVES</t>
  </si>
  <si>
    <t>valores AWS</t>
  </si>
  <si>
    <t>VALOR 1 GB</t>
  </si>
  <si>
    <t>MENSUAL(90GB)</t>
  </si>
  <si>
    <t>ANUAL USD</t>
  </si>
  <si>
    <t>ANUAL EURO</t>
  </si>
  <si>
    <t>hasta 50 TB /Standard</t>
  </si>
  <si>
    <t>$0.0230</t>
  </si>
  <si>
    <t>$24.84</t>
  </si>
  <si>
    <t>22.12</t>
  </si>
  <si>
    <t>STANDAR POCO FRECUENTE</t>
  </si>
  <si>
    <t>$0.0125</t>
  </si>
  <si>
    <t>$13.50</t>
  </si>
  <si>
    <t>12.02</t>
  </si>
  <si>
    <t>MUESTRA</t>
  </si>
  <si>
    <t>Archivo ejemplo BCN</t>
  </si>
  <si>
    <t>Peso archivo Barcelona</t>
  </si>
  <si>
    <t>json</t>
  </si>
  <si>
    <t>Agosto</t>
  </si>
  <si>
    <t>279KB</t>
  </si>
  <si>
    <t>Septiembre</t>
  </si>
  <si>
    <t>233 KB</t>
  </si>
  <si>
    <t>referencia</t>
  </si>
  <si>
    <t>300KB</t>
  </si>
  <si>
    <t>peso storage s3</t>
  </si>
  <si>
    <t>KB</t>
  </si>
  <si>
    <t>GB</t>
  </si>
  <si>
    <t>peso 1 destino 1 mes</t>
  </si>
  <si>
    <t>peso 5000 destinos 1 mes</t>
  </si>
  <si>
    <t>1,500,000</t>
  </si>
  <si>
    <t>1,5 GB</t>
  </si>
  <si>
    <t>todos los destinos 60 meses</t>
  </si>
  <si>
    <t>90,000,000</t>
  </si>
  <si>
    <t>90 GB</t>
  </si>
  <si>
    <t xml:space="preserve">Para comparar BBDD lo más símilares posible, se toman los datos de 27 dias ,  ya que Septiembre sólo cuenta con esta data. </t>
  </si>
  <si>
    <t>Además, se comparan los dias de la semana homologos por cada mes, para tener bases símiles</t>
  </si>
  <si>
    <t>(esta base de datos no se usa para el cálculo)</t>
  </si>
  <si>
    <t>BBDD cálculo)</t>
  </si>
  <si>
    <t>Tasa de error promedio de 1,6% (= a la tasa de error de Agosto)</t>
  </si>
  <si>
    <t>Para 90 Gb hay 2 alternativas según frecuencia y con tope en almacenaje</t>
  </si>
  <si>
    <t>Necesitamos almacenar 90 GB  de los 60 meses, (¿almacenaremos los meses siguientes?)</t>
  </si>
  <si>
    <t>INFORMACION DE LA EMPRESA PARA GUARDAR</t>
  </si>
  <si>
    <t>dia de la semana</t>
  </si>
  <si>
    <t>Suma Error Ago</t>
  </si>
  <si>
    <t>% sobre el total del dia</t>
  </si>
  <si>
    <t>Erro sept</t>
  </si>
  <si>
    <t>TOTALES</t>
  </si>
  <si>
    <t>11,648.00</t>
  </si>
  <si>
    <t>1.60</t>
  </si>
  <si>
    <t>8,950.00</t>
  </si>
  <si>
    <t>1.03</t>
  </si>
  <si>
    <t>Lunes</t>
  </si>
  <si>
    <t>Martes</t>
  </si>
  <si>
    <t>Miercoles</t>
  </si>
  <si>
    <t>Jueves</t>
  </si>
  <si>
    <t>Viernes</t>
  </si>
  <si>
    <t>Sabado</t>
  </si>
  <si>
    <t>Domingo</t>
  </si>
  <si>
    <t>usuarios ago</t>
  </si>
  <si>
    <t>usuarios sep</t>
  </si>
  <si>
    <t>Total</t>
  </si>
  <si>
    <t>% error total mes</t>
  </si>
  <si>
    <t>Dia semana</t>
  </si>
  <si>
    <t>% usuarios diarios</t>
  </si>
  <si>
    <t>Total errores</t>
  </si>
  <si>
    <t>Errores Agsoto</t>
  </si>
  <si>
    <t>% error sobre el dia</t>
  </si>
  <si>
    <t>Errores Septiembre</t>
  </si>
  <si>
    <t>Trafico</t>
  </si>
  <si>
    <t>queries/correct</t>
  </si>
  <si>
    <t>queries/error</t>
  </si>
  <si>
    <t>users</t>
  </si>
  <si>
    <t>timestamp</t>
  </si>
  <si>
    <t>date</t>
  </si>
  <si>
    <t>time</t>
  </si>
  <si>
    <t>hour</t>
  </si>
  <si>
    <t>minutes</t>
  </si>
  <si>
    <t>seconds</t>
  </si>
  <si>
    <t>Decision Making</t>
  </si>
  <si>
    <t>Task</t>
  </si>
  <si>
    <t>Clients complain that the searches for a destinations sometimes fail. Head of product decided to address the issue, and ask development team to work on fix.</t>
  </si>
  <si>
    <t>The team committed to work out the solution during August. It was agreed that the team’s bonus payout would depend on effectiveness of the solution.</t>
  </si>
  <si>
    <t>The Head of Product ask you to analyze the data and help him to decide whether the team deserve the bonus? Useful context: Data for Barcelona destination (18452212) is representative so that any conclusions can be extrapolated for other destinations.</t>
  </si>
  <si>
    <t>Step 1</t>
  </si>
  <si>
    <t>BBDD : normalize variables August and September.(The point of normalization is to make variables comparable to each other). </t>
  </si>
  <si>
    <t>Review Data : August have dirty data, I remove the final input because as the time and date show us, that data belongs to September.</t>
  </si>
  <si>
    <t>I include the week colum in order to comprare the sames days.</t>
  </si>
  <si>
    <t>I took only 27 days of the data, for easily compare the same weeks. FROM sabado 01-09-18 TO sabado 04-08-18 UNTIL jueves 27-09-18 TO jueves 30-08-18</t>
  </si>
  <si>
    <t>TABLA TRAFICO - ERROR AGOSTO</t>
  </si>
  <si>
    <t>Suma Usuarios Ago</t>
  </si>
  <si>
    <t>% U diarios</t>
  </si>
  <si>
    <t>Suma Errores Ago</t>
  </si>
  <si>
    <t>% error diario</t>
  </si>
  <si>
    <t>TOTAL</t>
  </si>
  <si>
    <t>***Saturday 18-08-18 number of users 22.273 number error data 2.352 that specific day the numbers of errors was more than expected (desviacion estandard), out of the avarge, this could affect the results. ( Avarage erros would be 1,28% instead 1,60%)</t>
  </si>
  <si>
    <t>TABLA TRAFICO - ERROR SEPTIEMBRE</t>
  </si>
  <si>
    <t>Suma Usuarios Sep</t>
  </si>
  <si>
    <t>Suma Errores Sep</t>
  </si>
  <si>
    <t>MES</t>
  </si>
  <si>
    <t>Suma Usuarios</t>
  </si>
  <si>
    <t>Suma Errores</t>
  </si>
  <si>
    <t>% error MES</t>
  </si>
  <si>
    <t>I recommend to give the bonus because the traffic of Septembre increase if you compare with August and the errors went down in Septembrer, even when we had more trafic in the site</t>
  </si>
  <si>
    <t>Even though, the incident of the saturday 18 of August 2018 give us a new perspective of the real % of error minimized in the operation of September. If we keep this day out of our analisys, we change dramaticly to 1,28% of error in August instead 1,60%. Given this, the real improve was lower than we can apreciate in a firts view. Would be 0,25% instead of 0,57%.</t>
  </si>
  <si>
    <t>I highly recommend to split the bonus in 3 month waiting for more data, that give us accurate information of the effectivity of the strategy</t>
  </si>
  <si>
    <t>*irlanda</t>
  </si>
  <si>
    <t>Almacenar 5 años equivalentes a 60 meses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</si>
</sst>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Red]&quot;$&quot;\-#,##0"/>
    <numFmt numFmtId="41" formatCode="_ * #,##0_ ;_ * \-#,##0_ ;_ * &quot;-&quot;_ ;_ @_ "/>
    <numFmt numFmtId="164" formatCode="_ * #,##0.00_ ;_ * \-#,##0.00_ ;_ * &quot;-&quot;_ ;_ @_ "/>
    <numFmt numFmtId="165" formatCode="0.0000"/>
    <numFmt numFmtId="166" formatCode="_ * #,##0.000_ ;_ * \-#,##0.000_ ;_ * &quot;-&quot;_ ;_ @_ "/>
    <numFmt numFmtId="167" formatCode="yyyy\-mm\-dd\ h:mm:ss"/>
    <numFmt numFmtId="168" formatCode="yyyy\-mm\-dd"/>
  </numFmts>
  <fonts count="18" x14ac:knownFonts="1">
    <font>
      <sz val="12"/>
      <color theme="1"/>
      <name val="Calibri"/>
      <family val="2"/>
      <scheme val="minor"/>
    </font>
    <font>
      <sz val="12"/>
      <color theme="1"/>
      <name val="Calibri"/>
      <family val="2"/>
      <scheme val="minor"/>
    </font>
    <font>
      <sz val="14"/>
      <color theme="1"/>
      <name val="Calibri"/>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theme="1"/>
      <name val="Calibri"/>
    </font>
    <font>
      <sz val="12"/>
      <color theme="1"/>
      <name val="Calibri"/>
    </font>
    <font>
      <sz val="12"/>
      <color rgb="FF000000"/>
      <name val="Calibri"/>
    </font>
    <font>
      <sz val="10"/>
      <color theme="1"/>
      <name val="Arial"/>
    </font>
    <font>
      <sz val="10"/>
      <name val="Arial"/>
    </font>
    <font>
      <b/>
      <sz val="28"/>
      <color rgb="FF000000"/>
      <name val="Helvetica"/>
    </font>
    <font>
      <b/>
      <sz val="24"/>
      <color rgb="FF000000"/>
      <name val="Helvetica"/>
    </font>
    <font>
      <sz val="14"/>
      <color rgb="FF777777"/>
      <name val="Helvetica"/>
    </font>
    <font>
      <b/>
      <sz val="18"/>
      <color rgb="FF000000"/>
      <name val="Helvetica"/>
    </font>
    <font>
      <b/>
      <sz val="14"/>
      <color rgb="FF777777"/>
      <name val="Helvetica"/>
    </font>
    <font>
      <b/>
      <sz val="14"/>
      <color rgb="FF000000"/>
      <name val="Helvetica"/>
    </font>
    <font>
      <sz val="14"/>
      <color rgb="FF000000"/>
      <name val="Helvetica"/>
    </font>
  </fonts>
  <fills count="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rgb="FFEBF1DE"/>
        <bgColor rgb="FF000000"/>
      </patternFill>
    </fill>
    <fill>
      <patternFill patternType="solid">
        <fgColor theme="6" tint="0.79998168889431442"/>
        <bgColor rgb="FF000000"/>
      </patternFill>
    </fill>
  </fills>
  <borders count="1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s>
  <cellStyleXfs count="216">
    <xf numFmtId="0" fontId="0" fillId="0" borderId="0"/>
    <xf numFmtId="41"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92">
    <xf numFmtId="0" fontId="0" fillId="0" borderId="0" xfId="0"/>
    <xf numFmtId="0" fontId="0" fillId="0" borderId="0" xfId="0" applyNumberFormat="1"/>
    <xf numFmtId="17" fontId="0" fillId="0" borderId="0" xfId="0" applyNumberFormat="1"/>
    <xf numFmtId="0" fontId="2" fillId="2" borderId="1" xfId="0" applyNumberFormat="1" applyFont="1" applyFill="1" applyBorder="1"/>
    <xf numFmtId="0" fontId="2" fillId="2" borderId="2" xfId="0" applyFont="1" applyFill="1" applyBorder="1"/>
    <xf numFmtId="0" fontId="2" fillId="2" borderId="3" xfId="0" applyFont="1" applyFill="1" applyBorder="1"/>
    <xf numFmtId="0" fontId="0" fillId="2" borderId="4" xfId="0" applyNumberFormat="1" applyFill="1" applyBorder="1"/>
    <xf numFmtId="0" fontId="0" fillId="2" borderId="5" xfId="0" applyFill="1" applyBorder="1"/>
    <xf numFmtId="0" fontId="0" fillId="2" borderId="6" xfId="0" applyNumberFormat="1" applyFill="1" applyBorder="1"/>
    <xf numFmtId="0" fontId="0" fillId="2" borderId="3" xfId="0" applyNumberFormat="1" applyFill="1" applyBorder="1"/>
    <xf numFmtId="0" fontId="2" fillId="0" borderId="1" xfId="0" applyNumberFormat="1" applyFont="1" applyBorder="1"/>
    <xf numFmtId="14" fontId="2" fillId="0" borderId="2" xfId="0" applyNumberFormat="1" applyFont="1" applyBorder="1"/>
    <xf numFmtId="0" fontId="2" fillId="0" borderId="2" xfId="0" applyFont="1" applyBorder="1"/>
    <xf numFmtId="0" fontId="2" fillId="0" borderId="3" xfId="0" applyFont="1" applyBorder="1"/>
    <xf numFmtId="0" fontId="0" fillId="0" borderId="7" xfId="0" applyNumberFormat="1" applyBorder="1"/>
    <xf numFmtId="14" fontId="0" fillId="0" borderId="0" xfId="0" applyNumberFormat="1" applyBorder="1"/>
    <xf numFmtId="0" fontId="0" fillId="0" borderId="0" xfId="0" applyBorder="1"/>
    <xf numFmtId="2" fontId="0" fillId="0" borderId="8" xfId="0" applyNumberFormat="1" applyBorder="1"/>
    <xf numFmtId="2" fontId="0" fillId="0" borderId="0" xfId="0" applyNumberFormat="1"/>
    <xf numFmtId="0" fontId="0" fillId="0" borderId="1" xfId="0" applyNumberFormat="1" applyBorder="1"/>
    <xf numFmtId="14" fontId="0" fillId="0" borderId="2" xfId="0" applyNumberFormat="1" applyBorder="1"/>
    <xf numFmtId="0" fontId="0" fillId="0" borderId="2" xfId="0" applyBorder="1"/>
    <xf numFmtId="2" fontId="0" fillId="0" borderId="3" xfId="0" applyNumberFormat="1" applyBorder="1"/>
    <xf numFmtId="14" fontId="0" fillId="0" borderId="0" xfId="0" applyNumberFormat="1"/>
    <xf numFmtId="0" fontId="2" fillId="0" borderId="7" xfId="0" applyNumberFormat="1" applyFont="1" applyBorder="1"/>
    <xf numFmtId="14" fontId="2" fillId="0" borderId="0" xfId="0" applyNumberFormat="1" applyFont="1" applyBorder="1"/>
    <xf numFmtId="0" fontId="2" fillId="0" borderId="0" xfId="0" applyFont="1" applyBorder="1"/>
    <xf numFmtId="0" fontId="2" fillId="0" borderId="8" xfId="0" applyFont="1" applyBorder="1"/>
    <xf numFmtId="0" fontId="0" fillId="0" borderId="4" xfId="0" applyNumberFormat="1" applyBorder="1"/>
    <xf numFmtId="0" fontId="0" fillId="0" borderId="5" xfId="0" applyBorder="1"/>
    <xf numFmtId="2" fontId="0" fillId="0" borderId="6" xfId="0" applyNumberFormat="1" applyBorder="1"/>
    <xf numFmtId="0" fontId="0" fillId="0" borderId="0" xfId="0" applyNumberFormat="1" applyBorder="1"/>
    <xf numFmtId="0" fontId="0" fillId="0" borderId="8" xfId="0" applyNumberFormat="1" applyBorder="1"/>
    <xf numFmtId="0" fontId="0" fillId="0" borderId="9" xfId="0" applyNumberFormat="1" applyBorder="1"/>
    <xf numFmtId="0" fontId="0" fillId="0" borderId="5" xfId="0" applyNumberFormat="1" applyBorder="1"/>
    <xf numFmtId="0" fontId="0" fillId="0" borderId="6" xfId="0" applyNumberFormat="1" applyBorder="1"/>
    <xf numFmtId="0" fontId="0" fillId="0" borderId="10" xfId="0" applyNumberFormat="1" applyBorder="1"/>
    <xf numFmtId="0" fontId="0" fillId="0" borderId="11" xfId="0" applyNumberFormat="1" applyBorder="1"/>
    <xf numFmtId="0" fontId="2" fillId="0" borderId="12" xfId="0" applyNumberFormat="1" applyFont="1" applyBorder="1"/>
    <xf numFmtId="14" fontId="2" fillId="0" borderId="10" xfId="0" applyNumberFormat="1" applyFont="1" applyBorder="1"/>
    <xf numFmtId="0" fontId="2" fillId="0" borderId="10" xfId="0" applyFont="1" applyBorder="1"/>
    <xf numFmtId="0" fontId="2" fillId="0" borderId="11" xfId="0" applyFont="1" applyBorder="1"/>
    <xf numFmtId="0" fontId="2" fillId="0" borderId="11" xfId="0" applyNumberFormat="1" applyFont="1" applyBorder="1"/>
    <xf numFmtId="0" fontId="0" fillId="3" borderId="0" xfId="0" applyNumberFormat="1" applyFill="1"/>
    <xf numFmtId="0" fontId="0" fillId="0" borderId="2" xfId="0" applyNumberFormat="1" applyBorder="1"/>
    <xf numFmtId="0" fontId="0" fillId="0" borderId="3" xfId="0" applyNumberFormat="1" applyBorder="1"/>
    <xf numFmtId="41" fontId="0" fillId="0" borderId="0" xfId="1" applyFont="1" applyBorder="1"/>
    <xf numFmtId="41" fontId="0" fillId="0" borderId="8" xfId="1" applyFont="1" applyBorder="1"/>
    <xf numFmtId="0" fontId="0" fillId="0" borderId="7" xfId="0" applyBorder="1"/>
    <xf numFmtId="2" fontId="0" fillId="0" borderId="0" xfId="0" applyNumberFormat="1" applyBorder="1"/>
    <xf numFmtId="2" fontId="0" fillId="0" borderId="5" xfId="0" applyNumberFormat="1" applyBorder="1"/>
    <xf numFmtId="41" fontId="0" fillId="0" borderId="3" xfId="0" applyNumberFormat="1" applyBorder="1" applyAlignment="1">
      <alignment horizontal="left"/>
    </xf>
    <xf numFmtId="41" fontId="0" fillId="0" borderId="8" xfId="0" applyNumberFormat="1" applyBorder="1" applyAlignment="1">
      <alignment horizontal="left"/>
    </xf>
    <xf numFmtId="0" fontId="0" fillId="0" borderId="12" xfId="0" applyNumberFormat="1" applyBorder="1"/>
    <xf numFmtId="164" fontId="0" fillId="0" borderId="11" xfId="0" applyNumberFormat="1" applyBorder="1"/>
    <xf numFmtId="0" fontId="0" fillId="2" borderId="9" xfId="0" applyNumberFormat="1" applyFill="1" applyBorder="1"/>
    <xf numFmtId="6" fontId="0" fillId="0" borderId="9" xfId="0" applyNumberFormat="1" applyBorder="1"/>
    <xf numFmtId="0" fontId="0" fillId="0" borderId="0" xfId="0" applyNumberFormat="1" applyFill="1" applyBorder="1"/>
    <xf numFmtId="0" fontId="5" fillId="4" borderId="0" xfId="0" applyFont="1" applyFill="1"/>
    <xf numFmtId="0" fontId="5" fillId="5" borderId="0" xfId="0" applyFont="1" applyFill="1"/>
    <xf numFmtId="0" fontId="0" fillId="2" borderId="0" xfId="0" applyNumberFormat="1" applyFill="1"/>
    <xf numFmtId="165" fontId="0" fillId="0" borderId="6" xfId="0" applyNumberFormat="1" applyBorder="1"/>
    <xf numFmtId="41" fontId="0" fillId="0" borderId="5" xfId="1" applyFont="1" applyBorder="1"/>
    <xf numFmtId="0" fontId="6" fillId="0" borderId="0" xfId="0" applyFont="1"/>
    <xf numFmtId="0" fontId="7" fillId="0" borderId="0" xfId="0" applyFont="1"/>
    <xf numFmtId="0" fontId="8" fillId="0" borderId="0" xfId="0" applyFont="1"/>
    <xf numFmtId="41" fontId="0" fillId="0" borderId="0" xfId="1" applyFont="1"/>
    <xf numFmtId="164" fontId="0" fillId="0" borderId="0" xfId="0" applyNumberFormat="1"/>
    <xf numFmtId="41" fontId="9" fillId="0" borderId="0" xfId="1" applyFont="1"/>
    <xf numFmtId="0" fontId="2" fillId="2" borderId="0" xfId="0" applyFont="1" applyFill="1" applyBorder="1"/>
    <xf numFmtId="0" fontId="2" fillId="0" borderId="0" xfId="0" applyNumberFormat="1" applyFont="1" applyBorder="1"/>
    <xf numFmtId="166" fontId="0" fillId="0" borderId="0" xfId="0" applyNumberFormat="1"/>
    <xf numFmtId="2" fontId="0" fillId="0" borderId="0" xfId="0" applyNumberFormat="1" applyFill="1" applyBorder="1"/>
    <xf numFmtId="0" fontId="0" fillId="0" borderId="0" xfId="0" applyAlignment="1">
      <alignment horizontal="center"/>
    </xf>
    <xf numFmtId="0" fontId="10" fillId="0" borderId="0" xfId="0" applyFont="1"/>
    <xf numFmtId="0" fontId="10" fillId="0" borderId="0" xfId="0" applyFont="1" applyAlignment="1">
      <alignment horizontal="right"/>
    </xf>
    <xf numFmtId="167" fontId="10" fillId="0" borderId="0" xfId="0" applyNumberFormat="1" applyFont="1" applyAlignment="1">
      <alignment horizontal="right"/>
    </xf>
    <xf numFmtId="168" fontId="10" fillId="0" borderId="0" xfId="0" applyNumberFormat="1" applyFont="1" applyAlignment="1">
      <alignment horizontal="right"/>
    </xf>
    <xf numFmtId="21" fontId="10" fillId="0" borderId="0" xfId="0" applyNumberFormat="1" applyFont="1" applyAlignment="1">
      <alignment horizontal="right"/>
    </xf>
    <xf numFmtId="0" fontId="10" fillId="0" borderId="0" xfId="0" applyFont="1" applyAlignment="1"/>
    <xf numFmtId="167" fontId="10" fillId="0" borderId="0" xfId="0" applyNumberFormat="1" applyFont="1" applyAlignment="1"/>
    <xf numFmtId="168" fontId="10" fillId="0" borderId="0" xfId="0" applyNumberFormat="1" applyFont="1"/>
    <xf numFmtId="21" fontId="10" fillId="0" borderId="0" xfId="0" applyNumberFormat="1" applyFont="1"/>
    <xf numFmtId="0" fontId="0" fillId="0" borderId="0" xfId="0" applyFont="1" applyAlignme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3" fontId="17" fillId="0" borderId="0" xfId="0" applyNumberFormat="1" applyFont="1"/>
  </cellXfs>
  <cellStyles count="216">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Millares [0]" xfId="1" builtinId="6"/>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30</xdr:row>
      <xdr:rowOff>1</xdr:rowOff>
    </xdr:from>
    <xdr:to>
      <xdr:col>9</xdr:col>
      <xdr:colOff>744536</xdr:colOff>
      <xdr:row>58</xdr:row>
      <xdr:rowOff>152400</xdr:rowOff>
    </xdr:to>
    <xdr:pic>
      <xdr:nvPicPr>
        <xdr:cNvPr id="2" name="Imagen 1" descr="Captura de pantalla 2019-03-31 a la(s) 20.07.16.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8200" y="6096001"/>
          <a:ext cx="8872536" cy="584199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61"/>
  <sheetViews>
    <sheetView showGridLines="0" tabSelected="1" topLeftCell="B1" workbookViewId="0">
      <selection activeCell="B29" sqref="B29"/>
    </sheetView>
  </sheetViews>
  <sheetFormatPr baseColWidth="10" defaultRowHeight="15" x14ac:dyDescent="0"/>
  <cols>
    <col min="1" max="1" width="10.83203125" style="1"/>
    <col min="2" max="2" width="24.1640625" style="1" bestFit="1" customWidth="1"/>
    <col min="3" max="3" width="11" style="1" bestFit="1" customWidth="1"/>
    <col min="4" max="4" width="15" style="1" bestFit="1" customWidth="1"/>
    <col min="5" max="5" width="10.83203125" style="1"/>
    <col min="6" max="6" width="12.1640625" style="1" bestFit="1" customWidth="1"/>
    <col min="7" max="16384" width="10.83203125" style="1"/>
  </cols>
  <sheetData>
    <row r="3" spans="2:4">
      <c r="B3" s="59" t="s">
        <v>83</v>
      </c>
      <c r="C3" s="60"/>
      <c r="D3" s="60"/>
    </row>
    <row r="6" spans="2:4">
      <c r="B6" s="28" t="s">
        <v>56</v>
      </c>
      <c r="C6" s="35"/>
    </row>
    <row r="7" spans="2:4">
      <c r="B7" s="6" t="s">
        <v>57</v>
      </c>
      <c r="C7" s="8"/>
    </row>
    <row r="8" spans="2:4">
      <c r="B8" s="14" t="s">
        <v>58</v>
      </c>
      <c r="C8" s="32" t="s">
        <v>59</v>
      </c>
    </row>
    <row r="9" spans="2:4">
      <c r="B9" s="14" t="s">
        <v>60</v>
      </c>
      <c r="C9" s="32" t="s">
        <v>61</v>
      </c>
    </row>
    <row r="10" spans="2:4">
      <c r="B10" s="14" t="s">
        <v>62</v>
      </c>
      <c r="C10" s="32" t="s">
        <v>63</v>
      </c>
    </row>
    <row r="11" spans="2:4">
      <c r="B11" s="53" t="s">
        <v>64</v>
      </c>
      <c r="C11" s="37" t="s">
        <v>65</v>
      </c>
    </row>
    <row r="14" spans="2:4">
      <c r="B14" s="55" t="s">
        <v>66</v>
      </c>
      <c r="C14" s="55" t="s">
        <v>67</v>
      </c>
      <c r="D14" s="55" t="s">
        <v>68</v>
      </c>
    </row>
    <row r="15" spans="2:4">
      <c r="B15" s="33" t="s">
        <v>69</v>
      </c>
      <c r="C15" s="33">
        <v>300</v>
      </c>
      <c r="D15" s="33"/>
    </row>
    <row r="16" spans="2:4">
      <c r="B16" s="33" t="s">
        <v>70</v>
      </c>
      <c r="C16" s="33" t="s">
        <v>71</v>
      </c>
      <c r="D16" s="33" t="s">
        <v>72</v>
      </c>
    </row>
    <row r="17" spans="2:6">
      <c r="B17" s="33" t="s">
        <v>73</v>
      </c>
      <c r="C17" s="33" t="s">
        <v>74</v>
      </c>
      <c r="D17" s="33" t="s">
        <v>75</v>
      </c>
    </row>
    <row r="18" spans="2:6">
      <c r="B18" s="31"/>
      <c r="C18" s="31"/>
      <c r="D18" s="31"/>
    </row>
    <row r="19" spans="2:6">
      <c r="B19" s="58" t="s">
        <v>42</v>
      </c>
      <c r="C19" s="31"/>
      <c r="D19" s="31"/>
    </row>
    <row r="20" spans="2:6">
      <c r="B20" s="31"/>
      <c r="C20" s="31"/>
      <c r="D20" s="31"/>
    </row>
    <row r="21" spans="2:6">
      <c r="B21" s="57" t="s">
        <v>82</v>
      </c>
      <c r="C21" s="31"/>
      <c r="D21" s="31"/>
    </row>
    <row r="22" spans="2:6">
      <c r="B22" s="57" t="s">
        <v>81</v>
      </c>
      <c r="C22" s="31"/>
      <c r="D22" s="31"/>
    </row>
    <row r="24" spans="2:6">
      <c r="B24" s="55" t="s">
        <v>43</v>
      </c>
      <c r="C24" s="55" t="s">
        <v>44</v>
      </c>
      <c r="D24" s="55" t="s">
        <v>45</v>
      </c>
      <c r="E24" s="55" t="s">
        <v>46</v>
      </c>
      <c r="F24" s="55" t="s">
        <v>47</v>
      </c>
    </row>
    <row r="25" spans="2:6">
      <c r="B25" s="33" t="s">
        <v>48</v>
      </c>
      <c r="C25" s="33" t="s">
        <v>49</v>
      </c>
      <c r="D25" s="56">
        <v>20700</v>
      </c>
      <c r="E25" s="33" t="s">
        <v>50</v>
      </c>
      <c r="F25" s="33" t="s">
        <v>51</v>
      </c>
    </row>
    <row r="26" spans="2:6">
      <c r="B26" s="33" t="s">
        <v>52</v>
      </c>
      <c r="C26" s="33" t="s">
        <v>53</v>
      </c>
      <c r="D26" s="56">
        <v>11250</v>
      </c>
      <c r="E26" s="33" t="s">
        <v>54</v>
      </c>
      <c r="F26" s="33" t="s">
        <v>55</v>
      </c>
    </row>
    <row r="28" spans="2:6">
      <c r="B28" s="57" t="s">
        <v>148</v>
      </c>
    </row>
    <row r="61" spans="2:2">
      <c r="B61" s="57" t="s">
        <v>147</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44"/>
  <sheetViews>
    <sheetView showGridLines="0" workbookViewId="0">
      <selection activeCell="F2" sqref="F2"/>
    </sheetView>
  </sheetViews>
  <sheetFormatPr baseColWidth="10" defaultRowHeight="15" x14ac:dyDescent="0"/>
  <cols>
    <col min="3" max="3" width="25.1640625" customWidth="1"/>
    <col min="4" max="4" width="18.1640625" customWidth="1"/>
    <col min="5" max="5" width="16.33203125" customWidth="1"/>
    <col min="6" max="6" width="18.33203125" customWidth="1"/>
  </cols>
  <sheetData>
    <row r="1" spans="2:6" ht="29">
      <c r="B1" s="84" t="s">
        <v>120</v>
      </c>
    </row>
    <row r="2" spans="2:6" ht="25">
      <c r="B2" s="85" t="s">
        <v>121</v>
      </c>
    </row>
    <row r="3" spans="2:6" ht="25">
      <c r="B3" s="85"/>
    </row>
    <row r="4" spans="2:6">
      <c r="B4" s="86" t="s">
        <v>122</v>
      </c>
    </row>
    <row r="5" spans="2:6">
      <c r="B5" s="86" t="s">
        <v>123</v>
      </c>
    </row>
    <row r="6" spans="2:6">
      <c r="B6" s="86" t="s">
        <v>124</v>
      </c>
    </row>
    <row r="7" spans="2:6" ht="19">
      <c r="B7" s="87" t="s">
        <v>125</v>
      </c>
    </row>
    <row r="8" spans="2:6" ht="19">
      <c r="B8" s="87"/>
    </row>
    <row r="9" spans="2:6">
      <c r="B9" s="86" t="s">
        <v>126</v>
      </c>
    </row>
    <row r="10" spans="2:6">
      <c r="B10" s="86" t="s">
        <v>127</v>
      </c>
    </row>
    <row r="11" spans="2:6">
      <c r="B11" s="86" t="s">
        <v>128</v>
      </c>
    </row>
    <row r="12" spans="2:6">
      <c r="B12" s="86" t="s">
        <v>129</v>
      </c>
    </row>
    <row r="13" spans="2:6">
      <c r="B13" s="86"/>
    </row>
    <row r="14" spans="2:6">
      <c r="B14" s="88" t="s">
        <v>130</v>
      </c>
    </row>
    <row r="15" spans="2:6">
      <c r="B15" s="89" t="s">
        <v>104</v>
      </c>
      <c r="C15" s="89" t="s">
        <v>131</v>
      </c>
      <c r="D15" s="89" t="s">
        <v>132</v>
      </c>
      <c r="E15" s="89" t="s">
        <v>133</v>
      </c>
      <c r="F15" s="89" t="s">
        <v>134</v>
      </c>
    </row>
    <row r="16" spans="2:6">
      <c r="B16" s="90" t="s">
        <v>93</v>
      </c>
      <c r="C16" s="91">
        <v>117424</v>
      </c>
      <c r="D16" s="90">
        <v>16.100000000000001</v>
      </c>
      <c r="E16" s="91">
        <v>1614</v>
      </c>
      <c r="F16" s="90">
        <v>1.37</v>
      </c>
    </row>
    <row r="17" spans="2:6">
      <c r="B17" s="90" t="s">
        <v>94</v>
      </c>
      <c r="C17" s="91">
        <v>126059</v>
      </c>
      <c r="D17" s="90">
        <v>17.28</v>
      </c>
      <c r="E17" s="91">
        <v>1651</v>
      </c>
      <c r="F17" s="90">
        <v>1.31</v>
      </c>
    </row>
    <row r="18" spans="2:6">
      <c r="B18" s="90" t="s">
        <v>95</v>
      </c>
      <c r="C18" s="91">
        <v>122089</v>
      </c>
      <c r="D18" s="90">
        <v>16.73</v>
      </c>
      <c r="E18" s="91">
        <v>1649</v>
      </c>
      <c r="F18" s="90">
        <v>1.35</v>
      </c>
    </row>
    <row r="19" spans="2:6">
      <c r="B19" s="90" t="s">
        <v>96</v>
      </c>
      <c r="C19" s="91">
        <v>111275</v>
      </c>
      <c r="D19" s="90">
        <v>15.25</v>
      </c>
      <c r="E19" s="91">
        <v>1540</v>
      </c>
      <c r="F19" s="90">
        <v>1.38</v>
      </c>
    </row>
    <row r="20" spans="2:6">
      <c r="B20" s="90" t="s">
        <v>97</v>
      </c>
      <c r="C20" s="91">
        <v>76455</v>
      </c>
      <c r="D20" s="90">
        <v>10.48</v>
      </c>
      <c r="E20" s="91">
        <v>1169</v>
      </c>
      <c r="F20" s="90">
        <v>1.53</v>
      </c>
    </row>
    <row r="21" spans="2:6">
      <c r="B21" s="90" t="s">
        <v>98</v>
      </c>
      <c r="C21" s="91">
        <v>92455</v>
      </c>
      <c r="D21" s="90">
        <v>12.67</v>
      </c>
      <c r="E21" s="90">
        <v>3089</v>
      </c>
      <c r="F21" s="90">
        <v>3.34</v>
      </c>
    </row>
    <row r="22" spans="2:6">
      <c r="B22" s="90" t="s">
        <v>99</v>
      </c>
      <c r="C22" s="91">
        <v>83800</v>
      </c>
      <c r="D22" s="90">
        <v>11.49</v>
      </c>
      <c r="E22" s="90">
        <v>936</v>
      </c>
      <c r="F22" s="90">
        <v>1.1200000000000001</v>
      </c>
    </row>
    <row r="23" spans="2:6">
      <c r="B23" s="90" t="s">
        <v>135</v>
      </c>
      <c r="C23" s="91">
        <v>729557</v>
      </c>
      <c r="D23" s="90">
        <v>100</v>
      </c>
      <c r="E23" s="91">
        <v>11648</v>
      </c>
      <c r="F23" s="90">
        <v>1.6</v>
      </c>
    </row>
    <row r="24" spans="2:6">
      <c r="B24" s="90" t="s">
        <v>136</v>
      </c>
    </row>
    <row r="25" spans="2:6">
      <c r="B25" s="90"/>
    </row>
    <row r="26" spans="2:6">
      <c r="B26" s="88" t="s">
        <v>137</v>
      </c>
    </row>
    <row r="27" spans="2:6">
      <c r="B27" s="89" t="s">
        <v>104</v>
      </c>
      <c r="C27" s="89" t="s">
        <v>138</v>
      </c>
      <c r="D27" s="89" t="s">
        <v>132</v>
      </c>
      <c r="E27" s="89" t="s">
        <v>139</v>
      </c>
      <c r="F27" s="89" t="s">
        <v>134</v>
      </c>
    </row>
    <row r="28" spans="2:6">
      <c r="B28" s="90" t="s">
        <v>93</v>
      </c>
      <c r="C28" s="91">
        <v>140797</v>
      </c>
      <c r="D28" s="90">
        <v>16.25</v>
      </c>
      <c r="E28" s="91">
        <v>1510</v>
      </c>
      <c r="F28" s="90">
        <v>1.07</v>
      </c>
    </row>
    <row r="29" spans="2:6">
      <c r="B29" s="90" t="s">
        <v>94</v>
      </c>
      <c r="C29" s="91">
        <v>125288</v>
      </c>
      <c r="D29" s="90">
        <v>14.46</v>
      </c>
      <c r="E29" s="91">
        <v>1283</v>
      </c>
      <c r="F29" s="90">
        <v>1.02</v>
      </c>
    </row>
    <row r="30" spans="2:6">
      <c r="B30" s="90" t="s">
        <v>95</v>
      </c>
      <c r="C30" s="91">
        <v>127567</v>
      </c>
      <c r="D30" s="90">
        <v>14.72</v>
      </c>
      <c r="E30" s="91">
        <v>1683</v>
      </c>
      <c r="F30" s="90">
        <v>1.32</v>
      </c>
    </row>
    <row r="31" spans="2:6">
      <c r="B31" s="90" t="s">
        <v>96</v>
      </c>
      <c r="C31" s="91">
        <v>129001</v>
      </c>
      <c r="D31" s="90">
        <v>14.89</v>
      </c>
      <c r="E31" s="91">
        <v>1336</v>
      </c>
      <c r="F31" s="90">
        <v>1.04</v>
      </c>
    </row>
    <row r="32" spans="2:6">
      <c r="B32" s="90" t="s">
        <v>97</v>
      </c>
      <c r="C32" s="91">
        <v>126151</v>
      </c>
      <c r="D32" s="90">
        <v>14.56</v>
      </c>
      <c r="E32" s="91">
        <v>1280</v>
      </c>
      <c r="F32" s="90">
        <v>1.01</v>
      </c>
    </row>
    <row r="33" spans="2:6">
      <c r="B33" s="90" t="s">
        <v>98</v>
      </c>
      <c r="C33" s="91">
        <v>111169</v>
      </c>
      <c r="D33" s="90">
        <v>12.83</v>
      </c>
      <c r="E33" s="90">
        <v>953</v>
      </c>
      <c r="F33" s="90">
        <v>0.86</v>
      </c>
    </row>
    <row r="34" spans="2:6">
      <c r="B34" s="90" t="s">
        <v>99</v>
      </c>
      <c r="C34" s="91">
        <v>106360</v>
      </c>
      <c r="D34" s="90">
        <v>12.28</v>
      </c>
      <c r="E34" s="90">
        <v>905</v>
      </c>
      <c r="F34" s="90">
        <v>0.85</v>
      </c>
    </row>
    <row r="35" spans="2:6">
      <c r="B35" s="90" t="s">
        <v>135</v>
      </c>
      <c r="C35" s="91">
        <v>866333</v>
      </c>
      <c r="D35" s="90">
        <v>100</v>
      </c>
      <c r="E35" s="91">
        <v>8950</v>
      </c>
      <c r="F35" s="90">
        <v>1.03</v>
      </c>
    </row>
    <row r="36" spans="2:6">
      <c r="B36" s="90"/>
      <c r="C36" s="91"/>
      <c r="D36" s="90"/>
      <c r="E36" s="91"/>
      <c r="F36" s="90"/>
    </row>
    <row r="37" spans="2:6">
      <c r="B37" s="89" t="s">
        <v>140</v>
      </c>
      <c r="C37" s="89" t="s">
        <v>141</v>
      </c>
      <c r="D37" s="89" t="s">
        <v>142</v>
      </c>
      <c r="E37" s="89" t="s">
        <v>143</v>
      </c>
    </row>
    <row r="38" spans="2:6">
      <c r="B38" s="90" t="s">
        <v>0</v>
      </c>
      <c r="C38" s="91">
        <v>729557</v>
      </c>
      <c r="D38" s="91">
        <v>11648</v>
      </c>
      <c r="E38" s="90">
        <v>1.6</v>
      </c>
    </row>
    <row r="39" spans="2:6">
      <c r="B39" s="90" t="s">
        <v>1</v>
      </c>
      <c r="C39" s="91">
        <v>866333</v>
      </c>
      <c r="D39" s="91">
        <v>8950</v>
      </c>
      <c r="E39" s="90">
        <v>1.03</v>
      </c>
    </row>
    <row r="40" spans="2:6">
      <c r="B40" s="90"/>
      <c r="C40" s="91"/>
      <c r="D40" s="91"/>
      <c r="E40" s="90"/>
    </row>
    <row r="41" spans="2:6">
      <c r="B41" s="90"/>
      <c r="C41" s="91"/>
      <c r="D41" s="91"/>
      <c r="E41" s="90"/>
    </row>
    <row r="42" spans="2:6">
      <c r="B42" s="88" t="s">
        <v>144</v>
      </c>
    </row>
    <row r="43" spans="2:6">
      <c r="B43" s="88" t="s">
        <v>145</v>
      </c>
    </row>
    <row r="44" spans="2:6">
      <c r="B44" s="88" t="s">
        <v>146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70"/>
  <sheetViews>
    <sheetView workbookViewId="0">
      <selection sqref="A1:I2370"/>
    </sheetView>
  </sheetViews>
  <sheetFormatPr baseColWidth="10" defaultRowHeight="15" x14ac:dyDescent="0"/>
  <sheetData>
    <row r="1" spans="1:9">
      <c r="A1" s="74" t="s">
        <v>111</v>
      </c>
      <c r="B1" s="74" t="s">
        <v>112</v>
      </c>
      <c r="C1" s="74" t="s">
        <v>113</v>
      </c>
      <c r="D1" s="74" t="s">
        <v>114</v>
      </c>
      <c r="E1" s="74" t="s">
        <v>115</v>
      </c>
      <c r="F1" s="74" t="s">
        <v>116</v>
      </c>
      <c r="G1" s="74" t="s">
        <v>117</v>
      </c>
      <c r="H1" s="74" t="s">
        <v>118</v>
      </c>
      <c r="I1" s="74" t="s">
        <v>119</v>
      </c>
    </row>
    <row r="2" spans="1:9">
      <c r="A2" s="75">
        <v>283</v>
      </c>
      <c r="B2" s="75">
        <v>3</v>
      </c>
      <c r="C2" s="75">
        <v>286</v>
      </c>
      <c r="D2" s="76">
        <v>43344.083796296298</v>
      </c>
      <c r="E2" s="77">
        <v>43344</v>
      </c>
      <c r="F2" s="78">
        <v>8.3796296296296299E-2</v>
      </c>
      <c r="G2" s="75">
        <v>2</v>
      </c>
      <c r="H2" s="75">
        <v>0</v>
      </c>
      <c r="I2" s="75">
        <v>40</v>
      </c>
    </row>
    <row r="3" spans="1:9">
      <c r="A3" s="75">
        <v>307</v>
      </c>
      <c r="B3" s="75">
        <v>3</v>
      </c>
      <c r="C3" s="75">
        <v>310</v>
      </c>
      <c r="D3" s="76">
        <v>43344.094212962962</v>
      </c>
      <c r="E3" s="77">
        <v>43344</v>
      </c>
      <c r="F3" s="78">
        <v>9.4212962962962957E-2</v>
      </c>
      <c r="G3" s="75">
        <v>2</v>
      </c>
      <c r="H3" s="75">
        <v>15</v>
      </c>
      <c r="I3" s="75">
        <v>40</v>
      </c>
    </row>
    <row r="4" spans="1:9">
      <c r="A4" s="75">
        <v>277</v>
      </c>
      <c r="B4" s="75">
        <v>3</v>
      </c>
      <c r="C4" s="75">
        <v>280</v>
      </c>
      <c r="D4" s="76">
        <v>43344.104629629626</v>
      </c>
      <c r="E4" s="77">
        <v>43344</v>
      </c>
      <c r="F4" s="78">
        <v>0.10462962962962963</v>
      </c>
      <c r="G4" s="75">
        <v>2</v>
      </c>
      <c r="H4" s="75">
        <v>30</v>
      </c>
      <c r="I4" s="75">
        <v>40</v>
      </c>
    </row>
    <row r="5" spans="1:9">
      <c r="A5" s="75">
        <v>242</v>
      </c>
      <c r="B5" s="75">
        <v>1</v>
      </c>
      <c r="C5" s="75">
        <v>243</v>
      </c>
      <c r="D5" s="76">
        <v>43344.115034722221</v>
      </c>
      <c r="E5" s="77">
        <v>43344</v>
      </c>
      <c r="F5" s="78">
        <v>0.11503472222222222</v>
      </c>
      <c r="G5" s="75">
        <v>2</v>
      </c>
      <c r="H5" s="75">
        <v>45</v>
      </c>
      <c r="I5" s="75">
        <v>39</v>
      </c>
    </row>
    <row r="6" spans="1:9">
      <c r="A6" s="75">
        <v>221</v>
      </c>
      <c r="B6" s="75">
        <v>1</v>
      </c>
      <c r="C6" s="75">
        <v>222</v>
      </c>
      <c r="D6" s="76">
        <v>43344.125462962962</v>
      </c>
      <c r="E6" s="77">
        <v>43344</v>
      </c>
      <c r="F6" s="78">
        <v>0.12546296296296297</v>
      </c>
      <c r="G6" s="75">
        <v>2</v>
      </c>
      <c r="H6" s="75">
        <v>0</v>
      </c>
      <c r="I6" s="75">
        <v>40</v>
      </c>
    </row>
    <row r="7" spans="1:9">
      <c r="A7" s="75">
        <v>216</v>
      </c>
      <c r="B7" s="75">
        <v>0</v>
      </c>
      <c r="C7" s="75">
        <v>216</v>
      </c>
      <c r="D7" s="76">
        <v>43344.135868055557</v>
      </c>
      <c r="E7" s="77">
        <v>43344</v>
      </c>
      <c r="F7" s="78">
        <v>0.13586805555555556</v>
      </c>
      <c r="G7" s="75">
        <v>2</v>
      </c>
      <c r="H7" s="75">
        <v>15</v>
      </c>
      <c r="I7" s="75">
        <v>39</v>
      </c>
    </row>
    <row r="8" spans="1:9">
      <c r="A8" s="75">
        <v>213</v>
      </c>
      <c r="B8" s="75">
        <v>3</v>
      </c>
      <c r="C8" s="75">
        <v>216</v>
      </c>
      <c r="D8" s="76">
        <v>43344.146284722221</v>
      </c>
      <c r="E8" s="77">
        <v>43344</v>
      </c>
      <c r="F8" s="78">
        <v>0.14628472222222222</v>
      </c>
      <c r="G8" s="75">
        <v>2</v>
      </c>
      <c r="H8" s="75">
        <v>30</v>
      </c>
      <c r="I8" s="75">
        <v>39</v>
      </c>
    </row>
    <row r="9" spans="1:9">
      <c r="A9" s="75">
        <v>194</v>
      </c>
      <c r="B9" s="75">
        <v>3</v>
      </c>
      <c r="C9" s="75">
        <v>197</v>
      </c>
      <c r="D9" s="76">
        <v>43344.156712962962</v>
      </c>
      <c r="E9" s="77">
        <v>43344</v>
      </c>
      <c r="F9" s="78">
        <v>0.15671296296296297</v>
      </c>
      <c r="G9" s="75">
        <v>2</v>
      </c>
      <c r="H9" s="75">
        <v>45</v>
      </c>
      <c r="I9" s="75">
        <v>40</v>
      </c>
    </row>
    <row r="10" spans="1:9">
      <c r="A10" s="75">
        <v>177</v>
      </c>
      <c r="B10" s="75">
        <v>0</v>
      </c>
      <c r="C10" s="75">
        <v>177</v>
      </c>
      <c r="D10" s="76">
        <v>43344.167118055557</v>
      </c>
      <c r="E10" s="77">
        <v>43344</v>
      </c>
      <c r="F10" s="78">
        <v>0.16711805555555556</v>
      </c>
      <c r="G10" s="75">
        <v>2</v>
      </c>
      <c r="H10" s="75">
        <v>0</v>
      </c>
      <c r="I10" s="75">
        <v>39</v>
      </c>
    </row>
    <row r="11" spans="1:9">
      <c r="A11" s="75">
        <v>143</v>
      </c>
      <c r="B11" s="75">
        <v>2</v>
      </c>
      <c r="C11" s="75">
        <v>145</v>
      </c>
      <c r="D11" s="76">
        <v>43344.177546296298</v>
      </c>
      <c r="E11" s="77">
        <v>43344</v>
      </c>
      <c r="F11" s="78">
        <v>0.17754629629629629</v>
      </c>
      <c r="G11" s="75">
        <v>2</v>
      </c>
      <c r="H11" s="75">
        <v>15</v>
      </c>
      <c r="I11" s="75">
        <v>40</v>
      </c>
    </row>
    <row r="12" spans="1:9">
      <c r="A12" s="75">
        <v>167</v>
      </c>
      <c r="B12" s="75">
        <v>1</v>
      </c>
      <c r="C12" s="75">
        <v>158</v>
      </c>
      <c r="D12" s="76">
        <v>43344.187951388885</v>
      </c>
      <c r="E12" s="77">
        <v>43344</v>
      </c>
      <c r="F12" s="78">
        <v>0.18795138888888888</v>
      </c>
      <c r="G12" s="75">
        <v>2</v>
      </c>
      <c r="H12" s="75">
        <v>30</v>
      </c>
      <c r="I12" s="75">
        <v>39</v>
      </c>
    </row>
    <row r="13" spans="1:9">
      <c r="A13" s="75">
        <v>164</v>
      </c>
      <c r="B13" s="75">
        <v>3</v>
      </c>
      <c r="C13" s="75">
        <v>167</v>
      </c>
      <c r="D13" s="76">
        <v>43344.198368055557</v>
      </c>
      <c r="E13" s="77">
        <v>43344</v>
      </c>
      <c r="F13" s="78">
        <v>0.19836805555555556</v>
      </c>
      <c r="G13" s="75">
        <v>2</v>
      </c>
      <c r="H13" s="75">
        <v>45</v>
      </c>
      <c r="I13" s="75">
        <v>39</v>
      </c>
    </row>
    <row r="14" spans="1:9">
      <c r="A14" s="75">
        <v>147</v>
      </c>
      <c r="B14" s="75">
        <v>0</v>
      </c>
      <c r="C14" s="75">
        <v>146</v>
      </c>
      <c r="D14" s="76">
        <v>43344.208784722221</v>
      </c>
      <c r="E14" s="77">
        <v>43344</v>
      </c>
      <c r="F14" s="78">
        <v>0.20878472222222222</v>
      </c>
      <c r="G14" s="75">
        <v>2</v>
      </c>
      <c r="H14" s="75">
        <v>0</v>
      </c>
      <c r="I14" s="75">
        <v>39</v>
      </c>
    </row>
    <row r="15" spans="1:9">
      <c r="A15" s="75">
        <v>138</v>
      </c>
      <c r="B15" s="75">
        <v>0</v>
      </c>
      <c r="C15" s="75">
        <v>138</v>
      </c>
      <c r="D15" s="76">
        <v>43344.219201388885</v>
      </c>
      <c r="E15" s="77">
        <v>43344</v>
      </c>
      <c r="F15" s="78">
        <v>0.21920138888888888</v>
      </c>
      <c r="G15" s="75">
        <v>2</v>
      </c>
      <c r="H15" s="75">
        <v>15</v>
      </c>
      <c r="I15" s="75">
        <v>39</v>
      </c>
    </row>
    <row r="16" spans="1:9">
      <c r="A16" s="75">
        <v>110</v>
      </c>
      <c r="B16" s="75">
        <v>0</v>
      </c>
      <c r="C16" s="75">
        <v>110</v>
      </c>
      <c r="D16" s="76">
        <v>43344.229618055557</v>
      </c>
      <c r="E16" s="77">
        <v>43344</v>
      </c>
      <c r="F16" s="78">
        <v>0.22961805555555556</v>
      </c>
      <c r="G16" s="75">
        <v>2</v>
      </c>
      <c r="H16" s="75">
        <v>30</v>
      </c>
      <c r="I16" s="75">
        <v>39</v>
      </c>
    </row>
    <row r="17" spans="1:9">
      <c r="A17" s="75">
        <v>107</v>
      </c>
      <c r="B17" s="75">
        <v>0</v>
      </c>
      <c r="C17" s="75">
        <v>107</v>
      </c>
      <c r="D17" s="76">
        <v>43344.240046296298</v>
      </c>
      <c r="E17" s="77">
        <v>43344</v>
      </c>
      <c r="F17" s="78">
        <v>0.24004629629629629</v>
      </c>
      <c r="G17" s="75">
        <v>2</v>
      </c>
      <c r="H17" s="75">
        <v>45</v>
      </c>
      <c r="I17" s="75">
        <v>40</v>
      </c>
    </row>
    <row r="18" spans="1:9">
      <c r="A18" s="75">
        <v>99</v>
      </c>
      <c r="B18" s="75">
        <v>0</v>
      </c>
      <c r="C18" s="75">
        <v>99</v>
      </c>
      <c r="D18" s="76">
        <v>43344.250462962962</v>
      </c>
      <c r="E18" s="77">
        <v>43344</v>
      </c>
      <c r="F18" s="78">
        <v>0.25046296296296294</v>
      </c>
      <c r="G18" s="75">
        <v>2</v>
      </c>
      <c r="H18" s="75">
        <v>0</v>
      </c>
      <c r="I18" s="75">
        <v>40</v>
      </c>
    </row>
    <row r="19" spans="1:9">
      <c r="A19" s="75">
        <v>91</v>
      </c>
      <c r="B19" s="75">
        <v>0</v>
      </c>
      <c r="C19" s="75">
        <v>91</v>
      </c>
      <c r="D19" s="76">
        <v>43344.260868055557</v>
      </c>
      <c r="E19" s="77">
        <v>43344</v>
      </c>
      <c r="F19" s="78">
        <v>0.26086805555555553</v>
      </c>
      <c r="G19" s="75">
        <v>2</v>
      </c>
      <c r="H19" s="75">
        <v>15</v>
      </c>
      <c r="I19" s="75">
        <v>39</v>
      </c>
    </row>
    <row r="20" spans="1:9">
      <c r="A20" s="75">
        <v>77</v>
      </c>
      <c r="B20" s="75">
        <v>0</v>
      </c>
      <c r="C20" s="75">
        <v>77</v>
      </c>
      <c r="D20" s="76">
        <v>43344.273854166669</v>
      </c>
      <c r="E20" s="77">
        <v>43344</v>
      </c>
      <c r="F20" s="78">
        <v>0.27385416666666668</v>
      </c>
      <c r="G20" s="75">
        <v>2</v>
      </c>
      <c r="H20" s="75">
        <v>34</v>
      </c>
      <c r="I20" s="75">
        <v>21</v>
      </c>
    </row>
    <row r="21" spans="1:9">
      <c r="A21" s="75">
        <v>75</v>
      </c>
      <c r="B21" s="75">
        <v>0</v>
      </c>
      <c r="C21" s="75">
        <v>72</v>
      </c>
      <c r="D21" s="76">
        <v>43344.281701388885</v>
      </c>
      <c r="E21" s="77">
        <v>43344</v>
      </c>
      <c r="F21" s="78">
        <v>0.2817013888888889</v>
      </c>
      <c r="G21" s="75">
        <v>2</v>
      </c>
      <c r="H21" s="75">
        <v>45</v>
      </c>
      <c r="I21" s="75">
        <v>39</v>
      </c>
    </row>
    <row r="22" spans="1:9">
      <c r="A22" s="75">
        <v>73</v>
      </c>
      <c r="B22" s="75">
        <v>1</v>
      </c>
      <c r="C22" s="75">
        <v>74</v>
      </c>
      <c r="D22" s="76">
        <v>43344.292118055557</v>
      </c>
      <c r="E22" s="77">
        <v>43344</v>
      </c>
      <c r="F22" s="78">
        <v>0.29211805555555553</v>
      </c>
      <c r="G22" s="75">
        <v>2</v>
      </c>
      <c r="H22" s="75">
        <v>0</v>
      </c>
      <c r="I22" s="75">
        <v>39</v>
      </c>
    </row>
    <row r="23" spans="1:9">
      <c r="A23" s="75">
        <v>76</v>
      </c>
      <c r="B23" s="75">
        <v>0</v>
      </c>
      <c r="C23" s="75">
        <v>76</v>
      </c>
      <c r="D23" s="76">
        <v>43344.302557870367</v>
      </c>
      <c r="E23" s="77">
        <v>43344</v>
      </c>
      <c r="F23" s="78">
        <v>0.30255787037037035</v>
      </c>
      <c r="G23" s="75">
        <v>2</v>
      </c>
      <c r="H23" s="75">
        <v>15</v>
      </c>
      <c r="I23" s="75">
        <v>41</v>
      </c>
    </row>
    <row r="24" spans="1:9">
      <c r="A24" s="75">
        <v>97</v>
      </c>
      <c r="B24" s="75">
        <v>3</v>
      </c>
      <c r="C24" s="75">
        <v>100</v>
      </c>
      <c r="D24" s="76">
        <v>43344.312974537039</v>
      </c>
      <c r="E24" s="77">
        <v>43344</v>
      </c>
      <c r="F24" s="78">
        <v>0.31297453703703704</v>
      </c>
      <c r="G24" s="75">
        <v>2</v>
      </c>
      <c r="H24" s="75">
        <v>30</v>
      </c>
      <c r="I24" s="75">
        <v>41</v>
      </c>
    </row>
    <row r="25" spans="1:9">
      <c r="A25" s="75">
        <v>109</v>
      </c>
      <c r="B25" s="75">
        <v>3</v>
      </c>
      <c r="C25" s="75">
        <v>112</v>
      </c>
      <c r="D25" s="76">
        <v>43344.323391203703</v>
      </c>
      <c r="E25" s="77">
        <v>43344</v>
      </c>
      <c r="F25" s="78">
        <v>0.32339120370370372</v>
      </c>
      <c r="G25" s="75">
        <v>2</v>
      </c>
      <c r="H25" s="75">
        <v>45</v>
      </c>
      <c r="I25" s="75">
        <v>41</v>
      </c>
    </row>
    <row r="26" spans="1:9">
      <c r="A26" s="75">
        <v>84</v>
      </c>
      <c r="B26" s="75">
        <v>0</v>
      </c>
      <c r="C26" s="75">
        <v>84</v>
      </c>
      <c r="D26" s="76">
        <v>43344.333807870367</v>
      </c>
      <c r="E26" s="77">
        <v>43344</v>
      </c>
      <c r="F26" s="78">
        <v>0.33380787037037035</v>
      </c>
      <c r="G26" s="75">
        <v>2</v>
      </c>
      <c r="H26" s="75">
        <v>0</v>
      </c>
      <c r="I26" s="75">
        <v>41</v>
      </c>
    </row>
    <row r="27" spans="1:9">
      <c r="A27" s="75">
        <v>101</v>
      </c>
      <c r="B27" s="75">
        <v>0</v>
      </c>
      <c r="C27" s="75">
        <v>92</v>
      </c>
      <c r="D27" s="76">
        <v>43344.344224537039</v>
      </c>
      <c r="E27" s="77">
        <v>43344</v>
      </c>
      <c r="F27" s="78">
        <v>0.34422453703703698</v>
      </c>
      <c r="G27" s="75">
        <v>2</v>
      </c>
      <c r="H27" s="75">
        <v>15</v>
      </c>
      <c r="I27" s="75">
        <v>41</v>
      </c>
    </row>
    <row r="28" spans="1:9">
      <c r="A28" s="75">
        <v>118</v>
      </c>
      <c r="B28" s="75">
        <v>1</v>
      </c>
      <c r="C28" s="75">
        <v>119</v>
      </c>
      <c r="D28" s="76">
        <v>43344.354641203703</v>
      </c>
      <c r="E28" s="77">
        <v>43344</v>
      </c>
      <c r="F28" s="78">
        <v>0.35464120370370367</v>
      </c>
      <c r="G28" s="75">
        <v>2</v>
      </c>
      <c r="H28" s="75">
        <v>30</v>
      </c>
      <c r="I28" s="75">
        <v>41</v>
      </c>
    </row>
    <row r="29" spans="1:9">
      <c r="A29" s="75">
        <v>109</v>
      </c>
      <c r="B29" s="75">
        <v>0</v>
      </c>
      <c r="C29" s="75">
        <v>109</v>
      </c>
      <c r="D29" s="76">
        <v>43344.365046296298</v>
      </c>
      <c r="E29" s="77">
        <v>43344</v>
      </c>
      <c r="F29" s="78">
        <v>0.36504629629629631</v>
      </c>
      <c r="G29" s="75">
        <v>2</v>
      </c>
      <c r="H29" s="75">
        <v>45</v>
      </c>
      <c r="I29" s="75">
        <v>40</v>
      </c>
    </row>
    <row r="30" spans="1:9">
      <c r="A30" s="75">
        <v>82</v>
      </c>
      <c r="B30" s="75">
        <v>0</v>
      </c>
      <c r="C30" s="75">
        <v>82</v>
      </c>
      <c r="D30" s="76">
        <v>43344.375474537039</v>
      </c>
      <c r="E30" s="77">
        <v>43344</v>
      </c>
      <c r="F30" s="78">
        <v>0.37547453703703698</v>
      </c>
      <c r="G30" s="75">
        <v>2</v>
      </c>
      <c r="H30" s="75">
        <v>0</v>
      </c>
      <c r="I30" s="75">
        <v>41</v>
      </c>
    </row>
    <row r="31" spans="1:9">
      <c r="A31" s="75">
        <v>98</v>
      </c>
      <c r="B31" s="75">
        <v>0</v>
      </c>
      <c r="C31" s="75">
        <v>98</v>
      </c>
      <c r="D31" s="76">
        <v>43344.385891203703</v>
      </c>
      <c r="E31" s="77">
        <v>43344</v>
      </c>
      <c r="F31" s="78">
        <v>0.38589120370370367</v>
      </c>
      <c r="G31" s="75">
        <v>2</v>
      </c>
      <c r="H31" s="75">
        <v>15</v>
      </c>
      <c r="I31" s="75">
        <v>41</v>
      </c>
    </row>
    <row r="32" spans="1:9">
      <c r="A32" s="75">
        <v>114</v>
      </c>
      <c r="B32" s="75">
        <v>0</v>
      </c>
      <c r="C32" s="75">
        <v>106</v>
      </c>
      <c r="D32" s="76">
        <v>43344.396296296298</v>
      </c>
      <c r="E32" s="77">
        <v>43344</v>
      </c>
      <c r="F32" s="78">
        <v>0.39629629629629631</v>
      </c>
      <c r="G32" s="75">
        <v>2</v>
      </c>
      <c r="H32" s="75">
        <v>30</v>
      </c>
      <c r="I32" s="75">
        <v>40</v>
      </c>
    </row>
    <row r="33" spans="1:9">
      <c r="A33" s="75">
        <v>141</v>
      </c>
      <c r="B33" s="75">
        <v>0</v>
      </c>
      <c r="C33" s="75">
        <v>141</v>
      </c>
      <c r="D33" s="76">
        <v>43344.406736111108</v>
      </c>
      <c r="E33" s="77">
        <v>43344</v>
      </c>
      <c r="F33" s="78">
        <v>0.40673611111111113</v>
      </c>
      <c r="G33" s="75">
        <v>2</v>
      </c>
      <c r="H33" s="75">
        <v>45</v>
      </c>
      <c r="I33" s="75">
        <v>42</v>
      </c>
    </row>
    <row r="34" spans="1:9">
      <c r="A34" s="75">
        <v>105</v>
      </c>
      <c r="B34" s="75">
        <v>1</v>
      </c>
      <c r="C34" s="75">
        <v>106</v>
      </c>
      <c r="D34" s="76">
        <v>43344.417129629626</v>
      </c>
      <c r="E34" s="77">
        <v>43344</v>
      </c>
      <c r="F34" s="78">
        <v>0.41712962962962963</v>
      </c>
      <c r="G34" s="75">
        <v>2</v>
      </c>
      <c r="H34" s="75">
        <v>0</v>
      </c>
      <c r="I34" s="75">
        <v>40</v>
      </c>
    </row>
    <row r="35" spans="1:9">
      <c r="A35" s="75">
        <v>133</v>
      </c>
      <c r="B35" s="75">
        <v>1</v>
      </c>
      <c r="C35" s="75">
        <v>134</v>
      </c>
      <c r="D35" s="76">
        <v>43344.427557870367</v>
      </c>
      <c r="E35" s="77">
        <v>43344</v>
      </c>
      <c r="F35" s="78">
        <v>0.42755787037037035</v>
      </c>
      <c r="G35" s="75">
        <v>2</v>
      </c>
      <c r="H35" s="75">
        <v>15</v>
      </c>
      <c r="I35" s="75">
        <v>41</v>
      </c>
    </row>
    <row r="36" spans="1:9">
      <c r="A36" s="75">
        <v>154</v>
      </c>
      <c r="B36" s="75">
        <v>3</v>
      </c>
      <c r="C36" s="75">
        <v>157</v>
      </c>
      <c r="D36" s="76">
        <v>43344.437962962962</v>
      </c>
      <c r="E36" s="77">
        <v>43344</v>
      </c>
      <c r="F36" s="78">
        <v>0.43796296296296294</v>
      </c>
      <c r="G36" s="75">
        <v>2</v>
      </c>
      <c r="H36" s="75">
        <v>30</v>
      </c>
      <c r="I36" s="75">
        <v>40</v>
      </c>
    </row>
    <row r="37" spans="1:9">
      <c r="A37" s="75">
        <v>203</v>
      </c>
      <c r="B37" s="75">
        <v>2</v>
      </c>
      <c r="C37" s="75">
        <v>205</v>
      </c>
      <c r="D37" s="76">
        <v>43344.448391203703</v>
      </c>
      <c r="E37" s="77">
        <v>43344</v>
      </c>
      <c r="F37" s="78">
        <v>0.44839120370370367</v>
      </c>
      <c r="G37" s="75">
        <v>2</v>
      </c>
      <c r="H37" s="75">
        <v>45</v>
      </c>
      <c r="I37" s="75">
        <v>41</v>
      </c>
    </row>
    <row r="38" spans="1:9">
      <c r="A38" s="75">
        <v>156</v>
      </c>
      <c r="B38" s="75">
        <v>0</v>
      </c>
      <c r="C38" s="75">
        <v>156</v>
      </c>
      <c r="D38" s="76">
        <v>43344.458807870367</v>
      </c>
      <c r="E38" s="77">
        <v>43344</v>
      </c>
      <c r="F38" s="78">
        <v>0.45880787037037035</v>
      </c>
      <c r="G38" s="75">
        <v>2</v>
      </c>
      <c r="H38" s="75">
        <v>0</v>
      </c>
      <c r="I38" s="75">
        <v>41</v>
      </c>
    </row>
    <row r="39" spans="1:9">
      <c r="A39" s="75">
        <v>165</v>
      </c>
      <c r="B39" s="75">
        <v>0</v>
      </c>
      <c r="C39" s="75">
        <v>165</v>
      </c>
      <c r="D39" s="76">
        <v>43344.469212962962</v>
      </c>
      <c r="E39" s="77">
        <v>43344</v>
      </c>
      <c r="F39" s="78">
        <v>0.46921296296296294</v>
      </c>
      <c r="G39" s="75">
        <v>2</v>
      </c>
      <c r="H39" s="75">
        <v>15</v>
      </c>
      <c r="I39" s="75">
        <v>40</v>
      </c>
    </row>
    <row r="40" spans="1:9">
      <c r="A40" s="75">
        <v>200</v>
      </c>
      <c r="B40" s="75">
        <v>0</v>
      </c>
      <c r="C40" s="75">
        <v>200</v>
      </c>
      <c r="D40" s="76">
        <v>43344.479641203703</v>
      </c>
      <c r="E40" s="77">
        <v>43344</v>
      </c>
      <c r="F40" s="78">
        <v>0.47964120370370367</v>
      </c>
      <c r="G40" s="75">
        <v>2</v>
      </c>
      <c r="H40" s="75">
        <v>30</v>
      </c>
      <c r="I40" s="75">
        <v>41</v>
      </c>
    </row>
    <row r="41" spans="1:9">
      <c r="A41" s="75">
        <v>292</v>
      </c>
      <c r="B41" s="75">
        <v>1</v>
      </c>
      <c r="C41" s="75">
        <v>293</v>
      </c>
      <c r="D41" s="76">
        <v>43344.490046296298</v>
      </c>
      <c r="E41" s="77">
        <v>43344</v>
      </c>
      <c r="F41" s="78">
        <v>0.49004629629629631</v>
      </c>
      <c r="G41" s="75">
        <v>2</v>
      </c>
      <c r="H41" s="75">
        <v>45</v>
      </c>
      <c r="I41" s="75">
        <v>40</v>
      </c>
    </row>
    <row r="42" spans="1:9">
      <c r="A42" s="75">
        <v>223</v>
      </c>
      <c r="B42" s="75">
        <v>0</v>
      </c>
      <c r="C42" s="75">
        <v>223</v>
      </c>
      <c r="D42" s="76">
        <v>43344.500474537039</v>
      </c>
      <c r="E42" s="77">
        <v>43344</v>
      </c>
      <c r="F42" s="78">
        <v>0.50047453703703704</v>
      </c>
      <c r="G42" s="75">
        <v>2</v>
      </c>
      <c r="H42" s="75">
        <v>0</v>
      </c>
      <c r="I42" s="75">
        <v>41</v>
      </c>
    </row>
    <row r="43" spans="1:9">
      <c r="A43" s="75">
        <v>242</v>
      </c>
      <c r="B43" s="75">
        <v>2</v>
      </c>
      <c r="C43" s="75">
        <v>244</v>
      </c>
      <c r="D43" s="76">
        <v>43344.510879629626</v>
      </c>
      <c r="E43" s="77">
        <v>43344</v>
      </c>
      <c r="F43" s="78">
        <v>0.51087962962962963</v>
      </c>
      <c r="G43" s="75">
        <v>2</v>
      </c>
      <c r="H43" s="75">
        <v>15</v>
      </c>
      <c r="I43" s="75">
        <v>40</v>
      </c>
    </row>
    <row r="44" spans="1:9">
      <c r="A44" s="75">
        <v>245</v>
      </c>
      <c r="B44" s="75">
        <v>2</v>
      </c>
      <c r="C44" s="75">
        <v>247</v>
      </c>
      <c r="D44" s="76">
        <v>43344.521296296298</v>
      </c>
      <c r="E44" s="77">
        <v>43344</v>
      </c>
      <c r="F44" s="78">
        <v>0.52129629629629626</v>
      </c>
      <c r="G44" s="75">
        <v>2</v>
      </c>
      <c r="H44" s="75">
        <v>30</v>
      </c>
      <c r="I44" s="75">
        <v>40</v>
      </c>
    </row>
    <row r="45" spans="1:9">
      <c r="A45" s="75">
        <v>295</v>
      </c>
      <c r="B45" s="75">
        <v>0</v>
      </c>
      <c r="C45" s="75">
        <v>295</v>
      </c>
      <c r="D45" s="76">
        <v>43344.531724537039</v>
      </c>
      <c r="E45" s="77">
        <v>43344</v>
      </c>
      <c r="F45" s="78">
        <v>0.53172453703703704</v>
      </c>
      <c r="G45" s="75">
        <v>2</v>
      </c>
      <c r="H45" s="75">
        <v>45</v>
      </c>
      <c r="I45" s="75">
        <v>41</v>
      </c>
    </row>
    <row r="46" spans="1:9">
      <c r="A46" s="75">
        <v>193</v>
      </c>
      <c r="B46" s="75">
        <v>1</v>
      </c>
      <c r="C46" s="75">
        <v>194</v>
      </c>
      <c r="D46" s="76">
        <v>43344.542129629626</v>
      </c>
      <c r="E46" s="77">
        <v>43344</v>
      </c>
      <c r="F46" s="78">
        <v>0.54212962962962963</v>
      </c>
      <c r="G46" s="75">
        <v>2</v>
      </c>
      <c r="H46" s="75">
        <v>0</v>
      </c>
      <c r="I46" s="75">
        <v>40</v>
      </c>
    </row>
    <row r="47" spans="1:9">
      <c r="A47" s="75">
        <v>133</v>
      </c>
      <c r="B47" s="75">
        <v>3</v>
      </c>
      <c r="C47" s="75">
        <v>136</v>
      </c>
      <c r="D47" s="76">
        <v>43344.552557870367</v>
      </c>
      <c r="E47" s="77">
        <v>43344</v>
      </c>
      <c r="F47" s="78">
        <v>0.5525578703703703</v>
      </c>
      <c r="G47" s="75">
        <v>2</v>
      </c>
      <c r="H47" s="75">
        <v>15</v>
      </c>
      <c r="I47" s="75">
        <v>41</v>
      </c>
    </row>
    <row r="48" spans="1:9">
      <c r="A48" s="75">
        <v>132</v>
      </c>
      <c r="B48" s="75">
        <v>0</v>
      </c>
      <c r="C48" s="75">
        <v>132</v>
      </c>
      <c r="D48" s="76">
        <v>43344.562962962962</v>
      </c>
      <c r="E48" s="77">
        <v>43344</v>
      </c>
      <c r="F48" s="78">
        <v>0.562962962962963</v>
      </c>
      <c r="G48" s="75">
        <v>2</v>
      </c>
      <c r="H48" s="75">
        <v>30</v>
      </c>
      <c r="I48" s="75">
        <v>40</v>
      </c>
    </row>
    <row r="49" spans="1:9">
      <c r="A49" s="75">
        <v>168</v>
      </c>
      <c r="B49" s="75">
        <v>0</v>
      </c>
      <c r="C49" s="75">
        <v>168</v>
      </c>
      <c r="D49" s="76">
        <v>43344.573379629626</v>
      </c>
      <c r="E49" s="77">
        <v>43344</v>
      </c>
      <c r="F49" s="78">
        <v>0.57337962962962963</v>
      </c>
      <c r="G49" s="75">
        <v>2</v>
      </c>
      <c r="H49" s="75">
        <v>45</v>
      </c>
      <c r="I49" s="75">
        <v>40</v>
      </c>
    </row>
    <row r="50" spans="1:9">
      <c r="A50" s="75">
        <v>184</v>
      </c>
      <c r="B50" s="75">
        <v>0</v>
      </c>
      <c r="C50" s="75">
        <v>184</v>
      </c>
      <c r="D50" s="76">
        <v>43344.583807870367</v>
      </c>
      <c r="E50" s="77">
        <v>43344</v>
      </c>
      <c r="F50" s="78">
        <v>0.5838078703703703</v>
      </c>
      <c r="G50" s="75">
        <v>2</v>
      </c>
      <c r="H50" s="75">
        <v>0</v>
      </c>
      <c r="I50" s="75">
        <v>41</v>
      </c>
    </row>
    <row r="51" spans="1:9">
      <c r="A51" s="75">
        <v>190</v>
      </c>
      <c r="B51" s="75">
        <v>1</v>
      </c>
      <c r="C51" s="75">
        <v>191</v>
      </c>
      <c r="D51" s="76">
        <v>43344.594212962962</v>
      </c>
      <c r="E51" s="77">
        <v>43344</v>
      </c>
      <c r="F51" s="78">
        <v>0.594212962962963</v>
      </c>
      <c r="G51" s="75">
        <v>2</v>
      </c>
      <c r="H51" s="75">
        <v>15</v>
      </c>
      <c r="I51" s="75">
        <v>40</v>
      </c>
    </row>
    <row r="52" spans="1:9">
      <c r="A52" s="75">
        <v>240</v>
      </c>
      <c r="B52" s="75">
        <v>1</v>
      </c>
      <c r="C52" s="75">
        <v>241</v>
      </c>
      <c r="D52" s="76">
        <v>43344.604641203703</v>
      </c>
      <c r="E52" s="77">
        <v>43344</v>
      </c>
      <c r="F52" s="78">
        <v>0.60464120370370367</v>
      </c>
      <c r="G52" s="75">
        <v>2</v>
      </c>
      <c r="H52" s="75">
        <v>30</v>
      </c>
      <c r="I52" s="75">
        <v>41</v>
      </c>
    </row>
    <row r="53" spans="1:9">
      <c r="A53" s="75">
        <v>244</v>
      </c>
      <c r="B53" s="75">
        <v>0</v>
      </c>
      <c r="C53" s="75">
        <v>244</v>
      </c>
      <c r="D53" s="76">
        <v>43344.615046296298</v>
      </c>
      <c r="E53" s="77">
        <v>43344</v>
      </c>
      <c r="F53" s="78">
        <v>0.61504629629629626</v>
      </c>
      <c r="G53" s="75">
        <v>2</v>
      </c>
      <c r="H53" s="75">
        <v>45</v>
      </c>
      <c r="I53" s="75">
        <v>40</v>
      </c>
    </row>
    <row r="54" spans="1:9">
      <c r="A54" s="75">
        <v>194</v>
      </c>
      <c r="B54" s="75">
        <v>0</v>
      </c>
      <c r="C54" s="75">
        <v>193</v>
      </c>
      <c r="D54" s="76">
        <v>43344.625462962962</v>
      </c>
      <c r="E54" s="77">
        <v>43344</v>
      </c>
      <c r="F54" s="78">
        <v>0.625462962962963</v>
      </c>
      <c r="G54" s="75">
        <v>2</v>
      </c>
      <c r="H54" s="75">
        <v>0</v>
      </c>
      <c r="I54" s="75">
        <v>40</v>
      </c>
    </row>
    <row r="55" spans="1:9">
      <c r="A55" s="75">
        <v>251</v>
      </c>
      <c r="B55" s="75">
        <v>4</v>
      </c>
      <c r="C55" s="75">
        <v>255</v>
      </c>
      <c r="D55" s="76">
        <v>43344.635868055557</v>
      </c>
      <c r="E55" s="77">
        <v>43344</v>
      </c>
      <c r="F55" s="78">
        <v>0.63586805555555559</v>
      </c>
      <c r="G55" s="75">
        <v>2</v>
      </c>
      <c r="H55" s="75">
        <v>15</v>
      </c>
      <c r="I55" s="75">
        <v>39</v>
      </c>
    </row>
    <row r="56" spans="1:9">
      <c r="A56" s="75">
        <v>271</v>
      </c>
      <c r="B56" s="75">
        <v>3</v>
      </c>
      <c r="C56" s="75">
        <v>274</v>
      </c>
      <c r="D56" s="76">
        <v>43344.646296296298</v>
      </c>
      <c r="E56" s="77">
        <v>43344</v>
      </c>
      <c r="F56" s="78">
        <v>0.64629629629629626</v>
      </c>
      <c r="G56" s="75">
        <v>2</v>
      </c>
      <c r="H56" s="75">
        <v>30</v>
      </c>
      <c r="I56" s="75">
        <v>40</v>
      </c>
    </row>
    <row r="57" spans="1:9">
      <c r="A57" s="75">
        <v>280</v>
      </c>
      <c r="B57" s="75">
        <v>5</v>
      </c>
      <c r="C57" s="75">
        <v>285</v>
      </c>
      <c r="D57" s="76">
        <v>43344.656712962962</v>
      </c>
      <c r="E57" s="77">
        <v>43344</v>
      </c>
      <c r="F57" s="78">
        <v>0.656712962962963</v>
      </c>
      <c r="G57" s="75">
        <v>2</v>
      </c>
      <c r="H57" s="75">
        <v>45</v>
      </c>
      <c r="I57" s="75">
        <v>40</v>
      </c>
    </row>
    <row r="58" spans="1:9">
      <c r="A58" s="75">
        <v>323</v>
      </c>
      <c r="B58" s="75">
        <v>4</v>
      </c>
      <c r="C58" s="75">
        <v>327</v>
      </c>
      <c r="D58" s="76">
        <v>43344.667129629626</v>
      </c>
      <c r="E58" s="77">
        <v>43344</v>
      </c>
      <c r="F58" s="78">
        <v>0.66712962962962974</v>
      </c>
      <c r="G58" s="75">
        <v>2</v>
      </c>
      <c r="H58" s="75">
        <v>0</v>
      </c>
      <c r="I58" s="75">
        <v>40</v>
      </c>
    </row>
    <row r="59" spans="1:9">
      <c r="A59" s="75">
        <v>299</v>
      </c>
      <c r="B59" s="75">
        <v>1</v>
      </c>
      <c r="C59" s="75">
        <v>300</v>
      </c>
      <c r="D59" s="76">
        <v>43344.677546296298</v>
      </c>
      <c r="E59" s="77">
        <v>43344</v>
      </c>
      <c r="F59" s="78">
        <v>0.67754629629629637</v>
      </c>
      <c r="G59" s="75">
        <v>2</v>
      </c>
      <c r="H59" s="75">
        <v>15</v>
      </c>
      <c r="I59" s="75">
        <v>40</v>
      </c>
    </row>
    <row r="60" spans="1:9">
      <c r="A60" s="75">
        <v>300</v>
      </c>
      <c r="B60" s="75">
        <v>4</v>
      </c>
      <c r="C60" s="75">
        <v>304</v>
      </c>
      <c r="D60" s="76">
        <v>43344.687962962962</v>
      </c>
      <c r="E60" s="77">
        <v>43344</v>
      </c>
      <c r="F60" s="78">
        <v>0.687962962962963</v>
      </c>
      <c r="G60" s="75">
        <v>2</v>
      </c>
      <c r="H60" s="75">
        <v>30</v>
      </c>
      <c r="I60" s="75">
        <v>40</v>
      </c>
    </row>
    <row r="61" spans="1:9">
      <c r="A61" s="75">
        <v>292</v>
      </c>
      <c r="B61" s="75">
        <v>2</v>
      </c>
      <c r="C61" s="75">
        <v>294</v>
      </c>
      <c r="D61" s="76">
        <v>43344.698379629626</v>
      </c>
      <c r="E61" s="77">
        <v>43344</v>
      </c>
      <c r="F61" s="78">
        <v>0.69837962962962974</v>
      </c>
      <c r="G61" s="75">
        <v>2</v>
      </c>
      <c r="H61" s="75">
        <v>45</v>
      </c>
      <c r="I61" s="75">
        <v>40</v>
      </c>
    </row>
    <row r="62" spans="1:9">
      <c r="A62" s="75">
        <v>244</v>
      </c>
      <c r="B62" s="75">
        <v>5</v>
      </c>
      <c r="C62" s="75">
        <v>249</v>
      </c>
      <c r="D62" s="76">
        <v>43344.708796296298</v>
      </c>
      <c r="E62" s="77">
        <v>43344</v>
      </c>
      <c r="F62" s="78">
        <v>0.70879629629629637</v>
      </c>
      <c r="G62" s="75">
        <v>2</v>
      </c>
      <c r="H62" s="75">
        <v>0</v>
      </c>
      <c r="I62" s="75">
        <v>40</v>
      </c>
    </row>
    <row r="63" spans="1:9">
      <c r="A63" s="75">
        <v>250</v>
      </c>
      <c r="B63" s="75">
        <v>2</v>
      </c>
      <c r="C63" s="75">
        <v>248</v>
      </c>
      <c r="D63" s="76">
        <v>43344.719212962962</v>
      </c>
      <c r="E63" s="77">
        <v>43344</v>
      </c>
      <c r="F63" s="78">
        <v>0.719212962962963</v>
      </c>
      <c r="G63" s="75">
        <v>2</v>
      </c>
      <c r="H63" s="75">
        <v>15</v>
      </c>
      <c r="I63" s="75">
        <v>40</v>
      </c>
    </row>
    <row r="64" spans="1:9">
      <c r="A64" s="75">
        <v>235</v>
      </c>
      <c r="B64" s="75">
        <v>1</v>
      </c>
      <c r="C64" s="75">
        <v>236</v>
      </c>
      <c r="D64" s="76">
        <v>43344.729629629626</v>
      </c>
      <c r="E64" s="77">
        <v>43344</v>
      </c>
      <c r="F64" s="78">
        <v>0.72962962962962974</v>
      </c>
      <c r="G64" s="75">
        <v>2</v>
      </c>
      <c r="H64" s="75">
        <v>30</v>
      </c>
      <c r="I64" s="75">
        <v>40</v>
      </c>
    </row>
    <row r="65" spans="1:9">
      <c r="A65" s="75">
        <v>296</v>
      </c>
      <c r="B65" s="75">
        <v>3</v>
      </c>
      <c r="C65" s="75">
        <v>299</v>
      </c>
      <c r="D65" s="76">
        <v>43344.740046296298</v>
      </c>
      <c r="E65" s="77">
        <v>43344</v>
      </c>
      <c r="F65" s="78">
        <v>0.74004629629629637</v>
      </c>
      <c r="G65" s="75">
        <v>2</v>
      </c>
      <c r="H65" s="75">
        <v>45</v>
      </c>
      <c r="I65" s="75">
        <v>40</v>
      </c>
    </row>
    <row r="66" spans="1:9">
      <c r="A66" s="75">
        <v>285</v>
      </c>
      <c r="B66" s="75">
        <v>2</v>
      </c>
      <c r="C66" s="75">
        <v>287</v>
      </c>
      <c r="D66" s="76">
        <v>43344.750462962962</v>
      </c>
      <c r="E66" s="77">
        <v>43344</v>
      </c>
      <c r="F66" s="78">
        <v>0.750462962962963</v>
      </c>
      <c r="G66" s="75">
        <v>2</v>
      </c>
      <c r="H66" s="75">
        <v>0</v>
      </c>
      <c r="I66" s="75">
        <v>40</v>
      </c>
    </row>
    <row r="67" spans="1:9">
      <c r="A67" s="75">
        <v>335</v>
      </c>
      <c r="B67" s="75">
        <v>4</v>
      </c>
      <c r="C67" s="75">
        <v>339</v>
      </c>
      <c r="D67" s="76">
        <v>43344.760879629626</v>
      </c>
      <c r="E67" s="77">
        <v>43344</v>
      </c>
      <c r="F67" s="78">
        <v>0.76087962962962974</v>
      </c>
      <c r="G67" s="75">
        <v>2</v>
      </c>
      <c r="H67" s="75">
        <v>15</v>
      </c>
      <c r="I67" s="75">
        <v>40</v>
      </c>
    </row>
    <row r="68" spans="1:9">
      <c r="A68" s="75">
        <v>356</v>
      </c>
      <c r="B68" s="75">
        <v>1</v>
      </c>
      <c r="C68" s="75">
        <v>357</v>
      </c>
      <c r="D68" s="76">
        <v>43344.771296296298</v>
      </c>
      <c r="E68" s="77">
        <v>43344</v>
      </c>
      <c r="F68" s="78">
        <v>0.77129629629629637</v>
      </c>
      <c r="G68" s="75">
        <v>2</v>
      </c>
      <c r="H68" s="75">
        <v>30</v>
      </c>
      <c r="I68" s="75">
        <v>40</v>
      </c>
    </row>
    <row r="69" spans="1:9">
      <c r="A69" s="75">
        <v>356</v>
      </c>
      <c r="B69" s="75">
        <v>2</v>
      </c>
      <c r="C69" s="75">
        <v>358</v>
      </c>
      <c r="D69" s="76">
        <v>43344.781712962962</v>
      </c>
      <c r="E69" s="77">
        <v>43344</v>
      </c>
      <c r="F69" s="78">
        <v>0.781712962962963</v>
      </c>
      <c r="G69" s="75">
        <v>2</v>
      </c>
      <c r="H69" s="75">
        <v>45</v>
      </c>
      <c r="I69" s="75">
        <v>40</v>
      </c>
    </row>
    <row r="70" spans="1:9">
      <c r="A70" s="75">
        <v>328</v>
      </c>
      <c r="B70" s="75">
        <v>5</v>
      </c>
      <c r="C70" s="75">
        <v>333</v>
      </c>
      <c r="D70" s="76">
        <v>43344.792118055557</v>
      </c>
      <c r="E70" s="77">
        <v>43344</v>
      </c>
      <c r="F70" s="78">
        <v>0.79211805555555559</v>
      </c>
      <c r="G70" s="75">
        <v>2</v>
      </c>
      <c r="H70" s="75">
        <v>0</v>
      </c>
      <c r="I70" s="75">
        <v>39</v>
      </c>
    </row>
    <row r="71" spans="1:9">
      <c r="A71" s="75">
        <v>330</v>
      </c>
      <c r="B71" s="75">
        <v>7</v>
      </c>
      <c r="C71" s="75">
        <v>337</v>
      </c>
      <c r="D71" s="76">
        <v>43344.802546296298</v>
      </c>
      <c r="E71" s="77">
        <v>43344</v>
      </c>
      <c r="F71" s="78">
        <v>0.80254629629629637</v>
      </c>
      <c r="G71" s="75">
        <v>2</v>
      </c>
      <c r="H71" s="75">
        <v>15</v>
      </c>
      <c r="I71" s="75">
        <v>40</v>
      </c>
    </row>
    <row r="72" spans="1:9">
      <c r="A72" s="75">
        <v>382</v>
      </c>
      <c r="B72" s="75">
        <v>3</v>
      </c>
      <c r="C72" s="75">
        <v>375</v>
      </c>
      <c r="D72" s="76">
        <v>43344.812962962962</v>
      </c>
      <c r="E72" s="77">
        <v>43344</v>
      </c>
      <c r="F72" s="78">
        <v>0.812962962962963</v>
      </c>
      <c r="G72" s="75">
        <v>2</v>
      </c>
      <c r="H72" s="75">
        <v>30</v>
      </c>
      <c r="I72" s="75">
        <v>40</v>
      </c>
    </row>
    <row r="73" spans="1:9">
      <c r="A73" s="75">
        <v>384</v>
      </c>
      <c r="B73" s="75">
        <v>1</v>
      </c>
      <c r="C73" s="75">
        <v>385</v>
      </c>
      <c r="D73" s="76">
        <v>43344.823368055557</v>
      </c>
      <c r="E73" s="77">
        <v>43344</v>
      </c>
      <c r="F73" s="78">
        <v>0.82336805555555559</v>
      </c>
      <c r="G73" s="75">
        <v>2</v>
      </c>
      <c r="H73" s="75">
        <v>45</v>
      </c>
      <c r="I73" s="75">
        <v>39</v>
      </c>
    </row>
    <row r="74" spans="1:9">
      <c r="A74" s="75">
        <v>358</v>
      </c>
      <c r="B74" s="75">
        <v>3</v>
      </c>
      <c r="C74" s="75">
        <v>361</v>
      </c>
      <c r="D74" s="76">
        <v>43344.833796296298</v>
      </c>
      <c r="E74" s="77">
        <v>43344</v>
      </c>
      <c r="F74" s="78">
        <v>0.83379629629629637</v>
      </c>
      <c r="G74" s="75">
        <v>2</v>
      </c>
      <c r="H74" s="75">
        <v>0</v>
      </c>
      <c r="I74" s="75">
        <v>40</v>
      </c>
    </row>
    <row r="75" spans="1:9">
      <c r="A75" s="75">
        <v>426</v>
      </c>
      <c r="B75" s="75">
        <v>2</v>
      </c>
      <c r="C75" s="75">
        <v>428</v>
      </c>
      <c r="D75" s="76">
        <v>43344.844212962962</v>
      </c>
      <c r="E75" s="77">
        <v>43344</v>
      </c>
      <c r="F75" s="78">
        <v>0.844212962962963</v>
      </c>
      <c r="G75" s="75">
        <v>2</v>
      </c>
      <c r="H75" s="75">
        <v>15</v>
      </c>
      <c r="I75" s="75">
        <v>40</v>
      </c>
    </row>
    <row r="76" spans="1:9">
      <c r="A76" s="75">
        <v>444</v>
      </c>
      <c r="B76" s="75">
        <v>5</v>
      </c>
      <c r="C76" s="75">
        <v>449</v>
      </c>
      <c r="D76" s="76">
        <v>43344.854629629626</v>
      </c>
      <c r="E76" s="77">
        <v>43344</v>
      </c>
      <c r="F76" s="78">
        <v>0.85462962962962974</v>
      </c>
      <c r="G76" s="75">
        <v>2</v>
      </c>
      <c r="H76" s="75">
        <v>30</v>
      </c>
      <c r="I76" s="75">
        <v>40</v>
      </c>
    </row>
    <row r="77" spans="1:9">
      <c r="A77" s="75">
        <v>413</v>
      </c>
      <c r="B77" s="75">
        <v>1</v>
      </c>
      <c r="C77" s="75">
        <v>414</v>
      </c>
      <c r="D77" s="76">
        <v>43344.865034722221</v>
      </c>
      <c r="E77" s="77">
        <v>43344</v>
      </c>
      <c r="F77" s="78">
        <v>0.86503472222222222</v>
      </c>
      <c r="G77" s="75">
        <v>2</v>
      </c>
      <c r="H77" s="75">
        <v>45</v>
      </c>
      <c r="I77" s="75">
        <v>39</v>
      </c>
    </row>
    <row r="78" spans="1:9">
      <c r="A78" s="75">
        <v>391</v>
      </c>
      <c r="B78" s="75">
        <v>3</v>
      </c>
      <c r="C78" s="75">
        <v>394</v>
      </c>
      <c r="D78" s="76">
        <v>43344.875451388885</v>
      </c>
      <c r="E78" s="77">
        <v>43344</v>
      </c>
      <c r="F78" s="78">
        <v>0.87545138888888896</v>
      </c>
      <c r="G78" s="75">
        <v>2</v>
      </c>
      <c r="H78" s="75">
        <v>0</v>
      </c>
      <c r="I78" s="75">
        <v>39</v>
      </c>
    </row>
    <row r="79" spans="1:9">
      <c r="A79" s="75">
        <v>429</v>
      </c>
      <c r="B79" s="75">
        <v>3</v>
      </c>
      <c r="C79" s="75">
        <v>432</v>
      </c>
      <c r="D79" s="76">
        <v>43344.885879629626</v>
      </c>
      <c r="E79" s="77">
        <v>43344</v>
      </c>
      <c r="F79" s="78">
        <v>0.88587962962962974</v>
      </c>
      <c r="G79" s="75">
        <v>2</v>
      </c>
      <c r="H79" s="75">
        <v>15</v>
      </c>
      <c r="I79" s="75">
        <v>40</v>
      </c>
    </row>
    <row r="80" spans="1:9">
      <c r="A80" s="75">
        <v>420</v>
      </c>
      <c r="B80" s="75">
        <v>6</v>
      </c>
      <c r="C80" s="75">
        <v>426</v>
      </c>
      <c r="D80" s="76">
        <v>43344.896284722221</v>
      </c>
      <c r="E80" s="77">
        <v>43344</v>
      </c>
      <c r="F80" s="78">
        <v>0.89628472222222222</v>
      </c>
      <c r="G80" s="75">
        <v>2</v>
      </c>
      <c r="H80" s="75">
        <v>30</v>
      </c>
      <c r="I80" s="75">
        <v>39</v>
      </c>
    </row>
    <row r="81" spans="1:9">
      <c r="A81" s="75">
        <v>444</v>
      </c>
      <c r="B81" s="75">
        <v>7</v>
      </c>
      <c r="C81" s="75">
        <v>451</v>
      </c>
      <c r="D81" s="76">
        <v>43344.906712962962</v>
      </c>
      <c r="E81" s="77">
        <v>43344</v>
      </c>
      <c r="F81" s="78">
        <v>0.906712962962963</v>
      </c>
      <c r="G81" s="75">
        <v>2</v>
      </c>
      <c r="H81" s="75">
        <v>45</v>
      </c>
      <c r="I81" s="75">
        <v>40</v>
      </c>
    </row>
    <row r="82" spans="1:9">
      <c r="A82" s="75">
        <v>410</v>
      </c>
      <c r="B82" s="75">
        <v>1</v>
      </c>
      <c r="C82" s="75">
        <v>411</v>
      </c>
      <c r="D82" s="76">
        <v>43344.917118055557</v>
      </c>
      <c r="E82" s="77">
        <v>43344</v>
      </c>
      <c r="F82" s="78">
        <v>0.91711805555555559</v>
      </c>
      <c r="G82" s="75">
        <v>2</v>
      </c>
      <c r="H82" s="75">
        <v>0</v>
      </c>
      <c r="I82" s="75">
        <v>39</v>
      </c>
    </row>
    <row r="83" spans="1:9">
      <c r="A83" s="75">
        <v>413</v>
      </c>
      <c r="B83" s="75">
        <v>4</v>
      </c>
      <c r="C83" s="75">
        <v>417</v>
      </c>
      <c r="D83" s="76">
        <v>43344.927546296298</v>
      </c>
      <c r="E83" s="77">
        <v>43344</v>
      </c>
      <c r="F83" s="78">
        <v>0.92754629629629637</v>
      </c>
      <c r="G83" s="75">
        <v>2</v>
      </c>
      <c r="H83" s="75">
        <v>15</v>
      </c>
      <c r="I83" s="75">
        <v>40</v>
      </c>
    </row>
    <row r="84" spans="1:9">
      <c r="A84" s="75">
        <v>421</v>
      </c>
      <c r="B84" s="75">
        <v>3</v>
      </c>
      <c r="C84" s="75">
        <v>424</v>
      </c>
      <c r="D84" s="76">
        <v>43344.937951388885</v>
      </c>
      <c r="E84" s="77">
        <v>43344</v>
      </c>
      <c r="F84" s="78">
        <v>0.93795138888888896</v>
      </c>
      <c r="G84" s="75">
        <v>2</v>
      </c>
      <c r="H84" s="75">
        <v>30</v>
      </c>
      <c r="I84" s="75">
        <v>39</v>
      </c>
    </row>
    <row r="85" spans="1:9">
      <c r="A85" s="75">
        <v>400</v>
      </c>
      <c r="B85" s="75">
        <v>5</v>
      </c>
      <c r="C85" s="75">
        <v>405</v>
      </c>
      <c r="D85" s="76">
        <v>43344.948379629626</v>
      </c>
      <c r="E85" s="77">
        <v>43344</v>
      </c>
      <c r="F85" s="78">
        <v>0.94837962962962974</v>
      </c>
      <c r="G85" s="75">
        <v>2</v>
      </c>
      <c r="H85" s="75">
        <v>45</v>
      </c>
      <c r="I85" s="75">
        <v>40</v>
      </c>
    </row>
    <row r="86" spans="1:9">
      <c r="A86" s="75">
        <v>386</v>
      </c>
      <c r="B86" s="75">
        <v>4</v>
      </c>
      <c r="C86" s="75">
        <v>385</v>
      </c>
      <c r="D86" s="76">
        <v>43344.958796296298</v>
      </c>
      <c r="E86" s="77">
        <v>43344</v>
      </c>
      <c r="F86" s="78">
        <v>0.95879629629629637</v>
      </c>
      <c r="G86" s="75">
        <v>2</v>
      </c>
      <c r="H86" s="75">
        <v>0</v>
      </c>
      <c r="I86" s="75">
        <v>40</v>
      </c>
    </row>
    <row r="87" spans="1:9">
      <c r="A87" s="75">
        <v>417</v>
      </c>
      <c r="B87" s="75">
        <v>2</v>
      </c>
      <c r="C87" s="75">
        <v>419</v>
      </c>
      <c r="D87" s="76">
        <v>43344.969201388885</v>
      </c>
      <c r="E87" s="77">
        <v>43344</v>
      </c>
      <c r="F87" s="78">
        <v>0.96920138888888896</v>
      </c>
      <c r="G87" s="75">
        <v>2</v>
      </c>
      <c r="H87" s="75">
        <v>15</v>
      </c>
      <c r="I87" s="75">
        <v>39</v>
      </c>
    </row>
    <row r="88" spans="1:9">
      <c r="A88" s="75">
        <v>348</v>
      </c>
      <c r="B88" s="75">
        <v>3</v>
      </c>
      <c r="C88" s="75">
        <v>351</v>
      </c>
      <c r="D88" s="76">
        <v>43344.979641203703</v>
      </c>
      <c r="E88" s="77">
        <v>43344</v>
      </c>
      <c r="F88" s="78">
        <v>0.97964120370370367</v>
      </c>
      <c r="G88" s="75">
        <v>2</v>
      </c>
      <c r="H88" s="75">
        <v>30</v>
      </c>
      <c r="I88" s="75">
        <v>41</v>
      </c>
    </row>
    <row r="89" spans="1:9">
      <c r="A89" s="75">
        <v>300</v>
      </c>
      <c r="B89" s="75">
        <v>2</v>
      </c>
      <c r="C89" s="75">
        <v>302</v>
      </c>
      <c r="D89" s="76">
        <v>43344.990034722221</v>
      </c>
      <c r="E89" s="77">
        <v>43344</v>
      </c>
      <c r="F89" s="78">
        <v>0.99003472222222222</v>
      </c>
      <c r="G89" s="75">
        <v>2</v>
      </c>
      <c r="H89" s="75">
        <v>45</v>
      </c>
      <c r="I89" s="75">
        <v>39</v>
      </c>
    </row>
    <row r="90" spans="1:9">
      <c r="A90" s="75">
        <v>271</v>
      </c>
      <c r="B90" s="75">
        <v>1</v>
      </c>
      <c r="C90" s="75">
        <v>272</v>
      </c>
      <c r="D90" s="76">
        <v>43345.000451388885</v>
      </c>
      <c r="E90" s="77">
        <v>43344</v>
      </c>
      <c r="F90" s="78">
        <v>4.5138888888888892E-4</v>
      </c>
      <c r="G90" s="75">
        <v>2</v>
      </c>
      <c r="H90" s="75">
        <v>0</v>
      </c>
      <c r="I90" s="75">
        <v>39</v>
      </c>
    </row>
    <row r="91" spans="1:9">
      <c r="A91" s="75">
        <v>311</v>
      </c>
      <c r="B91" s="75">
        <v>2</v>
      </c>
      <c r="C91" s="75">
        <v>313</v>
      </c>
      <c r="D91" s="76">
        <v>43345.010868055557</v>
      </c>
      <c r="E91" s="77">
        <v>43344</v>
      </c>
      <c r="F91" s="78">
        <v>1.0868055555555556E-2</v>
      </c>
      <c r="G91" s="75">
        <v>2</v>
      </c>
      <c r="H91" s="75">
        <v>15</v>
      </c>
      <c r="I91" s="75">
        <v>39</v>
      </c>
    </row>
    <row r="92" spans="1:9">
      <c r="A92" s="75">
        <v>233</v>
      </c>
      <c r="B92" s="75">
        <v>3</v>
      </c>
      <c r="C92" s="75">
        <v>236</v>
      </c>
      <c r="D92" s="76">
        <v>43345.021284722221</v>
      </c>
      <c r="E92" s="77">
        <v>43344</v>
      </c>
      <c r="F92" s="78">
        <v>2.1284722222222222E-2</v>
      </c>
      <c r="G92" s="75">
        <v>2</v>
      </c>
      <c r="H92" s="75">
        <v>30</v>
      </c>
      <c r="I92" s="75">
        <v>39</v>
      </c>
    </row>
    <row r="93" spans="1:9">
      <c r="A93" s="75">
        <v>226</v>
      </c>
      <c r="B93" s="75">
        <v>3</v>
      </c>
      <c r="C93" s="75">
        <v>229</v>
      </c>
      <c r="D93" s="76">
        <v>43345.031712962962</v>
      </c>
      <c r="E93" s="77">
        <v>43344</v>
      </c>
      <c r="F93" s="78">
        <v>3.1712962962962964E-2</v>
      </c>
      <c r="G93" s="75">
        <v>2</v>
      </c>
      <c r="H93" s="75">
        <v>45</v>
      </c>
      <c r="I93" s="75">
        <v>40</v>
      </c>
    </row>
    <row r="94" spans="1:9">
      <c r="A94" s="75">
        <v>211</v>
      </c>
      <c r="B94" s="75">
        <v>5</v>
      </c>
      <c r="C94" s="75">
        <v>216</v>
      </c>
      <c r="D94" s="76">
        <v>43345.042118055557</v>
      </c>
      <c r="E94" s="77">
        <v>43344</v>
      </c>
      <c r="F94" s="78">
        <v>4.2118055555555554E-2</v>
      </c>
      <c r="G94" s="75">
        <v>2</v>
      </c>
      <c r="H94" s="75">
        <v>0</v>
      </c>
      <c r="I94" s="75">
        <v>39</v>
      </c>
    </row>
    <row r="95" spans="1:9">
      <c r="A95" s="75">
        <v>233</v>
      </c>
      <c r="B95" s="75">
        <v>1</v>
      </c>
      <c r="C95" s="75">
        <v>234</v>
      </c>
      <c r="D95" s="76">
        <v>43345.052557870367</v>
      </c>
      <c r="E95" s="77">
        <v>43344</v>
      </c>
      <c r="F95" s="78">
        <v>5.2557870370370373E-2</v>
      </c>
      <c r="G95" s="75">
        <v>2</v>
      </c>
      <c r="H95" s="75">
        <v>15</v>
      </c>
      <c r="I95" s="75">
        <v>41</v>
      </c>
    </row>
    <row r="96" spans="1:9">
      <c r="A96" s="75">
        <v>203</v>
      </c>
      <c r="B96" s="75">
        <v>1</v>
      </c>
      <c r="C96" s="75">
        <v>204</v>
      </c>
      <c r="D96" s="76">
        <v>43345.062951388885</v>
      </c>
      <c r="E96" s="77">
        <v>43344</v>
      </c>
      <c r="F96" s="78">
        <v>6.295138888888889E-2</v>
      </c>
      <c r="G96" s="75">
        <v>2</v>
      </c>
      <c r="H96" s="75">
        <v>30</v>
      </c>
      <c r="I96" s="75">
        <v>39</v>
      </c>
    </row>
    <row r="97" spans="1:9">
      <c r="A97" s="75">
        <v>217</v>
      </c>
      <c r="B97" s="75">
        <v>3</v>
      </c>
      <c r="C97" s="75">
        <v>220</v>
      </c>
      <c r="D97" s="76">
        <v>43345.073379629626</v>
      </c>
      <c r="E97" s="77">
        <v>43344</v>
      </c>
      <c r="F97" s="78">
        <v>7.3379629629629628E-2</v>
      </c>
      <c r="G97" s="75">
        <v>2</v>
      </c>
      <c r="H97" s="75">
        <v>45</v>
      </c>
      <c r="I97" s="75">
        <v>40</v>
      </c>
    </row>
    <row r="98" spans="1:9">
      <c r="A98" s="75">
        <v>197</v>
      </c>
      <c r="B98" s="75">
        <v>2</v>
      </c>
      <c r="C98" s="75">
        <v>199</v>
      </c>
      <c r="D98" s="76">
        <v>43345.083796296298</v>
      </c>
      <c r="E98" s="77">
        <v>43344</v>
      </c>
      <c r="F98" s="78">
        <v>8.3796296296296299E-2</v>
      </c>
      <c r="G98" s="75">
        <v>2</v>
      </c>
      <c r="H98" s="75">
        <v>0</v>
      </c>
      <c r="I98" s="75">
        <v>40</v>
      </c>
    </row>
    <row r="99" spans="1:9">
      <c r="A99" s="75">
        <v>235</v>
      </c>
      <c r="B99" s="75">
        <v>3</v>
      </c>
      <c r="C99" s="75">
        <v>238</v>
      </c>
      <c r="D99" s="76">
        <v>43345.094212962962</v>
      </c>
      <c r="E99" s="77">
        <v>43344</v>
      </c>
      <c r="F99" s="78">
        <v>9.4212962962962957E-2</v>
      </c>
      <c r="G99" s="75">
        <v>2</v>
      </c>
      <c r="H99" s="75">
        <v>15</v>
      </c>
      <c r="I99" s="75">
        <v>40</v>
      </c>
    </row>
    <row r="100" spans="1:9">
      <c r="A100" s="75">
        <v>233</v>
      </c>
      <c r="B100" s="75">
        <v>5</v>
      </c>
      <c r="C100" s="75">
        <v>238</v>
      </c>
      <c r="D100" s="76">
        <v>43345.104618055557</v>
      </c>
      <c r="E100" s="77">
        <v>43344</v>
      </c>
      <c r="F100" s="78">
        <v>0.10461805555555555</v>
      </c>
      <c r="G100" s="75">
        <v>2</v>
      </c>
      <c r="H100" s="75">
        <v>30</v>
      </c>
      <c r="I100" s="75">
        <v>39</v>
      </c>
    </row>
    <row r="101" spans="1:9">
      <c r="A101" s="75">
        <v>239</v>
      </c>
      <c r="B101" s="75">
        <v>4</v>
      </c>
      <c r="C101" s="75">
        <v>243</v>
      </c>
      <c r="D101" s="76">
        <v>43345.115034722221</v>
      </c>
      <c r="E101" s="77">
        <v>43344</v>
      </c>
      <c r="F101" s="78">
        <v>0.11503472222222222</v>
      </c>
      <c r="G101" s="75">
        <v>2</v>
      </c>
      <c r="H101" s="75">
        <v>45</v>
      </c>
      <c r="I101" s="75">
        <v>39</v>
      </c>
    </row>
    <row r="102" spans="1:9">
      <c r="A102" s="75">
        <v>246</v>
      </c>
      <c r="B102" s="75">
        <v>3</v>
      </c>
      <c r="C102" s="75">
        <v>249</v>
      </c>
      <c r="D102" s="76">
        <v>43345.125451388885</v>
      </c>
      <c r="E102" s="77">
        <v>43344</v>
      </c>
      <c r="F102" s="78">
        <v>0.12545138888888888</v>
      </c>
      <c r="G102" s="75">
        <v>2</v>
      </c>
      <c r="H102" s="75">
        <v>0</v>
      </c>
      <c r="I102" s="75">
        <v>39</v>
      </c>
    </row>
    <row r="103" spans="1:9">
      <c r="A103" s="75">
        <v>233</v>
      </c>
      <c r="B103" s="75">
        <v>2</v>
      </c>
      <c r="C103" s="75">
        <v>225</v>
      </c>
      <c r="D103" s="76">
        <v>43345.135868055557</v>
      </c>
      <c r="E103" s="77">
        <v>43344</v>
      </c>
      <c r="F103" s="78">
        <v>0.13586805555555556</v>
      </c>
      <c r="G103" s="75">
        <v>2</v>
      </c>
      <c r="H103" s="75">
        <v>15</v>
      </c>
      <c r="I103" s="75">
        <v>39</v>
      </c>
    </row>
    <row r="104" spans="1:9">
      <c r="A104" s="75">
        <v>187</v>
      </c>
      <c r="B104" s="75">
        <v>4</v>
      </c>
      <c r="C104" s="75">
        <v>191</v>
      </c>
      <c r="D104" s="76">
        <v>43345.146284722221</v>
      </c>
      <c r="E104" s="77">
        <v>43344</v>
      </c>
      <c r="F104" s="78">
        <v>0.14628472222222222</v>
      </c>
      <c r="G104" s="75">
        <v>2</v>
      </c>
      <c r="H104" s="75">
        <v>30</v>
      </c>
      <c r="I104" s="75">
        <v>39</v>
      </c>
    </row>
    <row r="105" spans="1:9">
      <c r="A105" s="75">
        <v>133</v>
      </c>
      <c r="B105" s="75">
        <v>2</v>
      </c>
      <c r="C105" s="75">
        <v>135</v>
      </c>
      <c r="D105" s="76">
        <v>43345.156701388885</v>
      </c>
      <c r="E105" s="77">
        <v>43344</v>
      </c>
      <c r="F105" s="78">
        <v>0.15670138888888888</v>
      </c>
      <c r="G105" s="75">
        <v>2</v>
      </c>
      <c r="H105" s="75">
        <v>45</v>
      </c>
      <c r="I105" s="75">
        <v>39</v>
      </c>
    </row>
    <row r="106" spans="1:9">
      <c r="A106" s="75">
        <v>137</v>
      </c>
      <c r="B106" s="75">
        <v>2</v>
      </c>
      <c r="C106" s="75">
        <v>139</v>
      </c>
      <c r="D106" s="76">
        <v>43345.167118055557</v>
      </c>
      <c r="E106" s="77">
        <v>43344</v>
      </c>
      <c r="F106" s="78">
        <v>0.16711805555555556</v>
      </c>
      <c r="G106" s="75">
        <v>2</v>
      </c>
      <c r="H106" s="75">
        <v>0</v>
      </c>
      <c r="I106" s="75">
        <v>39</v>
      </c>
    </row>
    <row r="107" spans="1:9">
      <c r="A107" s="75">
        <v>105</v>
      </c>
      <c r="B107" s="75">
        <v>1</v>
      </c>
      <c r="C107" s="75">
        <v>106</v>
      </c>
      <c r="D107" s="76">
        <v>43345.177546296298</v>
      </c>
      <c r="E107" s="77">
        <v>43344</v>
      </c>
      <c r="F107" s="78">
        <v>0.17754629629629629</v>
      </c>
      <c r="G107" s="75">
        <v>2</v>
      </c>
      <c r="H107" s="75">
        <v>15</v>
      </c>
      <c r="I107" s="75">
        <v>40</v>
      </c>
    </row>
    <row r="108" spans="1:9">
      <c r="A108" s="75">
        <v>131</v>
      </c>
      <c r="B108" s="75">
        <v>1</v>
      </c>
      <c r="C108" s="75">
        <v>132</v>
      </c>
      <c r="D108" s="76">
        <v>43345.187939814816</v>
      </c>
      <c r="E108" s="77">
        <v>43344</v>
      </c>
      <c r="F108" s="78">
        <v>0.18793981481481481</v>
      </c>
      <c r="G108" s="75">
        <v>2</v>
      </c>
      <c r="H108" s="75">
        <v>30</v>
      </c>
      <c r="I108" s="75">
        <v>38</v>
      </c>
    </row>
    <row r="109" spans="1:9">
      <c r="A109" s="75">
        <v>121</v>
      </c>
      <c r="B109" s="75">
        <v>3</v>
      </c>
      <c r="C109" s="75">
        <v>124</v>
      </c>
      <c r="D109" s="76">
        <v>43345.198368055557</v>
      </c>
      <c r="E109" s="77">
        <v>43344</v>
      </c>
      <c r="F109" s="78">
        <v>0.19836805555555556</v>
      </c>
      <c r="G109" s="75">
        <v>2</v>
      </c>
      <c r="H109" s="75">
        <v>45</v>
      </c>
      <c r="I109" s="75">
        <v>39</v>
      </c>
    </row>
    <row r="110" spans="1:9">
      <c r="A110" s="75">
        <v>103</v>
      </c>
      <c r="B110" s="75">
        <v>2</v>
      </c>
      <c r="C110" s="75">
        <v>105</v>
      </c>
      <c r="D110" s="76">
        <v>43345.208796296298</v>
      </c>
      <c r="E110" s="77">
        <v>43344</v>
      </c>
      <c r="F110" s="78">
        <v>0.20879629629629629</v>
      </c>
      <c r="G110" s="75">
        <v>2</v>
      </c>
      <c r="H110" s="75">
        <v>0</v>
      </c>
      <c r="I110" s="75">
        <v>40</v>
      </c>
    </row>
    <row r="111" spans="1:9">
      <c r="A111" s="75">
        <v>99</v>
      </c>
      <c r="B111" s="75">
        <v>1</v>
      </c>
      <c r="C111" s="75">
        <v>100</v>
      </c>
      <c r="D111" s="76">
        <v>43345.219201388885</v>
      </c>
      <c r="E111" s="77">
        <v>43344</v>
      </c>
      <c r="F111" s="78">
        <v>0.21920138888888888</v>
      </c>
      <c r="G111" s="75">
        <v>2</v>
      </c>
      <c r="H111" s="75">
        <v>15</v>
      </c>
      <c r="I111" s="75">
        <v>39</v>
      </c>
    </row>
    <row r="112" spans="1:9">
      <c r="A112" s="75">
        <v>88</v>
      </c>
      <c r="B112" s="75">
        <v>3</v>
      </c>
      <c r="C112" s="75">
        <v>91</v>
      </c>
      <c r="D112" s="76">
        <v>43345.22960648148</v>
      </c>
      <c r="E112" s="77">
        <v>43344</v>
      </c>
      <c r="F112" s="78">
        <v>0.22960648148148147</v>
      </c>
      <c r="G112" s="75">
        <v>2</v>
      </c>
      <c r="H112" s="75">
        <v>30</v>
      </c>
      <c r="I112" s="75">
        <v>38</v>
      </c>
    </row>
    <row r="113" spans="1:9">
      <c r="A113" s="75">
        <v>89</v>
      </c>
      <c r="B113" s="75">
        <v>2</v>
      </c>
      <c r="C113" s="75">
        <v>91</v>
      </c>
      <c r="D113" s="76">
        <v>43345.240034722221</v>
      </c>
      <c r="E113" s="77">
        <v>43344</v>
      </c>
      <c r="F113" s="78">
        <v>0.24003472222222222</v>
      </c>
      <c r="G113" s="75">
        <v>2</v>
      </c>
      <c r="H113" s="75">
        <v>45</v>
      </c>
      <c r="I113" s="75">
        <v>39</v>
      </c>
    </row>
    <row r="114" spans="1:9">
      <c r="A114" s="75">
        <v>87</v>
      </c>
      <c r="B114" s="75">
        <v>0</v>
      </c>
      <c r="C114" s="75">
        <v>87</v>
      </c>
      <c r="D114" s="76">
        <v>43345.250451388885</v>
      </c>
      <c r="E114" s="77">
        <v>43344</v>
      </c>
      <c r="F114" s="78">
        <v>0.2504513888888889</v>
      </c>
      <c r="G114" s="75">
        <v>2</v>
      </c>
      <c r="H114" s="75">
        <v>0</v>
      </c>
      <c r="I114" s="75">
        <v>39</v>
      </c>
    </row>
    <row r="115" spans="1:9">
      <c r="A115" s="75">
        <v>77</v>
      </c>
      <c r="B115" s="75">
        <v>1</v>
      </c>
      <c r="C115" s="75">
        <v>78</v>
      </c>
      <c r="D115" s="76">
        <v>43345.260868055557</v>
      </c>
      <c r="E115" s="77">
        <v>43344</v>
      </c>
      <c r="F115" s="78">
        <v>0.26086805555555553</v>
      </c>
      <c r="G115" s="75">
        <v>2</v>
      </c>
      <c r="H115" s="75">
        <v>15</v>
      </c>
      <c r="I115" s="75">
        <v>39</v>
      </c>
    </row>
    <row r="116" spans="1:9">
      <c r="A116" s="75">
        <v>77</v>
      </c>
      <c r="B116" s="75">
        <v>0</v>
      </c>
      <c r="C116" s="75">
        <v>77</v>
      </c>
      <c r="D116" s="76">
        <v>43345.273912037039</v>
      </c>
      <c r="E116" s="77">
        <v>43344</v>
      </c>
      <c r="F116" s="78">
        <v>0.27391203703703704</v>
      </c>
      <c r="G116" s="75">
        <v>2</v>
      </c>
      <c r="H116" s="75">
        <v>34</v>
      </c>
      <c r="I116" s="75">
        <v>26</v>
      </c>
    </row>
    <row r="117" spans="1:9">
      <c r="A117" s="75">
        <v>62</v>
      </c>
      <c r="B117" s="75">
        <v>1</v>
      </c>
      <c r="C117" s="75">
        <v>63</v>
      </c>
      <c r="D117" s="76">
        <v>43345.281701388885</v>
      </c>
      <c r="E117" s="77">
        <v>43344</v>
      </c>
      <c r="F117" s="78">
        <v>0.2817013888888889</v>
      </c>
      <c r="G117" s="75">
        <v>2</v>
      </c>
      <c r="H117" s="75">
        <v>45</v>
      </c>
      <c r="I117" s="75">
        <v>39</v>
      </c>
    </row>
    <row r="118" spans="1:9">
      <c r="A118" s="75">
        <v>69</v>
      </c>
      <c r="B118" s="75">
        <v>1</v>
      </c>
      <c r="C118" s="75">
        <v>70</v>
      </c>
      <c r="D118" s="76">
        <v>43345.292129629626</v>
      </c>
      <c r="E118" s="77">
        <v>43344</v>
      </c>
      <c r="F118" s="78">
        <v>0.29212962962962963</v>
      </c>
      <c r="G118" s="75">
        <v>2</v>
      </c>
      <c r="H118" s="75">
        <v>0</v>
      </c>
      <c r="I118" s="75">
        <v>40</v>
      </c>
    </row>
    <row r="119" spans="1:9">
      <c r="A119" s="75">
        <v>66</v>
      </c>
      <c r="B119" s="75">
        <v>0</v>
      </c>
      <c r="C119" s="75">
        <v>66</v>
      </c>
      <c r="D119" s="76">
        <v>43345.302557870367</v>
      </c>
      <c r="E119" s="77">
        <v>43344</v>
      </c>
      <c r="F119" s="78">
        <v>0.30255787037037035</v>
      </c>
      <c r="G119" s="75">
        <v>2</v>
      </c>
      <c r="H119" s="75">
        <v>15</v>
      </c>
      <c r="I119" s="75">
        <v>41</v>
      </c>
    </row>
    <row r="120" spans="1:9">
      <c r="A120" s="75">
        <v>61</v>
      </c>
      <c r="B120" s="75">
        <v>0</v>
      </c>
      <c r="C120" s="75">
        <v>61</v>
      </c>
      <c r="D120" s="76">
        <v>43345.312962962962</v>
      </c>
      <c r="E120" s="77">
        <v>43344</v>
      </c>
      <c r="F120" s="78">
        <v>0.31296296296296294</v>
      </c>
      <c r="G120" s="75">
        <v>2</v>
      </c>
      <c r="H120" s="75">
        <v>30</v>
      </c>
      <c r="I120" s="75">
        <v>40</v>
      </c>
    </row>
    <row r="121" spans="1:9">
      <c r="A121" s="75">
        <v>62</v>
      </c>
      <c r="B121" s="75">
        <v>0</v>
      </c>
      <c r="C121" s="75">
        <v>59</v>
      </c>
      <c r="D121" s="76">
        <v>43345.323391203703</v>
      </c>
      <c r="E121" s="77">
        <v>43344</v>
      </c>
      <c r="F121" s="78">
        <v>0.32339120370370372</v>
      </c>
      <c r="G121" s="75">
        <v>2</v>
      </c>
      <c r="H121" s="75">
        <v>45</v>
      </c>
      <c r="I121" s="75">
        <v>41</v>
      </c>
    </row>
    <row r="122" spans="1:9">
      <c r="A122" s="75">
        <v>72</v>
      </c>
      <c r="B122" s="75">
        <v>0</v>
      </c>
      <c r="C122" s="75">
        <v>72</v>
      </c>
      <c r="D122" s="76">
        <v>43345.333796296298</v>
      </c>
      <c r="E122" s="77">
        <v>43344</v>
      </c>
      <c r="F122" s="78">
        <v>0.33379629629629631</v>
      </c>
      <c r="G122" s="75">
        <v>2</v>
      </c>
      <c r="H122" s="75">
        <v>0</v>
      </c>
      <c r="I122" s="75">
        <v>40</v>
      </c>
    </row>
    <row r="123" spans="1:9">
      <c r="A123" s="75">
        <v>76</v>
      </c>
      <c r="B123" s="75">
        <v>2</v>
      </c>
      <c r="C123" s="75">
        <v>78</v>
      </c>
      <c r="D123" s="76">
        <v>43345.344224537039</v>
      </c>
      <c r="E123" s="77">
        <v>43344</v>
      </c>
      <c r="F123" s="78">
        <v>0.34422453703703698</v>
      </c>
      <c r="G123" s="75">
        <v>2</v>
      </c>
      <c r="H123" s="75">
        <v>15</v>
      </c>
      <c r="I123" s="75">
        <v>41</v>
      </c>
    </row>
    <row r="124" spans="1:9">
      <c r="A124" s="75">
        <v>99</v>
      </c>
      <c r="B124" s="75">
        <v>2</v>
      </c>
      <c r="C124" s="75">
        <v>101</v>
      </c>
      <c r="D124" s="76">
        <v>43345.354629629626</v>
      </c>
      <c r="E124" s="77">
        <v>43344</v>
      </c>
      <c r="F124" s="78">
        <v>0.35462962962962963</v>
      </c>
      <c r="G124" s="75">
        <v>2</v>
      </c>
      <c r="H124" s="75">
        <v>30</v>
      </c>
      <c r="I124" s="75">
        <v>40</v>
      </c>
    </row>
    <row r="125" spans="1:9">
      <c r="A125" s="75">
        <v>59</v>
      </c>
      <c r="B125" s="75">
        <v>2</v>
      </c>
      <c r="C125" s="75">
        <v>61</v>
      </c>
      <c r="D125" s="76">
        <v>43345.365069444444</v>
      </c>
      <c r="E125" s="77">
        <v>43344</v>
      </c>
      <c r="F125" s="78">
        <v>0.36506944444444445</v>
      </c>
      <c r="G125" s="75">
        <v>2</v>
      </c>
      <c r="H125" s="75">
        <v>45</v>
      </c>
      <c r="I125" s="75">
        <v>42</v>
      </c>
    </row>
    <row r="126" spans="1:9">
      <c r="A126" s="75">
        <v>76</v>
      </c>
      <c r="B126" s="75">
        <v>1</v>
      </c>
      <c r="C126" s="75">
        <v>77</v>
      </c>
      <c r="D126" s="76">
        <v>43345.375462962962</v>
      </c>
      <c r="E126" s="77">
        <v>43344</v>
      </c>
      <c r="F126" s="78">
        <v>0.37546296296296294</v>
      </c>
      <c r="G126" s="75">
        <v>2</v>
      </c>
      <c r="H126" s="75">
        <v>0</v>
      </c>
      <c r="I126" s="75">
        <v>40</v>
      </c>
    </row>
    <row r="127" spans="1:9">
      <c r="A127" s="75">
        <v>62</v>
      </c>
      <c r="B127" s="75">
        <v>1</v>
      </c>
      <c r="C127" s="75">
        <v>63</v>
      </c>
      <c r="D127" s="76">
        <v>43345.385891203703</v>
      </c>
      <c r="E127" s="77">
        <v>43344</v>
      </c>
      <c r="F127" s="78">
        <v>0.38589120370370367</v>
      </c>
      <c r="G127" s="75">
        <v>2</v>
      </c>
      <c r="H127" s="75">
        <v>15</v>
      </c>
      <c r="I127" s="75">
        <v>41</v>
      </c>
    </row>
    <row r="128" spans="1:9">
      <c r="A128" s="75">
        <v>75</v>
      </c>
      <c r="B128" s="75">
        <v>1</v>
      </c>
      <c r="C128" s="75">
        <v>76</v>
      </c>
      <c r="D128" s="76">
        <v>43345.396296296298</v>
      </c>
      <c r="E128" s="77">
        <v>43344</v>
      </c>
      <c r="F128" s="78">
        <v>0.39629629629629631</v>
      </c>
      <c r="G128" s="75">
        <v>2</v>
      </c>
      <c r="H128" s="75">
        <v>30</v>
      </c>
      <c r="I128" s="75">
        <v>40</v>
      </c>
    </row>
    <row r="129" spans="1:9">
      <c r="A129" s="75">
        <v>81</v>
      </c>
      <c r="B129" s="75">
        <v>1</v>
      </c>
      <c r="C129" s="75">
        <v>82</v>
      </c>
      <c r="D129" s="76">
        <v>43345.406712962962</v>
      </c>
      <c r="E129" s="77">
        <v>43344</v>
      </c>
      <c r="F129" s="78">
        <v>0.40671296296296294</v>
      </c>
      <c r="G129" s="75">
        <v>2</v>
      </c>
      <c r="H129" s="75">
        <v>45</v>
      </c>
      <c r="I129" s="75">
        <v>40</v>
      </c>
    </row>
    <row r="130" spans="1:9">
      <c r="A130" s="75">
        <v>71</v>
      </c>
      <c r="B130" s="75">
        <v>1</v>
      </c>
      <c r="C130" s="75">
        <v>72</v>
      </c>
      <c r="D130" s="76">
        <v>43345.417129629626</v>
      </c>
      <c r="E130" s="77">
        <v>43344</v>
      </c>
      <c r="F130" s="78">
        <v>0.41712962962962963</v>
      </c>
      <c r="G130" s="75">
        <v>2</v>
      </c>
      <c r="H130" s="75">
        <v>0</v>
      </c>
      <c r="I130" s="75">
        <v>40</v>
      </c>
    </row>
    <row r="131" spans="1:9">
      <c r="A131" s="75">
        <v>98</v>
      </c>
      <c r="B131" s="75">
        <v>0</v>
      </c>
      <c r="C131" s="75">
        <v>98</v>
      </c>
      <c r="D131" s="76">
        <v>43345.427546296298</v>
      </c>
      <c r="E131" s="77">
        <v>43344</v>
      </c>
      <c r="F131" s="78">
        <v>0.42754629629629631</v>
      </c>
      <c r="G131" s="75">
        <v>2</v>
      </c>
      <c r="H131" s="75">
        <v>15</v>
      </c>
      <c r="I131" s="75">
        <v>40</v>
      </c>
    </row>
    <row r="132" spans="1:9">
      <c r="A132" s="75">
        <v>102</v>
      </c>
      <c r="B132" s="75">
        <v>1</v>
      </c>
      <c r="C132" s="75">
        <v>103</v>
      </c>
      <c r="D132" s="76">
        <v>43345.437962962962</v>
      </c>
      <c r="E132" s="77">
        <v>43344</v>
      </c>
      <c r="F132" s="78">
        <v>0.43796296296296294</v>
      </c>
      <c r="G132" s="75">
        <v>2</v>
      </c>
      <c r="H132" s="75">
        <v>30</v>
      </c>
      <c r="I132" s="75">
        <v>40</v>
      </c>
    </row>
    <row r="133" spans="1:9">
      <c r="A133" s="75">
        <v>114</v>
      </c>
      <c r="B133" s="75">
        <v>0</v>
      </c>
      <c r="C133" s="75">
        <v>114</v>
      </c>
      <c r="D133" s="76">
        <v>43345.448391203703</v>
      </c>
      <c r="E133" s="77">
        <v>43344</v>
      </c>
      <c r="F133" s="78">
        <v>0.44839120370370367</v>
      </c>
      <c r="G133" s="75">
        <v>2</v>
      </c>
      <c r="H133" s="75">
        <v>45</v>
      </c>
      <c r="I133" s="75">
        <v>41</v>
      </c>
    </row>
    <row r="134" spans="1:9">
      <c r="A134" s="75">
        <v>96</v>
      </c>
      <c r="B134" s="75">
        <v>0</v>
      </c>
      <c r="C134" s="75">
        <v>95</v>
      </c>
      <c r="D134" s="76">
        <v>43345.458796296298</v>
      </c>
      <c r="E134" s="77">
        <v>43344</v>
      </c>
      <c r="F134" s="78">
        <v>0.45879629629629631</v>
      </c>
      <c r="G134" s="75">
        <v>2</v>
      </c>
      <c r="H134" s="75">
        <v>0</v>
      </c>
      <c r="I134" s="75">
        <v>40</v>
      </c>
    </row>
    <row r="135" spans="1:9">
      <c r="A135" s="75">
        <v>112</v>
      </c>
      <c r="B135" s="75">
        <v>0</v>
      </c>
      <c r="C135" s="75">
        <v>112</v>
      </c>
      <c r="D135" s="76">
        <v>43345.469224537039</v>
      </c>
      <c r="E135" s="77">
        <v>43344</v>
      </c>
      <c r="F135" s="78">
        <v>0.46922453703703698</v>
      </c>
      <c r="G135" s="75">
        <v>2</v>
      </c>
      <c r="H135" s="75">
        <v>15</v>
      </c>
      <c r="I135" s="75">
        <v>41</v>
      </c>
    </row>
    <row r="136" spans="1:9">
      <c r="A136" s="75">
        <v>139</v>
      </c>
      <c r="B136" s="75">
        <v>0</v>
      </c>
      <c r="C136" s="75">
        <v>139</v>
      </c>
      <c r="D136" s="76">
        <v>43345.479629629626</v>
      </c>
      <c r="E136" s="77">
        <v>43344</v>
      </c>
      <c r="F136" s="78">
        <v>0.47962962962962963</v>
      </c>
      <c r="G136" s="75">
        <v>2</v>
      </c>
      <c r="H136" s="75">
        <v>30</v>
      </c>
      <c r="I136" s="75">
        <v>40</v>
      </c>
    </row>
    <row r="137" spans="1:9">
      <c r="A137" s="75">
        <v>200</v>
      </c>
      <c r="B137" s="75">
        <v>2</v>
      </c>
      <c r="C137" s="75">
        <v>202</v>
      </c>
      <c r="D137" s="76">
        <v>43345.490046296298</v>
      </c>
      <c r="E137" s="77">
        <v>43344</v>
      </c>
      <c r="F137" s="78">
        <v>0.49004629629629631</v>
      </c>
      <c r="G137" s="75">
        <v>2</v>
      </c>
      <c r="H137" s="75">
        <v>45</v>
      </c>
      <c r="I137" s="75">
        <v>40</v>
      </c>
    </row>
    <row r="138" spans="1:9">
      <c r="A138" s="75">
        <v>166</v>
      </c>
      <c r="B138" s="75">
        <v>2</v>
      </c>
      <c r="C138" s="75">
        <v>168</v>
      </c>
      <c r="D138" s="76">
        <v>43345.500462962962</v>
      </c>
      <c r="E138" s="77">
        <v>43344</v>
      </c>
      <c r="F138" s="78">
        <v>0.500462962962963</v>
      </c>
      <c r="G138" s="75">
        <v>2</v>
      </c>
      <c r="H138" s="75">
        <v>0</v>
      </c>
      <c r="I138" s="75">
        <v>40</v>
      </c>
    </row>
    <row r="139" spans="1:9">
      <c r="A139" s="75">
        <v>193</v>
      </c>
      <c r="B139" s="75">
        <v>2</v>
      </c>
      <c r="C139" s="75">
        <v>195</v>
      </c>
      <c r="D139" s="76">
        <v>43345.510891203703</v>
      </c>
      <c r="E139" s="77">
        <v>43344</v>
      </c>
      <c r="F139" s="78">
        <v>0.51089120370370367</v>
      </c>
      <c r="G139" s="75">
        <v>2</v>
      </c>
      <c r="H139" s="75">
        <v>15</v>
      </c>
      <c r="I139" s="75">
        <v>41</v>
      </c>
    </row>
    <row r="140" spans="1:9">
      <c r="A140" s="75">
        <v>174</v>
      </c>
      <c r="B140" s="75">
        <v>3</v>
      </c>
      <c r="C140" s="75">
        <v>177</v>
      </c>
      <c r="D140" s="76">
        <v>43345.521284722221</v>
      </c>
      <c r="E140" s="77">
        <v>43344</v>
      </c>
      <c r="F140" s="78">
        <v>0.52128472222222222</v>
      </c>
      <c r="G140" s="75">
        <v>2</v>
      </c>
      <c r="H140" s="75">
        <v>30</v>
      </c>
      <c r="I140" s="75">
        <v>39</v>
      </c>
    </row>
    <row r="141" spans="1:9">
      <c r="A141" s="75">
        <v>217</v>
      </c>
      <c r="B141" s="75">
        <v>1</v>
      </c>
      <c r="C141" s="75">
        <v>218</v>
      </c>
      <c r="D141" s="76">
        <v>43345.531712962962</v>
      </c>
      <c r="E141" s="77">
        <v>43344</v>
      </c>
      <c r="F141" s="78">
        <v>0.531712962962963</v>
      </c>
      <c r="G141" s="75">
        <v>2</v>
      </c>
      <c r="H141" s="75">
        <v>45</v>
      </c>
      <c r="I141" s="75">
        <v>40</v>
      </c>
    </row>
    <row r="142" spans="1:9">
      <c r="A142" s="75">
        <v>199</v>
      </c>
      <c r="B142" s="75">
        <v>3</v>
      </c>
      <c r="C142" s="75">
        <v>202</v>
      </c>
      <c r="D142" s="76">
        <v>43345.542118055557</v>
      </c>
      <c r="E142" s="77">
        <v>43344</v>
      </c>
      <c r="F142" s="78">
        <v>0.54211805555555559</v>
      </c>
      <c r="G142" s="75">
        <v>2</v>
      </c>
      <c r="H142" s="75">
        <v>0</v>
      </c>
      <c r="I142" s="75">
        <v>39</v>
      </c>
    </row>
    <row r="143" spans="1:9">
      <c r="A143" s="75">
        <v>221</v>
      </c>
      <c r="B143" s="75">
        <v>4</v>
      </c>
      <c r="C143" s="75">
        <v>225</v>
      </c>
      <c r="D143" s="76">
        <v>43345.552546296298</v>
      </c>
      <c r="E143" s="77">
        <v>43344</v>
      </c>
      <c r="F143" s="78">
        <v>0.55254629629629626</v>
      </c>
      <c r="G143" s="75">
        <v>2</v>
      </c>
      <c r="H143" s="75">
        <v>15</v>
      </c>
      <c r="I143" s="75">
        <v>40</v>
      </c>
    </row>
    <row r="144" spans="1:9">
      <c r="A144" s="75">
        <v>311</v>
      </c>
      <c r="B144" s="75">
        <v>3</v>
      </c>
      <c r="C144" s="75">
        <v>314</v>
      </c>
      <c r="D144" s="76">
        <v>43345.562962962962</v>
      </c>
      <c r="E144" s="77">
        <v>43344</v>
      </c>
      <c r="F144" s="78">
        <v>0.562962962962963</v>
      </c>
      <c r="G144" s="75">
        <v>2</v>
      </c>
      <c r="H144" s="75">
        <v>30</v>
      </c>
      <c r="I144" s="75">
        <v>40</v>
      </c>
    </row>
    <row r="145" spans="1:9">
      <c r="A145" s="75">
        <v>336</v>
      </c>
      <c r="B145" s="75">
        <v>5</v>
      </c>
      <c r="C145" s="75">
        <v>341</v>
      </c>
      <c r="D145" s="76">
        <v>43345.573379629626</v>
      </c>
      <c r="E145" s="77">
        <v>43344</v>
      </c>
      <c r="F145" s="78">
        <v>0.57337962962962963</v>
      </c>
      <c r="G145" s="75">
        <v>2</v>
      </c>
      <c r="H145" s="75">
        <v>45</v>
      </c>
      <c r="I145" s="75">
        <v>40</v>
      </c>
    </row>
    <row r="146" spans="1:9">
      <c r="A146" s="75">
        <v>285</v>
      </c>
      <c r="B146" s="75">
        <v>2</v>
      </c>
      <c r="C146" s="75">
        <v>284</v>
      </c>
      <c r="D146" s="76">
        <v>43345.583807870367</v>
      </c>
      <c r="E146" s="77">
        <v>43344</v>
      </c>
      <c r="F146" s="78">
        <v>0.5838078703703703</v>
      </c>
      <c r="G146" s="75">
        <v>2</v>
      </c>
      <c r="H146" s="75">
        <v>0</v>
      </c>
      <c r="I146" s="75">
        <v>41</v>
      </c>
    </row>
    <row r="147" spans="1:9">
      <c r="A147" s="75">
        <v>280</v>
      </c>
      <c r="B147" s="75">
        <v>3</v>
      </c>
      <c r="C147" s="75">
        <v>283</v>
      </c>
      <c r="D147" s="76">
        <v>43345.594201388885</v>
      </c>
      <c r="E147" s="77">
        <v>43344</v>
      </c>
      <c r="F147" s="78">
        <v>0.59420138888888896</v>
      </c>
      <c r="G147" s="75">
        <v>2</v>
      </c>
      <c r="H147" s="75">
        <v>15</v>
      </c>
      <c r="I147" s="75">
        <v>39</v>
      </c>
    </row>
    <row r="148" spans="1:9">
      <c r="A148" s="75">
        <v>315</v>
      </c>
      <c r="B148" s="75">
        <v>2</v>
      </c>
      <c r="C148" s="75">
        <v>317</v>
      </c>
      <c r="D148" s="76">
        <v>43345.604629629626</v>
      </c>
      <c r="E148" s="77">
        <v>43344</v>
      </c>
      <c r="F148" s="78">
        <v>0.60462962962962963</v>
      </c>
      <c r="G148" s="75">
        <v>2</v>
      </c>
      <c r="H148" s="75">
        <v>30</v>
      </c>
      <c r="I148" s="75">
        <v>40</v>
      </c>
    </row>
    <row r="149" spans="1:9">
      <c r="A149" s="75">
        <v>353</v>
      </c>
      <c r="B149" s="75">
        <v>7</v>
      </c>
      <c r="C149" s="75">
        <v>360</v>
      </c>
      <c r="D149" s="76">
        <v>43345.615046296298</v>
      </c>
      <c r="E149" s="77">
        <v>43344</v>
      </c>
      <c r="F149" s="78">
        <v>0.61504629629629626</v>
      </c>
      <c r="G149" s="75">
        <v>2</v>
      </c>
      <c r="H149" s="75">
        <v>45</v>
      </c>
      <c r="I149" s="75">
        <v>40</v>
      </c>
    </row>
    <row r="150" spans="1:9">
      <c r="A150" s="75">
        <v>364</v>
      </c>
      <c r="B150" s="75">
        <v>9</v>
      </c>
      <c r="C150" s="75">
        <v>373</v>
      </c>
      <c r="D150" s="76">
        <v>43345.625451388885</v>
      </c>
      <c r="E150" s="77">
        <v>43344</v>
      </c>
      <c r="F150" s="78">
        <v>0.62545138888888896</v>
      </c>
      <c r="G150" s="75">
        <v>2</v>
      </c>
      <c r="H150" s="75">
        <v>0</v>
      </c>
      <c r="I150" s="75">
        <v>39</v>
      </c>
    </row>
    <row r="151" spans="1:9">
      <c r="A151" s="75">
        <v>369</v>
      </c>
      <c r="B151" s="75">
        <v>8</v>
      </c>
      <c r="C151" s="75">
        <v>377</v>
      </c>
      <c r="D151" s="76">
        <v>43345.635879629626</v>
      </c>
      <c r="E151" s="77">
        <v>43344</v>
      </c>
      <c r="F151" s="78">
        <v>0.63587962962962963</v>
      </c>
      <c r="G151" s="75">
        <v>2</v>
      </c>
      <c r="H151" s="75">
        <v>15</v>
      </c>
      <c r="I151" s="75">
        <v>40</v>
      </c>
    </row>
    <row r="152" spans="1:9">
      <c r="A152" s="75">
        <v>376</v>
      </c>
      <c r="B152" s="75">
        <v>7</v>
      </c>
      <c r="C152" s="75">
        <v>383</v>
      </c>
      <c r="D152" s="76">
        <v>43345.646284722221</v>
      </c>
      <c r="E152" s="77">
        <v>43344</v>
      </c>
      <c r="F152" s="78">
        <v>0.64628472222222222</v>
      </c>
      <c r="G152" s="75">
        <v>2</v>
      </c>
      <c r="H152" s="75">
        <v>30</v>
      </c>
      <c r="I152" s="75">
        <v>39</v>
      </c>
    </row>
    <row r="153" spans="1:9">
      <c r="A153" s="75">
        <v>389</v>
      </c>
      <c r="B153" s="75">
        <v>5</v>
      </c>
      <c r="C153" s="75">
        <v>394</v>
      </c>
      <c r="D153" s="76">
        <v>43345.656712962962</v>
      </c>
      <c r="E153" s="77">
        <v>43344</v>
      </c>
      <c r="F153" s="78">
        <v>0.656712962962963</v>
      </c>
      <c r="G153" s="75">
        <v>2</v>
      </c>
      <c r="H153" s="75">
        <v>45</v>
      </c>
      <c r="I153" s="75">
        <v>40</v>
      </c>
    </row>
    <row r="154" spans="1:9">
      <c r="A154" s="75">
        <v>398</v>
      </c>
      <c r="B154" s="75">
        <v>5</v>
      </c>
      <c r="C154" s="75">
        <v>403</v>
      </c>
      <c r="D154" s="76">
        <v>43345.667129629626</v>
      </c>
      <c r="E154" s="77">
        <v>43344</v>
      </c>
      <c r="F154" s="78">
        <v>0.66712962962962974</v>
      </c>
      <c r="G154" s="75">
        <v>2</v>
      </c>
      <c r="H154" s="75">
        <v>0</v>
      </c>
      <c r="I154" s="75">
        <v>40</v>
      </c>
    </row>
    <row r="155" spans="1:9">
      <c r="A155" s="75">
        <v>403</v>
      </c>
      <c r="B155" s="75">
        <v>3</v>
      </c>
      <c r="C155" s="75">
        <v>406</v>
      </c>
      <c r="D155" s="76">
        <v>43345.677546296298</v>
      </c>
      <c r="E155" s="77">
        <v>43344</v>
      </c>
      <c r="F155" s="78">
        <v>0.67754629629629637</v>
      </c>
      <c r="G155" s="75">
        <v>2</v>
      </c>
      <c r="H155" s="75">
        <v>15</v>
      </c>
      <c r="I155" s="75">
        <v>40</v>
      </c>
    </row>
    <row r="156" spans="1:9">
      <c r="A156" s="75">
        <v>451</v>
      </c>
      <c r="B156" s="75">
        <v>3</v>
      </c>
      <c r="C156" s="75">
        <v>454</v>
      </c>
      <c r="D156" s="76">
        <v>43345.687962962962</v>
      </c>
      <c r="E156" s="77">
        <v>43344</v>
      </c>
      <c r="F156" s="78">
        <v>0.687962962962963</v>
      </c>
      <c r="G156" s="75">
        <v>2</v>
      </c>
      <c r="H156" s="75">
        <v>30</v>
      </c>
      <c r="I156" s="75">
        <v>40</v>
      </c>
    </row>
    <row r="157" spans="1:9">
      <c r="A157" s="75">
        <v>374</v>
      </c>
      <c r="B157" s="75">
        <v>4</v>
      </c>
      <c r="C157" s="75">
        <v>370</v>
      </c>
      <c r="D157" s="76">
        <v>43345.698368055557</v>
      </c>
      <c r="E157" s="77">
        <v>43344</v>
      </c>
      <c r="F157" s="78">
        <v>0.69836805555555559</v>
      </c>
      <c r="G157" s="75">
        <v>2</v>
      </c>
      <c r="H157" s="75">
        <v>45</v>
      </c>
      <c r="I157" s="75">
        <v>39</v>
      </c>
    </row>
    <row r="158" spans="1:9">
      <c r="A158" s="75">
        <v>319</v>
      </c>
      <c r="B158" s="75">
        <v>3</v>
      </c>
      <c r="C158" s="75">
        <v>322</v>
      </c>
      <c r="D158" s="76">
        <v>43345.708796296298</v>
      </c>
      <c r="E158" s="77">
        <v>43344</v>
      </c>
      <c r="F158" s="78">
        <v>0.70879629629629637</v>
      </c>
      <c r="G158" s="75">
        <v>2</v>
      </c>
      <c r="H158" s="75">
        <v>0</v>
      </c>
      <c r="I158" s="75">
        <v>40</v>
      </c>
    </row>
    <row r="159" spans="1:9">
      <c r="A159" s="75">
        <v>324</v>
      </c>
      <c r="B159" s="75">
        <v>2</v>
      </c>
      <c r="C159" s="75">
        <v>320</v>
      </c>
      <c r="D159" s="76">
        <v>43345.719201388885</v>
      </c>
      <c r="E159" s="77">
        <v>43344</v>
      </c>
      <c r="F159" s="78">
        <v>0.71920138888888896</v>
      </c>
      <c r="G159" s="75">
        <v>2</v>
      </c>
      <c r="H159" s="75">
        <v>15</v>
      </c>
      <c r="I159" s="75">
        <v>39</v>
      </c>
    </row>
    <row r="160" spans="1:9">
      <c r="A160" s="75">
        <v>356</v>
      </c>
      <c r="B160" s="75">
        <v>2</v>
      </c>
      <c r="C160" s="75">
        <v>354</v>
      </c>
      <c r="D160" s="76">
        <v>43345.729618055557</v>
      </c>
      <c r="E160" s="77">
        <v>43344</v>
      </c>
      <c r="F160" s="78">
        <v>0.72961805555555559</v>
      </c>
      <c r="G160" s="75">
        <v>2</v>
      </c>
      <c r="H160" s="75">
        <v>30</v>
      </c>
      <c r="I160" s="75">
        <v>39</v>
      </c>
    </row>
    <row r="161" spans="1:9">
      <c r="A161" s="75">
        <v>376</v>
      </c>
      <c r="B161" s="75">
        <v>2</v>
      </c>
      <c r="C161" s="75">
        <v>378</v>
      </c>
      <c r="D161" s="76">
        <v>43345.740046296298</v>
      </c>
      <c r="E161" s="77">
        <v>43344</v>
      </c>
      <c r="F161" s="78">
        <v>0.74004629629629637</v>
      </c>
      <c r="G161" s="75">
        <v>2</v>
      </c>
      <c r="H161" s="75">
        <v>45</v>
      </c>
      <c r="I161" s="75">
        <v>40</v>
      </c>
    </row>
    <row r="162" spans="1:9">
      <c r="A162" s="75">
        <v>358</v>
      </c>
      <c r="B162" s="75">
        <v>3</v>
      </c>
      <c r="C162" s="75">
        <v>361</v>
      </c>
      <c r="D162" s="76">
        <v>43345.750451388885</v>
      </c>
      <c r="E162" s="77">
        <v>43344</v>
      </c>
      <c r="F162" s="78">
        <v>0.75045138888888896</v>
      </c>
      <c r="G162" s="75">
        <v>2</v>
      </c>
      <c r="H162" s="75">
        <v>0</v>
      </c>
      <c r="I162" s="75">
        <v>39</v>
      </c>
    </row>
    <row r="163" spans="1:9">
      <c r="A163" s="75">
        <v>388</v>
      </c>
      <c r="B163" s="75">
        <v>3</v>
      </c>
      <c r="C163" s="75">
        <v>391</v>
      </c>
      <c r="D163" s="76">
        <v>43345.760879629626</v>
      </c>
      <c r="E163" s="77">
        <v>43344</v>
      </c>
      <c r="F163" s="78">
        <v>0.76087962962962974</v>
      </c>
      <c r="G163" s="75">
        <v>2</v>
      </c>
      <c r="H163" s="75">
        <v>15</v>
      </c>
      <c r="I163" s="75">
        <v>40</v>
      </c>
    </row>
    <row r="164" spans="1:9">
      <c r="A164" s="75">
        <v>441</v>
      </c>
      <c r="B164" s="75">
        <v>4</v>
      </c>
      <c r="C164" s="75">
        <v>445</v>
      </c>
      <c r="D164" s="76">
        <v>43345.771284722221</v>
      </c>
      <c r="E164" s="77">
        <v>43344</v>
      </c>
      <c r="F164" s="78">
        <v>0.77128472222222222</v>
      </c>
      <c r="G164" s="75">
        <v>2</v>
      </c>
      <c r="H164" s="75">
        <v>30</v>
      </c>
      <c r="I164" s="75">
        <v>39</v>
      </c>
    </row>
    <row r="165" spans="1:9">
      <c r="A165" s="75">
        <v>408</v>
      </c>
      <c r="B165" s="75">
        <v>7</v>
      </c>
      <c r="C165" s="75">
        <v>415</v>
      </c>
      <c r="D165" s="76">
        <v>43345.781712962962</v>
      </c>
      <c r="E165" s="77">
        <v>43344</v>
      </c>
      <c r="F165" s="78">
        <v>0.781712962962963</v>
      </c>
      <c r="G165" s="75">
        <v>2</v>
      </c>
      <c r="H165" s="75">
        <v>45</v>
      </c>
      <c r="I165" s="75">
        <v>40</v>
      </c>
    </row>
    <row r="166" spans="1:9">
      <c r="A166" s="75">
        <v>407</v>
      </c>
      <c r="B166" s="75">
        <v>6</v>
      </c>
      <c r="C166" s="75">
        <v>413</v>
      </c>
      <c r="D166" s="76">
        <v>43345.792129629626</v>
      </c>
      <c r="E166" s="77">
        <v>43344</v>
      </c>
      <c r="F166" s="78">
        <v>0.79212962962962974</v>
      </c>
      <c r="G166" s="75">
        <v>2</v>
      </c>
      <c r="H166" s="75">
        <v>0</v>
      </c>
      <c r="I166" s="75">
        <v>40</v>
      </c>
    </row>
    <row r="167" spans="1:9">
      <c r="A167" s="75">
        <v>425</v>
      </c>
      <c r="B167" s="75">
        <v>6</v>
      </c>
      <c r="C167" s="75">
        <v>431</v>
      </c>
      <c r="D167" s="76">
        <v>43345.802534722221</v>
      </c>
      <c r="E167" s="77">
        <v>43344</v>
      </c>
      <c r="F167" s="78">
        <v>0.80253472222222222</v>
      </c>
      <c r="G167" s="75">
        <v>2</v>
      </c>
      <c r="H167" s="75">
        <v>15</v>
      </c>
      <c r="I167" s="75">
        <v>39</v>
      </c>
    </row>
    <row r="168" spans="1:9">
      <c r="A168" s="75">
        <v>441</v>
      </c>
      <c r="B168" s="75">
        <v>7</v>
      </c>
      <c r="C168" s="75">
        <v>448</v>
      </c>
      <c r="D168" s="76">
        <v>43345.812951388885</v>
      </c>
      <c r="E168" s="77">
        <v>43344</v>
      </c>
      <c r="F168" s="78">
        <v>0.81295138888888896</v>
      </c>
      <c r="G168" s="75">
        <v>2</v>
      </c>
      <c r="H168" s="75">
        <v>30</v>
      </c>
      <c r="I168" s="75">
        <v>39</v>
      </c>
    </row>
    <row r="169" spans="1:9">
      <c r="A169" s="75">
        <v>457</v>
      </c>
      <c r="B169" s="75">
        <v>6</v>
      </c>
      <c r="C169" s="75">
        <v>463</v>
      </c>
      <c r="D169" s="76">
        <v>43345.823368055557</v>
      </c>
      <c r="E169" s="77">
        <v>43344</v>
      </c>
      <c r="F169" s="78">
        <v>0.82336805555555559</v>
      </c>
      <c r="G169" s="75">
        <v>2</v>
      </c>
      <c r="H169" s="75">
        <v>45</v>
      </c>
      <c r="I169" s="75">
        <v>39</v>
      </c>
    </row>
    <row r="170" spans="1:9">
      <c r="A170" s="75">
        <v>486</v>
      </c>
      <c r="B170" s="75">
        <v>5</v>
      </c>
      <c r="C170" s="75">
        <v>483</v>
      </c>
      <c r="D170" s="76">
        <v>43345.833784722221</v>
      </c>
      <c r="E170" s="77">
        <v>43344</v>
      </c>
      <c r="F170" s="78">
        <v>0.83378472222222222</v>
      </c>
      <c r="G170" s="75">
        <v>2</v>
      </c>
      <c r="H170" s="75">
        <v>0</v>
      </c>
      <c r="I170" s="75">
        <v>39</v>
      </c>
    </row>
    <row r="171" spans="1:9">
      <c r="A171" s="75">
        <v>484</v>
      </c>
      <c r="B171" s="75">
        <v>6</v>
      </c>
      <c r="C171" s="75">
        <v>490</v>
      </c>
      <c r="D171" s="76">
        <v>43345.844201388885</v>
      </c>
      <c r="E171" s="77">
        <v>43344</v>
      </c>
      <c r="F171" s="78">
        <v>0.84420138888888896</v>
      </c>
      <c r="G171" s="75">
        <v>2</v>
      </c>
      <c r="H171" s="75">
        <v>15</v>
      </c>
      <c r="I171" s="75">
        <v>39</v>
      </c>
    </row>
    <row r="172" spans="1:9">
      <c r="A172" s="75">
        <v>532</v>
      </c>
      <c r="B172" s="75">
        <v>6</v>
      </c>
      <c r="C172" s="75">
        <v>538</v>
      </c>
      <c r="D172" s="76">
        <v>43345.854618055557</v>
      </c>
      <c r="E172" s="77">
        <v>43344</v>
      </c>
      <c r="F172" s="78">
        <v>0.85461805555555559</v>
      </c>
      <c r="G172" s="75">
        <v>2</v>
      </c>
      <c r="H172" s="75">
        <v>30</v>
      </c>
      <c r="I172" s="75">
        <v>39</v>
      </c>
    </row>
    <row r="173" spans="1:9">
      <c r="A173" s="75">
        <v>524</v>
      </c>
      <c r="B173" s="75">
        <v>7</v>
      </c>
      <c r="C173" s="75">
        <v>531</v>
      </c>
      <c r="D173" s="76">
        <v>43345.865046296298</v>
      </c>
      <c r="E173" s="77">
        <v>43344</v>
      </c>
      <c r="F173" s="78">
        <v>0.86504629629629637</v>
      </c>
      <c r="G173" s="75">
        <v>2</v>
      </c>
      <c r="H173" s="75">
        <v>45</v>
      </c>
      <c r="I173" s="75">
        <v>40</v>
      </c>
    </row>
    <row r="174" spans="1:9">
      <c r="A174" s="75">
        <v>445</v>
      </c>
      <c r="B174" s="75">
        <v>8</v>
      </c>
      <c r="C174" s="75">
        <v>453</v>
      </c>
      <c r="D174" s="76">
        <v>43345.875451388885</v>
      </c>
      <c r="E174" s="77">
        <v>43344</v>
      </c>
      <c r="F174" s="78">
        <v>0.87545138888888896</v>
      </c>
      <c r="G174" s="75">
        <v>2</v>
      </c>
      <c r="H174" s="75">
        <v>0</v>
      </c>
      <c r="I174" s="75">
        <v>39</v>
      </c>
    </row>
    <row r="175" spans="1:9">
      <c r="A175" s="75">
        <v>527</v>
      </c>
      <c r="B175" s="75">
        <v>7</v>
      </c>
      <c r="C175" s="75">
        <v>529</v>
      </c>
      <c r="D175" s="76">
        <v>43345.885868055557</v>
      </c>
      <c r="E175" s="77">
        <v>43344</v>
      </c>
      <c r="F175" s="78">
        <v>0.88586805555555559</v>
      </c>
      <c r="G175" s="75">
        <v>2</v>
      </c>
      <c r="H175" s="75">
        <v>15</v>
      </c>
      <c r="I175" s="75">
        <v>39</v>
      </c>
    </row>
    <row r="176" spans="1:9">
      <c r="A176" s="75">
        <v>489</v>
      </c>
      <c r="B176" s="75">
        <v>6</v>
      </c>
      <c r="C176" s="75">
        <v>495</v>
      </c>
      <c r="D176" s="76">
        <v>43345.896296296298</v>
      </c>
      <c r="E176" s="77">
        <v>43344</v>
      </c>
      <c r="F176" s="78">
        <v>0.89629629629629637</v>
      </c>
      <c r="G176" s="75">
        <v>2</v>
      </c>
      <c r="H176" s="75">
        <v>30</v>
      </c>
      <c r="I176" s="75">
        <v>40</v>
      </c>
    </row>
    <row r="177" spans="1:9">
      <c r="A177" s="75">
        <v>473</v>
      </c>
      <c r="B177" s="75">
        <v>5</v>
      </c>
      <c r="C177" s="75">
        <v>478</v>
      </c>
      <c r="D177" s="76">
        <v>43345.906712962962</v>
      </c>
      <c r="E177" s="77">
        <v>43344</v>
      </c>
      <c r="F177" s="78">
        <v>0.906712962962963</v>
      </c>
      <c r="G177" s="75">
        <v>2</v>
      </c>
      <c r="H177" s="75">
        <v>45</v>
      </c>
      <c r="I177" s="75">
        <v>40</v>
      </c>
    </row>
    <row r="178" spans="1:9">
      <c r="A178" s="75">
        <v>456</v>
      </c>
      <c r="B178" s="75">
        <v>7</v>
      </c>
      <c r="C178" s="75">
        <v>463</v>
      </c>
      <c r="D178" s="76">
        <v>43345.917129629626</v>
      </c>
      <c r="E178" s="77">
        <v>43344</v>
      </c>
      <c r="F178" s="78">
        <v>0.91712962962962974</v>
      </c>
      <c r="G178" s="75">
        <v>2</v>
      </c>
      <c r="H178" s="75">
        <v>0</v>
      </c>
      <c r="I178" s="75">
        <v>40</v>
      </c>
    </row>
    <row r="179" spans="1:9">
      <c r="A179" s="75">
        <v>468</v>
      </c>
      <c r="B179" s="75">
        <v>6</v>
      </c>
      <c r="C179" s="75">
        <v>474</v>
      </c>
      <c r="D179" s="76">
        <v>43345.927534722221</v>
      </c>
      <c r="E179" s="77">
        <v>43344</v>
      </c>
      <c r="F179" s="78">
        <v>0.92753472222222222</v>
      </c>
      <c r="G179" s="75">
        <v>2</v>
      </c>
      <c r="H179" s="75">
        <v>15</v>
      </c>
      <c r="I179" s="75">
        <v>39</v>
      </c>
    </row>
    <row r="180" spans="1:9">
      <c r="A180" s="75">
        <v>492</v>
      </c>
      <c r="B180" s="75">
        <v>6</v>
      </c>
      <c r="C180" s="75">
        <v>498</v>
      </c>
      <c r="D180" s="76">
        <v>43345.937951388885</v>
      </c>
      <c r="E180" s="77">
        <v>43344</v>
      </c>
      <c r="F180" s="78">
        <v>0.93795138888888896</v>
      </c>
      <c r="G180" s="75">
        <v>2</v>
      </c>
      <c r="H180" s="75">
        <v>30</v>
      </c>
      <c r="I180" s="75">
        <v>39</v>
      </c>
    </row>
    <row r="181" spans="1:9">
      <c r="A181" s="75">
        <v>485</v>
      </c>
      <c r="B181" s="75">
        <v>9</v>
      </c>
      <c r="C181" s="75">
        <v>494</v>
      </c>
      <c r="D181" s="76">
        <v>43345.948368055557</v>
      </c>
      <c r="E181" s="77">
        <v>43344</v>
      </c>
      <c r="F181" s="78">
        <v>0.94836805555555559</v>
      </c>
      <c r="G181" s="75">
        <v>2</v>
      </c>
      <c r="H181" s="75">
        <v>45</v>
      </c>
      <c r="I181" s="75">
        <v>39</v>
      </c>
    </row>
    <row r="182" spans="1:9">
      <c r="A182" s="75">
        <v>444</v>
      </c>
      <c r="B182" s="75">
        <v>8</v>
      </c>
      <c r="C182" s="75">
        <v>445</v>
      </c>
      <c r="D182" s="76">
        <v>43345.958784722221</v>
      </c>
      <c r="E182" s="77">
        <v>43344</v>
      </c>
      <c r="F182" s="78">
        <v>0.95878472222222222</v>
      </c>
      <c r="G182" s="75">
        <v>2</v>
      </c>
      <c r="H182" s="75">
        <v>0</v>
      </c>
      <c r="I182" s="75">
        <v>39</v>
      </c>
    </row>
    <row r="183" spans="1:9">
      <c r="A183" s="75">
        <v>377</v>
      </c>
      <c r="B183" s="75">
        <v>10</v>
      </c>
      <c r="C183" s="75">
        <v>387</v>
      </c>
      <c r="D183" s="76">
        <v>43345.969201388885</v>
      </c>
      <c r="E183" s="77">
        <v>43344</v>
      </c>
      <c r="F183" s="78">
        <v>0.96920138888888896</v>
      </c>
      <c r="G183" s="75">
        <v>2</v>
      </c>
      <c r="H183" s="75">
        <v>15</v>
      </c>
      <c r="I183" s="75">
        <v>39</v>
      </c>
    </row>
    <row r="184" spans="1:9">
      <c r="A184" s="75">
        <v>366</v>
      </c>
      <c r="B184" s="75">
        <v>2</v>
      </c>
      <c r="C184" s="75">
        <v>368</v>
      </c>
      <c r="D184" s="76">
        <v>43345.979618055557</v>
      </c>
      <c r="E184" s="77">
        <v>43344</v>
      </c>
      <c r="F184" s="78">
        <v>0.97961805555555559</v>
      </c>
      <c r="G184" s="75">
        <v>2</v>
      </c>
      <c r="H184" s="75">
        <v>30</v>
      </c>
      <c r="I184" s="75">
        <v>39</v>
      </c>
    </row>
    <row r="185" spans="1:9">
      <c r="A185" s="75">
        <v>314</v>
      </c>
      <c r="B185" s="75">
        <v>3</v>
      </c>
      <c r="C185" s="75">
        <v>317</v>
      </c>
      <c r="D185" s="76">
        <v>43345.990034722221</v>
      </c>
      <c r="E185" s="77">
        <v>43344</v>
      </c>
      <c r="F185" s="78">
        <v>0.99003472222222222</v>
      </c>
      <c r="G185" s="75">
        <v>2</v>
      </c>
      <c r="H185" s="75">
        <v>45</v>
      </c>
      <c r="I185" s="75">
        <v>39</v>
      </c>
    </row>
    <row r="186" spans="1:9">
      <c r="A186" s="75">
        <v>267</v>
      </c>
      <c r="B186" s="75">
        <v>3</v>
      </c>
      <c r="C186" s="75">
        <v>270</v>
      </c>
      <c r="D186" s="76">
        <v>43346.000451388885</v>
      </c>
      <c r="E186" s="77">
        <v>43344</v>
      </c>
      <c r="F186" s="78">
        <v>4.5138888888888892E-4</v>
      </c>
      <c r="G186" s="75">
        <v>2</v>
      </c>
      <c r="H186" s="75">
        <v>0</v>
      </c>
      <c r="I186" s="75">
        <v>39</v>
      </c>
    </row>
    <row r="187" spans="1:9">
      <c r="A187" s="75">
        <v>270</v>
      </c>
      <c r="B187" s="75">
        <v>5</v>
      </c>
      <c r="C187" s="75">
        <v>275</v>
      </c>
      <c r="D187" s="76">
        <v>43346.010868055557</v>
      </c>
      <c r="E187" s="77">
        <v>43344</v>
      </c>
      <c r="F187" s="78">
        <v>1.0868055555555556E-2</v>
      </c>
      <c r="G187" s="75">
        <v>2</v>
      </c>
      <c r="H187" s="75">
        <v>15</v>
      </c>
      <c r="I187" s="75">
        <v>39</v>
      </c>
    </row>
    <row r="188" spans="1:9">
      <c r="A188" s="75">
        <v>233</v>
      </c>
      <c r="B188" s="75">
        <v>5</v>
      </c>
      <c r="C188" s="75">
        <v>238</v>
      </c>
      <c r="D188" s="76">
        <v>43346.021284722221</v>
      </c>
      <c r="E188" s="77">
        <v>43344</v>
      </c>
      <c r="F188" s="78">
        <v>2.1284722222222222E-2</v>
      </c>
      <c r="G188" s="75">
        <v>2</v>
      </c>
      <c r="H188" s="75">
        <v>30</v>
      </c>
      <c r="I188" s="75">
        <v>39</v>
      </c>
    </row>
    <row r="189" spans="1:9">
      <c r="A189" s="75">
        <v>209</v>
      </c>
      <c r="B189" s="75">
        <v>7</v>
      </c>
      <c r="C189" s="75">
        <v>216</v>
      </c>
      <c r="D189" s="76">
        <v>43346.031701388885</v>
      </c>
      <c r="E189" s="77">
        <v>43344</v>
      </c>
      <c r="F189" s="78">
        <v>3.170138888888889E-2</v>
      </c>
      <c r="G189" s="75">
        <v>2</v>
      </c>
      <c r="H189" s="75">
        <v>45</v>
      </c>
      <c r="I189" s="75">
        <v>39</v>
      </c>
    </row>
    <row r="190" spans="1:9">
      <c r="A190" s="75">
        <v>222</v>
      </c>
      <c r="B190" s="75">
        <v>3</v>
      </c>
      <c r="C190" s="75">
        <v>219</v>
      </c>
      <c r="D190" s="76">
        <v>43346.04210648148</v>
      </c>
      <c r="E190" s="77">
        <v>43344</v>
      </c>
      <c r="F190" s="78">
        <v>4.2106481481481488E-2</v>
      </c>
      <c r="G190" s="75">
        <v>2</v>
      </c>
      <c r="H190" s="75">
        <v>0</v>
      </c>
      <c r="I190" s="75">
        <v>38</v>
      </c>
    </row>
    <row r="191" spans="1:9">
      <c r="A191" s="75">
        <v>211</v>
      </c>
      <c r="B191" s="75">
        <v>3</v>
      </c>
      <c r="C191" s="75">
        <v>214</v>
      </c>
      <c r="D191" s="76">
        <v>43346.052534722221</v>
      </c>
      <c r="E191" s="77">
        <v>43344</v>
      </c>
      <c r="F191" s="78">
        <v>5.2534722222222219E-2</v>
      </c>
      <c r="G191" s="75">
        <v>2</v>
      </c>
      <c r="H191" s="75">
        <v>15</v>
      </c>
      <c r="I191" s="75">
        <v>39</v>
      </c>
    </row>
    <row r="192" spans="1:9">
      <c r="A192" s="75">
        <v>207</v>
      </c>
      <c r="B192" s="75">
        <v>1</v>
      </c>
      <c r="C192" s="75">
        <v>208</v>
      </c>
      <c r="D192" s="76">
        <v>43346.062951388885</v>
      </c>
      <c r="E192" s="77">
        <v>43344</v>
      </c>
      <c r="F192" s="78">
        <v>6.295138888888889E-2</v>
      </c>
      <c r="G192" s="75">
        <v>2</v>
      </c>
      <c r="H192" s="75">
        <v>30</v>
      </c>
      <c r="I192" s="75">
        <v>39</v>
      </c>
    </row>
    <row r="193" spans="1:9">
      <c r="A193" s="75">
        <v>203</v>
      </c>
      <c r="B193" s="75">
        <v>4</v>
      </c>
      <c r="C193" s="75">
        <v>205</v>
      </c>
      <c r="D193" s="76">
        <v>43346.073368055557</v>
      </c>
      <c r="E193" s="77">
        <v>43344</v>
      </c>
      <c r="F193" s="78">
        <v>7.3368055555555547E-2</v>
      </c>
      <c r="G193" s="75">
        <v>2</v>
      </c>
      <c r="H193" s="75">
        <v>45</v>
      </c>
      <c r="I193" s="75">
        <v>39</v>
      </c>
    </row>
    <row r="194" spans="1:9">
      <c r="A194" s="75">
        <v>196</v>
      </c>
      <c r="B194" s="75">
        <v>3</v>
      </c>
      <c r="C194" s="75">
        <v>199</v>
      </c>
      <c r="D194" s="76">
        <v>43346.083784722221</v>
      </c>
      <c r="E194" s="77">
        <v>43344</v>
      </c>
      <c r="F194" s="78">
        <v>8.3784722222222219E-2</v>
      </c>
      <c r="G194" s="75">
        <v>2</v>
      </c>
      <c r="H194" s="75">
        <v>0</v>
      </c>
      <c r="I194" s="75">
        <v>39</v>
      </c>
    </row>
    <row r="195" spans="1:9">
      <c r="A195" s="75">
        <v>220</v>
      </c>
      <c r="B195" s="75">
        <v>6</v>
      </c>
      <c r="C195" s="75">
        <v>226</v>
      </c>
      <c r="D195" s="76">
        <v>43346.094201388885</v>
      </c>
      <c r="E195" s="77">
        <v>43344</v>
      </c>
      <c r="F195" s="78">
        <v>9.420138888888889E-2</v>
      </c>
      <c r="G195" s="75">
        <v>2</v>
      </c>
      <c r="H195" s="75">
        <v>15</v>
      </c>
      <c r="I195" s="75">
        <v>39</v>
      </c>
    </row>
    <row r="196" spans="1:9">
      <c r="A196" s="75">
        <v>184</v>
      </c>
      <c r="B196" s="75">
        <v>5</v>
      </c>
      <c r="C196" s="75">
        <v>189</v>
      </c>
      <c r="D196" s="76">
        <v>43346.104618055557</v>
      </c>
      <c r="E196" s="77">
        <v>43344</v>
      </c>
      <c r="F196" s="78">
        <v>0.10461805555555555</v>
      </c>
      <c r="G196" s="75">
        <v>2</v>
      </c>
      <c r="H196" s="75">
        <v>30</v>
      </c>
      <c r="I196" s="75">
        <v>39</v>
      </c>
    </row>
    <row r="197" spans="1:9">
      <c r="A197" s="75">
        <v>176</v>
      </c>
      <c r="B197" s="75">
        <v>3</v>
      </c>
      <c r="C197" s="75">
        <v>179</v>
      </c>
      <c r="D197" s="76">
        <v>43346.115034722221</v>
      </c>
      <c r="E197" s="77">
        <v>43344</v>
      </c>
      <c r="F197" s="78">
        <v>0.11503472222222222</v>
      </c>
      <c r="G197" s="75">
        <v>2</v>
      </c>
      <c r="H197" s="75">
        <v>45</v>
      </c>
      <c r="I197" s="75">
        <v>39</v>
      </c>
    </row>
    <row r="198" spans="1:9">
      <c r="A198" s="75">
        <v>146</v>
      </c>
      <c r="B198" s="75">
        <v>2</v>
      </c>
      <c r="C198" s="75">
        <v>148</v>
      </c>
      <c r="D198" s="76">
        <v>43346.125462962962</v>
      </c>
      <c r="E198" s="77">
        <v>43344</v>
      </c>
      <c r="F198" s="78">
        <v>0.12546296296296297</v>
      </c>
      <c r="G198" s="75">
        <v>2</v>
      </c>
      <c r="H198" s="75">
        <v>0</v>
      </c>
      <c r="I198" s="75">
        <v>40</v>
      </c>
    </row>
    <row r="199" spans="1:9">
      <c r="A199" s="75">
        <v>116</v>
      </c>
      <c r="B199" s="75">
        <v>1</v>
      </c>
      <c r="C199" s="75">
        <v>117</v>
      </c>
      <c r="D199" s="76">
        <v>43346.135868055557</v>
      </c>
      <c r="E199" s="77">
        <v>43344</v>
      </c>
      <c r="F199" s="78">
        <v>0.13586805555555556</v>
      </c>
      <c r="G199" s="75">
        <v>2</v>
      </c>
      <c r="H199" s="75">
        <v>15</v>
      </c>
      <c r="I199" s="75">
        <v>39</v>
      </c>
    </row>
    <row r="200" spans="1:9">
      <c r="A200" s="75">
        <v>118</v>
      </c>
      <c r="B200" s="75">
        <v>1</v>
      </c>
      <c r="C200" s="75">
        <v>119</v>
      </c>
      <c r="D200" s="76">
        <v>43346.146273148152</v>
      </c>
      <c r="E200" s="77">
        <v>43344</v>
      </c>
      <c r="F200" s="78">
        <v>0.14627314814814815</v>
      </c>
      <c r="G200" s="75">
        <v>2</v>
      </c>
      <c r="H200" s="75">
        <v>30</v>
      </c>
      <c r="I200" s="75">
        <v>38</v>
      </c>
    </row>
    <row r="201" spans="1:9">
      <c r="A201" s="75">
        <v>108</v>
      </c>
      <c r="B201" s="75">
        <v>3</v>
      </c>
      <c r="C201" s="75">
        <v>103</v>
      </c>
      <c r="D201" s="76">
        <v>43346.156689814816</v>
      </c>
      <c r="E201" s="77">
        <v>43344</v>
      </c>
      <c r="F201" s="78">
        <v>0.15668981481481481</v>
      </c>
      <c r="G201" s="75">
        <v>2</v>
      </c>
      <c r="H201" s="75">
        <v>45</v>
      </c>
      <c r="I201" s="75">
        <v>38</v>
      </c>
    </row>
    <row r="202" spans="1:9">
      <c r="A202" s="75">
        <v>96</v>
      </c>
      <c r="B202" s="75">
        <v>2</v>
      </c>
      <c r="C202" s="75">
        <v>98</v>
      </c>
      <c r="D202" s="76">
        <v>43346.167118055557</v>
      </c>
      <c r="E202" s="77">
        <v>43344</v>
      </c>
      <c r="F202" s="78">
        <v>0.16711805555555556</v>
      </c>
      <c r="G202" s="75">
        <v>2</v>
      </c>
      <c r="H202" s="75">
        <v>0</v>
      </c>
      <c r="I202" s="75">
        <v>39</v>
      </c>
    </row>
    <row r="203" spans="1:9">
      <c r="A203" s="75">
        <v>34</v>
      </c>
      <c r="B203" s="75">
        <v>2</v>
      </c>
      <c r="C203" s="75">
        <v>36</v>
      </c>
      <c r="D203" s="76">
        <v>43346.177534722221</v>
      </c>
      <c r="E203" s="77">
        <v>43344</v>
      </c>
      <c r="F203" s="78">
        <v>0.17753472222222222</v>
      </c>
      <c r="G203" s="75">
        <v>2</v>
      </c>
      <c r="H203" s="75">
        <v>15</v>
      </c>
      <c r="I203" s="75">
        <v>39</v>
      </c>
    </row>
    <row r="204" spans="1:9">
      <c r="A204" s="75">
        <v>23</v>
      </c>
      <c r="B204" s="75">
        <v>1</v>
      </c>
      <c r="C204" s="75">
        <v>24</v>
      </c>
      <c r="D204" s="76">
        <v>43346.187939814816</v>
      </c>
      <c r="E204" s="77">
        <v>43344</v>
      </c>
      <c r="F204" s="78">
        <v>0.18793981481481481</v>
      </c>
      <c r="G204" s="75">
        <v>2</v>
      </c>
      <c r="H204" s="75">
        <v>30</v>
      </c>
      <c r="I204" s="75">
        <v>38</v>
      </c>
    </row>
    <row r="205" spans="1:9">
      <c r="A205" s="75">
        <v>21</v>
      </c>
      <c r="B205" s="75">
        <v>1</v>
      </c>
      <c r="C205" s="75">
        <v>22</v>
      </c>
      <c r="D205" s="76">
        <v>43346.19835648148</v>
      </c>
      <c r="E205" s="77">
        <v>43344</v>
      </c>
      <c r="F205" s="78">
        <v>0.19835648148148147</v>
      </c>
      <c r="G205" s="75">
        <v>2</v>
      </c>
      <c r="H205" s="75">
        <v>45</v>
      </c>
      <c r="I205" s="75">
        <v>38</v>
      </c>
    </row>
    <row r="206" spans="1:9">
      <c r="A206" s="75">
        <v>17</v>
      </c>
      <c r="B206" s="75">
        <v>1</v>
      </c>
      <c r="C206" s="75">
        <v>18</v>
      </c>
      <c r="D206" s="76">
        <v>43346.208784722221</v>
      </c>
      <c r="E206" s="77">
        <v>43344</v>
      </c>
      <c r="F206" s="78">
        <v>0.20878472222222222</v>
      </c>
      <c r="G206" s="75">
        <v>2</v>
      </c>
      <c r="H206" s="75">
        <v>0</v>
      </c>
      <c r="I206" s="75">
        <v>39</v>
      </c>
    </row>
    <row r="207" spans="1:9">
      <c r="A207" s="75">
        <v>16</v>
      </c>
      <c r="B207" s="75">
        <v>1</v>
      </c>
      <c r="C207" s="75">
        <v>17</v>
      </c>
      <c r="D207" s="76">
        <v>43346.219201388885</v>
      </c>
      <c r="E207" s="77">
        <v>43344</v>
      </c>
      <c r="F207" s="78">
        <v>0.21920138888888888</v>
      </c>
      <c r="G207" s="75">
        <v>2</v>
      </c>
      <c r="H207" s="75">
        <v>15</v>
      </c>
      <c r="I207" s="75">
        <v>39</v>
      </c>
    </row>
    <row r="208" spans="1:9">
      <c r="A208" s="75">
        <v>15</v>
      </c>
      <c r="B208" s="75">
        <v>1</v>
      </c>
      <c r="C208" s="75">
        <v>16</v>
      </c>
      <c r="D208" s="76">
        <v>43346.229618055557</v>
      </c>
      <c r="E208" s="77">
        <v>43344</v>
      </c>
      <c r="F208" s="78">
        <v>0.22961805555555556</v>
      </c>
      <c r="G208" s="75">
        <v>2</v>
      </c>
      <c r="H208" s="75">
        <v>30</v>
      </c>
      <c r="I208" s="75">
        <v>39</v>
      </c>
    </row>
    <row r="209" spans="1:9">
      <c r="A209" s="75">
        <v>15</v>
      </c>
      <c r="B209" s="75">
        <v>1</v>
      </c>
      <c r="C209" s="75">
        <v>16</v>
      </c>
      <c r="D209" s="76">
        <v>43346.240023148152</v>
      </c>
      <c r="E209" s="77">
        <v>43344</v>
      </c>
      <c r="F209" s="78">
        <v>0.24002314814814815</v>
      </c>
      <c r="G209" s="75">
        <v>2</v>
      </c>
      <c r="H209" s="75">
        <v>45</v>
      </c>
      <c r="I209" s="75">
        <v>38</v>
      </c>
    </row>
    <row r="210" spans="1:9">
      <c r="A210" s="75">
        <v>14</v>
      </c>
      <c r="B210" s="75">
        <v>1</v>
      </c>
      <c r="C210" s="75">
        <v>15</v>
      </c>
      <c r="D210" s="76">
        <v>43346.250451388885</v>
      </c>
      <c r="E210" s="77">
        <v>43344</v>
      </c>
      <c r="F210" s="78">
        <v>0.2504513888888889</v>
      </c>
      <c r="G210" s="75">
        <v>2</v>
      </c>
      <c r="H210" s="75">
        <v>0</v>
      </c>
      <c r="I210" s="75">
        <v>39</v>
      </c>
    </row>
    <row r="211" spans="1:9">
      <c r="A211" s="75">
        <v>14</v>
      </c>
      <c r="B211" s="75">
        <v>1</v>
      </c>
      <c r="C211" s="75">
        <v>15</v>
      </c>
      <c r="D211" s="76">
        <v>43346.26085648148</v>
      </c>
      <c r="E211" s="77">
        <v>43344</v>
      </c>
      <c r="F211" s="78">
        <v>0.26085648148148149</v>
      </c>
      <c r="G211" s="75">
        <v>2</v>
      </c>
      <c r="H211" s="75">
        <v>15</v>
      </c>
      <c r="I211" s="75">
        <v>38</v>
      </c>
    </row>
    <row r="212" spans="1:9">
      <c r="A212" s="75">
        <v>19</v>
      </c>
      <c r="B212" s="75">
        <v>1</v>
      </c>
      <c r="C212" s="75">
        <v>15</v>
      </c>
      <c r="D212" s="76">
        <v>43346.273842592593</v>
      </c>
      <c r="E212" s="77">
        <v>43344</v>
      </c>
      <c r="F212" s="78">
        <v>0.27384259259259258</v>
      </c>
      <c r="G212" s="75">
        <v>2</v>
      </c>
      <c r="H212" s="75">
        <v>34</v>
      </c>
      <c r="I212" s="75">
        <v>20</v>
      </c>
    </row>
    <row r="213" spans="1:9">
      <c r="A213" s="75">
        <v>14</v>
      </c>
      <c r="B213" s="75">
        <v>1</v>
      </c>
      <c r="C213" s="75">
        <v>15</v>
      </c>
      <c r="D213" s="76">
        <v>43346.281689814816</v>
      </c>
      <c r="E213" s="77">
        <v>43344</v>
      </c>
      <c r="F213" s="78">
        <v>0.28168981481481481</v>
      </c>
      <c r="G213" s="75">
        <v>2</v>
      </c>
      <c r="H213" s="75">
        <v>45</v>
      </c>
      <c r="I213" s="75">
        <v>38</v>
      </c>
    </row>
    <row r="214" spans="1:9">
      <c r="A214" s="75">
        <v>17</v>
      </c>
      <c r="B214" s="75">
        <v>1</v>
      </c>
      <c r="C214" s="75">
        <v>18</v>
      </c>
      <c r="D214" s="76">
        <v>43346.292118055557</v>
      </c>
      <c r="E214" s="77">
        <v>43344</v>
      </c>
      <c r="F214" s="78">
        <v>0.29211805555555553</v>
      </c>
      <c r="G214" s="75">
        <v>2</v>
      </c>
      <c r="H214" s="75">
        <v>0</v>
      </c>
      <c r="I214" s="75">
        <v>39</v>
      </c>
    </row>
    <row r="215" spans="1:9">
      <c r="A215" s="75">
        <v>43</v>
      </c>
      <c r="B215" s="75">
        <v>1</v>
      </c>
      <c r="C215" s="75">
        <v>44</v>
      </c>
      <c r="D215" s="76">
        <v>43346.302546296298</v>
      </c>
      <c r="E215" s="77">
        <v>43344</v>
      </c>
      <c r="F215" s="78">
        <v>0.30254629629629631</v>
      </c>
      <c r="G215" s="75">
        <v>2</v>
      </c>
      <c r="H215" s="75">
        <v>15</v>
      </c>
      <c r="I215" s="75">
        <v>40</v>
      </c>
    </row>
    <row r="216" spans="1:9">
      <c r="A216" s="75">
        <v>49</v>
      </c>
      <c r="B216" s="75">
        <v>1</v>
      </c>
      <c r="C216" s="75">
        <v>50</v>
      </c>
      <c r="D216" s="76">
        <v>43346.312962962962</v>
      </c>
      <c r="E216" s="77">
        <v>43344</v>
      </c>
      <c r="F216" s="78">
        <v>0.31296296296296294</v>
      </c>
      <c r="G216" s="75">
        <v>2</v>
      </c>
      <c r="H216" s="75">
        <v>30</v>
      </c>
      <c r="I216" s="75">
        <v>40</v>
      </c>
    </row>
    <row r="217" spans="1:9">
      <c r="A217" s="75">
        <v>49</v>
      </c>
      <c r="B217" s="75">
        <v>2</v>
      </c>
      <c r="C217" s="75">
        <v>51</v>
      </c>
      <c r="D217" s="76">
        <v>43346.323391203703</v>
      </c>
      <c r="E217" s="77">
        <v>43344</v>
      </c>
      <c r="F217" s="78">
        <v>0.32339120370370372</v>
      </c>
      <c r="G217" s="75">
        <v>2</v>
      </c>
      <c r="H217" s="75">
        <v>45</v>
      </c>
      <c r="I217" s="75">
        <v>41</v>
      </c>
    </row>
    <row r="218" spans="1:9">
      <c r="A218" s="75">
        <v>52</v>
      </c>
      <c r="B218" s="75">
        <v>1</v>
      </c>
      <c r="C218" s="75">
        <v>53</v>
      </c>
      <c r="D218" s="76">
        <v>43346.333796296298</v>
      </c>
      <c r="E218" s="77">
        <v>43344</v>
      </c>
      <c r="F218" s="78">
        <v>0.33379629629629631</v>
      </c>
      <c r="G218" s="75">
        <v>2</v>
      </c>
      <c r="H218" s="75">
        <v>0</v>
      </c>
      <c r="I218" s="75">
        <v>40</v>
      </c>
    </row>
    <row r="219" spans="1:9">
      <c r="A219" s="75">
        <v>80</v>
      </c>
      <c r="B219" s="75">
        <v>2</v>
      </c>
      <c r="C219" s="75">
        <v>82</v>
      </c>
      <c r="D219" s="76">
        <v>43346.344212962962</v>
      </c>
      <c r="E219" s="77">
        <v>43344</v>
      </c>
      <c r="F219" s="78">
        <v>0.34421296296296294</v>
      </c>
      <c r="G219" s="75">
        <v>2</v>
      </c>
      <c r="H219" s="75">
        <v>15</v>
      </c>
      <c r="I219" s="75">
        <v>40</v>
      </c>
    </row>
    <row r="220" spans="1:9">
      <c r="A220" s="75">
        <v>115</v>
      </c>
      <c r="B220" s="75">
        <v>4</v>
      </c>
      <c r="C220" s="75">
        <v>119</v>
      </c>
      <c r="D220" s="76">
        <v>43346.354641203703</v>
      </c>
      <c r="E220" s="77">
        <v>43344</v>
      </c>
      <c r="F220" s="78">
        <v>0.35464120370370367</v>
      </c>
      <c r="G220" s="75">
        <v>2</v>
      </c>
      <c r="H220" s="75">
        <v>30</v>
      </c>
      <c r="I220" s="75">
        <v>41</v>
      </c>
    </row>
    <row r="221" spans="1:9">
      <c r="A221" s="75">
        <v>184</v>
      </c>
      <c r="B221" s="75">
        <v>3</v>
      </c>
      <c r="C221" s="75">
        <v>187</v>
      </c>
      <c r="D221" s="76">
        <v>43346.365046296298</v>
      </c>
      <c r="E221" s="77">
        <v>43344</v>
      </c>
      <c r="F221" s="78">
        <v>0.36504629629629631</v>
      </c>
      <c r="G221" s="75">
        <v>2</v>
      </c>
      <c r="H221" s="75">
        <v>45</v>
      </c>
      <c r="I221" s="75">
        <v>40</v>
      </c>
    </row>
    <row r="222" spans="1:9">
      <c r="A222" s="75">
        <v>172</v>
      </c>
      <c r="B222" s="75">
        <v>2</v>
      </c>
      <c r="C222" s="75">
        <v>174</v>
      </c>
      <c r="D222" s="76">
        <v>43346.375462962962</v>
      </c>
      <c r="E222" s="77">
        <v>43344</v>
      </c>
      <c r="F222" s="78">
        <v>0.37546296296296294</v>
      </c>
      <c r="G222" s="75">
        <v>2</v>
      </c>
      <c r="H222" s="75">
        <v>0</v>
      </c>
      <c r="I222" s="75">
        <v>40</v>
      </c>
    </row>
    <row r="223" spans="1:9">
      <c r="A223" s="75">
        <v>265</v>
      </c>
      <c r="B223" s="75">
        <v>2</v>
      </c>
      <c r="C223" s="75">
        <v>267</v>
      </c>
      <c r="D223" s="76">
        <v>43346.385868055557</v>
      </c>
      <c r="E223" s="77">
        <v>43344</v>
      </c>
      <c r="F223" s="78">
        <v>0.38586805555555559</v>
      </c>
      <c r="G223" s="75">
        <v>2</v>
      </c>
      <c r="H223" s="75">
        <v>15</v>
      </c>
      <c r="I223" s="75">
        <v>39</v>
      </c>
    </row>
    <row r="224" spans="1:9">
      <c r="A224" s="75">
        <v>400</v>
      </c>
      <c r="B224" s="75">
        <v>5</v>
      </c>
      <c r="C224" s="75">
        <v>405</v>
      </c>
      <c r="D224" s="76">
        <v>43346.396296296298</v>
      </c>
      <c r="E224" s="77">
        <v>43344</v>
      </c>
      <c r="F224" s="78">
        <v>0.39629629629629631</v>
      </c>
      <c r="G224" s="75">
        <v>2</v>
      </c>
      <c r="H224" s="75">
        <v>30</v>
      </c>
      <c r="I224" s="75">
        <v>40</v>
      </c>
    </row>
    <row r="225" spans="1:9">
      <c r="A225" s="75">
        <v>739</v>
      </c>
      <c r="B225" s="75">
        <v>5</v>
      </c>
      <c r="C225" s="75">
        <v>744</v>
      </c>
      <c r="D225" s="76">
        <v>43346.406712962962</v>
      </c>
      <c r="E225" s="77">
        <v>43344</v>
      </c>
      <c r="F225" s="78">
        <v>0.40671296296296294</v>
      </c>
      <c r="G225" s="75">
        <v>2</v>
      </c>
      <c r="H225" s="75">
        <v>45</v>
      </c>
      <c r="I225" s="75">
        <v>40</v>
      </c>
    </row>
    <row r="226" spans="1:9">
      <c r="A226" s="75">
        <v>637</v>
      </c>
      <c r="B226" s="75">
        <v>8</v>
      </c>
      <c r="C226" s="75">
        <v>645</v>
      </c>
      <c r="D226" s="76">
        <v>43346.417129629626</v>
      </c>
      <c r="E226" s="77">
        <v>43344</v>
      </c>
      <c r="F226" s="78">
        <v>0.41712962962962963</v>
      </c>
      <c r="G226" s="75">
        <v>2</v>
      </c>
      <c r="H226" s="75">
        <v>0</v>
      </c>
      <c r="I226" s="75">
        <v>40</v>
      </c>
    </row>
    <row r="227" spans="1:9">
      <c r="A227" s="75">
        <v>619</v>
      </c>
      <c r="B227" s="75">
        <v>18</v>
      </c>
      <c r="C227" s="75">
        <v>637</v>
      </c>
      <c r="D227" s="76">
        <v>43346.427546296298</v>
      </c>
      <c r="E227" s="77">
        <v>43344</v>
      </c>
      <c r="F227" s="78">
        <v>0.42754629629629631</v>
      </c>
      <c r="G227" s="75">
        <v>2</v>
      </c>
      <c r="H227" s="75">
        <v>15</v>
      </c>
      <c r="I227" s="75">
        <v>40</v>
      </c>
    </row>
    <row r="228" spans="1:9">
      <c r="A228" s="75">
        <v>742</v>
      </c>
      <c r="B228" s="75">
        <v>12</v>
      </c>
      <c r="C228" s="75">
        <v>754</v>
      </c>
      <c r="D228" s="76">
        <v>43346.437951388885</v>
      </c>
      <c r="E228" s="77">
        <v>43344</v>
      </c>
      <c r="F228" s="78">
        <v>0.4379513888888889</v>
      </c>
      <c r="G228" s="75">
        <v>2</v>
      </c>
      <c r="H228" s="75">
        <v>30</v>
      </c>
      <c r="I228" s="75">
        <v>39</v>
      </c>
    </row>
    <row r="229" spans="1:9">
      <c r="A229" s="75">
        <v>927</v>
      </c>
      <c r="B229" s="75">
        <v>22</v>
      </c>
      <c r="C229" s="75">
        <v>949</v>
      </c>
      <c r="D229" s="76">
        <v>43346.448379629626</v>
      </c>
      <c r="E229" s="77">
        <v>43344</v>
      </c>
      <c r="F229" s="78">
        <v>0.44837962962962963</v>
      </c>
      <c r="G229" s="75">
        <v>2</v>
      </c>
      <c r="H229" s="75">
        <v>45</v>
      </c>
      <c r="I229" s="75">
        <v>40</v>
      </c>
    </row>
    <row r="230" spans="1:9">
      <c r="A230" s="75">
        <v>678</v>
      </c>
      <c r="B230" s="75">
        <v>20</v>
      </c>
      <c r="C230" s="75">
        <v>698</v>
      </c>
      <c r="D230" s="76">
        <v>43346.458784722221</v>
      </c>
      <c r="E230" s="77">
        <v>43344</v>
      </c>
      <c r="F230" s="78">
        <v>0.45878472222222227</v>
      </c>
      <c r="G230" s="75">
        <v>2</v>
      </c>
      <c r="H230" s="75">
        <v>0</v>
      </c>
      <c r="I230" s="75">
        <v>39</v>
      </c>
    </row>
    <row r="231" spans="1:9">
      <c r="A231" s="75">
        <v>476</v>
      </c>
      <c r="B231" s="75">
        <v>14</v>
      </c>
      <c r="C231" s="75">
        <v>490</v>
      </c>
      <c r="D231" s="76">
        <v>43346.469212962962</v>
      </c>
      <c r="E231" s="77">
        <v>43344</v>
      </c>
      <c r="F231" s="78">
        <v>0.46921296296296294</v>
      </c>
      <c r="G231" s="75">
        <v>2</v>
      </c>
      <c r="H231" s="75">
        <v>15</v>
      </c>
      <c r="I231" s="75">
        <v>40</v>
      </c>
    </row>
    <row r="232" spans="1:9">
      <c r="A232" s="75">
        <v>473</v>
      </c>
      <c r="B232" s="75">
        <v>6</v>
      </c>
      <c r="C232" s="75">
        <v>479</v>
      </c>
      <c r="D232" s="76">
        <v>43346.479618055557</v>
      </c>
      <c r="E232" s="77">
        <v>43344</v>
      </c>
      <c r="F232" s="78">
        <v>0.47961805555555559</v>
      </c>
      <c r="G232" s="75">
        <v>2</v>
      </c>
      <c r="H232" s="75">
        <v>30</v>
      </c>
      <c r="I232" s="75">
        <v>39</v>
      </c>
    </row>
    <row r="233" spans="1:9">
      <c r="A233" s="75">
        <v>489</v>
      </c>
      <c r="B233" s="75">
        <v>5</v>
      </c>
      <c r="C233" s="75">
        <v>494</v>
      </c>
      <c r="D233" s="76">
        <v>43346.490046296298</v>
      </c>
      <c r="E233" s="77">
        <v>43344</v>
      </c>
      <c r="F233" s="78">
        <v>0.49004629629629631</v>
      </c>
      <c r="G233" s="75">
        <v>2</v>
      </c>
      <c r="H233" s="75">
        <v>45</v>
      </c>
      <c r="I233" s="75">
        <v>40</v>
      </c>
    </row>
    <row r="234" spans="1:9">
      <c r="A234" s="75">
        <v>373</v>
      </c>
      <c r="B234" s="75">
        <v>2</v>
      </c>
      <c r="C234" s="75">
        <v>375</v>
      </c>
      <c r="D234" s="76">
        <v>43346.500451388885</v>
      </c>
      <c r="E234" s="77">
        <v>43344</v>
      </c>
      <c r="F234" s="78">
        <v>0.50045138888888896</v>
      </c>
      <c r="G234" s="75">
        <v>2</v>
      </c>
      <c r="H234" s="75">
        <v>0</v>
      </c>
      <c r="I234" s="75">
        <v>39</v>
      </c>
    </row>
    <row r="235" spans="1:9">
      <c r="A235" s="75">
        <v>295</v>
      </c>
      <c r="B235" s="75">
        <v>3</v>
      </c>
      <c r="C235" s="75">
        <v>298</v>
      </c>
      <c r="D235" s="76">
        <v>43346.510868055557</v>
      </c>
      <c r="E235" s="77">
        <v>43344</v>
      </c>
      <c r="F235" s="78">
        <v>0.51086805555555559</v>
      </c>
      <c r="G235" s="75">
        <v>2</v>
      </c>
      <c r="H235" s="75">
        <v>15</v>
      </c>
      <c r="I235" s="75">
        <v>39</v>
      </c>
    </row>
    <row r="236" spans="1:9">
      <c r="A236" s="75">
        <v>287</v>
      </c>
      <c r="B236" s="75">
        <v>2</v>
      </c>
      <c r="C236" s="75">
        <v>289</v>
      </c>
      <c r="D236" s="76">
        <v>43346.521284722221</v>
      </c>
      <c r="E236" s="77">
        <v>43344</v>
      </c>
      <c r="F236" s="78">
        <v>0.52128472222222222</v>
      </c>
      <c r="G236" s="75">
        <v>2</v>
      </c>
      <c r="H236" s="75">
        <v>30</v>
      </c>
      <c r="I236" s="75">
        <v>39</v>
      </c>
    </row>
    <row r="237" spans="1:9">
      <c r="A237" s="75">
        <v>353</v>
      </c>
      <c r="B237" s="75">
        <v>6</v>
      </c>
      <c r="C237" s="75">
        <v>359</v>
      </c>
      <c r="D237" s="76">
        <v>43346.531712962962</v>
      </c>
      <c r="E237" s="77">
        <v>43344</v>
      </c>
      <c r="F237" s="78">
        <v>0.531712962962963</v>
      </c>
      <c r="G237" s="75">
        <v>2</v>
      </c>
      <c r="H237" s="75">
        <v>45</v>
      </c>
      <c r="I237" s="75">
        <v>40</v>
      </c>
    </row>
    <row r="238" spans="1:9">
      <c r="A238" s="75">
        <v>280</v>
      </c>
      <c r="B238" s="75">
        <v>3</v>
      </c>
      <c r="C238" s="75">
        <v>283</v>
      </c>
      <c r="D238" s="76">
        <v>43346.542129629626</v>
      </c>
      <c r="E238" s="77">
        <v>43344</v>
      </c>
      <c r="F238" s="78">
        <v>0.54212962962962963</v>
      </c>
      <c r="G238" s="75">
        <v>2</v>
      </c>
      <c r="H238" s="75">
        <v>0</v>
      </c>
      <c r="I238" s="75">
        <v>40</v>
      </c>
    </row>
    <row r="239" spans="1:9">
      <c r="A239" s="75">
        <v>333</v>
      </c>
      <c r="B239" s="75">
        <v>2</v>
      </c>
      <c r="C239" s="75">
        <v>335</v>
      </c>
      <c r="D239" s="76">
        <v>43346.552546296298</v>
      </c>
      <c r="E239" s="77">
        <v>43344</v>
      </c>
      <c r="F239" s="78">
        <v>0.55254629629629626</v>
      </c>
      <c r="G239" s="75">
        <v>2</v>
      </c>
      <c r="H239" s="75">
        <v>15</v>
      </c>
      <c r="I239" s="75">
        <v>40</v>
      </c>
    </row>
    <row r="240" spans="1:9">
      <c r="A240" s="75">
        <v>300</v>
      </c>
      <c r="B240" s="75">
        <v>1</v>
      </c>
      <c r="C240" s="75">
        <v>301</v>
      </c>
      <c r="D240" s="76">
        <v>43346.562951388885</v>
      </c>
      <c r="E240" s="77">
        <v>43344</v>
      </c>
      <c r="F240" s="78">
        <v>0.56295138888888896</v>
      </c>
      <c r="G240" s="75">
        <v>2</v>
      </c>
      <c r="H240" s="75">
        <v>30</v>
      </c>
      <c r="I240" s="75">
        <v>39</v>
      </c>
    </row>
    <row r="241" spans="1:9">
      <c r="A241" s="75">
        <v>354</v>
      </c>
      <c r="B241" s="75">
        <v>2</v>
      </c>
      <c r="C241" s="75">
        <v>356</v>
      </c>
      <c r="D241" s="76">
        <v>43346.573379629626</v>
      </c>
      <c r="E241" s="77">
        <v>43344</v>
      </c>
      <c r="F241" s="78">
        <v>0.57337962962962963</v>
      </c>
      <c r="G241" s="75">
        <v>2</v>
      </c>
      <c r="H241" s="75">
        <v>45</v>
      </c>
      <c r="I241" s="75">
        <v>40</v>
      </c>
    </row>
    <row r="242" spans="1:9">
      <c r="A242" s="75">
        <v>324</v>
      </c>
      <c r="B242" s="75">
        <v>2</v>
      </c>
      <c r="C242" s="75">
        <v>326</v>
      </c>
      <c r="D242" s="76">
        <v>43346.583784722221</v>
      </c>
      <c r="E242" s="77">
        <v>43344</v>
      </c>
      <c r="F242" s="78">
        <v>0.58378472222222222</v>
      </c>
      <c r="G242" s="75">
        <v>2</v>
      </c>
      <c r="H242" s="75">
        <v>0</v>
      </c>
      <c r="I242" s="75">
        <v>39</v>
      </c>
    </row>
    <row r="243" spans="1:9">
      <c r="A243" s="75">
        <v>343</v>
      </c>
      <c r="B243" s="75">
        <v>1</v>
      </c>
      <c r="C243" s="75">
        <v>344</v>
      </c>
      <c r="D243" s="76">
        <v>43346.594212962962</v>
      </c>
      <c r="E243" s="77">
        <v>43344</v>
      </c>
      <c r="F243" s="78">
        <v>0.594212962962963</v>
      </c>
      <c r="G243" s="75">
        <v>2</v>
      </c>
      <c r="H243" s="75">
        <v>15</v>
      </c>
      <c r="I243" s="75">
        <v>40</v>
      </c>
    </row>
    <row r="244" spans="1:9">
      <c r="A244" s="75">
        <v>344</v>
      </c>
      <c r="B244" s="75">
        <v>1</v>
      </c>
      <c r="C244" s="75">
        <v>345</v>
      </c>
      <c r="D244" s="76">
        <v>43346.604618055557</v>
      </c>
      <c r="E244" s="77">
        <v>43344</v>
      </c>
      <c r="F244" s="78">
        <v>0.60461805555555559</v>
      </c>
      <c r="G244" s="75">
        <v>2</v>
      </c>
      <c r="H244" s="75">
        <v>30</v>
      </c>
      <c r="I244" s="75">
        <v>39</v>
      </c>
    </row>
    <row r="245" spans="1:9">
      <c r="A245" s="75">
        <v>341</v>
      </c>
      <c r="B245" s="75">
        <v>2</v>
      </c>
      <c r="C245" s="75">
        <v>343</v>
      </c>
      <c r="D245" s="76">
        <v>43346.615046296298</v>
      </c>
      <c r="E245" s="77">
        <v>43344</v>
      </c>
      <c r="F245" s="78">
        <v>0.61504629629629626</v>
      </c>
      <c r="G245" s="75">
        <v>2</v>
      </c>
      <c r="H245" s="75">
        <v>45</v>
      </c>
      <c r="I245" s="75">
        <v>40</v>
      </c>
    </row>
    <row r="246" spans="1:9">
      <c r="A246" s="75">
        <v>350</v>
      </c>
      <c r="B246" s="75">
        <v>2</v>
      </c>
      <c r="C246" s="75">
        <v>352</v>
      </c>
      <c r="D246" s="76">
        <v>43346.625462962962</v>
      </c>
      <c r="E246" s="77">
        <v>43344</v>
      </c>
      <c r="F246" s="78">
        <v>0.625462962962963</v>
      </c>
      <c r="G246" s="75">
        <v>2</v>
      </c>
      <c r="H246" s="75">
        <v>0</v>
      </c>
      <c r="I246" s="75">
        <v>40</v>
      </c>
    </row>
    <row r="247" spans="1:9">
      <c r="A247" s="75">
        <v>443</v>
      </c>
      <c r="B247" s="75">
        <v>4</v>
      </c>
      <c r="C247" s="75">
        <v>447</v>
      </c>
      <c r="D247" s="76">
        <v>43346.635868055557</v>
      </c>
      <c r="E247" s="77">
        <v>43344</v>
      </c>
      <c r="F247" s="78">
        <v>0.63586805555555559</v>
      </c>
      <c r="G247" s="75">
        <v>2</v>
      </c>
      <c r="H247" s="75">
        <v>15</v>
      </c>
      <c r="I247" s="75">
        <v>39</v>
      </c>
    </row>
    <row r="248" spans="1:9">
      <c r="A248" s="75">
        <v>402</v>
      </c>
      <c r="B248" s="75">
        <v>3</v>
      </c>
      <c r="C248" s="75">
        <v>405</v>
      </c>
      <c r="D248" s="76">
        <v>43346.646284722221</v>
      </c>
      <c r="E248" s="77">
        <v>43344</v>
      </c>
      <c r="F248" s="78">
        <v>0.64628472222222222</v>
      </c>
      <c r="G248" s="75">
        <v>2</v>
      </c>
      <c r="H248" s="75">
        <v>30</v>
      </c>
      <c r="I248" s="75">
        <v>39</v>
      </c>
    </row>
    <row r="249" spans="1:9">
      <c r="A249" s="75">
        <v>470</v>
      </c>
      <c r="B249" s="75">
        <v>1</v>
      </c>
      <c r="C249" s="75">
        <v>471</v>
      </c>
      <c r="D249" s="76">
        <v>43346.656701388885</v>
      </c>
      <c r="E249" s="77">
        <v>43344</v>
      </c>
      <c r="F249" s="78">
        <v>0.65670138888888896</v>
      </c>
      <c r="G249" s="75">
        <v>2</v>
      </c>
      <c r="H249" s="75">
        <v>45</v>
      </c>
      <c r="I249" s="75">
        <v>39</v>
      </c>
    </row>
    <row r="250" spans="1:9">
      <c r="A250" s="75">
        <v>436</v>
      </c>
      <c r="B250" s="75">
        <v>4</v>
      </c>
      <c r="C250" s="75">
        <v>440</v>
      </c>
      <c r="D250" s="76">
        <v>43346.667118055557</v>
      </c>
      <c r="E250" s="77">
        <v>43344</v>
      </c>
      <c r="F250" s="78">
        <v>0.66711805555555559</v>
      </c>
      <c r="G250" s="75">
        <v>2</v>
      </c>
      <c r="H250" s="75">
        <v>0</v>
      </c>
      <c r="I250" s="75">
        <v>39</v>
      </c>
    </row>
    <row r="251" spans="1:9">
      <c r="A251" s="75">
        <v>616</v>
      </c>
      <c r="B251" s="75">
        <v>2</v>
      </c>
      <c r="C251" s="75">
        <v>618</v>
      </c>
      <c r="D251" s="76">
        <v>43346.677534722221</v>
      </c>
      <c r="E251" s="77">
        <v>43344</v>
      </c>
      <c r="F251" s="78">
        <v>0.67753472222222222</v>
      </c>
      <c r="G251" s="75">
        <v>2</v>
      </c>
      <c r="H251" s="75">
        <v>15</v>
      </c>
      <c r="I251" s="75">
        <v>39</v>
      </c>
    </row>
    <row r="252" spans="1:9">
      <c r="A252" s="75">
        <v>534</v>
      </c>
      <c r="B252" s="75">
        <v>3</v>
      </c>
      <c r="C252" s="75">
        <v>537</v>
      </c>
      <c r="D252" s="76">
        <v>43346.687951388885</v>
      </c>
      <c r="E252" s="77">
        <v>43344</v>
      </c>
      <c r="F252" s="78">
        <v>0.68795138888888896</v>
      </c>
      <c r="G252" s="75">
        <v>2</v>
      </c>
      <c r="H252" s="75">
        <v>30</v>
      </c>
      <c r="I252" s="75">
        <v>39</v>
      </c>
    </row>
    <row r="253" spans="1:9">
      <c r="A253" s="75">
        <v>496</v>
      </c>
      <c r="B253" s="75">
        <v>3</v>
      </c>
      <c r="C253" s="75">
        <v>499</v>
      </c>
      <c r="D253" s="76">
        <v>43346.698368055557</v>
      </c>
      <c r="E253" s="77">
        <v>43344</v>
      </c>
      <c r="F253" s="78">
        <v>0.69836805555555559</v>
      </c>
      <c r="G253" s="75">
        <v>2</v>
      </c>
      <c r="H253" s="75">
        <v>45</v>
      </c>
      <c r="I253" s="75">
        <v>39</v>
      </c>
    </row>
    <row r="254" spans="1:9">
      <c r="A254" s="75">
        <v>422</v>
      </c>
      <c r="B254" s="75">
        <v>3</v>
      </c>
      <c r="C254" s="75">
        <v>425</v>
      </c>
      <c r="D254" s="76">
        <v>43346.708784722221</v>
      </c>
      <c r="E254" s="77">
        <v>43344</v>
      </c>
      <c r="F254" s="78">
        <v>0.70878472222222222</v>
      </c>
      <c r="G254" s="75">
        <v>2</v>
      </c>
      <c r="H254" s="75">
        <v>0</v>
      </c>
      <c r="I254" s="75">
        <v>39</v>
      </c>
    </row>
    <row r="255" spans="1:9">
      <c r="A255" s="75">
        <v>598</v>
      </c>
      <c r="B255" s="75">
        <v>6</v>
      </c>
      <c r="C255" s="75">
        <v>604</v>
      </c>
      <c r="D255" s="76">
        <v>43346.719201388885</v>
      </c>
      <c r="E255" s="77">
        <v>43344</v>
      </c>
      <c r="F255" s="78">
        <v>0.71920138888888896</v>
      </c>
      <c r="G255" s="75">
        <v>2</v>
      </c>
      <c r="H255" s="75">
        <v>15</v>
      </c>
      <c r="I255" s="75">
        <v>39</v>
      </c>
    </row>
    <row r="256" spans="1:9">
      <c r="A256" s="75">
        <v>528</v>
      </c>
      <c r="B256" s="75">
        <v>8</v>
      </c>
      <c r="C256" s="75">
        <v>536</v>
      </c>
      <c r="D256" s="76">
        <v>43346.729618055557</v>
      </c>
      <c r="E256" s="77">
        <v>43344</v>
      </c>
      <c r="F256" s="78">
        <v>0.72961805555555559</v>
      </c>
      <c r="G256" s="75">
        <v>2</v>
      </c>
      <c r="H256" s="75">
        <v>30</v>
      </c>
      <c r="I256" s="75">
        <v>39</v>
      </c>
    </row>
    <row r="257" spans="1:9">
      <c r="A257" s="75">
        <v>526</v>
      </c>
      <c r="B257" s="75">
        <v>3</v>
      </c>
      <c r="C257" s="75">
        <v>529</v>
      </c>
      <c r="D257" s="76">
        <v>43346.740034722221</v>
      </c>
      <c r="E257" s="77">
        <v>43344</v>
      </c>
      <c r="F257" s="78">
        <v>0.74003472222222222</v>
      </c>
      <c r="G257" s="75">
        <v>2</v>
      </c>
      <c r="H257" s="75">
        <v>45</v>
      </c>
      <c r="I257" s="75">
        <v>39</v>
      </c>
    </row>
    <row r="258" spans="1:9">
      <c r="A258" s="75">
        <v>476</v>
      </c>
      <c r="B258" s="75">
        <v>4</v>
      </c>
      <c r="C258" s="75">
        <v>480</v>
      </c>
      <c r="D258" s="76">
        <v>43346.750451388885</v>
      </c>
      <c r="E258" s="77">
        <v>43344</v>
      </c>
      <c r="F258" s="78">
        <v>0.75045138888888896</v>
      </c>
      <c r="G258" s="75">
        <v>2</v>
      </c>
      <c r="H258" s="75">
        <v>0</v>
      </c>
      <c r="I258" s="75">
        <v>39</v>
      </c>
    </row>
    <row r="259" spans="1:9">
      <c r="A259" s="75">
        <v>536</v>
      </c>
      <c r="B259" s="75">
        <v>11</v>
      </c>
      <c r="C259" s="75">
        <v>547</v>
      </c>
      <c r="D259" s="76">
        <v>43346.760879629626</v>
      </c>
      <c r="E259" s="77">
        <v>43344</v>
      </c>
      <c r="F259" s="78">
        <v>0.76087962962962974</v>
      </c>
      <c r="G259" s="75">
        <v>2</v>
      </c>
      <c r="H259" s="75">
        <v>15</v>
      </c>
      <c r="I259" s="75">
        <v>40</v>
      </c>
    </row>
    <row r="260" spans="1:9">
      <c r="A260" s="75">
        <v>472</v>
      </c>
      <c r="B260" s="75">
        <v>10</v>
      </c>
      <c r="C260" s="75">
        <v>482</v>
      </c>
      <c r="D260" s="76">
        <v>43346.771284722221</v>
      </c>
      <c r="E260" s="77">
        <v>43344</v>
      </c>
      <c r="F260" s="78">
        <v>0.77128472222222222</v>
      </c>
      <c r="G260" s="75">
        <v>2</v>
      </c>
      <c r="H260" s="75">
        <v>30</v>
      </c>
      <c r="I260" s="75">
        <v>39</v>
      </c>
    </row>
    <row r="261" spans="1:9">
      <c r="A261" s="75">
        <v>520</v>
      </c>
      <c r="B261" s="75">
        <v>9</v>
      </c>
      <c r="C261" s="75">
        <v>529</v>
      </c>
      <c r="D261" s="76">
        <v>43346.781712962962</v>
      </c>
      <c r="E261" s="77">
        <v>43344</v>
      </c>
      <c r="F261" s="78">
        <v>0.781712962962963</v>
      </c>
      <c r="G261" s="75">
        <v>2</v>
      </c>
      <c r="H261" s="75">
        <v>45</v>
      </c>
      <c r="I261" s="75">
        <v>40</v>
      </c>
    </row>
    <row r="262" spans="1:9">
      <c r="A262" s="75">
        <v>473</v>
      </c>
      <c r="B262" s="75">
        <v>12</v>
      </c>
      <c r="C262" s="75">
        <v>485</v>
      </c>
      <c r="D262" s="76">
        <v>43346.79210648148</v>
      </c>
      <c r="E262" s="77">
        <v>43344</v>
      </c>
      <c r="F262" s="78">
        <v>0.79210648148148144</v>
      </c>
      <c r="G262" s="75">
        <v>2</v>
      </c>
      <c r="H262" s="75">
        <v>0</v>
      </c>
      <c r="I262" s="75">
        <v>38</v>
      </c>
    </row>
    <row r="263" spans="1:9">
      <c r="A263" s="75">
        <v>631</v>
      </c>
      <c r="B263" s="75">
        <v>14</v>
      </c>
      <c r="C263" s="75">
        <v>645</v>
      </c>
      <c r="D263" s="76">
        <v>43346.802546296298</v>
      </c>
      <c r="E263" s="77">
        <v>43344</v>
      </c>
      <c r="F263" s="78">
        <v>0.80254629629629637</v>
      </c>
      <c r="G263" s="75">
        <v>2</v>
      </c>
      <c r="H263" s="75">
        <v>15</v>
      </c>
      <c r="I263" s="75">
        <v>40</v>
      </c>
    </row>
    <row r="264" spans="1:9">
      <c r="A264" s="75">
        <v>647</v>
      </c>
      <c r="B264" s="75">
        <v>11</v>
      </c>
      <c r="C264" s="75">
        <v>658</v>
      </c>
      <c r="D264" s="76">
        <v>43346.812951388885</v>
      </c>
      <c r="E264" s="77">
        <v>43344</v>
      </c>
      <c r="F264" s="78">
        <v>0.81295138888888896</v>
      </c>
      <c r="G264" s="75">
        <v>2</v>
      </c>
      <c r="H264" s="75">
        <v>30</v>
      </c>
      <c r="I264" s="75">
        <v>39</v>
      </c>
    </row>
    <row r="265" spans="1:9">
      <c r="A265" s="75">
        <v>789</v>
      </c>
      <c r="B265" s="75">
        <v>8</v>
      </c>
      <c r="C265" s="75">
        <v>797</v>
      </c>
      <c r="D265" s="76">
        <v>43346.823368055557</v>
      </c>
      <c r="E265" s="77">
        <v>43344</v>
      </c>
      <c r="F265" s="78">
        <v>0.82336805555555559</v>
      </c>
      <c r="G265" s="75">
        <v>2</v>
      </c>
      <c r="H265" s="75">
        <v>45</v>
      </c>
      <c r="I265" s="75">
        <v>39</v>
      </c>
    </row>
    <row r="266" spans="1:9">
      <c r="A266" s="75">
        <v>696</v>
      </c>
      <c r="B266" s="75">
        <v>16</v>
      </c>
      <c r="C266" s="75">
        <v>712</v>
      </c>
      <c r="D266" s="76">
        <v>43346.833784722221</v>
      </c>
      <c r="E266" s="77">
        <v>43344</v>
      </c>
      <c r="F266" s="78">
        <v>0.83378472222222222</v>
      </c>
      <c r="G266" s="75">
        <v>2</v>
      </c>
      <c r="H266" s="75">
        <v>0</v>
      </c>
      <c r="I266" s="75">
        <v>39</v>
      </c>
    </row>
    <row r="267" spans="1:9">
      <c r="A267" s="75">
        <v>1006</v>
      </c>
      <c r="B267" s="75">
        <v>19</v>
      </c>
      <c r="C267" s="75">
        <v>1025</v>
      </c>
      <c r="D267" s="76">
        <v>43346.844201388885</v>
      </c>
      <c r="E267" s="77">
        <v>43344</v>
      </c>
      <c r="F267" s="78">
        <v>0.84420138888888896</v>
      </c>
      <c r="G267" s="75">
        <v>2</v>
      </c>
      <c r="H267" s="75">
        <v>15</v>
      </c>
      <c r="I267" s="75">
        <v>39</v>
      </c>
    </row>
    <row r="268" spans="1:9">
      <c r="A268" s="75">
        <v>961</v>
      </c>
      <c r="B268" s="75">
        <v>16</v>
      </c>
      <c r="C268" s="75">
        <v>977</v>
      </c>
      <c r="D268" s="76">
        <v>43346.85460648148</v>
      </c>
      <c r="E268" s="77">
        <v>43344</v>
      </c>
      <c r="F268" s="78">
        <v>0.85460648148148144</v>
      </c>
      <c r="G268" s="75">
        <v>2</v>
      </c>
      <c r="H268" s="75">
        <v>30</v>
      </c>
      <c r="I268" s="75">
        <v>38</v>
      </c>
    </row>
    <row r="269" spans="1:9">
      <c r="A269" s="75">
        <v>904</v>
      </c>
      <c r="B269" s="75">
        <v>19</v>
      </c>
      <c r="C269" s="75">
        <v>923</v>
      </c>
      <c r="D269" s="76">
        <v>43346.865034722221</v>
      </c>
      <c r="E269" s="77">
        <v>43344</v>
      </c>
      <c r="F269" s="78">
        <v>0.86503472222222222</v>
      </c>
      <c r="G269" s="75">
        <v>2</v>
      </c>
      <c r="H269" s="75">
        <v>45</v>
      </c>
      <c r="I269" s="75">
        <v>39</v>
      </c>
    </row>
    <row r="270" spans="1:9">
      <c r="A270" s="75">
        <v>841</v>
      </c>
      <c r="B270" s="75">
        <v>18</v>
      </c>
      <c r="C270" s="75">
        <v>859</v>
      </c>
      <c r="D270" s="76">
        <v>43346.875462962962</v>
      </c>
      <c r="E270" s="77">
        <v>43344</v>
      </c>
      <c r="F270" s="78">
        <v>0.875462962962963</v>
      </c>
      <c r="G270" s="75">
        <v>2</v>
      </c>
      <c r="H270" s="75">
        <v>0</v>
      </c>
      <c r="I270" s="75">
        <v>40</v>
      </c>
    </row>
    <row r="271" spans="1:9">
      <c r="A271" s="75">
        <v>883</v>
      </c>
      <c r="B271" s="75">
        <v>18</v>
      </c>
      <c r="C271" s="75">
        <v>901</v>
      </c>
      <c r="D271" s="76">
        <v>43346.885868055557</v>
      </c>
      <c r="E271" s="77">
        <v>43344</v>
      </c>
      <c r="F271" s="78">
        <v>0.88586805555555559</v>
      </c>
      <c r="G271" s="75">
        <v>2</v>
      </c>
      <c r="H271" s="75">
        <v>15</v>
      </c>
      <c r="I271" s="75">
        <v>39</v>
      </c>
    </row>
    <row r="272" spans="1:9">
      <c r="A272" s="75">
        <v>825</v>
      </c>
      <c r="B272" s="75">
        <v>14</v>
      </c>
      <c r="C272" s="75">
        <v>839</v>
      </c>
      <c r="D272" s="76">
        <v>43346.896284722221</v>
      </c>
      <c r="E272" s="77">
        <v>43344</v>
      </c>
      <c r="F272" s="78">
        <v>0.89628472222222222</v>
      </c>
      <c r="G272" s="75">
        <v>2</v>
      </c>
      <c r="H272" s="75">
        <v>30</v>
      </c>
      <c r="I272" s="75">
        <v>39</v>
      </c>
    </row>
    <row r="273" spans="1:9">
      <c r="A273" s="75">
        <v>800</v>
      </c>
      <c r="B273" s="75">
        <v>12</v>
      </c>
      <c r="C273" s="75">
        <v>812</v>
      </c>
      <c r="D273" s="76">
        <v>43346.906701388885</v>
      </c>
      <c r="E273" s="77">
        <v>43344</v>
      </c>
      <c r="F273" s="78">
        <v>0.90670138888888896</v>
      </c>
      <c r="G273" s="75">
        <v>2</v>
      </c>
      <c r="H273" s="75">
        <v>45</v>
      </c>
      <c r="I273" s="75">
        <v>39</v>
      </c>
    </row>
    <row r="274" spans="1:9">
      <c r="A274" s="75">
        <v>689</v>
      </c>
      <c r="B274" s="75">
        <v>7</v>
      </c>
      <c r="C274" s="75">
        <v>696</v>
      </c>
      <c r="D274" s="76">
        <v>43346.917118055557</v>
      </c>
      <c r="E274" s="77">
        <v>43344</v>
      </c>
      <c r="F274" s="78">
        <v>0.91711805555555559</v>
      </c>
      <c r="G274" s="75">
        <v>2</v>
      </c>
      <c r="H274" s="75">
        <v>0</v>
      </c>
      <c r="I274" s="75">
        <v>39</v>
      </c>
    </row>
    <row r="275" spans="1:9">
      <c r="A275" s="75">
        <v>748</v>
      </c>
      <c r="B275" s="75">
        <v>8</v>
      </c>
      <c r="C275" s="75">
        <v>756</v>
      </c>
      <c r="D275" s="76">
        <v>43346.927534722221</v>
      </c>
      <c r="E275" s="77">
        <v>43344</v>
      </c>
      <c r="F275" s="78">
        <v>0.92753472222222222</v>
      </c>
      <c r="G275" s="75">
        <v>2</v>
      </c>
      <c r="H275" s="75">
        <v>15</v>
      </c>
      <c r="I275" s="75">
        <v>39</v>
      </c>
    </row>
    <row r="276" spans="1:9">
      <c r="A276" s="75">
        <v>679</v>
      </c>
      <c r="B276" s="75">
        <v>5</v>
      </c>
      <c r="C276" s="75">
        <v>684</v>
      </c>
      <c r="D276" s="76">
        <v>43346.937962962962</v>
      </c>
      <c r="E276" s="77">
        <v>43344</v>
      </c>
      <c r="F276" s="78">
        <v>0.937962962962963</v>
      </c>
      <c r="G276" s="75">
        <v>2</v>
      </c>
      <c r="H276" s="75">
        <v>30</v>
      </c>
      <c r="I276" s="75">
        <v>40</v>
      </c>
    </row>
    <row r="277" spans="1:9">
      <c r="A277" s="75">
        <v>647</v>
      </c>
      <c r="B277" s="75">
        <v>4</v>
      </c>
      <c r="C277" s="75">
        <v>646</v>
      </c>
      <c r="D277" s="76">
        <v>43346.94835648148</v>
      </c>
      <c r="E277" s="77">
        <v>43344</v>
      </c>
      <c r="F277" s="78">
        <v>0.94835648148148144</v>
      </c>
      <c r="G277" s="75">
        <v>2</v>
      </c>
      <c r="H277" s="75">
        <v>45</v>
      </c>
      <c r="I277" s="75">
        <v>38</v>
      </c>
    </row>
    <row r="278" spans="1:9">
      <c r="A278" s="75">
        <v>519</v>
      </c>
      <c r="B278" s="75">
        <v>6</v>
      </c>
      <c r="C278" s="75">
        <v>525</v>
      </c>
      <c r="D278" s="76">
        <v>43346.958784722221</v>
      </c>
      <c r="E278" s="77">
        <v>43344</v>
      </c>
      <c r="F278" s="78">
        <v>0.95878472222222222</v>
      </c>
      <c r="G278" s="75">
        <v>2</v>
      </c>
      <c r="H278" s="75">
        <v>0</v>
      </c>
      <c r="I278" s="75">
        <v>39</v>
      </c>
    </row>
    <row r="279" spans="1:9">
      <c r="A279" s="75">
        <v>513</v>
      </c>
      <c r="B279" s="75">
        <v>4</v>
      </c>
      <c r="C279" s="75">
        <v>517</v>
      </c>
      <c r="D279" s="76">
        <v>43346.969189814816</v>
      </c>
      <c r="E279" s="77">
        <v>43344</v>
      </c>
      <c r="F279" s="78">
        <v>0.96918981481481481</v>
      </c>
      <c r="G279" s="75">
        <v>2</v>
      </c>
      <c r="H279" s="75">
        <v>15</v>
      </c>
      <c r="I279" s="75">
        <v>38</v>
      </c>
    </row>
    <row r="280" spans="1:9">
      <c r="A280" s="75">
        <v>491</v>
      </c>
      <c r="B280" s="75">
        <v>6</v>
      </c>
      <c r="C280" s="75">
        <v>497</v>
      </c>
      <c r="D280" s="76">
        <v>43346.979618055557</v>
      </c>
      <c r="E280" s="77">
        <v>43344</v>
      </c>
      <c r="F280" s="78">
        <v>0.97961805555555559</v>
      </c>
      <c r="G280" s="75">
        <v>2</v>
      </c>
      <c r="H280" s="75">
        <v>30</v>
      </c>
      <c r="I280" s="75">
        <v>39</v>
      </c>
    </row>
    <row r="281" spans="1:9">
      <c r="A281" s="75">
        <v>373</v>
      </c>
      <c r="B281" s="75">
        <v>6</v>
      </c>
      <c r="C281" s="75">
        <v>379</v>
      </c>
      <c r="D281" s="76">
        <v>43346.990023148152</v>
      </c>
      <c r="E281" s="77">
        <v>43344</v>
      </c>
      <c r="F281" s="78">
        <v>0.99002314814814818</v>
      </c>
      <c r="G281" s="75">
        <v>2</v>
      </c>
      <c r="H281" s="75">
        <v>45</v>
      </c>
      <c r="I281" s="75">
        <v>38</v>
      </c>
    </row>
    <row r="282" spans="1:9">
      <c r="A282" s="75">
        <v>366</v>
      </c>
      <c r="B282" s="75">
        <v>4</v>
      </c>
      <c r="C282" s="75">
        <v>370</v>
      </c>
      <c r="D282" s="76">
        <v>43347.000439814816</v>
      </c>
      <c r="E282" s="77">
        <v>43344</v>
      </c>
      <c r="F282" s="78">
        <v>4.3981481481481481E-4</v>
      </c>
      <c r="G282" s="75">
        <v>2</v>
      </c>
      <c r="H282" s="75">
        <v>0</v>
      </c>
      <c r="I282" s="75">
        <v>38</v>
      </c>
    </row>
    <row r="283" spans="1:9">
      <c r="A283" s="75">
        <v>387</v>
      </c>
      <c r="B283" s="75">
        <v>8</v>
      </c>
      <c r="C283" s="75">
        <v>395</v>
      </c>
      <c r="D283" s="76">
        <v>43347.01085648148</v>
      </c>
      <c r="E283" s="77">
        <v>43344</v>
      </c>
      <c r="F283" s="78">
        <v>1.0856481481481481E-2</v>
      </c>
      <c r="G283" s="75">
        <v>2</v>
      </c>
      <c r="H283" s="75">
        <v>15</v>
      </c>
      <c r="I283" s="75">
        <v>38</v>
      </c>
    </row>
    <row r="284" spans="1:9">
      <c r="A284" s="75">
        <v>325</v>
      </c>
      <c r="B284" s="75">
        <v>6</v>
      </c>
      <c r="C284" s="75">
        <v>331</v>
      </c>
      <c r="D284" s="76">
        <v>43347.021284722221</v>
      </c>
      <c r="E284" s="77">
        <v>43344</v>
      </c>
      <c r="F284" s="78">
        <v>2.1284722222222222E-2</v>
      </c>
      <c r="G284" s="75">
        <v>2</v>
      </c>
      <c r="H284" s="75">
        <v>30</v>
      </c>
      <c r="I284" s="75">
        <v>39</v>
      </c>
    </row>
    <row r="285" spans="1:9">
      <c r="A285" s="75">
        <v>249</v>
      </c>
      <c r="B285" s="75">
        <v>7</v>
      </c>
      <c r="C285" s="75">
        <v>256</v>
      </c>
      <c r="D285" s="76">
        <v>43347.031689814816</v>
      </c>
      <c r="E285" s="77">
        <v>43344</v>
      </c>
      <c r="F285" s="78">
        <v>3.1689814814814816E-2</v>
      </c>
      <c r="G285" s="75">
        <v>2</v>
      </c>
      <c r="H285" s="75">
        <v>45</v>
      </c>
      <c r="I285" s="75">
        <v>38</v>
      </c>
    </row>
    <row r="286" spans="1:9">
      <c r="A286" s="75">
        <v>230</v>
      </c>
      <c r="B286" s="75">
        <v>3</v>
      </c>
      <c r="C286" s="75">
        <v>233</v>
      </c>
      <c r="D286" s="76">
        <v>43347.04210648148</v>
      </c>
      <c r="E286" s="77">
        <v>43344</v>
      </c>
      <c r="F286" s="78">
        <v>4.2106481481481488E-2</v>
      </c>
      <c r="G286" s="75">
        <v>2</v>
      </c>
      <c r="H286" s="75">
        <v>0</v>
      </c>
      <c r="I286" s="75">
        <v>38</v>
      </c>
    </row>
    <row r="287" spans="1:9">
      <c r="A287" s="75">
        <v>252</v>
      </c>
      <c r="B287" s="75">
        <v>6</v>
      </c>
      <c r="C287" s="75">
        <v>258</v>
      </c>
      <c r="D287" s="76">
        <v>43347.052534722221</v>
      </c>
      <c r="E287" s="77">
        <v>43344</v>
      </c>
      <c r="F287" s="78">
        <v>5.2534722222222219E-2</v>
      </c>
      <c r="G287" s="75">
        <v>2</v>
      </c>
      <c r="H287" s="75">
        <v>15</v>
      </c>
      <c r="I287" s="75">
        <v>39</v>
      </c>
    </row>
    <row r="288" spans="1:9">
      <c r="A288" s="75">
        <v>203</v>
      </c>
      <c r="B288" s="75">
        <v>4</v>
      </c>
      <c r="C288" s="75">
        <v>204</v>
      </c>
      <c r="D288" s="76">
        <v>43347.062951388885</v>
      </c>
      <c r="E288" s="77">
        <v>43344</v>
      </c>
      <c r="F288" s="78">
        <v>6.295138888888889E-2</v>
      </c>
      <c r="G288" s="75">
        <v>2</v>
      </c>
      <c r="H288" s="75">
        <v>30</v>
      </c>
      <c r="I288" s="75">
        <v>39</v>
      </c>
    </row>
    <row r="289" spans="1:9">
      <c r="A289" s="75">
        <v>191</v>
      </c>
      <c r="B289" s="75">
        <v>3</v>
      </c>
      <c r="C289" s="75">
        <v>187</v>
      </c>
      <c r="D289" s="76">
        <v>43347.07335648148</v>
      </c>
      <c r="E289" s="77">
        <v>43344</v>
      </c>
      <c r="F289" s="78">
        <v>7.3356481481481481E-2</v>
      </c>
      <c r="G289" s="75">
        <v>2</v>
      </c>
      <c r="H289" s="75">
        <v>45</v>
      </c>
      <c r="I289" s="75">
        <v>38</v>
      </c>
    </row>
    <row r="290" spans="1:9">
      <c r="A290" s="75">
        <v>182</v>
      </c>
      <c r="B290" s="75">
        <v>2</v>
      </c>
      <c r="C290" s="75">
        <v>184</v>
      </c>
      <c r="D290" s="76">
        <v>43347.083796296298</v>
      </c>
      <c r="E290" s="77">
        <v>43344</v>
      </c>
      <c r="F290" s="78">
        <v>8.3796296296296299E-2</v>
      </c>
      <c r="G290" s="75">
        <v>2</v>
      </c>
      <c r="H290" s="75">
        <v>0</v>
      </c>
      <c r="I290" s="75">
        <v>40</v>
      </c>
    </row>
    <row r="291" spans="1:9">
      <c r="A291" s="75">
        <v>221</v>
      </c>
      <c r="B291" s="75">
        <v>2</v>
      </c>
      <c r="C291" s="75">
        <v>213</v>
      </c>
      <c r="D291" s="76">
        <v>43347.094189814816</v>
      </c>
      <c r="E291" s="77">
        <v>43344</v>
      </c>
      <c r="F291" s="78">
        <v>9.418981481481481E-2</v>
      </c>
      <c r="G291" s="75">
        <v>2</v>
      </c>
      <c r="H291" s="75">
        <v>15</v>
      </c>
      <c r="I291" s="75">
        <v>38</v>
      </c>
    </row>
    <row r="292" spans="1:9">
      <c r="A292" s="75">
        <v>170</v>
      </c>
      <c r="B292" s="75">
        <v>3</v>
      </c>
      <c r="C292" s="75">
        <v>168</v>
      </c>
      <c r="D292" s="76">
        <v>43347.10460648148</v>
      </c>
      <c r="E292" s="77">
        <v>43344</v>
      </c>
      <c r="F292" s="78">
        <v>0.10460648148148148</v>
      </c>
      <c r="G292" s="75">
        <v>2</v>
      </c>
      <c r="H292" s="75">
        <v>30</v>
      </c>
      <c r="I292" s="75">
        <v>38</v>
      </c>
    </row>
    <row r="293" spans="1:9">
      <c r="A293" s="75">
        <v>132</v>
      </c>
      <c r="B293" s="75">
        <v>2</v>
      </c>
      <c r="C293" s="75">
        <v>134</v>
      </c>
      <c r="D293" s="76">
        <v>43347.115034722221</v>
      </c>
      <c r="E293" s="77">
        <v>43344</v>
      </c>
      <c r="F293" s="78">
        <v>0.11503472222222222</v>
      </c>
      <c r="G293" s="75">
        <v>2</v>
      </c>
      <c r="H293" s="75">
        <v>45</v>
      </c>
      <c r="I293" s="75">
        <v>39</v>
      </c>
    </row>
    <row r="294" spans="1:9">
      <c r="A294" s="75">
        <v>145</v>
      </c>
      <c r="B294" s="75">
        <v>3</v>
      </c>
      <c r="C294" s="75">
        <v>148</v>
      </c>
      <c r="D294" s="76">
        <v>43347.125439814816</v>
      </c>
      <c r="E294" s="77">
        <v>43344</v>
      </c>
      <c r="F294" s="78">
        <v>0.12543981481481481</v>
      </c>
      <c r="G294" s="75">
        <v>2</v>
      </c>
      <c r="H294" s="75">
        <v>0</v>
      </c>
      <c r="I294" s="75">
        <v>38</v>
      </c>
    </row>
    <row r="295" spans="1:9">
      <c r="A295" s="75">
        <v>124</v>
      </c>
      <c r="B295" s="75">
        <v>2</v>
      </c>
      <c r="C295" s="75">
        <v>126</v>
      </c>
      <c r="D295" s="76">
        <v>43347.13585648148</v>
      </c>
      <c r="E295" s="77">
        <v>43344</v>
      </c>
      <c r="F295" s="78">
        <v>0.13585648148148147</v>
      </c>
      <c r="G295" s="75">
        <v>2</v>
      </c>
      <c r="H295" s="75">
        <v>15</v>
      </c>
      <c r="I295" s="75">
        <v>38</v>
      </c>
    </row>
    <row r="296" spans="1:9">
      <c r="A296" s="75">
        <v>92</v>
      </c>
      <c r="B296" s="75">
        <v>2</v>
      </c>
      <c r="C296" s="75">
        <v>94</v>
      </c>
      <c r="D296" s="76">
        <v>43347.146284722221</v>
      </c>
      <c r="E296" s="77">
        <v>43344</v>
      </c>
      <c r="F296" s="78">
        <v>0.14628472222222222</v>
      </c>
      <c r="G296" s="75">
        <v>2</v>
      </c>
      <c r="H296" s="75">
        <v>30</v>
      </c>
      <c r="I296" s="75">
        <v>39</v>
      </c>
    </row>
    <row r="297" spans="1:9">
      <c r="A297" s="75">
        <v>90</v>
      </c>
      <c r="B297" s="75">
        <v>2</v>
      </c>
      <c r="C297" s="75">
        <v>92</v>
      </c>
      <c r="D297" s="76">
        <v>43347.156689814816</v>
      </c>
      <c r="E297" s="77">
        <v>43344</v>
      </c>
      <c r="F297" s="78">
        <v>0.15668981481481481</v>
      </c>
      <c r="G297" s="75">
        <v>2</v>
      </c>
      <c r="H297" s="75">
        <v>45</v>
      </c>
      <c r="I297" s="75">
        <v>38</v>
      </c>
    </row>
    <row r="298" spans="1:9">
      <c r="A298" s="75">
        <v>93</v>
      </c>
      <c r="B298" s="75">
        <v>4</v>
      </c>
      <c r="C298" s="75">
        <v>97</v>
      </c>
      <c r="D298" s="76">
        <v>43347.167118055557</v>
      </c>
      <c r="E298" s="77">
        <v>43344</v>
      </c>
      <c r="F298" s="78">
        <v>0.16711805555555556</v>
      </c>
      <c r="G298" s="75">
        <v>2</v>
      </c>
      <c r="H298" s="75">
        <v>0</v>
      </c>
      <c r="I298" s="75">
        <v>39</v>
      </c>
    </row>
    <row r="299" spans="1:9">
      <c r="A299" s="75">
        <v>32</v>
      </c>
      <c r="B299" s="75">
        <v>4</v>
      </c>
      <c r="C299" s="75">
        <v>36</v>
      </c>
      <c r="D299" s="76">
        <v>43347.177523148152</v>
      </c>
      <c r="E299" s="77">
        <v>43344</v>
      </c>
      <c r="F299" s="78">
        <v>0.17752314814814815</v>
      </c>
      <c r="G299" s="75">
        <v>2</v>
      </c>
      <c r="H299" s="75">
        <v>15</v>
      </c>
      <c r="I299" s="75">
        <v>38</v>
      </c>
    </row>
    <row r="300" spans="1:9">
      <c r="A300" s="75">
        <v>20</v>
      </c>
      <c r="B300" s="75">
        <v>3</v>
      </c>
      <c r="C300" s="75">
        <v>23</v>
      </c>
      <c r="D300" s="76">
        <v>43347.187928240739</v>
      </c>
      <c r="E300" s="77">
        <v>43344</v>
      </c>
      <c r="F300" s="78">
        <v>0.18792824074074074</v>
      </c>
      <c r="G300" s="75">
        <v>2</v>
      </c>
      <c r="H300" s="75">
        <v>30</v>
      </c>
      <c r="I300" s="75">
        <v>37</v>
      </c>
    </row>
    <row r="301" spans="1:9">
      <c r="A301" s="75">
        <v>18</v>
      </c>
      <c r="B301" s="75">
        <v>3</v>
      </c>
      <c r="C301" s="75">
        <v>21</v>
      </c>
      <c r="D301" s="76">
        <v>43347.19835648148</v>
      </c>
      <c r="E301" s="77">
        <v>43344</v>
      </c>
      <c r="F301" s="78">
        <v>0.19835648148148147</v>
      </c>
      <c r="G301" s="75">
        <v>2</v>
      </c>
      <c r="H301" s="75">
        <v>45</v>
      </c>
      <c r="I301" s="75">
        <v>38</v>
      </c>
    </row>
    <row r="302" spans="1:9">
      <c r="A302" s="75">
        <v>17</v>
      </c>
      <c r="B302" s="75">
        <v>3</v>
      </c>
      <c r="C302" s="75">
        <v>20</v>
      </c>
      <c r="D302" s="76">
        <v>43347.208784722221</v>
      </c>
      <c r="E302" s="77">
        <v>43344</v>
      </c>
      <c r="F302" s="78">
        <v>0.20878472222222222</v>
      </c>
      <c r="G302" s="75">
        <v>2</v>
      </c>
      <c r="H302" s="75">
        <v>0</v>
      </c>
      <c r="I302" s="75">
        <v>39</v>
      </c>
    </row>
    <row r="303" spans="1:9">
      <c r="A303" s="75">
        <v>16</v>
      </c>
      <c r="B303" s="75">
        <v>3</v>
      </c>
      <c r="C303" s="75">
        <v>19</v>
      </c>
      <c r="D303" s="76">
        <v>43347.219189814816</v>
      </c>
      <c r="E303" s="77">
        <v>43344</v>
      </c>
      <c r="F303" s="78">
        <v>0.21918981481481481</v>
      </c>
      <c r="G303" s="75">
        <v>2</v>
      </c>
      <c r="H303" s="75">
        <v>15</v>
      </c>
      <c r="I303" s="75">
        <v>38</v>
      </c>
    </row>
    <row r="304" spans="1:9">
      <c r="A304" s="75">
        <v>16</v>
      </c>
      <c r="B304" s="75">
        <v>3</v>
      </c>
      <c r="C304" s="75">
        <v>19</v>
      </c>
      <c r="D304" s="76">
        <v>43347.22960648148</v>
      </c>
      <c r="E304" s="77">
        <v>43344</v>
      </c>
      <c r="F304" s="78">
        <v>0.22960648148148147</v>
      </c>
      <c r="G304" s="75">
        <v>2</v>
      </c>
      <c r="H304" s="75">
        <v>30</v>
      </c>
      <c r="I304" s="75">
        <v>38</v>
      </c>
    </row>
    <row r="305" spans="1:9">
      <c r="A305" s="75">
        <v>16</v>
      </c>
      <c r="B305" s="75">
        <v>2</v>
      </c>
      <c r="C305" s="75">
        <v>18</v>
      </c>
      <c r="D305" s="76">
        <v>43347.240023148152</v>
      </c>
      <c r="E305" s="77">
        <v>43344</v>
      </c>
      <c r="F305" s="78">
        <v>0.24002314814814815</v>
      </c>
      <c r="G305" s="75">
        <v>2</v>
      </c>
      <c r="H305" s="75">
        <v>45</v>
      </c>
      <c r="I305" s="75">
        <v>38</v>
      </c>
    </row>
    <row r="306" spans="1:9">
      <c r="A306" s="75">
        <v>16</v>
      </c>
      <c r="B306" s="75">
        <v>2</v>
      </c>
      <c r="C306" s="75">
        <v>18</v>
      </c>
      <c r="D306" s="76">
        <v>43347.250439814816</v>
      </c>
      <c r="E306" s="77">
        <v>43344</v>
      </c>
      <c r="F306" s="78">
        <v>0.25043981481481481</v>
      </c>
      <c r="G306" s="75">
        <v>2</v>
      </c>
      <c r="H306" s="75">
        <v>0</v>
      </c>
      <c r="I306" s="75">
        <v>38</v>
      </c>
    </row>
    <row r="307" spans="1:9">
      <c r="A307" s="75">
        <v>16</v>
      </c>
      <c r="B307" s="75">
        <v>2</v>
      </c>
      <c r="C307" s="75">
        <v>18</v>
      </c>
      <c r="D307" s="76">
        <v>43347.26085648148</v>
      </c>
      <c r="E307" s="77">
        <v>43344</v>
      </c>
      <c r="F307" s="78">
        <v>0.26085648148148149</v>
      </c>
      <c r="G307" s="75">
        <v>2</v>
      </c>
      <c r="H307" s="75">
        <v>15</v>
      </c>
      <c r="I307" s="75">
        <v>38</v>
      </c>
    </row>
    <row r="308" spans="1:9">
      <c r="A308" s="75">
        <v>16</v>
      </c>
      <c r="B308" s="75">
        <v>2</v>
      </c>
      <c r="C308" s="75">
        <v>18</v>
      </c>
      <c r="D308" s="76">
        <v>43347.273877314816</v>
      </c>
      <c r="E308" s="77">
        <v>43344</v>
      </c>
      <c r="F308" s="78">
        <v>0.27387731481481481</v>
      </c>
      <c r="G308" s="75">
        <v>2</v>
      </c>
      <c r="H308" s="75">
        <v>34</v>
      </c>
      <c r="I308" s="75">
        <v>23</v>
      </c>
    </row>
    <row r="309" spans="1:9">
      <c r="A309" s="75">
        <v>16</v>
      </c>
      <c r="B309" s="75">
        <v>2</v>
      </c>
      <c r="C309" s="75">
        <v>18</v>
      </c>
      <c r="D309" s="76">
        <v>43347.281689814816</v>
      </c>
      <c r="E309" s="77">
        <v>43344</v>
      </c>
      <c r="F309" s="78">
        <v>0.28168981481481481</v>
      </c>
      <c r="G309" s="75">
        <v>2</v>
      </c>
      <c r="H309" s="75">
        <v>45</v>
      </c>
      <c r="I309" s="75">
        <v>38</v>
      </c>
    </row>
    <row r="310" spans="1:9">
      <c r="A310" s="75">
        <v>22</v>
      </c>
      <c r="B310" s="75">
        <v>2</v>
      </c>
      <c r="C310" s="75">
        <v>24</v>
      </c>
      <c r="D310" s="76">
        <v>43347.29210648148</v>
      </c>
      <c r="E310" s="77">
        <v>43344</v>
      </c>
      <c r="F310" s="78">
        <v>0.29210648148148149</v>
      </c>
      <c r="G310" s="75">
        <v>2</v>
      </c>
      <c r="H310" s="75">
        <v>0</v>
      </c>
      <c r="I310" s="75">
        <v>38</v>
      </c>
    </row>
    <row r="311" spans="1:9">
      <c r="A311" s="75">
        <v>34</v>
      </c>
      <c r="B311" s="75">
        <v>2</v>
      </c>
      <c r="C311" s="75">
        <v>36</v>
      </c>
      <c r="D311" s="76">
        <v>43347.302546296298</v>
      </c>
      <c r="E311" s="77">
        <v>43344</v>
      </c>
      <c r="F311" s="78">
        <v>0.30254629629629631</v>
      </c>
      <c r="G311" s="75">
        <v>2</v>
      </c>
      <c r="H311" s="75">
        <v>15</v>
      </c>
      <c r="I311" s="75">
        <v>40</v>
      </c>
    </row>
    <row r="312" spans="1:9">
      <c r="A312" s="75">
        <v>42</v>
      </c>
      <c r="B312" s="75">
        <v>2</v>
      </c>
      <c r="C312" s="75">
        <v>44</v>
      </c>
      <c r="D312" s="76">
        <v>43347.312951388885</v>
      </c>
      <c r="E312" s="77">
        <v>43344</v>
      </c>
      <c r="F312" s="78">
        <v>0.3129513888888889</v>
      </c>
      <c r="G312" s="75">
        <v>2</v>
      </c>
      <c r="H312" s="75">
        <v>30</v>
      </c>
      <c r="I312" s="75">
        <v>39</v>
      </c>
    </row>
    <row r="313" spans="1:9">
      <c r="A313" s="75">
        <v>59</v>
      </c>
      <c r="B313" s="75">
        <v>2</v>
      </c>
      <c r="C313" s="75">
        <v>61</v>
      </c>
      <c r="D313" s="76">
        <v>43347.323379629626</v>
      </c>
      <c r="E313" s="77">
        <v>43344</v>
      </c>
      <c r="F313" s="78">
        <v>0.32337962962962963</v>
      </c>
      <c r="G313" s="75">
        <v>2</v>
      </c>
      <c r="H313" s="75">
        <v>45</v>
      </c>
      <c r="I313" s="75">
        <v>40</v>
      </c>
    </row>
    <row r="314" spans="1:9">
      <c r="A314" s="75">
        <v>51</v>
      </c>
      <c r="B314" s="75">
        <v>2</v>
      </c>
      <c r="C314" s="75">
        <v>53</v>
      </c>
      <c r="D314" s="76">
        <v>43347.333784722221</v>
      </c>
      <c r="E314" s="77">
        <v>43344</v>
      </c>
      <c r="F314" s="78">
        <v>0.33378472222222227</v>
      </c>
      <c r="G314" s="75">
        <v>2</v>
      </c>
      <c r="H314" s="75">
        <v>0</v>
      </c>
      <c r="I314" s="75">
        <v>39</v>
      </c>
    </row>
    <row r="315" spans="1:9">
      <c r="A315" s="75">
        <v>86</v>
      </c>
      <c r="B315" s="75">
        <v>3</v>
      </c>
      <c r="C315" s="75">
        <v>89</v>
      </c>
      <c r="D315" s="76">
        <v>43347.344212962962</v>
      </c>
      <c r="E315" s="77">
        <v>43344</v>
      </c>
      <c r="F315" s="78">
        <v>0.34421296296296294</v>
      </c>
      <c r="G315" s="75">
        <v>2</v>
      </c>
      <c r="H315" s="75">
        <v>15</v>
      </c>
      <c r="I315" s="75">
        <v>40</v>
      </c>
    </row>
    <row r="316" spans="1:9">
      <c r="A316" s="75">
        <v>119</v>
      </c>
      <c r="B316" s="75">
        <v>5</v>
      </c>
      <c r="C316" s="75">
        <v>124</v>
      </c>
      <c r="D316" s="76">
        <v>43347.354629629626</v>
      </c>
      <c r="E316" s="77">
        <v>43344</v>
      </c>
      <c r="F316" s="78">
        <v>0.35462962962962963</v>
      </c>
      <c r="G316" s="75">
        <v>2</v>
      </c>
      <c r="H316" s="75">
        <v>30</v>
      </c>
      <c r="I316" s="75">
        <v>40</v>
      </c>
    </row>
    <row r="317" spans="1:9">
      <c r="A317" s="75">
        <v>185</v>
      </c>
      <c r="B317" s="75">
        <v>3</v>
      </c>
      <c r="C317" s="75">
        <v>188</v>
      </c>
      <c r="D317" s="76">
        <v>43347.365034722221</v>
      </c>
      <c r="E317" s="77">
        <v>43344</v>
      </c>
      <c r="F317" s="78">
        <v>0.36503472222222227</v>
      </c>
      <c r="G317" s="75">
        <v>2</v>
      </c>
      <c r="H317" s="75">
        <v>45</v>
      </c>
      <c r="I317" s="75">
        <v>39</v>
      </c>
    </row>
    <row r="318" spans="1:9">
      <c r="A318" s="75">
        <v>176</v>
      </c>
      <c r="B318" s="75">
        <v>2</v>
      </c>
      <c r="C318" s="75">
        <v>178</v>
      </c>
      <c r="D318" s="76">
        <v>43347.375462962962</v>
      </c>
      <c r="E318" s="77">
        <v>43344</v>
      </c>
      <c r="F318" s="78">
        <v>0.37546296296296294</v>
      </c>
      <c r="G318" s="75">
        <v>2</v>
      </c>
      <c r="H318" s="75">
        <v>0</v>
      </c>
      <c r="I318" s="75">
        <v>40</v>
      </c>
    </row>
    <row r="319" spans="1:9">
      <c r="A319" s="75">
        <v>291</v>
      </c>
      <c r="B319" s="75">
        <v>3</v>
      </c>
      <c r="C319" s="75">
        <v>294</v>
      </c>
      <c r="D319" s="76">
        <v>43347.385868055557</v>
      </c>
      <c r="E319" s="77">
        <v>43344</v>
      </c>
      <c r="F319" s="78">
        <v>0.38586805555555559</v>
      </c>
      <c r="G319" s="75">
        <v>2</v>
      </c>
      <c r="H319" s="75">
        <v>15</v>
      </c>
      <c r="I319" s="75">
        <v>39</v>
      </c>
    </row>
    <row r="320" spans="1:9">
      <c r="A320" s="75">
        <v>440</v>
      </c>
      <c r="B320" s="75">
        <v>6</v>
      </c>
      <c r="C320" s="75">
        <v>446</v>
      </c>
      <c r="D320" s="76">
        <v>43347.396296296298</v>
      </c>
      <c r="E320" s="77">
        <v>43344</v>
      </c>
      <c r="F320" s="78">
        <v>0.39629629629629631</v>
      </c>
      <c r="G320" s="75">
        <v>2</v>
      </c>
      <c r="H320" s="75">
        <v>30</v>
      </c>
      <c r="I320" s="75">
        <v>40</v>
      </c>
    </row>
    <row r="321" spans="1:9">
      <c r="A321" s="75">
        <v>805</v>
      </c>
      <c r="B321" s="75">
        <v>7</v>
      </c>
      <c r="C321" s="75">
        <v>812</v>
      </c>
      <c r="D321" s="76">
        <v>43347.406701388885</v>
      </c>
      <c r="E321" s="77">
        <v>43344</v>
      </c>
      <c r="F321" s="78">
        <v>0.4067013888888889</v>
      </c>
      <c r="G321" s="75">
        <v>2</v>
      </c>
      <c r="H321" s="75">
        <v>45</v>
      </c>
      <c r="I321" s="75">
        <v>39</v>
      </c>
    </row>
    <row r="322" spans="1:9">
      <c r="A322" s="75">
        <v>684</v>
      </c>
      <c r="B322" s="75">
        <v>11</v>
      </c>
      <c r="C322" s="75">
        <v>695</v>
      </c>
      <c r="D322" s="76">
        <v>43347.417129629626</v>
      </c>
      <c r="E322" s="77">
        <v>43344</v>
      </c>
      <c r="F322" s="78">
        <v>0.41712962962962963</v>
      </c>
      <c r="G322" s="75">
        <v>2</v>
      </c>
      <c r="H322" s="75">
        <v>0</v>
      </c>
      <c r="I322" s="75">
        <v>40</v>
      </c>
    </row>
    <row r="323" spans="1:9">
      <c r="A323" s="75">
        <v>710</v>
      </c>
      <c r="B323" s="75">
        <v>19</v>
      </c>
      <c r="C323" s="75">
        <v>721</v>
      </c>
      <c r="D323" s="76">
        <v>43347.427534722221</v>
      </c>
      <c r="E323" s="77">
        <v>43344</v>
      </c>
      <c r="F323" s="78">
        <v>0.42753472222222227</v>
      </c>
      <c r="G323" s="75">
        <v>2</v>
      </c>
      <c r="H323" s="75">
        <v>15</v>
      </c>
      <c r="I323" s="75">
        <v>39</v>
      </c>
    </row>
    <row r="324" spans="1:9">
      <c r="A324" s="75">
        <v>839</v>
      </c>
      <c r="B324" s="75">
        <v>26</v>
      </c>
      <c r="C324" s="75">
        <v>865</v>
      </c>
      <c r="D324" s="76">
        <v>43347.437951388885</v>
      </c>
      <c r="E324" s="77">
        <v>43344</v>
      </c>
      <c r="F324" s="78">
        <v>0.4379513888888889</v>
      </c>
      <c r="G324" s="75">
        <v>2</v>
      </c>
      <c r="H324" s="75">
        <v>30</v>
      </c>
      <c r="I324" s="75">
        <v>39</v>
      </c>
    </row>
    <row r="325" spans="1:9">
      <c r="A325" s="75">
        <v>1092</v>
      </c>
      <c r="B325" s="75">
        <v>17</v>
      </c>
      <c r="C325" s="75">
        <v>1109</v>
      </c>
      <c r="D325" s="76">
        <v>43347.448379629626</v>
      </c>
      <c r="E325" s="77">
        <v>43344</v>
      </c>
      <c r="F325" s="78">
        <v>0.44837962962962963</v>
      </c>
      <c r="G325" s="75">
        <v>2</v>
      </c>
      <c r="H325" s="75">
        <v>45</v>
      </c>
      <c r="I325" s="75">
        <v>40</v>
      </c>
    </row>
    <row r="326" spans="1:9">
      <c r="A326" s="75">
        <v>805</v>
      </c>
      <c r="B326" s="75">
        <v>20</v>
      </c>
      <c r="C326" s="75">
        <v>825</v>
      </c>
      <c r="D326" s="76">
        <v>43347.458784722221</v>
      </c>
      <c r="E326" s="77">
        <v>43344</v>
      </c>
      <c r="F326" s="78">
        <v>0.45878472222222227</v>
      </c>
      <c r="G326" s="75">
        <v>2</v>
      </c>
      <c r="H326" s="75">
        <v>0</v>
      </c>
      <c r="I326" s="75">
        <v>39</v>
      </c>
    </row>
    <row r="327" spans="1:9">
      <c r="A327" s="75">
        <v>573</v>
      </c>
      <c r="B327" s="75">
        <v>11</v>
      </c>
      <c r="C327" s="75">
        <v>584</v>
      </c>
      <c r="D327" s="76">
        <v>43347.469201388885</v>
      </c>
      <c r="E327" s="77">
        <v>43344</v>
      </c>
      <c r="F327" s="78">
        <v>0.4692013888888889</v>
      </c>
      <c r="G327" s="75">
        <v>2</v>
      </c>
      <c r="H327" s="75">
        <v>15</v>
      </c>
      <c r="I327" s="75">
        <v>39</v>
      </c>
    </row>
    <row r="328" spans="1:9">
      <c r="A328" s="75">
        <v>509</v>
      </c>
      <c r="B328" s="75">
        <v>10</v>
      </c>
      <c r="C328" s="75">
        <v>519</v>
      </c>
      <c r="D328" s="76">
        <v>43347.479629629626</v>
      </c>
      <c r="E328" s="77">
        <v>43344</v>
      </c>
      <c r="F328" s="78">
        <v>0.47962962962962963</v>
      </c>
      <c r="G328" s="75">
        <v>2</v>
      </c>
      <c r="H328" s="75">
        <v>30</v>
      </c>
      <c r="I328" s="75">
        <v>40</v>
      </c>
    </row>
    <row r="329" spans="1:9">
      <c r="A329" s="75">
        <v>527</v>
      </c>
      <c r="B329" s="75">
        <v>7</v>
      </c>
      <c r="C329" s="75">
        <v>534</v>
      </c>
      <c r="D329" s="76">
        <v>43347.490034722221</v>
      </c>
      <c r="E329" s="77">
        <v>43344</v>
      </c>
      <c r="F329" s="78">
        <v>0.49003472222222227</v>
      </c>
      <c r="G329" s="75">
        <v>2</v>
      </c>
      <c r="H329" s="75">
        <v>45</v>
      </c>
      <c r="I329" s="75">
        <v>39</v>
      </c>
    </row>
    <row r="330" spans="1:9">
      <c r="A330" s="75">
        <v>370</v>
      </c>
      <c r="B330" s="75">
        <v>5</v>
      </c>
      <c r="C330" s="75">
        <v>375</v>
      </c>
      <c r="D330" s="76">
        <v>43347.500462962962</v>
      </c>
      <c r="E330" s="77">
        <v>43344</v>
      </c>
      <c r="F330" s="78">
        <v>0.500462962962963</v>
      </c>
      <c r="G330" s="75">
        <v>2</v>
      </c>
      <c r="H330" s="75">
        <v>0</v>
      </c>
      <c r="I330" s="75">
        <v>40</v>
      </c>
    </row>
    <row r="331" spans="1:9">
      <c r="A331" s="75">
        <v>335</v>
      </c>
      <c r="B331" s="75">
        <v>5</v>
      </c>
      <c r="C331" s="75">
        <v>340</v>
      </c>
      <c r="D331" s="76">
        <v>43347.510868055557</v>
      </c>
      <c r="E331" s="77">
        <v>43344</v>
      </c>
      <c r="F331" s="78">
        <v>0.51086805555555559</v>
      </c>
      <c r="G331" s="75">
        <v>2</v>
      </c>
      <c r="H331" s="75">
        <v>15</v>
      </c>
      <c r="I331" s="75">
        <v>39</v>
      </c>
    </row>
    <row r="332" spans="1:9">
      <c r="A332" s="75">
        <v>346</v>
      </c>
      <c r="B332" s="75">
        <v>5</v>
      </c>
      <c r="C332" s="75">
        <v>351</v>
      </c>
      <c r="D332" s="76">
        <v>43347.521284722221</v>
      </c>
      <c r="E332" s="77">
        <v>43344</v>
      </c>
      <c r="F332" s="78">
        <v>0.52128472222222222</v>
      </c>
      <c r="G332" s="75">
        <v>2</v>
      </c>
      <c r="H332" s="75">
        <v>30</v>
      </c>
      <c r="I332" s="75">
        <v>39</v>
      </c>
    </row>
    <row r="333" spans="1:9">
      <c r="A333" s="75">
        <v>363</v>
      </c>
      <c r="B333" s="75">
        <v>4</v>
      </c>
      <c r="C333" s="75">
        <v>367</v>
      </c>
      <c r="D333" s="76">
        <v>43347.531712962962</v>
      </c>
      <c r="E333" s="77">
        <v>43344</v>
      </c>
      <c r="F333" s="78">
        <v>0.531712962962963</v>
      </c>
      <c r="G333" s="75">
        <v>2</v>
      </c>
      <c r="H333" s="75">
        <v>45</v>
      </c>
      <c r="I333" s="75">
        <v>40</v>
      </c>
    </row>
    <row r="334" spans="1:9">
      <c r="A334" s="75">
        <v>310</v>
      </c>
      <c r="B334" s="75">
        <v>4</v>
      </c>
      <c r="C334" s="75">
        <v>314</v>
      </c>
      <c r="D334" s="76">
        <v>43347.542118055557</v>
      </c>
      <c r="E334" s="77">
        <v>43344</v>
      </c>
      <c r="F334" s="78">
        <v>0.54211805555555559</v>
      </c>
      <c r="G334" s="75">
        <v>2</v>
      </c>
      <c r="H334" s="75">
        <v>0</v>
      </c>
      <c r="I334" s="75">
        <v>39</v>
      </c>
    </row>
    <row r="335" spans="1:9">
      <c r="A335" s="75">
        <v>362</v>
      </c>
      <c r="B335" s="75">
        <v>6</v>
      </c>
      <c r="C335" s="75">
        <v>368</v>
      </c>
      <c r="D335" s="76">
        <v>43347.552534722221</v>
      </c>
      <c r="E335" s="77">
        <v>43344</v>
      </c>
      <c r="F335" s="78">
        <v>0.55253472222222222</v>
      </c>
      <c r="G335" s="75">
        <v>2</v>
      </c>
      <c r="H335" s="75">
        <v>15</v>
      </c>
      <c r="I335" s="75">
        <v>39</v>
      </c>
    </row>
    <row r="336" spans="1:9">
      <c r="A336" s="75">
        <v>356</v>
      </c>
      <c r="B336" s="75">
        <v>5</v>
      </c>
      <c r="C336" s="75">
        <v>361</v>
      </c>
      <c r="D336" s="76">
        <v>43347.562951388885</v>
      </c>
      <c r="E336" s="77">
        <v>43344</v>
      </c>
      <c r="F336" s="78">
        <v>0.56295138888888896</v>
      </c>
      <c r="G336" s="75">
        <v>2</v>
      </c>
      <c r="H336" s="75">
        <v>30</v>
      </c>
      <c r="I336" s="75">
        <v>39</v>
      </c>
    </row>
    <row r="337" spans="1:9">
      <c r="A337" s="75">
        <v>409</v>
      </c>
      <c r="B337" s="75">
        <v>5</v>
      </c>
      <c r="C337" s="75">
        <v>414</v>
      </c>
      <c r="D337" s="76">
        <v>43347.573368055557</v>
      </c>
      <c r="E337" s="77">
        <v>43344</v>
      </c>
      <c r="F337" s="78">
        <v>0.57336805555555559</v>
      </c>
      <c r="G337" s="75">
        <v>2</v>
      </c>
      <c r="H337" s="75">
        <v>45</v>
      </c>
      <c r="I337" s="75">
        <v>39</v>
      </c>
    </row>
    <row r="338" spans="1:9">
      <c r="A338" s="75">
        <v>350</v>
      </c>
      <c r="B338" s="75">
        <v>0</v>
      </c>
      <c r="C338" s="75">
        <v>349</v>
      </c>
      <c r="D338" s="76">
        <v>43347.583784722221</v>
      </c>
      <c r="E338" s="77">
        <v>43344</v>
      </c>
      <c r="F338" s="78">
        <v>0.58378472222222222</v>
      </c>
      <c r="G338" s="75">
        <v>2</v>
      </c>
      <c r="H338" s="75">
        <v>0</v>
      </c>
      <c r="I338" s="75">
        <v>39</v>
      </c>
    </row>
    <row r="339" spans="1:9">
      <c r="A339" s="75">
        <v>367</v>
      </c>
      <c r="B339" s="75">
        <v>0</v>
      </c>
      <c r="C339" s="75">
        <v>367</v>
      </c>
      <c r="D339" s="76">
        <v>43347.594201388885</v>
      </c>
      <c r="E339" s="77">
        <v>43344</v>
      </c>
      <c r="F339" s="78">
        <v>0.59420138888888896</v>
      </c>
      <c r="G339" s="75">
        <v>2</v>
      </c>
      <c r="H339" s="75">
        <v>15</v>
      </c>
      <c r="I339" s="75">
        <v>39</v>
      </c>
    </row>
    <row r="340" spans="1:9">
      <c r="A340" s="75">
        <v>407</v>
      </c>
      <c r="B340" s="75">
        <v>1</v>
      </c>
      <c r="C340" s="75">
        <v>408</v>
      </c>
      <c r="D340" s="76">
        <v>43347.604618055557</v>
      </c>
      <c r="E340" s="77">
        <v>43344</v>
      </c>
      <c r="F340" s="78">
        <v>0.60461805555555559</v>
      </c>
      <c r="G340" s="75">
        <v>2</v>
      </c>
      <c r="H340" s="75">
        <v>30</v>
      </c>
      <c r="I340" s="75">
        <v>39</v>
      </c>
    </row>
    <row r="341" spans="1:9">
      <c r="A341" s="75">
        <v>382</v>
      </c>
      <c r="B341" s="75">
        <v>2</v>
      </c>
      <c r="C341" s="75">
        <v>384</v>
      </c>
      <c r="D341" s="76">
        <v>43347.615046296298</v>
      </c>
      <c r="E341" s="77">
        <v>43344</v>
      </c>
      <c r="F341" s="78">
        <v>0.61504629629629626</v>
      </c>
      <c r="G341" s="75">
        <v>2</v>
      </c>
      <c r="H341" s="75">
        <v>45</v>
      </c>
      <c r="I341" s="75">
        <v>40</v>
      </c>
    </row>
    <row r="342" spans="1:9">
      <c r="A342" s="75">
        <v>386</v>
      </c>
      <c r="B342" s="75">
        <v>2</v>
      </c>
      <c r="C342" s="75">
        <v>388</v>
      </c>
      <c r="D342" s="76">
        <v>43347.625451388885</v>
      </c>
      <c r="E342" s="77">
        <v>43344</v>
      </c>
      <c r="F342" s="78">
        <v>0.62545138888888896</v>
      </c>
      <c r="G342" s="75">
        <v>2</v>
      </c>
      <c r="H342" s="75">
        <v>0</v>
      </c>
      <c r="I342" s="75">
        <v>39</v>
      </c>
    </row>
    <row r="343" spans="1:9">
      <c r="A343" s="75">
        <v>407</v>
      </c>
      <c r="B343" s="75">
        <v>1</v>
      </c>
      <c r="C343" s="75">
        <v>408</v>
      </c>
      <c r="D343" s="76">
        <v>43347.635868055557</v>
      </c>
      <c r="E343" s="77">
        <v>43344</v>
      </c>
      <c r="F343" s="78">
        <v>0.63586805555555559</v>
      </c>
      <c r="G343" s="75">
        <v>2</v>
      </c>
      <c r="H343" s="75">
        <v>15</v>
      </c>
      <c r="I343" s="75">
        <v>39</v>
      </c>
    </row>
    <row r="344" spans="1:9">
      <c r="A344" s="75">
        <v>460</v>
      </c>
      <c r="B344" s="75">
        <v>2</v>
      </c>
      <c r="C344" s="75">
        <v>462</v>
      </c>
      <c r="D344" s="76">
        <v>43347.646284722221</v>
      </c>
      <c r="E344" s="77">
        <v>43344</v>
      </c>
      <c r="F344" s="78">
        <v>0.64628472222222222</v>
      </c>
      <c r="G344" s="75">
        <v>2</v>
      </c>
      <c r="H344" s="75">
        <v>30</v>
      </c>
      <c r="I344" s="75">
        <v>39</v>
      </c>
    </row>
    <row r="345" spans="1:9">
      <c r="A345" s="75">
        <v>519</v>
      </c>
      <c r="B345" s="75">
        <v>1</v>
      </c>
      <c r="C345" s="75">
        <v>520</v>
      </c>
      <c r="D345" s="76">
        <v>43347.656689814816</v>
      </c>
      <c r="E345" s="77">
        <v>43344</v>
      </c>
      <c r="F345" s="78">
        <v>0.65668981481481481</v>
      </c>
      <c r="G345" s="75">
        <v>2</v>
      </c>
      <c r="H345" s="75">
        <v>45</v>
      </c>
      <c r="I345" s="75">
        <v>38</v>
      </c>
    </row>
    <row r="346" spans="1:9">
      <c r="A346" s="75">
        <v>466</v>
      </c>
      <c r="B346" s="75">
        <v>1</v>
      </c>
      <c r="C346" s="75">
        <v>467</v>
      </c>
      <c r="D346" s="76">
        <v>43347.667118055557</v>
      </c>
      <c r="E346" s="77">
        <v>43344</v>
      </c>
      <c r="F346" s="78">
        <v>0.66711805555555559</v>
      </c>
      <c r="G346" s="75">
        <v>2</v>
      </c>
      <c r="H346" s="75">
        <v>0</v>
      </c>
      <c r="I346" s="75">
        <v>39</v>
      </c>
    </row>
    <row r="347" spans="1:9">
      <c r="A347" s="75">
        <v>597</v>
      </c>
      <c r="B347" s="75">
        <v>4</v>
      </c>
      <c r="C347" s="75">
        <v>601</v>
      </c>
      <c r="D347" s="76">
        <v>43347.677534722221</v>
      </c>
      <c r="E347" s="77">
        <v>43344</v>
      </c>
      <c r="F347" s="78">
        <v>0.67753472222222222</v>
      </c>
      <c r="G347" s="75">
        <v>2</v>
      </c>
      <c r="H347" s="75">
        <v>15</v>
      </c>
      <c r="I347" s="75">
        <v>39</v>
      </c>
    </row>
    <row r="348" spans="1:9">
      <c r="A348" s="75">
        <v>543</v>
      </c>
      <c r="B348" s="75">
        <v>3</v>
      </c>
      <c r="C348" s="75">
        <v>546</v>
      </c>
      <c r="D348" s="76">
        <v>43347.687951388885</v>
      </c>
      <c r="E348" s="77">
        <v>43344</v>
      </c>
      <c r="F348" s="78">
        <v>0.68795138888888896</v>
      </c>
      <c r="G348" s="75">
        <v>2</v>
      </c>
      <c r="H348" s="75">
        <v>30</v>
      </c>
      <c r="I348" s="75">
        <v>39</v>
      </c>
    </row>
    <row r="349" spans="1:9">
      <c r="A349" s="75">
        <v>539</v>
      </c>
      <c r="B349" s="75">
        <v>4</v>
      </c>
      <c r="C349" s="75">
        <v>543</v>
      </c>
      <c r="D349" s="76">
        <v>43347.698368055557</v>
      </c>
      <c r="E349" s="77">
        <v>43344</v>
      </c>
      <c r="F349" s="78">
        <v>0.69836805555555559</v>
      </c>
      <c r="G349" s="75">
        <v>2</v>
      </c>
      <c r="H349" s="75">
        <v>45</v>
      </c>
      <c r="I349" s="75">
        <v>39</v>
      </c>
    </row>
    <row r="350" spans="1:9">
      <c r="A350" s="75">
        <v>487</v>
      </c>
      <c r="B350" s="75">
        <v>2</v>
      </c>
      <c r="C350" s="75">
        <v>485</v>
      </c>
      <c r="D350" s="76">
        <v>43347.708784722221</v>
      </c>
      <c r="E350" s="77">
        <v>43344</v>
      </c>
      <c r="F350" s="78">
        <v>0.70878472222222222</v>
      </c>
      <c r="G350" s="75">
        <v>2</v>
      </c>
      <c r="H350" s="75">
        <v>0</v>
      </c>
      <c r="I350" s="75">
        <v>39</v>
      </c>
    </row>
    <row r="351" spans="1:9">
      <c r="A351" s="75">
        <v>609</v>
      </c>
      <c r="B351" s="75">
        <v>6</v>
      </c>
      <c r="C351" s="75">
        <v>611</v>
      </c>
      <c r="D351" s="76">
        <v>43347.719201388885</v>
      </c>
      <c r="E351" s="77">
        <v>43344</v>
      </c>
      <c r="F351" s="78">
        <v>0.71920138888888896</v>
      </c>
      <c r="G351" s="75">
        <v>2</v>
      </c>
      <c r="H351" s="75">
        <v>15</v>
      </c>
      <c r="I351" s="75">
        <v>39</v>
      </c>
    </row>
    <row r="352" spans="1:9">
      <c r="A352" s="75">
        <v>522</v>
      </c>
      <c r="B352" s="75">
        <v>3</v>
      </c>
      <c r="C352" s="75">
        <v>525</v>
      </c>
      <c r="D352" s="76">
        <v>43347.729618055557</v>
      </c>
      <c r="E352" s="77">
        <v>43344</v>
      </c>
      <c r="F352" s="78">
        <v>0.72961805555555559</v>
      </c>
      <c r="G352" s="75">
        <v>2</v>
      </c>
      <c r="H352" s="75">
        <v>30</v>
      </c>
      <c r="I352" s="75">
        <v>39</v>
      </c>
    </row>
    <row r="353" spans="1:9">
      <c r="A353" s="75">
        <v>534</v>
      </c>
      <c r="B353" s="75">
        <v>3</v>
      </c>
      <c r="C353" s="75">
        <v>537</v>
      </c>
      <c r="D353" s="76">
        <v>43347.740034722221</v>
      </c>
      <c r="E353" s="77">
        <v>43344</v>
      </c>
      <c r="F353" s="78">
        <v>0.74003472222222222</v>
      </c>
      <c r="G353" s="75">
        <v>2</v>
      </c>
      <c r="H353" s="75">
        <v>45</v>
      </c>
      <c r="I353" s="75">
        <v>39</v>
      </c>
    </row>
    <row r="354" spans="1:9">
      <c r="A354" s="75">
        <v>458</v>
      </c>
      <c r="B354" s="75">
        <v>5</v>
      </c>
      <c r="C354" s="75">
        <v>463</v>
      </c>
      <c r="D354" s="76">
        <v>43347.750451388885</v>
      </c>
      <c r="E354" s="77">
        <v>43344</v>
      </c>
      <c r="F354" s="78">
        <v>0.75045138888888896</v>
      </c>
      <c r="G354" s="75">
        <v>2</v>
      </c>
      <c r="H354" s="75">
        <v>0</v>
      </c>
      <c r="I354" s="75">
        <v>39</v>
      </c>
    </row>
    <row r="355" spans="1:9">
      <c r="A355" s="75">
        <v>534</v>
      </c>
      <c r="B355" s="75">
        <v>6</v>
      </c>
      <c r="C355" s="75">
        <v>540</v>
      </c>
      <c r="D355" s="76">
        <v>43347.76085648148</v>
      </c>
      <c r="E355" s="77">
        <v>43344</v>
      </c>
      <c r="F355" s="78">
        <v>0.76085648148148144</v>
      </c>
      <c r="G355" s="75">
        <v>2</v>
      </c>
      <c r="H355" s="75">
        <v>15</v>
      </c>
      <c r="I355" s="75">
        <v>38</v>
      </c>
    </row>
    <row r="356" spans="1:9">
      <c r="A356" s="75">
        <v>514</v>
      </c>
      <c r="B356" s="75">
        <v>5</v>
      </c>
      <c r="C356" s="75">
        <v>519</v>
      </c>
      <c r="D356" s="76">
        <v>43347.771273148152</v>
      </c>
      <c r="E356" s="77">
        <v>43344</v>
      </c>
      <c r="F356" s="78">
        <v>0.77127314814814818</v>
      </c>
      <c r="G356" s="75">
        <v>2</v>
      </c>
      <c r="H356" s="75">
        <v>30</v>
      </c>
      <c r="I356" s="75">
        <v>38</v>
      </c>
    </row>
    <row r="357" spans="1:9">
      <c r="A357" s="75">
        <v>535</v>
      </c>
      <c r="B357" s="75">
        <v>5</v>
      </c>
      <c r="C357" s="75">
        <v>540</v>
      </c>
      <c r="D357" s="76">
        <v>43347.781712962962</v>
      </c>
      <c r="E357" s="77">
        <v>43344</v>
      </c>
      <c r="F357" s="78">
        <v>0.781712962962963</v>
      </c>
      <c r="G357" s="75">
        <v>2</v>
      </c>
      <c r="H357" s="75">
        <v>45</v>
      </c>
      <c r="I357" s="75">
        <v>40</v>
      </c>
    </row>
    <row r="358" spans="1:9">
      <c r="A358" s="75">
        <v>542</v>
      </c>
      <c r="B358" s="75">
        <v>3</v>
      </c>
      <c r="C358" s="75">
        <v>545</v>
      </c>
      <c r="D358" s="76">
        <v>43347.79210648148</v>
      </c>
      <c r="E358" s="77">
        <v>43344</v>
      </c>
      <c r="F358" s="78">
        <v>0.79210648148148144</v>
      </c>
      <c r="G358" s="75">
        <v>2</v>
      </c>
      <c r="H358" s="75">
        <v>0</v>
      </c>
      <c r="I358" s="75">
        <v>38</v>
      </c>
    </row>
    <row r="359" spans="1:9">
      <c r="A359" s="75">
        <v>652</v>
      </c>
      <c r="B359" s="75">
        <v>10</v>
      </c>
      <c r="C359" s="75">
        <v>662</v>
      </c>
      <c r="D359" s="76">
        <v>43347.802534722221</v>
      </c>
      <c r="E359" s="77">
        <v>43344</v>
      </c>
      <c r="F359" s="78">
        <v>0.80253472222222222</v>
      </c>
      <c r="G359" s="75">
        <v>2</v>
      </c>
      <c r="H359" s="75">
        <v>15</v>
      </c>
      <c r="I359" s="75">
        <v>39</v>
      </c>
    </row>
    <row r="360" spans="1:9">
      <c r="A360" s="75">
        <v>662</v>
      </c>
      <c r="B360" s="75">
        <v>5</v>
      </c>
      <c r="C360" s="75">
        <v>667</v>
      </c>
      <c r="D360" s="76">
        <v>43347.812951388885</v>
      </c>
      <c r="E360" s="77">
        <v>43344</v>
      </c>
      <c r="F360" s="78">
        <v>0.81295138888888896</v>
      </c>
      <c r="G360" s="75">
        <v>2</v>
      </c>
      <c r="H360" s="75">
        <v>30</v>
      </c>
      <c r="I360" s="75">
        <v>39</v>
      </c>
    </row>
    <row r="361" spans="1:9">
      <c r="A361" s="75">
        <v>812</v>
      </c>
      <c r="B361" s="75">
        <v>9</v>
      </c>
      <c r="C361" s="75">
        <v>821</v>
      </c>
      <c r="D361" s="76">
        <v>43347.82335648148</v>
      </c>
      <c r="E361" s="77">
        <v>43344</v>
      </c>
      <c r="F361" s="78">
        <v>0.82335648148148144</v>
      </c>
      <c r="G361" s="75">
        <v>2</v>
      </c>
      <c r="H361" s="75">
        <v>45</v>
      </c>
      <c r="I361" s="75">
        <v>38</v>
      </c>
    </row>
    <row r="362" spans="1:9">
      <c r="A362" s="75">
        <v>761</v>
      </c>
      <c r="B362" s="75">
        <v>4</v>
      </c>
      <c r="C362" s="75">
        <v>765</v>
      </c>
      <c r="D362" s="76">
        <v>43347.833784722221</v>
      </c>
      <c r="E362" s="77">
        <v>43344</v>
      </c>
      <c r="F362" s="78">
        <v>0.83378472222222222</v>
      </c>
      <c r="G362" s="75">
        <v>2</v>
      </c>
      <c r="H362" s="75">
        <v>0</v>
      </c>
      <c r="I362" s="75">
        <v>39</v>
      </c>
    </row>
    <row r="363" spans="1:9">
      <c r="A363" s="75">
        <v>1055</v>
      </c>
      <c r="B363" s="75">
        <v>13</v>
      </c>
      <c r="C363" s="75">
        <v>1068</v>
      </c>
      <c r="D363" s="76">
        <v>43347.844189814816</v>
      </c>
      <c r="E363" s="77">
        <v>43344</v>
      </c>
      <c r="F363" s="78">
        <v>0.84418981481481481</v>
      </c>
      <c r="G363" s="75">
        <v>2</v>
      </c>
      <c r="H363" s="75">
        <v>15</v>
      </c>
      <c r="I363" s="75">
        <v>38</v>
      </c>
    </row>
    <row r="364" spans="1:9">
      <c r="A364" s="75">
        <v>997</v>
      </c>
      <c r="B364" s="75">
        <v>16</v>
      </c>
      <c r="C364" s="75">
        <v>1013</v>
      </c>
      <c r="D364" s="76">
        <v>43347.85460648148</v>
      </c>
      <c r="E364" s="77">
        <v>43344</v>
      </c>
      <c r="F364" s="78">
        <v>0.85460648148148144</v>
      </c>
      <c r="G364" s="75">
        <v>2</v>
      </c>
      <c r="H364" s="75">
        <v>30</v>
      </c>
      <c r="I364" s="75">
        <v>38</v>
      </c>
    </row>
    <row r="365" spans="1:9">
      <c r="A365" s="75">
        <v>961</v>
      </c>
      <c r="B365" s="75">
        <v>14</v>
      </c>
      <c r="C365" s="75">
        <v>975</v>
      </c>
      <c r="D365" s="76">
        <v>43347.865023148152</v>
      </c>
      <c r="E365" s="77">
        <v>43344</v>
      </c>
      <c r="F365" s="78">
        <v>0.86502314814814818</v>
      </c>
      <c r="G365" s="75">
        <v>2</v>
      </c>
      <c r="H365" s="75">
        <v>45</v>
      </c>
      <c r="I365" s="75">
        <v>38</v>
      </c>
    </row>
    <row r="366" spans="1:9">
      <c r="A366" s="75">
        <v>838</v>
      </c>
      <c r="B366" s="75">
        <v>7</v>
      </c>
      <c r="C366" s="75">
        <v>845</v>
      </c>
      <c r="D366" s="76">
        <v>43347.875439814816</v>
      </c>
      <c r="E366" s="77">
        <v>43344</v>
      </c>
      <c r="F366" s="78">
        <v>0.87543981481481481</v>
      </c>
      <c r="G366" s="75">
        <v>2</v>
      </c>
      <c r="H366" s="75">
        <v>0</v>
      </c>
      <c r="I366" s="75">
        <v>38</v>
      </c>
    </row>
    <row r="367" spans="1:9">
      <c r="A367" s="75">
        <v>915</v>
      </c>
      <c r="B367" s="75">
        <v>5</v>
      </c>
      <c r="C367" s="75">
        <v>920</v>
      </c>
      <c r="D367" s="76">
        <v>43347.88585648148</v>
      </c>
      <c r="E367" s="77">
        <v>43344</v>
      </c>
      <c r="F367" s="78">
        <v>0.88585648148148144</v>
      </c>
      <c r="G367" s="75">
        <v>2</v>
      </c>
      <c r="H367" s="75">
        <v>15</v>
      </c>
      <c r="I367" s="75">
        <v>38</v>
      </c>
    </row>
    <row r="368" spans="1:9">
      <c r="A368" s="75">
        <v>880</v>
      </c>
      <c r="B368" s="75">
        <v>13</v>
      </c>
      <c r="C368" s="75">
        <v>893</v>
      </c>
      <c r="D368" s="76">
        <v>43347.896273148152</v>
      </c>
      <c r="E368" s="77">
        <v>43344</v>
      </c>
      <c r="F368" s="78">
        <v>0.89627314814814818</v>
      </c>
      <c r="G368" s="75">
        <v>2</v>
      </c>
      <c r="H368" s="75">
        <v>30</v>
      </c>
      <c r="I368" s="75">
        <v>38</v>
      </c>
    </row>
    <row r="369" spans="1:9">
      <c r="A369" s="75">
        <v>832</v>
      </c>
      <c r="B369" s="75">
        <v>9</v>
      </c>
      <c r="C369" s="75">
        <v>841</v>
      </c>
      <c r="D369" s="76">
        <v>43347.906689814816</v>
      </c>
      <c r="E369" s="77">
        <v>43344</v>
      </c>
      <c r="F369" s="78">
        <v>0.90668981481481481</v>
      </c>
      <c r="G369" s="75">
        <v>2</v>
      </c>
      <c r="H369" s="75">
        <v>45</v>
      </c>
      <c r="I369" s="75">
        <v>38</v>
      </c>
    </row>
    <row r="370" spans="1:9">
      <c r="A370" s="75">
        <v>709</v>
      </c>
      <c r="B370" s="75">
        <v>8</v>
      </c>
      <c r="C370" s="75">
        <v>717</v>
      </c>
      <c r="D370" s="76">
        <v>43347.91710648148</v>
      </c>
      <c r="E370" s="77">
        <v>43344</v>
      </c>
      <c r="F370" s="78">
        <v>0.91710648148148144</v>
      </c>
      <c r="G370" s="75">
        <v>2</v>
      </c>
      <c r="H370" s="75">
        <v>0</v>
      </c>
      <c r="I370" s="75">
        <v>38</v>
      </c>
    </row>
    <row r="371" spans="1:9">
      <c r="A371" s="75">
        <v>752</v>
      </c>
      <c r="B371" s="75">
        <v>8</v>
      </c>
      <c r="C371" s="75">
        <v>760</v>
      </c>
      <c r="D371" s="76">
        <v>43347.927523148152</v>
      </c>
      <c r="E371" s="77">
        <v>43344</v>
      </c>
      <c r="F371" s="78">
        <v>0.92752314814814818</v>
      </c>
      <c r="G371" s="75">
        <v>2</v>
      </c>
      <c r="H371" s="75">
        <v>15</v>
      </c>
      <c r="I371" s="75">
        <v>38</v>
      </c>
    </row>
    <row r="372" spans="1:9">
      <c r="A372" s="75">
        <v>702</v>
      </c>
      <c r="B372" s="75">
        <v>4</v>
      </c>
      <c r="C372" s="75">
        <v>706</v>
      </c>
      <c r="D372" s="76">
        <v>43347.937951388885</v>
      </c>
      <c r="E372" s="77">
        <v>43344</v>
      </c>
      <c r="F372" s="78">
        <v>0.93795138888888896</v>
      </c>
      <c r="G372" s="75">
        <v>2</v>
      </c>
      <c r="H372" s="75">
        <v>30</v>
      </c>
      <c r="I372" s="75">
        <v>39</v>
      </c>
    </row>
    <row r="373" spans="1:9">
      <c r="A373" s="75">
        <v>626</v>
      </c>
      <c r="B373" s="75">
        <v>10</v>
      </c>
      <c r="C373" s="75">
        <v>636</v>
      </c>
      <c r="D373" s="76">
        <v>43347.94835648148</v>
      </c>
      <c r="E373" s="77">
        <v>43344</v>
      </c>
      <c r="F373" s="78">
        <v>0.94835648148148144</v>
      </c>
      <c r="G373" s="75">
        <v>2</v>
      </c>
      <c r="H373" s="75">
        <v>45</v>
      </c>
      <c r="I373" s="75">
        <v>38</v>
      </c>
    </row>
    <row r="374" spans="1:9">
      <c r="A374" s="75">
        <v>594</v>
      </c>
      <c r="B374" s="75">
        <v>8</v>
      </c>
      <c r="C374" s="75">
        <v>602</v>
      </c>
      <c r="D374" s="76">
        <v>43347.958773148152</v>
      </c>
      <c r="E374" s="77">
        <v>43344</v>
      </c>
      <c r="F374" s="78">
        <v>0.95877314814814818</v>
      </c>
      <c r="G374" s="75">
        <v>2</v>
      </c>
      <c r="H374" s="75">
        <v>0</v>
      </c>
      <c r="I374" s="75">
        <v>38</v>
      </c>
    </row>
    <row r="375" spans="1:9">
      <c r="A375" s="75">
        <v>602</v>
      </c>
      <c r="B375" s="75">
        <v>6</v>
      </c>
      <c r="C375" s="75">
        <v>608</v>
      </c>
      <c r="D375" s="76">
        <v>43347.969189814816</v>
      </c>
      <c r="E375" s="77">
        <v>43344</v>
      </c>
      <c r="F375" s="78">
        <v>0.96918981481481481</v>
      </c>
      <c r="G375" s="75">
        <v>2</v>
      </c>
      <c r="H375" s="75">
        <v>15</v>
      </c>
      <c r="I375" s="75">
        <v>38</v>
      </c>
    </row>
    <row r="376" spans="1:9">
      <c r="A376" s="75">
        <v>522</v>
      </c>
      <c r="B376" s="75">
        <v>2</v>
      </c>
      <c r="C376" s="75">
        <v>524</v>
      </c>
      <c r="D376" s="76">
        <v>43347.97960648148</v>
      </c>
      <c r="E376" s="77">
        <v>43344</v>
      </c>
      <c r="F376" s="78">
        <v>0.97960648148148144</v>
      </c>
      <c r="G376" s="75">
        <v>2</v>
      </c>
      <c r="H376" s="75">
        <v>30</v>
      </c>
      <c r="I376" s="75">
        <v>38</v>
      </c>
    </row>
    <row r="377" spans="1:9">
      <c r="A377" s="75">
        <v>435</v>
      </c>
      <c r="B377" s="75">
        <v>2</v>
      </c>
      <c r="C377" s="75">
        <v>437</v>
      </c>
      <c r="D377" s="76">
        <v>43347.990034722221</v>
      </c>
      <c r="E377" s="77">
        <v>43344</v>
      </c>
      <c r="F377" s="78">
        <v>0.99003472222222222</v>
      </c>
      <c r="G377" s="75">
        <v>2</v>
      </c>
      <c r="H377" s="75">
        <v>45</v>
      </c>
      <c r="I377" s="75">
        <v>39</v>
      </c>
    </row>
    <row r="378" spans="1:9">
      <c r="A378" s="75">
        <v>359</v>
      </c>
      <c r="B378" s="75">
        <v>1</v>
      </c>
      <c r="C378" s="75">
        <v>360</v>
      </c>
      <c r="D378" s="76">
        <v>43348.000439814816</v>
      </c>
      <c r="E378" s="77">
        <v>43344</v>
      </c>
      <c r="F378" s="78">
        <v>4.3981481481481481E-4</v>
      </c>
      <c r="G378" s="75">
        <v>2</v>
      </c>
      <c r="H378" s="75">
        <v>0</v>
      </c>
      <c r="I378" s="75">
        <v>38</v>
      </c>
    </row>
    <row r="379" spans="1:9">
      <c r="A379" s="75">
        <v>382</v>
      </c>
      <c r="B379" s="75">
        <v>5</v>
      </c>
      <c r="C379" s="75">
        <v>387</v>
      </c>
      <c r="D379" s="76">
        <v>43348.01085648148</v>
      </c>
      <c r="E379" s="77">
        <v>43344</v>
      </c>
      <c r="F379" s="78">
        <v>1.0856481481481481E-2</v>
      </c>
      <c r="G379" s="75">
        <v>2</v>
      </c>
      <c r="H379" s="75">
        <v>15</v>
      </c>
      <c r="I379" s="75">
        <v>38</v>
      </c>
    </row>
    <row r="380" spans="1:9">
      <c r="A380" s="75">
        <v>328</v>
      </c>
      <c r="B380" s="75">
        <v>0</v>
      </c>
      <c r="C380" s="75">
        <v>328</v>
      </c>
      <c r="D380" s="76">
        <v>43348.021273148152</v>
      </c>
      <c r="E380" s="77">
        <v>43344</v>
      </c>
      <c r="F380" s="78">
        <v>2.1273148148148149E-2</v>
      </c>
      <c r="G380" s="75">
        <v>2</v>
      </c>
      <c r="H380" s="75">
        <v>30</v>
      </c>
      <c r="I380" s="75">
        <v>38</v>
      </c>
    </row>
    <row r="381" spans="1:9">
      <c r="A381" s="75">
        <v>296</v>
      </c>
      <c r="B381" s="75">
        <v>1</v>
      </c>
      <c r="C381" s="75">
        <v>297</v>
      </c>
      <c r="D381" s="76">
        <v>43348.031689814816</v>
      </c>
      <c r="E381" s="77">
        <v>43344</v>
      </c>
      <c r="F381" s="78">
        <v>3.1689814814814816E-2</v>
      </c>
      <c r="G381" s="75">
        <v>2</v>
      </c>
      <c r="H381" s="75">
        <v>45</v>
      </c>
      <c r="I381" s="75">
        <v>38</v>
      </c>
    </row>
    <row r="382" spans="1:9">
      <c r="A382" s="75">
        <v>249</v>
      </c>
      <c r="B382" s="75">
        <v>1</v>
      </c>
      <c r="C382" s="75">
        <v>250</v>
      </c>
      <c r="D382" s="76">
        <v>43348.04210648148</v>
      </c>
      <c r="E382" s="77">
        <v>43344</v>
      </c>
      <c r="F382" s="78">
        <v>4.2106481481481488E-2</v>
      </c>
      <c r="G382" s="75">
        <v>2</v>
      </c>
      <c r="H382" s="75">
        <v>0</v>
      </c>
      <c r="I382" s="75">
        <v>38</v>
      </c>
    </row>
    <row r="383" spans="1:9">
      <c r="A383" s="75">
        <v>298</v>
      </c>
      <c r="B383" s="75">
        <v>2</v>
      </c>
      <c r="C383" s="75">
        <v>300</v>
      </c>
      <c r="D383" s="76">
        <v>43348.052534722221</v>
      </c>
      <c r="E383" s="77">
        <v>43344</v>
      </c>
      <c r="F383" s="78">
        <v>5.2534722222222219E-2</v>
      </c>
      <c r="G383" s="75">
        <v>2</v>
      </c>
      <c r="H383" s="75">
        <v>15</v>
      </c>
      <c r="I383" s="75">
        <v>39</v>
      </c>
    </row>
    <row r="384" spans="1:9">
      <c r="A384" s="75">
        <v>267</v>
      </c>
      <c r="B384" s="75">
        <v>3</v>
      </c>
      <c r="C384" s="75">
        <v>270</v>
      </c>
      <c r="D384" s="76">
        <v>43348.062951388885</v>
      </c>
      <c r="E384" s="77">
        <v>43344</v>
      </c>
      <c r="F384" s="78">
        <v>6.295138888888889E-2</v>
      </c>
      <c r="G384" s="75">
        <v>2</v>
      </c>
      <c r="H384" s="75">
        <v>30</v>
      </c>
      <c r="I384" s="75">
        <v>39</v>
      </c>
    </row>
    <row r="385" spans="1:9">
      <c r="A385" s="75">
        <v>278</v>
      </c>
      <c r="B385" s="75">
        <v>3</v>
      </c>
      <c r="C385" s="75">
        <v>275</v>
      </c>
      <c r="D385" s="76">
        <v>43348.07335648148</v>
      </c>
      <c r="E385" s="77">
        <v>43344</v>
      </c>
      <c r="F385" s="78">
        <v>7.3356481481481481E-2</v>
      </c>
      <c r="G385" s="75">
        <v>2</v>
      </c>
      <c r="H385" s="75">
        <v>45</v>
      </c>
      <c r="I385" s="75">
        <v>38</v>
      </c>
    </row>
    <row r="386" spans="1:9">
      <c r="A386" s="75">
        <v>255</v>
      </c>
      <c r="B386" s="75">
        <v>4</v>
      </c>
      <c r="C386" s="75">
        <v>259</v>
      </c>
      <c r="D386" s="76">
        <v>43348.083784722221</v>
      </c>
      <c r="E386" s="77">
        <v>43344</v>
      </c>
      <c r="F386" s="78">
        <v>8.3784722222222219E-2</v>
      </c>
      <c r="G386" s="75">
        <v>2</v>
      </c>
      <c r="H386" s="75">
        <v>0</v>
      </c>
      <c r="I386" s="75">
        <v>39</v>
      </c>
    </row>
    <row r="387" spans="1:9">
      <c r="A387" s="75">
        <v>282</v>
      </c>
      <c r="B387" s="75">
        <v>2</v>
      </c>
      <c r="C387" s="75">
        <v>284</v>
      </c>
      <c r="D387" s="76">
        <v>43348.094189814816</v>
      </c>
      <c r="E387" s="77">
        <v>43344</v>
      </c>
      <c r="F387" s="78">
        <v>9.418981481481481E-2</v>
      </c>
      <c r="G387" s="75">
        <v>2</v>
      </c>
      <c r="H387" s="75">
        <v>15</v>
      </c>
      <c r="I387" s="75">
        <v>38</v>
      </c>
    </row>
    <row r="388" spans="1:9">
      <c r="A388" s="75">
        <v>235</v>
      </c>
      <c r="B388" s="75">
        <v>7</v>
      </c>
      <c r="C388" s="75">
        <v>242</v>
      </c>
      <c r="D388" s="76">
        <v>43348.10460648148</v>
      </c>
      <c r="E388" s="77">
        <v>43344</v>
      </c>
      <c r="F388" s="78">
        <v>0.10460648148148148</v>
      </c>
      <c r="G388" s="75">
        <v>2</v>
      </c>
      <c r="H388" s="75">
        <v>30</v>
      </c>
      <c r="I388" s="75">
        <v>38</v>
      </c>
    </row>
    <row r="389" spans="1:9">
      <c r="A389" s="75">
        <v>202</v>
      </c>
      <c r="B389" s="75">
        <v>2</v>
      </c>
      <c r="C389" s="75">
        <v>204</v>
      </c>
      <c r="D389" s="76">
        <v>43348.115023148152</v>
      </c>
      <c r="E389" s="77">
        <v>43344</v>
      </c>
      <c r="F389" s="78">
        <v>0.11502314814814814</v>
      </c>
      <c r="G389" s="75">
        <v>2</v>
      </c>
      <c r="H389" s="75">
        <v>45</v>
      </c>
      <c r="I389" s="75">
        <v>38</v>
      </c>
    </row>
    <row r="390" spans="1:9">
      <c r="A390" s="75">
        <v>161</v>
      </c>
      <c r="B390" s="75">
        <v>1</v>
      </c>
      <c r="C390" s="75">
        <v>162</v>
      </c>
      <c r="D390" s="76">
        <v>43348.125439814816</v>
      </c>
      <c r="E390" s="77">
        <v>43344</v>
      </c>
      <c r="F390" s="78">
        <v>0.12543981481481481</v>
      </c>
      <c r="G390" s="75">
        <v>2</v>
      </c>
      <c r="H390" s="75">
        <v>0</v>
      </c>
      <c r="I390" s="75">
        <v>38</v>
      </c>
    </row>
    <row r="391" spans="1:9">
      <c r="A391" s="75">
        <v>161</v>
      </c>
      <c r="B391" s="75">
        <v>4</v>
      </c>
      <c r="C391" s="75">
        <v>156</v>
      </c>
      <c r="D391" s="76">
        <v>43348.13585648148</v>
      </c>
      <c r="E391" s="77">
        <v>43344</v>
      </c>
      <c r="F391" s="78">
        <v>0.13585648148148147</v>
      </c>
      <c r="G391" s="75">
        <v>2</v>
      </c>
      <c r="H391" s="75">
        <v>15</v>
      </c>
      <c r="I391" s="75">
        <v>38</v>
      </c>
    </row>
    <row r="392" spans="1:9">
      <c r="A392" s="75">
        <v>138</v>
      </c>
      <c r="B392" s="75">
        <v>1</v>
      </c>
      <c r="C392" s="75">
        <v>139</v>
      </c>
      <c r="D392" s="76">
        <v>43348.146273148152</v>
      </c>
      <c r="E392" s="77">
        <v>43344</v>
      </c>
      <c r="F392" s="78">
        <v>0.14627314814814815</v>
      </c>
      <c r="G392" s="75">
        <v>2</v>
      </c>
      <c r="H392" s="75">
        <v>30</v>
      </c>
      <c r="I392" s="75">
        <v>38</v>
      </c>
    </row>
    <row r="393" spans="1:9">
      <c r="A393" s="75">
        <v>124</v>
      </c>
      <c r="B393" s="75">
        <v>2</v>
      </c>
      <c r="C393" s="75">
        <v>123</v>
      </c>
      <c r="D393" s="76">
        <v>43348.156678240739</v>
      </c>
      <c r="E393" s="77">
        <v>43344</v>
      </c>
      <c r="F393" s="78">
        <v>0.15667824074074074</v>
      </c>
      <c r="G393" s="75">
        <v>2</v>
      </c>
      <c r="H393" s="75">
        <v>45</v>
      </c>
      <c r="I393" s="75">
        <v>37</v>
      </c>
    </row>
    <row r="394" spans="1:9">
      <c r="A394" s="75">
        <v>127</v>
      </c>
      <c r="B394" s="75">
        <v>3</v>
      </c>
      <c r="C394" s="75">
        <v>130</v>
      </c>
      <c r="D394" s="76">
        <v>43348.16710648148</v>
      </c>
      <c r="E394" s="77">
        <v>43344</v>
      </c>
      <c r="F394" s="78">
        <v>0.16710648148148147</v>
      </c>
      <c r="G394" s="75">
        <v>2</v>
      </c>
      <c r="H394" s="75">
        <v>0</v>
      </c>
      <c r="I394" s="75">
        <v>38</v>
      </c>
    </row>
    <row r="395" spans="1:9">
      <c r="A395" s="75">
        <v>49</v>
      </c>
      <c r="B395" s="75">
        <v>3</v>
      </c>
      <c r="C395" s="75">
        <v>52</v>
      </c>
      <c r="D395" s="76">
        <v>43348.177523148152</v>
      </c>
      <c r="E395" s="77">
        <v>43344</v>
      </c>
      <c r="F395" s="78">
        <v>0.17752314814814815</v>
      </c>
      <c r="G395" s="75">
        <v>2</v>
      </c>
      <c r="H395" s="75">
        <v>15</v>
      </c>
      <c r="I395" s="75">
        <v>38</v>
      </c>
    </row>
    <row r="396" spans="1:9">
      <c r="A396" s="75">
        <v>29</v>
      </c>
      <c r="B396" s="75">
        <v>0</v>
      </c>
      <c r="C396" s="75">
        <v>29</v>
      </c>
      <c r="D396" s="76">
        <v>43348.187939814816</v>
      </c>
      <c r="E396" s="77">
        <v>43344</v>
      </c>
      <c r="F396" s="78">
        <v>0.18793981481481481</v>
      </c>
      <c r="G396" s="75">
        <v>2</v>
      </c>
      <c r="H396" s="75">
        <v>30</v>
      </c>
      <c r="I396" s="75">
        <v>38</v>
      </c>
    </row>
    <row r="397" spans="1:9">
      <c r="A397" s="75">
        <v>26</v>
      </c>
      <c r="B397" s="75">
        <v>0</v>
      </c>
      <c r="C397" s="75">
        <v>26</v>
      </c>
      <c r="D397" s="76">
        <v>43348.198344907411</v>
      </c>
      <c r="E397" s="77">
        <v>43344</v>
      </c>
      <c r="F397" s="78">
        <v>0.1983449074074074</v>
      </c>
      <c r="G397" s="75">
        <v>2</v>
      </c>
      <c r="H397" s="75">
        <v>45</v>
      </c>
      <c r="I397" s="75">
        <v>37</v>
      </c>
    </row>
    <row r="398" spans="1:9">
      <c r="A398" s="75">
        <v>22</v>
      </c>
      <c r="B398" s="75">
        <v>0</v>
      </c>
      <c r="C398" s="75">
        <v>22</v>
      </c>
      <c r="D398" s="76">
        <v>43348.208773148152</v>
      </c>
      <c r="E398" s="77">
        <v>43344</v>
      </c>
      <c r="F398" s="78">
        <v>0.20877314814814815</v>
      </c>
      <c r="G398" s="75">
        <v>2</v>
      </c>
      <c r="H398" s="75">
        <v>0</v>
      </c>
      <c r="I398" s="75">
        <v>38</v>
      </c>
    </row>
    <row r="399" spans="1:9">
      <c r="A399" s="75">
        <v>20</v>
      </c>
      <c r="B399" s="75">
        <v>0</v>
      </c>
      <c r="C399" s="75">
        <v>20</v>
      </c>
      <c r="D399" s="76">
        <v>43348.219178240739</v>
      </c>
      <c r="E399" s="77">
        <v>43344</v>
      </c>
      <c r="F399" s="78">
        <v>0.21917824074074074</v>
      </c>
      <c r="G399" s="75">
        <v>2</v>
      </c>
      <c r="H399" s="75">
        <v>15</v>
      </c>
      <c r="I399" s="75">
        <v>37</v>
      </c>
    </row>
    <row r="400" spans="1:9">
      <c r="A400" s="75">
        <v>20</v>
      </c>
      <c r="B400" s="75">
        <v>0</v>
      </c>
      <c r="C400" s="75">
        <v>20</v>
      </c>
      <c r="D400" s="76">
        <v>43348.22960648148</v>
      </c>
      <c r="E400" s="77">
        <v>43344</v>
      </c>
      <c r="F400" s="78">
        <v>0.22960648148148147</v>
      </c>
      <c r="G400" s="75">
        <v>2</v>
      </c>
      <c r="H400" s="75">
        <v>30</v>
      </c>
      <c r="I400" s="75">
        <v>38</v>
      </c>
    </row>
    <row r="401" spans="1:9">
      <c r="A401" s="75">
        <v>18</v>
      </c>
      <c r="B401" s="75">
        <v>0</v>
      </c>
      <c r="C401" s="75">
        <v>18</v>
      </c>
      <c r="D401" s="76">
        <v>43348.240011574075</v>
      </c>
      <c r="E401" s="77">
        <v>43344</v>
      </c>
      <c r="F401" s="78">
        <v>0.24001157407407406</v>
      </c>
      <c r="G401" s="75">
        <v>2</v>
      </c>
      <c r="H401" s="75">
        <v>45</v>
      </c>
      <c r="I401" s="75">
        <v>37</v>
      </c>
    </row>
    <row r="402" spans="1:9">
      <c r="A402" s="75">
        <v>18</v>
      </c>
      <c r="B402" s="75">
        <v>0</v>
      </c>
      <c r="C402" s="75">
        <v>18</v>
      </c>
      <c r="D402" s="76">
        <v>43348.250428240739</v>
      </c>
      <c r="E402" s="77">
        <v>43344</v>
      </c>
      <c r="F402" s="78">
        <v>0.25042824074074072</v>
      </c>
      <c r="G402" s="75">
        <v>2</v>
      </c>
      <c r="H402" s="75">
        <v>0</v>
      </c>
      <c r="I402" s="75">
        <v>37</v>
      </c>
    </row>
    <row r="403" spans="1:9">
      <c r="A403" s="75">
        <v>18</v>
      </c>
      <c r="B403" s="75">
        <v>0</v>
      </c>
      <c r="C403" s="75">
        <v>18</v>
      </c>
      <c r="D403" s="76">
        <v>43348.260844907411</v>
      </c>
      <c r="E403" s="77">
        <v>43344</v>
      </c>
      <c r="F403" s="78">
        <v>0.2608449074074074</v>
      </c>
      <c r="G403" s="75">
        <v>2</v>
      </c>
      <c r="H403" s="75">
        <v>15</v>
      </c>
      <c r="I403" s="75">
        <v>37</v>
      </c>
    </row>
    <row r="404" spans="1:9">
      <c r="A404" s="75">
        <v>17</v>
      </c>
      <c r="B404" s="75">
        <v>0</v>
      </c>
      <c r="C404" s="75">
        <v>17</v>
      </c>
      <c r="D404" s="76">
        <v>43348.273842592593</v>
      </c>
      <c r="E404" s="77">
        <v>43344</v>
      </c>
      <c r="F404" s="78">
        <v>0.27384259259259258</v>
      </c>
      <c r="G404" s="75">
        <v>2</v>
      </c>
      <c r="H404" s="75">
        <v>34</v>
      </c>
      <c r="I404" s="75">
        <v>20</v>
      </c>
    </row>
    <row r="405" spans="1:9">
      <c r="A405" s="75">
        <v>17</v>
      </c>
      <c r="B405" s="75">
        <v>0</v>
      </c>
      <c r="C405" s="75">
        <v>17</v>
      </c>
      <c r="D405" s="76">
        <v>43348.281689814816</v>
      </c>
      <c r="E405" s="77">
        <v>43344</v>
      </c>
      <c r="F405" s="78">
        <v>0.28168981481481481</v>
      </c>
      <c r="G405" s="75">
        <v>2</v>
      </c>
      <c r="H405" s="75">
        <v>45</v>
      </c>
      <c r="I405" s="75">
        <v>38</v>
      </c>
    </row>
    <row r="406" spans="1:9">
      <c r="A406" s="75">
        <v>22</v>
      </c>
      <c r="B406" s="75">
        <v>0</v>
      </c>
      <c r="C406" s="75">
        <v>22</v>
      </c>
      <c r="D406" s="76">
        <v>43348.29210648148</v>
      </c>
      <c r="E406" s="77">
        <v>43344</v>
      </c>
      <c r="F406" s="78">
        <v>0.29210648148148149</v>
      </c>
      <c r="G406" s="75">
        <v>2</v>
      </c>
      <c r="H406" s="75">
        <v>0</v>
      </c>
      <c r="I406" s="75">
        <v>38</v>
      </c>
    </row>
    <row r="407" spans="1:9">
      <c r="A407" s="75">
        <v>45</v>
      </c>
      <c r="B407" s="75">
        <v>0</v>
      </c>
      <c r="C407" s="75">
        <v>45</v>
      </c>
      <c r="D407" s="76">
        <v>43348.302534722221</v>
      </c>
      <c r="E407" s="77">
        <v>43344</v>
      </c>
      <c r="F407" s="78">
        <v>0.30253472222222222</v>
      </c>
      <c r="G407" s="75">
        <v>2</v>
      </c>
      <c r="H407" s="75">
        <v>15</v>
      </c>
      <c r="I407" s="75">
        <v>39</v>
      </c>
    </row>
    <row r="408" spans="1:9">
      <c r="A408" s="75">
        <v>45</v>
      </c>
      <c r="B408" s="75">
        <v>0</v>
      </c>
      <c r="C408" s="75">
        <v>45</v>
      </c>
      <c r="D408" s="76">
        <v>43348.312951388885</v>
      </c>
      <c r="E408" s="77">
        <v>43344</v>
      </c>
      <c r="F408" s="78">
        <v>0.3129513888888889</v>
      </c>
      <c r="G408" s="75">
        <v>2</v>
      </c>
      <c r="H408" s="75">
        <v>30</v>
      </c>
      <c r="I408" s="75">
        <v>39</v>
      </c>
    </row>
    <row r="409" spans="1:9">
      <c r="A409" s="75">
        <v>58</v>
      </c>
      <c r="B409" s="75">
        <v>1</v>
      </c>
      <c r="C409" s="75">
        <v>59</v>
      </c>
      <c r="D409" s="76">
        <v>43348.323379629626</v>
      </c>
      <c r="E409" s="77">
        <v>43344</v>
      </c>
      <c r="F409" s="78">
        <v>0.32337962962962963</v>
      </c>
      <c r="G409" s="75">
        <v>2</v>
      </c>
      <c r="H409" s="75">
        <v>45</v>
      </c>
      <c r="I409" s="75">
        <v>40</v>
      </c>
    </row>
    <row r="410" spans="1:9">
      <c r="A410" s="75">
        <v>51</v>
      </c>
      <c r="B410" s="75">
        <v>0</v>
      </c>
      <c r="C410" s="75">
        <v>51</v>
      </c>
      <c r="D410" s="76">
        <v>43348.333784722221</v>
      </c>
      <c r="E410" s="77">
        <v>43344</v>
      </c>
      <c r="F410" s="78">
        <v>0.33378472222222227</v>
      </c>
      <c r="G410" s="75">
        <v>2</v>
      </c>
      <c r="H410" s="75">
        <v>0</v>
      </c>
      <c r="I410" s="75">
        <v>39</v>
      </c>
    </row>
    <row r="411" spans="1:9">
      <c r="A411" s="75">
        <v>85</v>
      </c>
      <c r="B411" s="75">
        <v>0</v>
      </c>
      <c r="C411" s="75">
        <v>85</v>
      </c>
      <c r="D411" s="76">
        <v>43348.344201388885</v>
      </c>
      <c r="E411" s="77">
        <v>43344</v>
      </c>
      <c r="F411" s="78">
        <v>0.3442013888888889</v>
      </c>
      <c r="G411" s="75">
        <v>2</v>
      </c>
      <c r="H411" s="75">
        <v>15</v>
      </c>
      <c r="I411" s="75">
        <v>39</v>
      </c>
    </row>
    <row r="412" spans="1:9">
      <c r="A412" s="75">
        <v>104</v>
      </c>
      <c r="B412" s="75">
        <v>2</v>
      </c>
      <c r="C412" s="75">
        <v>106</v>
      </c>
      <c r="D412" s="76">
        <v>43348.354618055557</v>
      </c>
      <c r="E412" s="77">
        <v>43344</v>
      </c>
      <c r="F412" s="78">
        <v>0.35461805555555559</v>
      </c>
      <c r="G412" s="75">
        <v>2</v>
      </c>
      <c r="H412" s="75">
        <v>30</v>
      </c>
      <c r="I412" s="75">
        <v>39</v>
      </c>
    </row>
    <row r="413" spans="1:9">
      <c r="A413" s="75">
        <v>189</v>
      </c>
      <c r="B413" s="75">
        <v>1</v>
      </c>
      <c r="C413" s="75">
        <v>189</v>
      </c>
      <c r="D413" s="76">
        <v>43348.365034722221</v>
      </c>
      <c r="E413" s="77">
        <v>43344</v>
      </c>
      <c r="F413" s="78">
        <v>0.36503472222222227</v>
      </c>
      <c r="G413" s="75">
        <v>2</v>
      </c>
      <c r="H413" s="75">
        <v>45</v>
      </c>
      <c r="I413" s="75">
        <v>39</v>
      </c>
    </row>
    <row r="414" spans="1:9">
      <c r="A414" s="75">
        <v>168</v>
      </c>
      <c r="B414" s="75">
        <v>1</v>
      </c>
      <c r="C414" s="75">
        <v>169</v>
      </c>
      <c r="D414" s="76">
        <v>43348.375451388885</v>
      </c>
      <c r="E414" s="77">
        <v>43344</v>
      </c>
      <c r="F414" s="78">
        <v>0.3754513888888889</v>
      </c>
      <c r="G414" s="75">
        <v>2</v>
      </c>
      <c r="H414" s="75">
        <v>0</v>
      </c>
      <c r="I414" s="75">
        <v>39</v>
      </c>
    </row>
    <row r="415" spans="1:9">
      <c r="A415" s="75">
        <v>278</v>
      </c>
      <c r="B415" s="75">
        <v>4</v>
      </c>
      <c r="C415" s="75">
        <v>282</v>
      </c>
      <c r="D415" s="76">
        <v>43348.385868055557</v>
      </c>
      <c r="E415" s="77">
        <v>43344</v>
      </c>
      <c r="F415" s="78">
        <v>0.38586805555555559</v>
      </c>
      <c r="G415" s="75">
        <v>2</v>
      </c>
      <c r="H415" s="75">
        <v>15</v>
      </c>
      <c r="I415" s="75">
        <v>39</v>
      </c>
    </row>
    <row r="416" spans="1:9">
      <c r="A416" s="75">
        <v>427</v>
      </c>
      <c r="B416" s="75">
        <v>5</v>
      </c>
      <c r="C416" s="75">
        <v>432</v>
      </c>
      <c r="D416" s="76">
        <v>43348.396284722221</v>
      </c>
      <c r="E416" s="77">
        <v>43344</v>
      </c>
      <c r="F416" s="78">
        <v>0.39628472222222227</v>
      </c>
      <c r="G416" s="75">
        <v>2</v>
      </c>
      <c r="H416" s="75">
        <v>30</v>
      </c>
      <c r="I416" s="75">
        <v>39</v>
      </c>
    </row>
    <row r="417" spans="1:9">
      <c r="A417" s="75">
        <v>743</v>
      </c>
      <c r="B417" s="75">
        <v>7</v>
      </c>
      <c r="C417" s="75">
        <v>750</v>
      </c>
      <c r="D417" s="76">
        <v>43348.406701388885</v>
      </c>
      <c r="E417" s="77">
        <v>43344</v>
      </c>
      <c r="F417" s="78">
        <v>0.4067013888888889</v>
      </c>
      <c r="G417" s="75">
        <v>2</v>
      </c>
      <c r="H417" s="75">
        <v>45</v>
      </c>
      <c r="I417" s="75">
        <v>39</v>
      </c>
    </row>
    <row r="418" spans="1:9">
      <c r="A418" s="75">
        <v>696</v>
      </c>
      <c r="B418" s="75">
        <v>6</v>
      </c>
      <c r="C418" s="75">
        <v>694</v>
      </c>
      <c r="D418" s="76">
        <v>43348.417118055557</v>
      </c>
      <c r="E418" s="77">
        <v>43344</v>
      </c>
      <c r="F418" s="78">
        <v>0.41711805555555559</v>
      </c>
      <c r="G418" s="75">
        <v>2</v>
      </c>
      <c r="H418" s="75">
        <v>0</v>
      </c>
      <c r="I418" s="75">
        <v>39</v>
      </c>
    </row>
    <row r="419" spans="1:9">
      <c r="A419" s="75">
        <v>733</v>
      </c>
      <c r="B419" s="75">
        <v>15</v>
      </c>
      <c r="C419" s="75">
        <v>748</v>
      </c>
      <c r="D419" s="76">
        <v>43348.427546296298</v>
      </c>
      <c r="E419" s="77">
        <v>43344</v>
      </c>
      <c r="F419" s="78">
        <v>0.42754629629629631</v>
      </c>
      <c r="G419" s="75">
        <v>2</v>
      </c>
      <c r="H419" s="75">
        <v>15</v>
      </c>
      <c r="I419" s="75">
        <v>40</v>
      </c>
    </row>
    <row r="420" spans="1:9">
      <c r="A420" s="75">
        <v>842</v>
      </c>
      <c r="B420" s="75">
        <v>14</v>
      </c>
      <c r="C420" s="75">
        <v>856</v>
      </c>
      <c r="D420" s="76">
        <v>43348.437951388885</v>
      </c>
      <c r="E420" s="77">
        <v>43344</v>
      </c>
      <c r="F420" s="78">
        <v>0.4379513888888889</v>
      </c>
      <c r="G420" s="75">
        <v>2</v>
      </c>
      <c r="H420" s="75">
        <v>30</v>
      </c>
      <c r="I420" s="75">
        <v>39</v>
      </c>
    </row>
    <row r="421" spans="1:9">
      <c r="A421" s="75">
        <v>1072</v>
      </c>
      <c r="B421" s="75">
        <v>26</v>
      </c>
      <c r="C421" s="75">
        <v>1098</v>
      </c>
      <c r="D421" s="76">
        <v>43348.448368055557</v>
      </c>
      <c r="E421" s="77">
        <v>43344</v>
      </c>
      <c r="F421" s="78">
        <v>0.44836805555555559</v>
      </c>
      <c r="G421" s="75">
        <v>2</v>
      </c>
      <c r="H421" s="75">
        <v>45</v>
      </c>
      <c r="I421" s="75">
        <v>39</v>
      </c>
    </row>
    <row r="422" spans="1:9">
      <c r="A422" s="75">
        <v>812</v>
      </c>
      <c r="B422" s="75">
        <v>17</v>
      </c>
      <c r="C422" s="75">
        <v>829</v>
      </c>
      <c r="D422" s="76">
        <v>43348.458784722221</v>
      </c>
      <c r="E422" s="77">
        <v>43344</v>
      </c>
      <c r="F422" s="78">
        <v>0.45878472222222227</v>
      </c>
      <c r="G422" s="75">
        <v>2</v>
      </c>
      <c r="H422" s="75">
        <v>0</v>
      </c>
      <c r="I422" s="75">
        <v>39</v>
      </c>
    </row>
    <row r="423" spans="1:9">
      <c r="A423" s="75">
        <v>625</v>
      </c>
      <c r="B423" s="75">
        <v>12</v>
      </c>
      <c r="C423" s="75">
        <v>637</v>
      </c>
      <c r="D423" s="76">
        <v>43348.469201388885</v>
      </c>
      <c r="E423" s="77">
        <v>43344</v>
      </c>
      <c r="F423" s="78">
        <v>0.4692013888888889</v>
      </c>
      <c r="G423" s="75">
        <v>2</v>
      </c>
      <c r="H423" s="75">
        <v>15</v>
      </c>
      <c r="I423" s="75">
        <v>39</v>
      </c>
    </row>
    <row r="424" spans="1:9">
      <c r="A424" s="75">
        <v>513</v>
      </c>
      <c r="B424" s="75">
        <v>12</v>
      </c>
      <c r="C424" s="75">
        <v>525</v>
      </c>
      <c r="D424" s="76">
        <v>43348.479618055557</v>
      </c>
      <c r="E424" s="77">
        <v>43344</v>
      </c>
      <c r="F424" s="78">
        <v>0.47961805555555559</v>
      </c>
      <c r="G424" s="75">
        <v>2</v>
      </c>
      <c r="H424" s="75">
        <v>30</v>
      </c>
      <c r="I424" s="75">
        <v>39</v>
      </c>
    </row>
    <row r="425" spans="1:9">
      <c r="A425" s="75">
        <v>461</v>
      </c>
      <c r="B425" s="75">
        <v>10</v>
      </c>
      <c r="C425" s="75">
        <v>471</v>
      </c>
      <c r="D425" s="76">
        <v>43348.490034722221</v>
      </c>
      <c r="E425" s="77">
        <v>43344</v>
      </c>
      <c r="F425" s="78">
        <v>0.49003472222222227</v>
      </c>
      <c r="G425" s="75">
        <v>2</v>
      </c>
      <c r="H425" s="75">
        <v>45</v>
      </c>
      <c r="I425" s="75">
        <v>39</v>
      </c>
    </row>
    <row r="426" spans="1:9">
      <c r="A426" s="75">
        <v>373</v>
      </c>
      <c r="B426" s="75">
        <v>3</v>
      </c>
      <c r="C426" s="75">
        <v>376</v>
      </c>
      <c r="D426" s="76">
        <v>43348.500451388885</v>
      </c>
      <c r="E426" s="77">
        <v>43344</v>
      </c>
      <c r="F426" s="78">
        <v>0.50045138888888896</v>
      </c>
      <c r="G426" s="75">
        <v>2</v>
      </c>
      <c r="H426" s="75">
        <v>0</v>
      </c>
      <c r="I426" s="75">
        <v>39</v>
      </c>
    </row>
    <row r="427" spans="1:9">
      <c r="A427" s="75">
        <v>382</v>
      </c>
      <c r="B427" s="75">
        <v>1</v>
      </c>
      <c r="C427" s="75">
        <v>383</v>
      </c>
      <c r="D427" s="76">
        <v>43348.510868055557</v>
      </c>
      <c r="E427" s="77">
        <v>43344</v>
      </c>
      <c r="F427" s="78">
        <v>0.51086805555555559</v>
      </c>
      <c r="G427" s="75">
        <v>2</v>
      </c>
      <c r="H427" s="75">
        <v>15</v>
      </c>
      <c r="I427" s="75">
        <v>39</v>
      </c>
    </row>
    <row r="428" spans="1:9">
      <c r="A428" s="75">
        <v>347</v>
      </c>
      <c r="B428" s="75">
        <v>1</v>
      </c>
      <c r="C428" s="75">
        <v>348</v>
      </c>
      <c r="D428" s="76">
        <v>43348.521273148152</v>
      </c>
      <c r="E428" s="77">
        <v>43344</v>
      </c>
      <c r="F428" s="78">
        <v>0.52127314814814818</v>
      </c>
      <c r="G428" s="75">
        <v>2</v>
      </c>
      <c r="H428" s="75">
        <v>30</v>
      </c>
      <c r="I428" s="75">
        <v>38</v>
      </c>
    </row>
    <row r="429" spans="1:9">
      <c r="A429" s="75">
        <v>350</v>
      </c>
      <c r="B429" s="75">
        <v>0</v>
      </c>
      <c r="C429" s="75">
        <v>350</v>
      </c>
      <c r="D429" s="76">
        <v>43348.531701388885</v>
      </c>
      <c r="E429" s="77">
        <v>43344</v>
      </c>
      <c r="F429" s="78">
        <v>0.53170138888888896</v>
      </c>
      <c r="G429" s="75">
        <v>2</v>
      </c>
      <c r="H429" s="75">
        <v>45</v>
      </c>
      <c r="I429" s="75">
        <v>39</v>
      </c>
    </row>
    <row r="430" spans="1:9">
      <c r="A430" s="75">
        <v>375</v>
      </c>
      <c r="B430" s="75">
        <v>0</v>
      </c>
      <c r="C430" s="75">
        <v>375</v>
      </c>
      <c r="D430" s="76">
        <v>43348.54210648148</v>
      </c>
      <c r="E430" s="77">
        <v>43344</v>
      </c>
      <c r="F430" s="78">
        <v>0.54210648148148144</v>
      </c>
      <c r="G430" s="75">
        <v>2</v>
      </c>
      <c r="H430" s="75">
        <v>0</v>
      </c>
      <c r="I430" s="75">
        <v>38</v>
      </c>
    </row>
    <row r="431" spans="1:9">
      <c r="A431" s="75">
        <v>336</v>
      </c>
      <c r="B431" s="75">
        <v>2</v>
      </c>
      <c r="C431" s="75">
        <v>338</v>
      </c>
      <c r="D431" s="76">
        <v>43348.552534722221</v>
      </c>
      <c r="E431" s="77">
        <v>43344</v>
      </c>
      <c r="F431" s="78">
        <v>0.55253472222222222</v>
      </c>
      <c r="G431" s="75">
        <v>2</v>
      </c>
      <c r="H431" s="75">
        <v>15</v>
      </c>
      <c r="I431" s="75">
        <v>39</v>
      </c>
    </row>
    <row r="432" spans="1:9">
      <c r="A432" s="75">
        <v>379</v>
      </c>
      <c r="B432" s="75">
        <v>0</v>
      </c>
      <c r="C432" s="75">
        <v>379</v>
      </c>
      <c r="D432" s="76">
        <v>43348.562951388885</v>
      </c>
      <c r="E432" s="77">
        <v>43344</v>
      </c>
      <c r="F432" s="78">
        <v>0.56295138888888896</v>
      </c>
      <c r="G432" s="75">
        <v>2</v>
      </c>
      <c r="H432" s="75">
        <v>30</v>
      </c>
      <c r="I432" s="75">
        <v>39</v>
      </c>
    </row>
    <row r="433" spans="1:9">
      <c r="A433" s="75">
        <v>387</v>
      </c>
      <c r="B433" s="75">
        <v>1</v>
      </c>
      <c r="C433" s="75">
        <v>383</v>
      </c>
      <c r="D433" s="76">
        <v>43348.573368055557</v>
      </c>
      <c r="E433" s="77">
        <v>43344</v>
      </c>
      <c r="F433" s="78">
        <v>0.57336805555555559</v>
      </c>
      <c r="G433" s="75">
        <v>2</v>
      </c>
      <c r="H433" s="75">
        <v>45</v>
      </c>
      <c r="I433" s="75">
        <v>39</v>
      </c>
    </row>
    <row r="434" spans="1:9">
      <c r="A434" s="75">
        <v>363</v>
      </c>
      <c r="B434" s="75">
        <v>0</v>
      </c>
      <c r="C434" s="75">
        <v>362</v>
      </c>
      <c r="D434" s="76">
        <v>43348.583773148152</v>
      </c>
      <c r="E434" s="77">
        <v>43344</v>
      </c>
      <c r="F434" s="78">
        <v>0.58377314814814818</v>
      </c>
      <c r="G434" s="75">
        <v>2</v>
      </c>
      <c r="H434" s="75">
        <v>0</v>
      </c>
      <c r="I434" s="75">
        <v>38</v>
      </c>
    </row>
    <row r="435" spans="1:9">
      <c r="A435" s="75">
        <v>393</v>
      </c>
      <c r="B435" s="75">
        <v>0</v>
      </c>
      <c r="C435" s="75">
        <v>392</v>
      </c>
      <c r="D435" s="76">
        <v>43348.594201388885</v>
      </c>
      <c r="E435" s="77">
        <v>43344</v>
      </c>
      <c r="F435" s="78">
        <v>0.59420138888888896</v>
      </c>
      <c r="G435" s="75">
        <v>2</v>
      </c>
      <c r="H435" s="75">
        <v>15</v>
      </c>
      <c r="I435" s="75">
        <v>39</v>
      </c>
    </row>
    <row r="436" spans="1:9">
      <c r="A436" s="75">
        <v>386</v>
      </c>
      <c r="B436" s="75">
        <v>1</v>
      </c>
      <c r="C436" s="75">
        <v>387</v>
      </c>
      <c r="D436" s="76">
        <v>43348.60460648148</v>
      </c>
      <c r="E436" s="77">
        <v>43344</v>
      </c>
      <c r="F436" s="78">
        <v>0.60460648148148144</v>
      </c>
      <c r="G436" s="75">
        <v>2</v>
      </c>
      <c r="H436" s="75">
        <v>30</v>
      </c>
      <c r="I436" s="75">
        <v>38</v>
      </c>
    </row>
    <row r="437" spans="1:9">
      <c r="A437" s="75">
        <v>435</v>
      </c>
      <c r="B437" s="75">
        <v>0</v>
      </c>
      <c r="C437" s="75">
        <v>435</v>
      </c>
      <c r="D437" s="76">
        <v>43348.615034722221</v>
      </c>
      <c r="E437" s="77">
        <v>43344</v>
      </c>
      <c r="F437" s="78">
        <v>0.61503472222222222</v>
      </c>
      <c r="G437" s="75">
        <v>2</v>
      </c>
      <c r="H437" s="75">
        <v>45</v>
      </c>
      <c r="I437" s="75">
        <v>39</v>
      </c>
    </row>
    <row r="438" spans="1:9">
      <c r="A438" s="75">
        <v>404</v>
      </c>
      <c r="B438" s="75">
        <v>1</v>
      </c>
      <c r="C438" s="75">
        <v>405</v>
      </c>
      <c r="D438" s="76">
        <v>43348.625439814816</v>
      </c>
      <c r="E438" s="77">
        <v>43344</v>
      </c>
      <c r="F438" s="78">
        <v>0.62543981481481481</v>
      </c>
      <c r="G438" s="75">
        <v>2</v>
      </c>
      <c r="H438" s="75">
        <v>0</v>
      </c>
      <c r="I438" s="75">
        <v>38</v>
      </c>
    </row>
    <row r="439" spans="1:9">
      <c r="A439" s="75">
        <v>450</v>
      </c>
      <c r="B439" s="75">
        <v>1</v>
      </c>
      <c r="C439" s="75">
        <v>451</v>
      </c>
      <c r="D439" s="76">
        <v>43348.63585648148</v>
      </c>
      <c r="E439" s="77">
        <v>43344</v>
      </c>
      <c r="F439" s="78">
        <v>0.63585648148148144</v>
      </c>
      <c r="G439" s="75">
        <v>2</v>
      </c>
      <c r="H439" s="75">
        <v>15</v>
      </c>
      <c r="I439" s="75">
        <v>38</v>
      </c>
    </row>
    <row r="440" spans="1:9">
      <c r="A440" s="75">
        <v>452</v>
      </c>
      <c r="B440" s="75">
        <v>2</v>
      </c>
      <c r="C440" s="75">
        <v>448</v>
      </c>
      <c r="D440" s="76">
        <v>43348.646273148152</v>
      </c>
      <c r="E440" s="77">
        <v>43344</v>
      </c>
      <c r="F440" s="78">
        <v>0.64627314814814818</v>
      </c>
      <c r="G440" s="75">
        <v>2</v>
      </c>
      <c r="H440" s="75">
        <v>30</v>
      </c>
      <c r="I440" s="75">
        <v>38</v>
      </c>
    </row>
    <row r="441" spans="1:9">
      <c r="A441" s="75">
        <v>492</v>
      </c>
      <c r="B441" s="75">
        <v>0</v>
      </c>
      <c r="C441" s="75">
        <v>491</v>
      </c>
      <c r="D441" s="76">
        <v>43348.656689814816</v>
      </c>
      <c r="E441" s="77">
        <v>43344</v>
      </c>
      <c r="F441" s="78">
        <v>0.65668981481481481</v>
      </c>
      <c r="G441" s="75">
        <v>2</v>
      </c>
      <c r="H441" s="75">
        <v>45</v>
      </c>
      <c r="I441" s="75">
        <v>38</v>
      </c>
    </row>
    <row r="442" spans="1:9">
      <c r="A442" s="75">
        <v>450</v>
      </c>
      <c r="B442" s="75">
        <v>1</v>
      </c>
      <c r="C442" s="75">
        <v>451</v>
      </c>
      <c r="D442" s="76">
        <v>43348.667118055557</v>
      </c>
      <c r="E442" s="77">
        <v>43344</v>
      </c>
      <c r="F442" s="78">
        <v>0.66711805555555559</v>
      </c>
      <c r="G442" s="75">
        <v>2</v>
      </c>
      <c r="H442" s="75">
        <v>0</v>
      </c>
      <c r="I442" s="75">
        <v>39</v>
      </c>
    </row>
    <row r="443" spans="1:9">
      <c r="A443" s="75">
        <v>640</v>
      </c>
      <c r="B443" s="75">
        <v>5</v>
      </c>
      <c r="C443" s="75">
        <v>645</v>
      </c>
      <c r="D443" s="76">
        <v>43348.677523148152</v>
      </c>
      <c r="E443" s="77">
        <v>43344</v>
      </c>
      <c r="F443" s="78">
        <v>0.67752314814814818</v>
      </c>
      <c r="G443" s="75">
        <v>2</v>
      </c>
      <c r="H443" s="75">
        <v>15</v>
      </c>
      <c r="I443" s="75">
        <v>38</v>
      </c>
    </row>
    <row r="444" spans="1:9">
      <c r="A444" s="75">
        <v>510</v>
      </c>
      <c r="B444" s="75">
        <v>2</v>
      </c>
      <c r="C444" s="75">
        <v>512</v>
      </c>
      <c r="D444" s="76">
        <v>43348.687939814816</v>
      </c>
      <c r="E444" s="77">
        <v>43344</v>
      </c>
      <c r="F444" s="78">
        <v>0.68793981481481481</v>
      </c>
      <c r="G444" s="75">
        <v>2</v>
      </c>
      <c r="H444" s="75">
        <v>30</v>
      </c>
      <c r="I444" s="75">
        <v>38</v>
      </c>
    </row>
    <row r="445" spans="1:9">
      <c r="A445" s="75">
        <v>548</v>
      </c>
      <c r="B445" s="75">
        <v>6</v>
      </c>
      <c r="C445" s="75">
        <v>552</v>
      </c>
      <c r="D445" s="76">
        <v>43348.698379629626</v>
      </c>
      <c r="E445" s="77">
        <v>43344</v>
      </c>
      <c r="F445" s="78">
        <v>0.69837962962962974</v>
      </c>
      <c r="G445" s="75">
        <v>2</v>
      </c>
      <c r="H445" s="75">
        <v>45</v>
      </c>
      <c r="I445" s="75">
        <v>40</v>
      </c>
    </row>
    <row r="446" spans="1:9">
      <c r="A446" s="75">
        <v>498</v>
      </c>
      <c r="B446" s="75">
        <v>8</v>
      </c>
      <c r="C446" s="75">
        <v>506</v>
      </c>
      <c r="D446" s="76">
        <v>43348.708773148152</v>
      </c>
      <c r="E446" s="77">
        <v>43344</v>
      </c>
      <c r="F446" s="78">
        <v>0.70877314814814818</v>
      </c>
      <c r="G446" s="75">
        <v>2</v>
      </c>
      <c r="H446" s="75">
        <v>0</v>
      </c>
      <c r="I446" s="75">
        <v>38</v>
      </c>
    </row>
    <row r="447" spans="1:9">
      <c r="A447" s="75">
        <v>612</v>
      </c>
      <c r="B447" s="75">
        <v>6</v>
      </c>
      <c r="C447" s="75">
        <v>618</v>
      </c>
      <c r="D447" s="76">
        <v>43348.719189814816</v>
      </c>
      <c r="E447" s="77">
        <v>43344</v>
      </c>
      <c r="F447" s="78">
        <v>0.71918981481481481</v>
      </c>
      <c r="G447" s="75">
        <v>2</v>
      </c>
      <c r="H447" s="75">
        <v>15</v>
      </c>
      <c r="I447" s="75">
        <v>38</v>
      </c>
    </row>
    <row r="448" spans="1:9">
      <c r="A448" s="75">
        <v>578</v>
      </c>
      <c r="B448" s="75">
        <v>4</v>
      </c>
      <c r="C448" s="75">
        <v>582</v>
      </c>
      <c r="D448" s="76">
        <v>43348.729618055557</v>
      </c>
      <c r="E448" s="77">
        <v>43344</v>
      </c>
      <c r="F448" s="78">
        <v>0.72961805555555559</v>
      </c>
      <c r="G448" s="75">
        <v>2</v>
      </c>
      <c r="H448" s="75">
        <v>30</v>
      </c>
      <c r="I448" s="75">
        <v>39</v>
      </c>
    </row>
    <row r="449" spans="1:9">
      <c r="A449" s="75">
        <v>522</v>
      </c>
      <c r="B449" s="75">
        <v>8</v>
      </c>
      <c r="C449" s="75">
        <v>530</v>
      </c>
      <c r="D449" s="76">
        <v>43348.740023148152</v>
      </c>
      <c r="E449" s="77">
        <v>43344</v>
      </c>
      <c r="F449" s="78">
        <v>0.74002314814814818</v>
      </c>
      <c r="G449" s="75">
        <v>2</v>
      </c>
      <c r="H449" s="75">
        <v>45</v>
      </c>
      <c r="I449" s="75">
        <v>38</v>
      </c>
    </row>
    <row r="450" spans="1:9">
      <c r="A450" s="75">
        <v>434</v>
      </c>
      <c r="B450" s="75">
        <v>2</v>
      </c>
      <c r="C450" s="75">
        <v>436</v>
      </c>
      <c r="D450" s="76">
        <v>43348.750439814816</v>
      </c>
      <c r="E450" s="77">
        <v>43344</v>
      </c>
      <c r="F450" s="78">
        <v>0.75043981481481481</v>
      </c>
      <c r="G450" s="75">
        <v>2</v>
      </c>
      <c r="H450" s="75">
        <v>0</v>
      </c>
      <c r="I450" s="75">
        <v>38</v>
      </c>
    </row>
    <row r="451" spans="1:9">
      <c r="A451" s="75">
        <v>557</v>
      </c>
      <c r="B451" s="75">
        <v>1</v>
      </c>
      <c r="C451" s="75">
        <v>558</v>
      </c>
      <c r="D451" s="76">
        <v>43348.76085648148</v>
      </c>
      <c r="E451" s="77">
        <v>43344</v>
      </c>
      <c r="F451" s="78">
        <v>0.76085648148148144</v>
      </c>
      <c r="G451" s="75">
        <v>2</v>
      </c>
      <c r="H451" s="75">
        <v>15</v>
      </c>
      <c r="I451" s="75">
        <v>38</v>
      </c>
    </row>
    <row r="452" spans="1:9">
      <c r="A452" s="75">
        <v>547</v>
      </c>
      <c r="B452" s="75">
        <v>2</v>
      </c>
      <c r="C452" s="75">
        <v>549</v>
      </c>
      <c r="D452" s="76">
        <v>43348.771273148152</v>
      </c>
      <c r="E452" s="77">
        <v>43344</v>
      </c>
      <c r="F452" s="78">
        <v>0.77127314814814818</v>
      </c>
      <c r="G452" s="75">
        <v>2</v>
      </c>
      <c r="H452" s="75">
        <v>30</v>
      </c>
      <c r="I452" s="75">
        <v>38</v>
      </c>
    </row>
    <row r="453" spans="1:9">
      <c r="A453" s="75">
        <v>557</v>
      </c>
      <c r="B453" s="75">
        <v>8</v>
      </c>
      <c r="C453" s="75">
        <v>564</v>
      </c>
      <c r="D453" s="76">
        <v>43348.781689814816</v>
      </c>
      <c r="E453" s="77">
        <v>43344</v>
      </c>
      <c r="F453" s="78">
        <v>0.78168981481481481</v>
      </c>
      <c r="G453" s="75">
        <v>2</v>
      </c>
      <c r="H453" s="75">
        <v>45</v>
      </c>
      <c r="I453" s="75">
        <v>38</v>
      </c>
    </row>
    <row r="454" spans="1:9">
      <c r="A454" s="75">
        <v>520</v>
      </c>
      <c r="B454" s="75">
        <v>5</v>
      </c>
      <c r="C454" s="75">
        <v>516</v>
      </c>
      <c r="D454" s="76">
        <v>43348.792118055557</v>
      </c>
      <c r="E454" s="77">
        <v>43344</v>
      </c>
      <c r="F454" s="78">
        <v>0.79211805555555559</v>
      </c>
      <c r="G454" s="75">
        <v>2</v>
      </c>
      <c r="H454" s="75">
        <v>0</v>
      </c>
      <c r="I454" s="75">
        <v>39</v>
      </c>
    </row>
    <row r="455" spans="1:9">
      <c r="A455" s="75">
        <v>692</v>
      </c>
      <c r="B455" s="75">
        <v>14</v>
      </c>
      <c r="C455" s="75">
        <v>706</v>
      </c>
      <c r="D455" s="76">
        <v>43348.802523148152</v>
      </c>
      <c r="E455" s="77">
        <v>43344</v>
      </c>
      <c r="F455" s="78">
        <v>0.80252314814814818</v>
      </c>
      <c r="G455" s="75">
        <v>2</v>
      </c>
      <c r="H455" s="75">
        <v>15</v>
      </c>
      <c r="I455" s="75">
        <v>38</v>
      </c>
    </row>
    <row r="456" spans="1:9">
      <c r="A456" s="75">
        <v>724</v>
      </c>
      <c r="B456" s="75">
        <v>10</v>
      </c>
      <c r="C456" s="75">
        <v>733</v>
      </c>
      <c r="D456" s="76">
        <v>43348.812951388885</v>
      </c>
      <c r="E456" s="77">
        <v>43344</v>
      </c>
      <c r="F456" s="78">
        <v>0.81295138888888896</v>
      </c>
      <c r="G456" s="75">
        <v>2</v>
      </c>
      <c r="H456" s="75">
        <v>30</v>
      </c>
      <c r="I456" s="75">
        <v>39</v>
      </c>
    </row>
    <row r="457" spans="1:9">
      <c r="A457" s="75">
        <v>774</v>
      </c>
      <c r="B457" s="75">
        <v>9</v>
      </c>
      <c r="C457" s="75">
        <v>783</v>
      </c>
      <c r="D457" s="76">
        <v>43348.82335648148</v>
      </c>
      <c r="E457" s="77">
        <v>43344</v>
      </c>
      <c r="F457" s="78">
        <v>0.82335648148148144</v>
      </c>
      <c r="G457" s="75">
        <v>2</v>
      </c>
      <c r="H457" s="75">
        <v>45</v>
      </c>
      <c r="I457" s="75">
        <v>38</v>
      </c>
    </row>
    <row r="458" spans="1:9">
      <c r="A458" s="75">
        <v>763</v>
      </c>
      <c r="B458" s="75">
        <v>11</v>
      </c>
      <c r="C458" s="75">
        <v>774</v>
      </c>
      <c r="D458" s="76">
        <v>43348.833784722221</v>
      </c>
      <c r="E458" s="77">
        <v>43344</v>
      </c>
      <c r="F458" s="78">
        <v>0.83378472222222222</v>
      </c>
      <c r="G458" s="75">
        <v>2</v>
      </c>
      <c r="H458" s="75">
        <v>0</v>
      </c>
      <c r="I458" s="75">
        <v>39</v>
      </c>
    </row>
    <row r="459" spans="1:9">
      <c r="A459" s="75">
        <v>990</v>
      </c>
      <c r="B459" s="75">
        <v>11</v>
      </c>
      <c r="C459" s="75">
        <v>1001</v>
      </c>
      <c r="D459" s="76">
        <v>43348.844201388885</v>
      </c>
      <c r="E459" s="77">
        <v>43344</v>
      </c>
      <c r="F459" s="78">
        <v>0.84420138888888896</v>
      </c>
      <c r="G459" s="75">
        <v>2</v>
      </c>
      <c r="H459" s="75">
        <v>15</v>
      </c>
      <c r="I459" s="75">
        <v>39</v>
      </c>
    </row>
    <row r="460" spans="1:9">
      <c r="A460" s="75">
        <v>999</v>
      </c>
      <c r="B460" s="75">
        <v>7</v>
      </c>
      <c r="C460" s="75">
        <v>1006</v>
      </c>
      <c r="D460" s="76">
        <v>43348.854594907411</v>
      </c>
      <c r="E460" s="77">
        <v>43344</v>
      </c>
      <c r="F460" s="78">
        <v>0.8545949074074074</v>
      </c>
      <c r="G460" s="75">
        <v>2</v>
      </c>
      <c r="H460" s="75">
        <v>30</v>
      </c>
      <c r="I460" s="75">
        <v>37</v>
      </c>
    </row>
    <row r="461" spans="1:9">
      <c r="A461" s="75">
        <v>1022</v>
      </c>
      <c r="B461" s="75">
        <v>8</v>
      </c>
      <c r="C461" s="75">
        <v>1030</v>
      </c>
      <c r="D461" s="76">
        <v>43348.865023148152</v>
      </c>
      <c r="E461" s="77">
        <v>43344</v>
      </c>
      <c r="F461" s="78">
        <v>0.86502314814814818</v>
      </c>
      <c r="G461" s="75">
        <v>2</v>
      </c>
      <c r="H461" s="75">
        <v>45</v>
      </c>
      <c r="I461" s="75">
        <v>38</v>
      </c>
    </row>
    <row r="462" spans="1:9">
      <c r="A462" s="75">
        <v>884</v>
      </c>
      <c r="B462" s="75">
        <v>8</v>
      </c>
      <c r="C462" s="75">
        <v>892</v>
      </c>
      <c r="D462" s="76">
        <v>43348.875439814816</v>
      </c>
      <c r="E462" s="77">
        <v>43344</v>
      </c>
      <c r="F462" s="78">
        <v>0.87543981481481481</v>
      </c>
      <c r="G462" s="75">
        <v>2</v>
      </c>
      <c r="H462" s="75">
        <v>0</v>
      </c>
      <c r="I462" s="75">
        <v>38</v>
      </c>
    </row>
    <row r="463" spans="1:9">
      <c r="A463" s="75">
        <v>933</v>
      </c>
      <c r="B463" s="75">
        <v>13</v>
      </c>
      <c r="C463" s="75">
        <v>946</v>
      </c>
      <c r="D463" s="76">
        <v>43348.88585648148</v>
      </c>
      <c r="E463" s="77">
        <v>43344</v>
      </c>
      <c r="F463" s="78">
        <v>0.88585648148148144</v>
      </c>
      <c r="G463" s="75">
        <v>2</v>
      </c>
      <c r="H463" s="75">
        <v>15</v>
      </c>
      <c r="I463" s="75">
        <v>38</v>
      </c>
    </row>
    <row r="464" spans="1:9">
      <c r="A464" s="75">
        <v>897</v>
      </c>
      <c r="B464" s="75">
        <v>9</v>
      </c>
      <c r="C464" s="75">
        <v>906</v>
      </c>
      <c r="D464" s="76">
        <v>43348.896261574075</v>
      </c>
      <c r="E464" s="77">
        <v>43344</v>
      </c>
      <c r="F464" s="78">
        <v>0.89626157407407403</v>
      </c>
      <c r="G464" s="75">
        <v>2</v>
      </c>
      <c r="H464" s="75">
        <v>30</v>
      </c>
      <c r="I464" s="75">
        <v>37</v>
      </c>
    </row>
    <row r="465" spans="1:9">
      <c r="A465" s="75">
        <v>853</v>
      </c>
      <c r="B465" s="75">
        <v>4</v>
      </c>
      <c r="C465" s="75">
        <v>857</v>
      </c>
      <c r="D465" s="76">
        <v>43348.906689814816</v>
      </c>
      <c r="E465" s="77">
        <v>43344</v>
      </c>
      <c r="F465" s="78">
        <v>0.90668981481481481</v>
      </c>
      <c r="G465" s="75">
        <v>2</v>
      </c>
      <c r="H465" s="75">
        <v>45</v>
      </c>
      <c r="I465" s="75">
        <v>38</v>
      </c>
    </row>
    <row r="466" spans="1:9">
      <c r="A466" s="75">
        <v>758</v>
      </c>
      <c r="B466" s="75">
        <v>5</v>
      </c>
      <c r="C466" s="75">
        <v>763</v>
      </c>
      <c r="D466" s="76">
        <v>43348.917094907411</v>
      </c>
      <c r="E466" s="77">
        <v>43344</v>
      </c>
      <c r="F466" s="78">
        <v>0.9170949074074074</v>
      </c>
      <c r="G466" s="75">
        <v>2</v>
      </c>
      <c r="H466" s="75">
        <v>0</v>
      </c>
      <c r="I466" s="75">
        <v>37</v>
      </c>
    </row>
    <row r="467" spans="1:9">
      <c r="A467" s="75">
        <v>750</v>
      </c>
      <c r="B467" s="75">
        <v>7</v>
      </c>
      <c r="C467" s="75">
        <v>757</v>
      </c>
      <c r="D467" s="76">
        <v>43348.927523148152</v>
      </c>
      <c r="E467" s="77">
        <v>43344</v>
      </c>
      <c r="F467" s="78">
        <v>0.92752314814814818</v>
      </c>
      <c r="G467" s="75">
        <v>2</v>
      </c>
      <c r="H467" s="75">
        <v>15</v>
      </c>
      <c r="I467" s="75">
        <v>38</v>
      </c>
    </row>
    <row r="468" spans="1:9">
      <c r="A468" s="75">
        <v>730</v>
      </c>
      <c r="B468" s="75">
        <v>8</v>
      </c>
      <c r="C468" s="75">
        <v>738</v>
      </c>
      <c r="D468" s="76">
        <v>43348.937928240739</v>
      </c>
      <c r="E468" s="77">
        <v>43344</v>
      </c>
      <c r="F468" s="78">
        <v>0.93792824074074066</v>
      </c>
      <c r="G468" s="75">
        <v>2</v>
      </c>
      <c r="H468" s="75">
        <v>30</v>
      </c>
      <c r="I468" s="75">
        <v>37</v>
      </c>
    </row>
    <row r="469" spans="1:9">
      <c r="A469" s="75">
        <v>691</v>
      </c>
      <c r="B469" s="75">
        <v>7</v>
      </c>
      <c r="C469" s="75">
        <v>698</v>
      </c>
      <c r="D469" s="76">
        <v>43348.94835648148</v>
      </c>
      <c r="E469" s="77">
        <v>43344</v>
      </c>
      <c r="F469" s="78">
        <v>0.94835648148148144</v>
      </c>
      <c r="G469" s="75">
        <v>2</v>
      </c>
      <c r="H469" s="75">
        <v>45</v>
      </c>
      <c r="I469" s="75">
        <v>38</v>
      </c>
    </row>
    <row r="470" spans="1:9">
      <c r="A470" s="75">
        <v>598</v>
      </c>
      <c r="B470" s="75">
        <v>6</v>
      </c>
      <c r="C470" s="75">
        <v>604</v>
      </c>
      <c r="D470" s="76">
        <v>43348.958773148152</v>
      </c>
      <c r="E470" s="77">
        <v>43344</v>
      </c>
      <c r="F470" s="78">
        <v>0.95877314814814818</v>
      </c>
      <c r="G470" s="75">
        <v>2</v>
      </c>
      <c r="H470" s="75">
        <v>0</v>
      </c>
      <c r="I470" s="75">
        <v>38</v>
      </c>
    </row>
    <row r="471" spans="1:9">
      <c r="A471" s="75">
        <v>583</v>
      </c>
      <c r="B471" s="75">
        <v>7</v>
      </c>
      <c r="C471" s="75">
        <v>590</v>
      </c>
      <c r="D471" s="76">
        <v>43348.969189814816</v>
      </c>
      <c r="E471" s="77">
        <v>43344</v>
      </c>
      <c r="F471" s="78">
        <v>0.96918981481481481</v>
      </c>
      <c r="G471" s="75">
        <v>2</v>
      </c>
      <c r="H471" s="75">
        <v>15</v>
      </c>
      <c r="I471" s="75">
        <v>38</v>
      </c>
    </row>
    <row r="472" spans="1:9">
      <c r="A472" s="75">
        <v>542</v>
      </c>
      <c r="B472" s="75">
        <v>4</v>
      </c>
      <c r="C472" s="75">
        <v>546</v>
      </c>
      <c r="D472" s="76">
        <v>43348.97960648148</v>
      </c>
      <c r="E472" s="77">
        <v>43344</v>
      </c>
      <c r="F472" s="78">
        <v>0.97960648148148144</v>
      </c>
      <c r="G472" s="75">
        <v>2</v>
      </c>
      <c r="H472" s="75">
        <v>30</v>
      </c>
      <c r="I472" s="75">
        <v>38</v>
      </c>
    </row>
    <row r="473" spans="1:9">
      <c r="A473" s="75">
        <v>465</v>
      </c>
      <c r="B473" s="75">
        <v>7</v>
      </c>
      <c r="C473" s="75">
        <v>472</v>
      </c>
      <c r="D473" s="76">
        <v>43348.990023148152</v>
      </c>
      <c r="E473" s="77">
        <v>43344</v>
      </c>
      <c r="F473" s="78">
        <v>0.99002314814814818</v>
      </c>
      <c r="G473" s="75">
        <v>2</v>
      </c>
      <c r="H473" s="75">
        <v>45</v>
      </c>
      <c r="I473" s="75">
        <v>38</v>
      </c>
    </row>
    <row r="474" spans="1:9">
      <c r="A474" s="75">
        <v>405</v>
      </c>
      <c r="B474" s="75">
        <v>6</v>
      </c>
      <c r="C474" s="75">
        <v>411</v>
      </c>
      <c r="D474" s="76">
        <v>43349.000451388885</v>
      </c>
      <c r="E474" s="77">
        <v>43344</v>
      </c>
      <c r="F474" s="78">
        <v>4.5138888888888892E-4</v>
      </c>
      <c r="G474" s="75">
        <v>2</v>
      </c>
      <c r="H474" s="75">
        <v>0</v>
      </c>
      <c r="I474" s="75">
        <v>39</v>
      </c>
    </row>
    <row r="475" spans="1:9">
      <c r="A475" s="75">
        <v>459</v>
      </c>
      <c r="B475" s="75">
        <v>3</v>
      </c>
      <c r="C475" s="75">
        <v>462</v>
      </c>
      <c r="D475" s="76">
        <v>43349.01085648148</v>
      </c>
      <c r="E475" s="77">
        <v>43344</v>
      </c>
      <c r="F475" s="78">
        <v>1.0856481481481481E-2</v>
      </c>
      <c r="G475" s="75">
        <v>2</v>
      </c>
      <c r="H475" s="75">
        <v>15</v>
      </c>
      <c r="I475" s="75">
        <v>38</v>
      </c>
    </row>
    <row r="476" spans="1:9">
      <c r="A476" s="75">
        <v>380</v>
      </c>
      <c r="B476" s="75">
        <v>1</v>
      </c>
      <c r="C476" s="75">
        <v>381</v>
      </c>
      <c r="D476" s="76">
        <v>43349.021273148152</v>
      </c>
      <c r="E476" s="77">
        <v>43344</v>
      </c>
      <c r="F476" s="78">
        <v>2.1273148148148149E-2</v>
      </c>
      <c r="G476" s="75">
        <v>2</v>
      </c>
      <c r="H476" s="75">
        <v>30</v>
      </c>
      <c r="I476" s="75">
        <v>38</v>
      </c>
    </row>
    <row r="477" spans="1:9">
      <c r="A477" s="75">
        <v>356</v>
      </c>
      <c r="B477" s="75">
        <v>3</v>
      </c>
      <c r="C477" s="75">
        <v>353</v>
      </c>
      <c r="D477" s="76">
        <v>43349.031678240739</v>
      </c>
      <c r="E477" s="77">
        <v>43344</v>
      </c>
      <c r="F477" s="78">
        <v>3.1678240740740743E-2</v>
      </c>
      <c r="G477" s="75">
        <v>2</v>
      </c>
      <c r="H477" s="75">
        <v>45</v>
      </c>
      <c r="I477" s="75">
        <v>37</v>
      </c>
    </row>
    <row r="478" spans="1:9">
      <c r="A478" s="75">
        <v>307</v>
      </c>
      <c r="B478" s="75">
        <v>3</v>
      </c>
      <c r="C478" s="75">
        <v>310</v>
      </c>
      <c r="D478" s="76">
        <v>43349.04210648148</v>
      </c>
      <c r="E478" s="77">
        <v>43344</v>
      </c>
      <c r="F478" s="78">
        <v>4.2106481481481488E-2</v>
      </c>
      <c r="G478" s="75">
        <v>2</v>
      </c>
      <c r="H478" s="75">
        <v>0</v>
      </c>
      <c r="I478" s="75">
        <v>38</v>
      </c>
    </row>
    <row r="479" spans="1:9">
      <c r="A479" s="75">
        <v>337</v>
      </c>
      <c r="B479" s="75">
        <v>4</v>
      </c>
      <c r="C479" s="75">
        <v>333</v>
      </c>
      <c r="D479" s="76">
        <v>43349.052511574075</v>
      </c>
      <c r="E479" s="77">
        <v>43344</v>
      </c>
      <c r="F479" s="78">
        <v>5.2511574074074079E-2</v>
      </c>
      <c r="G479" s="75">
        <v>2</v>
      </c>
      <c r="H479" s="75">
        <v>15</v>
      </c>
      <c r="I479" s="75">
        <v>37</v>
      </c>
    </row>
    <row r="480" spans="1:9">
      <c r="A480" s="75">
        <v>297</v>
      </c>
      <c r="B480" s="75">
        <v>1</v>
      </c>
      <c r="C480" s="75">
        <v>298</v>
      </c>
      <c r="D480" s="76">
        <v>43349.062928240739</v>
      </c>
      <c r="E480" s="77">
        <v>43344</v>
      </c>
      <c r="F480" s="78">
        <v>6.2928240740740743E-2</v>
      </c>
      <c r="G480" s="75">
        <v>2</v>
      </c>
      <c r="H480" s="75">
        <v>30</v>
      </c>
      <c r="I480" s="75">
        <v>37</v>
      </c>
    </row>
    <row r="481" spans="1:9">
      <c r="A481" s="75">
        <v>281</v>
      </c>
      <c r="B481" s="75">
        <v>3</v>
      </c>
      <c r="C481" s="75">
        <v>284</v>
      </c>
      <c r="D481" s="76">
        <v>43349.073344907411</v>
      </c>
      <c r="E481" s="77">
        <v>43344</v>
      </c>
      <c r="F481" s="78">
        <v>7.3344907407407414E-2</v>
      </c>
      <c r="G481" s="75">
        <v>2</v>
      </c>
      <c r="H481" s="75">
        <v>45</v>
      </c>
      <c r="I481" s="75">
        <v>37</v>
      </c>
    </row>
    <row r="482" spans="1:9">
      <c r="A482" s="75">
        <v>272</v>
      </c>
      <c r="B482" s="75">
        <v>2</v>
      </c>
      <c r="C482" s="75">
        <v>274</v>
      </c>
      <c r="D482" s="76">
        <v>43349.083773148152</v>
      </c>
      <c r="E482" s="77">
        <v>43344</v>
      </c>
      <c r="F482" s="78">
        <v>8.3773148148148138E-2</v>
      </c>
      <c r="G482" s="75">
        <v>2</v>
      </c>
      <c r="H482" s="75">
        <v>0</v>
      </c>
      <c r="I482" s="75">
        <v>38</v>
      </c>
    </row>
    <row r="483" spans="1:9">
      <c r="A483" s="75">
        <v>328</v>
      </c>
      <c r="B483" s="75">
        <v>3</v>
      </c>
      <c r="C483" s="75">
        <v>331</v>
      </c>
      <c r="D483" s="76">
        <v>43349.094189814816</v>
      </c>
      <c r="E483" s="77">
        <v>43344</v>
      </c>
      <c r="F483" s="78">
        <v>9.418981481481481E-2</v>
      </c>
      <c r="G483" s="75">
        <v>2</v>
      </c>
      <c r="H483" s="75">
        <v>15</v>
      </c>
      <c r="I483" s="75">
        <v>38</v>
      </c>
    </row>
    <row r="484" spans="1:9">
      <c r="A484" s="75">
        <v>254</v>
      </c>
      <c r="B484" s="75">
        <v>6</v>
      </c>
      <c r="C484" s="75">
        <v>260</v>
      </c>
      <c r="D484" s="76">
        <v>43349.104594907411</v>
      </c>
      <c r="E484" s="77">
        <v>43344</v>
      </c>
      <c r="F484" s="78">
        <v>0.1045949074074074</v>
      </c>
      <c r="G484" s="75">
        <v>2</v>
      </c>
      <c r="H484" s="75">
        <v>30</v>
      </c>
      <c r="I484" s="75">
        <v>37</v>
      </c>
    </row>
    <row r="485" spans="1:9">
      <c r="A485" s="75">
        <v>223</v>
      </c>
      <c r="B485" s="75">
        <v>5</v>
      </c>
      <c r="C485" s="75">
        <v>228</v>
      </c>
      <c r="D485" s="76">
        <v>43349.115023148152</v>
      </c>
      <c r="E485" s="77">
        <v>43344</v>
      </c>
      <c r="F485" s="78">
        <v>0.11502314814814814</v>
      </c>
      <c r="G485" s="75">
        <v>2</v>
      </c>
      <c r="H485" s="75">
        <v>45</v>
      </c>
      <c r="I485" s="75">
        <v>38</v>
      </c>
    </row>
    <row r="486" spans="1:9">
      <c r="A486" s="75">
        <v>183</v>
      </c>
      <c r="B486" s="75">
        <v>2</v>
      </c>
      <c r="C486" s="75">
        <v>185</v>
      </c>
      <c r="D486" s="76">
        <v>43349.125428240739</v>
      </c>
      <c r="E486" s="77">
        <v>43344</v>
      </c>
      <c r="F486" s="78">
        <v>0.12542824074074074</v>
      </c>
      <c r="G486" s="75">
        <v>2</v>
      </c>
      <c r="H486" s="75">
        <v>0</v>
      </c>
      <c r="I486" s="75">
        <v>37</v>
      </c>
    </row>
    <row r="487" spans="1:9">
      <c r="A487" s="75">
        <v>201</v>
      </c>
      <c r="B487" s="75">
        <v>1</v>
      </c>
      <c r="C487" s="75">
        <v>202</v>
      </c>
      <c r="D487" s="76">
        <v>43349.13585648148</v>
      </c>
      <c r="E487" s="77">
        <v>43344</v>
      </c>
      <c r="F487" s="78">
        <v>0.13585648148148147</v>
      </c>
      <c r="G487" s="75">
        <v>2</v>
      </c>
      <c r="H487" s="75">
        <v>15</v>
      </c>
      <c r="I487" s="75">
        <v>38</v>
      </c>
    </row>
    <row r="488" spans="1:9">
      <c r="A488" s="75">
        <v>155</v>
      </c>
      <c r="B488" s="75">
        <v>0</v>
      </c>
      <c r="C488" s="75">
        <v>155</v>
      </c>
      <c r="D488" s="76">
        <v>43349.146261574075</v>
      </c>
      <c r="E488" s="77">
        <v>43344</v>
      </c>
      <c r="F488" s="78">
        <v>0.14626157407407406</v>
      </c>
      <c r="G488" s="75">
        <v>2</v>
      </c>
      <c r="H488" s="75">
        <v>30</v>
      </c>
      <c r="I488" s="75">
        <v>37</v>
      </c>
    </row>
    <row r="489" spans="1:9">
      <c r="A489" s="75">
        <v>134</v>
      </c>
      <c r="B489" s="75">
        <v>1</v>
      </c>
      <c r="C489" s="75">
        <v>135</v>
      </c>
      <c r="D489" s="76">
        <v>43349.156689814816</v>
      </c>
      <c r="E489" s="77">
        <v>43344</v>
      </c>
      <c r="F489" s="78">
        <v>0.15668981481481481</v>
      </c>
      <c r="G489" s="75">
        <v>2</v>
      </c>
      <c r="H489" s="75">
        <v>45</v>
      </c>
      <c r="I489" s="75">
        <v>38</v>
      </c>
    </row>
    <row r="490" spans="1:9">
      <c r="A490" s="75">
        <v>126</v>
      </c>
      <c r="B490" s="75">
        <v>3</v>
      </c>
      <c r="C490" s="75">
        <v>129</v>
      </c>
      <c r="D490" s="76">
        <v>43349.16710648148</v>
      </c>
      <c r="E490" s="77">
        <v>43344</v>
      </c>
      <c r="F490" s="78">
        <v>0.16710648148148147</v>
      </c>
      <c r="G490" s="75">
        <v>2</v>
      </c>
      <c r="H490" s="75">
        <v>0</v>
      </c>
      <c r="I490" s="75">
        <v>38</v>
      </c>
    </row>
    <row r="491" spans="1:9">
      <c r="A491" s="75">
        <v>61</v>
      </c>
      <c r="B491" s="75">
        <v>0</v>
      </c>
      <c r="C491" s="75">
        <v>60</v>
      </c>
      <c r="D491" s="76">
        <v>43349.177511574075</v>
      </c>
      <c r="E491" s="77">
        <v>43344</v>
      </c>
      <c r="F491" s="78">
        <v>0.17751157407407406</v>
      </c>
      <c r="G491" s="75">
        <v>2</v>
      </c>
      <c r="H491" s="75">
        <v>15</v>
      </c>
      <c r="I491" s="75">
        <v>37</v>
      </c>
    </row>
    <row r="492" spans="1:9">
      <c r="A492" s="75">
        <v>41</v>
      </c>
      <c r="B492" s="75">
        <v>0</v>
      </c>
      <c r="C492" s="75">
        <v>40</v>
      </c>
      <c r="D492" s="76">
        <v>43349.187939814816</v>
      </c>
      <c r="E492" s="77">
        <v>43344</v>
      </c>
      <c r="F492" s="78">
        <v>0.18793981481481481</v>
      </c>
      <c r="G492" s="75">
        <v>2</v>
      </c>
      <c r="H492" s="75">
        <v>30</v>
      </c>
      <c r="I492" s="75">
        <v>38</v>
      </c>
    </row>
    <row r="493" spans="1:9">
      <c r="A493" s="75">
        <v>35</v>
      </c>
      <c r="B493" s="75">
        <v>0</v>
      </c>
      <c r="C493" s="75">
        <v>34</v>
      </c>
      <c r="D493" s="76">
        <v>43349.198344907411</v>
      </c>
      <c r="E493" s="77">
        <v>43344</v>
      </c>
      <c r="F493" s="78">
        <v>0.1983449074074074</v>
      </c>
      <c r="G493" s="75">
        <v>2</v>
      </c>
      <c r="H493" s="75">
        <v>45</v>
      </c>
      <c r="I493" s="75">
        <v>37</v>
      </c>
    </row>
    <row r="494" spans="1:9">
      <c r="A494" s="75">
        <v>33</v>
      </c>
      <c r="B494" s="75">
        <v>0</v>
      </c>
      <c r="C494" s="75">
        <v>32</v>
      </c>
      <c r="D494" s="76">
        <v>43349.208761574075</v>
      </c>
      <c r="E494" s="77">
        <v>43344</v>
      </c>
      <c r="F494" s="78">
        <v>0.20876157407407406</v>
      </c>
      <c r="G494" s="75">
        <v>2</v>
      </c>
      <c r="H494" s="75">
        <v>0</v>
      </c>
      <c r="I494" s="75">
        <v>37</v>
      </c>
    </row>
    <row r="495" spans="1:9">
      <c r="A495" s="75">
        <v>31</v>
      </c>
      <c r="B495" s="75">
        <v>0</v>
      </c>
      <c r="C495" s="75">
        <v>30</v>
      </c>
      <c r="D495" s="76">
        <v>43349.219178240739</v>
      </c>
      <c r="E495" s="77">
        <v>43344</v>
      </c>
      <c r="F495" s="78">
        <v>0.21917824074074074</v>
      </c>
      <c r="G495" s="75">
        <v>2</v>
      </c>
      <c r="H495" s="75">
        <v>15</v>
      </c>
      <c r="I495" s="75">
        <v>37</v>
      </c>
    </row>
    <row r="496" spans="1:9">
      <c r="A496" s="75">
        <v>30</v>
      </c>
      <c r="B496" s="75">
        <v>0</v>
      </c>
      <c r="C496" s="75">
        <v>29</v>
      </c>
      <c r="D496" s="76">
        <v>43349.229594907411</v>
      </c>
      <c r="E496" s="77">
        <v>43344</v>
      </c>
      <c r="F496" s="78">
        <v>0.2295949074074074</v>
      </c>
      <c r="G496" s="75">
        <v>2</v>
      </c>
      <c r="H496" s="75">
        <v>30</v>
      </c>
      <c r="I496" s="75">
        <v>37</v>
      </c>
    </row>
    <row r="497" spans="1:9">
      <c r="A497" s="75">
        <v>30</v>
      </c>
      <c r="B497" s="75">
        <v>0</v>
      </c>
      <c r="C497" s="75">
        <v>29</v>
      </c>
      <c r="D497" s="76">
        <v>43349.240011574075</v>
      </c>
      <c r="E497" s="77">
        <v>43344</v>
      </c>
      <c r="F497" s="78">
        <v>0.24001157407407406</v>
      </c>
      <c r="G497" s="75">
        <v>2</v>
      </c>
      <c r="H497" s="75">
        <v>45</v>
      </c>
      <c r="I497" s="75">
        <v>37</v>
      </c>
    </row>
    <row r="498" spans="1:9">
      <c r="A498" s="75">
        <v>30</v>
      </c>
      <c r="B498" s="75">
        <v>0</v>
      </c>
      <c r="C498" s="75">
        <v>29</v>
      </c>
      <c r="D498" s="76">
        <v>43349.250428240739</v>
      </c>
      <c r="E498" s="77">
        <v>43344</v>
      </c>
      <c r="F498" s="78">
        <v>0.25042824074074072</v>
      </c>
      <c r="G498" s="75">
        <v>2</v>
      </c>
      <c r="H498" s="75">
        <v>0</v>
      </c>
      <c r="I498" s="75">
        <v>37</v>
      </c>
    </row>
    <row r="499" spans="1:9">
      <c r="A499" s="75">
        <v>29</v>
      </c>
      <c r="B499" s="75">
        <v>0</v>
      </c>
      <c r="C499" s="75">
        <v>28</v>
      </c>
      <c r="D499" s="76">
        <v>43349.260844907411</v>
      </c>
      <c r="E499" s="77">
        <v>43344</v>
      </c>
      <c r="F499" s="78">
        <v>0.2608449074074074</v>
      </c>
      <c r="G499" s="75">
        <v>2</v>
      </c>
      <c r="H499" s="75">
        <v>15</v>
      </c>
      <c r="I499" s="75">
        <v>37</v>
      </c>
    </row>
    <row r="500" spans="1:9">
      <c r="A500" s="75">
        <v>28</v>
      </c>
      <c r="B500" s="75">
        <v>0</v>
      </c>
      <c r="C500" s="75">
        <v>27</v>
      </c>
      <c r="D500" s="76">
        <v>43349.273877314816</v>
      </c>
      <c r="E500" s="77">
        <v>43344</v>
      </c>
      <c r="F500" s="78">
        <v>0.27387731481481481</v>
      </c>
      <c r="G500" s="75">
        <v>2</v>
      </c>
      <c r="H500" s="75">
        <v>34</v>
      </c>
      <c r="I500" s="75">
        <v>23</v>
      </c>
    </row>
    <row r="501" spans="1:9">
      <c r="A501" s="75">
        <v>28</v>
      </c>
      <c r="B501" s="75">
        <v>0</v>
      </c>
      <c r="C501" s="75">
        <v>27</v>
      </c>
      <c r="D501" s="76">
        <v>43349.281666666669</v>
      </c>
      <c r="E501" s="77">
        <v>43344</v>
      </c>
      <c r="F501" s="78">
        <v>0.28166666666666668</v>
      </c>
      <c r="G501" s="75">
        <v>2</v>
      </c>
      <c r="H501" s="75">
        <v>45</v>
      </c>
      <c r="I501" s="75">
        <v>36</v>
      </c>
    </row>
    <row r="502" spans="1:9">
      <c r="A502" s="75">
        <v>30</v>
      </c>
      <c r="B502" s="75">
        <v>0</v>
      </c>
      <c r="C502" s="75">
        <v>29</v>
      </c>
      <c r="D502" s="76">
        <v>43349.292094907411</v>
      </c>
      <c r="E502" s="77">
        <v>43344</v>
      </c>
      <c r="F502" s="78">
        <v>0.2920949074074074</v>
      </c>
      <c r="G502" s="75">
        <v>2</v>
      </c>
      <c r="H502" s="75">
        <v>0</v>
      </c>
      <c r="I502" s="75">
        <v>37</v>
      </c>
    </row>
    <row r="503" spans="1:9">
      <c r="A503" s="75">
        <v>46</v>
      </c>
      <c r="B503" s="75">
        <v>0</v>
      </c>
      <c r="C503" s="75">
        <v>45</v>
      </c>
      <c r="D503" s="76">
        <v>43349.302523148152</v>
      </c>
      <c r="E503" s="77">
        <v>43344</v>
      </c>
      <c r="F503" s="78">
        <v>0.30252314814814812</v>
      </c>
      <c r="G503" s="75">
        <v>2</v>
      </c>
      <c r="H503" s="75">
        <v>15</v>
      </c>
      <c r="I503" s="75">
        <v>38</v>
      </c>
    </row>
    <row r="504" spans="1:9">
      <c r="A504" s="75">
        <v>56</v>
      </c>
      <c r="B504" s="75">
        <v>0</v>
      </c>
      <c r="C504" s="75">
        <v>55</v>
      </c>
      <c r="D504" s="76">
        <v>43349.312951388885</v>
      </c>
      <c r="E504" s="77">
        <v>43344</v>
      </c>
      <c r="F504" s="78">
        <v>0.3129513888888889</v>
      </c>
      <c r="G504" s="75">
        <v>2</v>
      </c>
      <c r="H504" s="75">
        <v>30</v>
      </c>
      <c r="I504" s="75">
        <v>39</v>
      </c>
    </row>
    <row r="505" spans="1:9">
      <c r="A505" s="75">
        <v>70</v>
      </c>
      <c r="B505" s="75">
        <v>0</v>
      </c>
      <c r="C505" s="75">
        <v>69</v>
      </c>
      <c r="D505" s="76">
        <v>43349.32335648148</v>
      </c>
      <c r="E505" s="77">
        <v>43344</v>
      </c>
      <c r="F505" s="78">
        <v>0.32335648148148149</v>
      </c>
      <c r="G505" s="75">
        <v>2</v>
      </c>
      <c r="H505" s="75">
        <v>45</v>
      </c>
      <c r="I505" s="75">
        <v>38</v>
      </c>
    </row>
    <row r="506" spans="1:9">
      <c r="A506" s="75">
        <v>66</v>
      </c>
      <c r="B506" s="75">
        <v>0</v>
      </c>
      <c r="C506" s="75">
        <v>65</v>
      </c>
      <c r="D506" s="76">
        <v>43349.333784722221</v>
      </c>
      <c r="E506" s="77">
        <v>43344</v>
      </c>
      <c r="F506" s="78">
        <v>0.33378472222222227</v>
      </c>
      <c r="G506" s="75">
        <v>2</v>
      </c>
      <c r="H506" s="75">
        <v>0</v>
      </c>
      <c r="I506" s="75">
        <v>39</v>
      </c>
    </row>
    <row r="507" spans="1:9">
      <c r="A507" s="75">
        <v>84</v>
      </c>
      <c r="B507" s="75">
        <v>0</v>
      </c>
      <c r="C507" s="75">
        <v>83</v>
      </c>
      <c r="D507" s="76">
        <v>43349.344201388885</v>
      </c>
      <c r="E507" s="77">
        <v>43344</v>
      </c>
      <c r="F507" s="78">
        <v>0.3442013888888889</v>
      </c>
      <c r="G507" s="75">
        <v>2</v>
      </c>
      <c r="H507" s="75">
        <v>15</v>
      </c>
      <c r="I507" s="75">
        <v>39</v>
      </c>
    </row>
    <row r="508" spans="1:9">
      <c r="A508" s="75">
        <v>98</v>
      </c>
      <c r="B508" s="75">
        <v>1</v>
      </c>
      <c r="C508" s="75">
        <v>99</v>
      </c>
      <c r="D508" s="76">
        <v>43349.354618055557</v>
      </c>
      <c r="E508" s="77">
        <v>43344</v>
      </c>
      <c r="F508" s="78">
        <v>0.35461805555555559</v>
      </c>
      <c r="G508" s="75">
        <v>2</v>
      </c>
      <c r="H508" s="75">
        <v>30</v>
      </c>
      <c r="I508" s="75">
        <v>39</v>
      </c>
    </row>
    <row r="509" spans="1:9">
      <c r="A509" s="75">
        <v>180</v>
      </c>
      <c r="B509" s="75">
        <v>0</v>
      </c>
      <c r="C509" s="75">
        <v>180</v>
      </c>
      <c r="D509" s="76">
        <v>43349.365034722221</v>
      </c>
      <c r="E509" s="77">
        <v>43344</v>
      </c>
      <c r="F509" s="78">
        <v>0.36503472222222227</v>
      </c>
      <c r="G509" s="75">
        <v>2</v>
      </c>
      <c r="H509" s="75">
        <v>45</v>
      </c>
      <c r="I509" s="75">
        <v>39</v>
      </c>
    </row>
    <row r="510" spans="1:9">
      <c r="A510" s="75">
        <v>157</v>
      </c>
      <c r="B510" s="75">
        <v>0</v>
      </c>
      <c r="C510" s="75">
        <v>156</v>
      </c>
      <c r="D510" s="76">
        <v>43349.375451388885</v>
      </c>
      <c r="E510" s="77">
        <v>43344</v>
      </c>
      <c r="F510" s="78">
        <v>0.3754513888888889</v>
      </c>
      <c r="G510" s="75">
        <v>2</v>
      </c>
      <c r="H510" s="75">
        <v>0</v>
      </c>
      <c r="I510" s="75">
        <v>39</v>
      </c>
    </row>
    <row r="511" spans="1:9">
      <c r="A511" s="75">
        <v>241</v>
      </c>
      <c r="B511" s="75">
        <v>1</v>
      </c>
      <c r="C511" s="75">
        <v>242</v>
      </c>
      <c r="D511" s="76">
        <v>43349.385868055557</v>
      </c>
      <c r="E511" s="77">
        <v>43344</v>
      </c>
      <c r="F511" s="78">
        <v>0.38586805555555559</v>
      </c>
      <c r="G511" s="75">
        <v>2</v>
      </c>
      <c r="H511" s="75">
        <v>15</v>
      </c>
      <c r="I511" s="75">
        <v>39</v>
      </c>
    </row>
    <row r="512" spans="1:9">
      <c r="A512" s="75">
        <v>381</v>
      </c>
      <c r="B512" s="75">
        <v>1</v>
      </c>
      <c r="C512" s="75">
        <v>382</v>
      </c>
      <c r="D512" s="76">
        <v>43349.396273148152</v>
      </c>
      <c r="E512" s="77">
        <v>43344</v>
      </c>
      <c r="F512" s="78">
        <v>0.39627314814814812</v>
      </c>
      <c r="G512" s="75">
        <v>2</v>
      </c>
      <c r="H512" s="75">
        <v>30</v>
      </c>
      <c r="I512" s="75">
        <v>38</v>
      </c>
    </row>
    <row r="513" spans="1:9">
      <c r="A513" s="75">
        <v>712</v>
      </c>
      <c r="B513" s="75">
        <v>5</v>
      </c>
      <c r="C513" s="75">
        <v>717</v>
      </c>
      <c r="D513" s="76">
        <v>43349.406701388885</v>
      </c>
      <c r="E513" s="77">
        <v>43344</v>
      </c>
      <c r="F513" s="78">
        <v>0.4067013888888889</v>
      </c>
      <c r="G513" s="75">
        <v>2</v>
      </c>
      <c r="H513" s="75">
        <v>45</v>
      </c>
      <c r="I513" s="75">
        <v>39</v>
      </c>
    </row>
    <row r="514" spans="1:9">
      <c r="A514" s="75">
        <v>648</v>
      </c>
      <c r="B514" s="75">
        <v>5</v>
      </c>
      <c r="C514" s="75">
        <v>653</v>
      </c>
      <c r="D514" s="76">
        <v>43349.417118055557</v>
      </c>
      <c r="E514" s="77">
        <v>43344</v>
      </c>
      <c r="F514" s="78">
        <v>0.41711805555555559</v>
      </c>
      <c r="G514" s="75">
        <v>2</v>
      </c>
      <c r="H514" s="75">
        <v>0</v>
      </c>
      <c r="I514" s="75">
        <v>39</v>
      </c>
    </row>
    <row r="515" spans="1:9">
      <c r="A515" s="75">
        <v>671</v>
      </c>
      <c r="B515" s="75">
        <v>7</v>
      </c>
      <c r="C515" s="75">
        <v>678</v>
      </c>
      <c r="D515" s="76">
        <v>43349.427534722221</v>
      </c>
      <c r="E515" s="77">
        <v>43344</v>
      </c>
      <c r="F515" s="78">
        <v>0.42753472222222227</v>
      </c>
      <c r="G515" s="75">
        <v>2</v>
      </c>
      <c r="H515" s="75">
        <v>15</v>
      </c>
      <c r="I515" s="75">
        <v>39</v>
      </c>
    </row>
    <row r="516" spans="1:9">
      <c r="A516" s="75">
        <v>805</v>
      </c>
      <c r="B516" s="75">
        <v>14</v>
      </c>
      <c r="C516" s="75">
        <v>819</v>
      </c>
      <c r="D516" s="76">
        <v>43349.437939814816</v>
      </c>
      <c r="E516" s="77">
        <v>43344</v>
      </c>
      <c r="F516" s="78">
        <v>0.43793981481481481</v>
      </c>
      <c r="G516" s="75">
        <v>2</v>
      </c>
      <c r="H516" s="75">
        <v>30</v>
      </c>
      <c r="I516" s="75">
        <v>38</v>
      </c>
    </row>
    <row r="517" spans="1:9">
      <c r="A517" s="75">
        <v>1048</v>
      </c>
      <c r="B517" s="75">
        <v>24</v>
      </c>
      <c r="C517" s="75">
        <v>1072</v>
      </c>
      <c r="D517" s="76">
        <v>43349.448368055557</v>
      </c>
      <c r="E517" s="77">
        <v>43344</v>
      </c>
      <c r="F517" s="78">
        <v>0.44836805555555559</v>
      </c>
      <c r="G517" s="75">
        <v>2</v>
      </c>
      <c r="H517" s="75">
        <v>45</v>
      </c>
      <c r="I517" s="75">
        <v>39</v>
      </c>
    </row>
    <row r="518" spans="1:9">
      <c r="A518" s="75">
        <v>921</v>
      </c>
      <c r="B518" s="75">
        <v>14</v>
      </c>
      <c r="C518" s="75">
        <v>935</v>
      </c>
      <c r="D518" s="76">
        <v>43349.458773148152</v>
      </c>
      <c r="E518" s="77">
        <v>43344</v>
      </c>
      <c r="F518" s="78">
        <v>0.45877314814814812</v>
      </c>
      <c r="G518" s="75">
        <v>2</v>
      </c>
      <c r="H518" s="75">
        <v>0</v>
      </c>
      <c r="I518" s="75">
        <v>38</v>
      </c>
    </row>
    <row r="519" spans="1:9">
      <c r="A519" s="75">
        <v>676</v>
      </c>
      <c r="B519" s="75">
        <v>13</v>
      </c>
      <c r="C519" s="75">
        <v>689</v>
      </c>
      <c r="D519" s="76">
        <v>43349.469189814816</v>
      </c>
      <c r="E519" s="77">
        <v>43344</v>
      </c>
      <c r="F519" s="78">
        <v>0.46918981481481481</v>
      </c>
      <c r="G519" s="75">
        <v>2</v>
      </c>
      <c r="H519" s="75">
        <v>15</v>
      </c>
      <c r="I519" s="75">
        <v>38</v>
      </c>
    </row>
    <row r="520" spans="1:9">
      <c r="A520" s="75">
        <v>611</v>
      </c>
      <c r="B520" s="75">
        <v>6</v>
      </c>
      <c r="C520" s="75">
        <v>609</v>
      </c>
      <c r="D520" s="76">
        <v>43349.47960648148</v>
      </c>
      <c r="E520" s="77">
        <v>43344</v>
      </c>
      <c r="F520" s="78">
        <v>0.47960648148148149</v>
      </c>
      <c r="G520" s="75">
        <v>2</v>
      </c>
      <c r="H520" s="75">
        <v>30</v>
      </c>
      <c r="I520" s="75">
        <v>38</v>
      </c>
    </row>
    <row r="521" spans="1:9">
      <c r="A521" s="75">
        <v>572</v>
      </c>
      <c r="B521" s="75">
        <v>7</v>
      </c>
      <c r="C521" s="75">
        <v>579</v>
      </c>
      <c r="D521" s="76">
        <v>43349.490023148152</v>
      </c>
      <c r="E521" s="77">
        <v>43344</v>
      </c>
      <c r="F521" s="78">
        <v>0.49002314814814812</v>
      </c>
      <c r="G521" s="75">
        <v>2</v>
      </c>
      <c r="H521" s="75">
        <v>45</v>
      </c>
      <c r="I521" s="75">
        <v>38</v>
      </c>
    </row>
    <row r="522" spans="1:9">
      <c r="A522" s="75">
        <v>476</v>
      </c>
      <c r="B522" s="75">
        <v>4</v>
      </c>
      <c r="C522" s="75">
        <v>480</v>
      </c>
      <c r="D522" s="76">
        <v>43349.500451388885</v>
      </c>
      <c r="E522" s="77">
        <v>43344</v>
      </c>
      <c r="F522" s="78">
        <v>0.50045138888888896</v>
      </c>
      <c r="G522" s="75">
        <v>2</v>
      </c>
      <c r="H522" s="75">
        <v>0</v>
      </c>
      <c r="I522" s="75">
        <v>39</v>
      </c>
    </row>
    <row r="523" spans="1:9">
      <c r="A523" s="75">
        <v>399</v>
      </c>
      <c r="B523" s="75">
        <v>3</v>
      </c>
      <c r="C523" s="75">
        <v>402</v>
      </c>
      <c r="D523" s="76">
        <v>43349.51085648148</v>
      </c>
      <c r="E523" s="77">
        <v>43344</v>
      </c>
      <c r="F523" s="78">
        <v>0.51085648148148144</v>
      </c>
      <c r="G523" s="75">
        <v>2</v>
      </c>
      <c r="H523" s="75">
        <v>15</v>
      </c>
      <c r="I523" s="75">
        <v>38</v>
      </c>
    </row>
    <row r="524" spans="1:9">
      <c r="A524" s="75">
        <v>405</v>
      </c>
      <c r="B524" s="75">
        <v>4</v>
      </c>
      <c r="C524" s="75">
        <v>409</v>
      </c>
      <c r="D524" s="76">
        <v>43349.521273148152</v>
      </c>
      <c r="E524" s="77">
        <v>43344</v>
      </c>
      <c r="F524" s="78">
        <v>0.52127314814814818</v>
      </c>
      <c r="G524" s="75">
        <v>2</v>
      </c>
      <c r="H524" s="75">
        <v>30</v>
      </c>
      <c r="I524" s="75">
        <v>38</v>
      </c>
    </row>
    <row r="525" spans="1:9">
      <c r="A525" s="75">
        <v>405</v>
      </c>
      <c r="B525" s="75">
        <v>4</v>
      </c>
      <c r="C525" s="75">
        <v>409</v>
      </c>
      <c r="D525" s="76">
        <v>43349.531689814816</v>
      </c>
      <c r="E525" s="77">
        <v>43344</v>
      </c>
      <c r="F525" s="78">
        <v>0.53168981481481481</v>
      </c>
      <c r="G525" s="75">
        <v>2</v>
      </c>
      <c r="H525" s="75">
        <v>45</v>
      </c>
      <c r="I525" s="75">
        <v>38</v>
      </c>
    </row>
    <row r="526" spans="1:9">
      <c r="A526" s="75">
        <v>382</v>
      </c>
      <c r="B526" s="75">
        <v>1</v>
      </c>
      <c r="C526" s="75">
        <v>383</v>
      </c>
      <c r="D526" s="76">
        <v>43349.542118055557</v>
      </c>
      <c r="E526" s="77">
        <v>43344</v>
      </c>
      <c r="F526" s="78">
        <v>0.54211805555555559</v>
      </c>
      <c r="G526" s="75">
        <v>2</v>
      </c>
      <c r="H526" s="75">
        <v>0</v>
      </c>
      <c r="I526" s="75">
        <v>39</v>
      </c>
    </row>
    <row r="527" spans="1:9">
      <c r="A527" s="75">
        <v>396</v>
      </c>
      <c r="B527" s="75">
        <v>1</v>
      </c>
      <c r="C527" s="75">
        <v>397</v>
      </c>
      <c r="D527" s="76">
        <v>43349.552523148152</v>
      </c>
      <c r="E527" s="77">
        <v>43344</v>
      </c>
      <c r="F527" s="78">
        <v>0.55252314814814818</v>
      </c>
      <c r="G527" s="75">
        <v>2</v>
      </c>
      <c r="H527" s="75">
        <v>15</v>
      </c>
      <c r="I527" s="75">
        <v>38</v>
      </c>
    </row>
    <row r="528" spans="1:9">
      <c r="A528" s="75">
        <v>423</v>
      </c>
      <c r="B528" s="75">
        <v>2</v>
      </c>
      <c r="C528" s="75">
        <v>425</v>
      </c>
      <c r="D528" s="76">
        <v>43349.562939814816</v>
      </c>
      <c r="E528" s="77">
        <v>43344</v>
      </c>
      <c r="F528" s="78">
        <v>0.56293981481481481</v>
      </c>
      <c r="G528" s="75">
        <v>2</v>
      </c>
      <c r="H528" s="75">
        <v>30</v>
      </c>
      <c r="I528" s="75">
        <v>38</v>
      </c>
    </row>
    <row r="529" spans="1:9">
      <c r="A529" s="75">
        <v>494</v>
      </c>
      <c r="B529" s="75">
        <v>2</v>
      </c>
      <c r="C529" s="75">
        <v>496</v>
      </c>
      <c r="D529" s="76">
        <v>43349.57335648148</v>
      </c>
      <c r="E529" s="77">
        <v>43344</v>
      </c>
      <c r="F529" s="78">
        <v>0.57335648148148144</v>
      </c>
      <c r="G529" s="75">
        <v>2</v>
      </c>
      <c r="H529" s="75">
        <v>45</v>
      </c>
      <c r="I529" s="75">
        <v>38</v>
      </c>
    </row>
    <row r="530" spans="1:9">
      <c r="A530" s="75">
        <v>449</v>
      </c>
      <c r="B530" s="75">
        <v>0</v>
      </c>
      <c r="C530" s="75">
        <v>449</v>
      </c>
      <c r="D530" s="76">
        <v>43349.583773148152</v>
      </c>
      <c r="E530" s="77">
        <v>43344</v>
      </c>
      <c r="F530" s="78">
        <v>0.58377314814814818</v>
      </c>
      <c r="G530" s="75">
        <v>2</v>
      </c>
      <c r="H530" s="75">
        <v>0</v>
      </c>
      <c r="I530" s="75">
        <v>38</v>
      </c>
    </row>
    <row r="531" spans="1:9">
      <c r="A531" s="75">
        <v>444</v>
      </c>
      <c r="B531" s="75">
        <v>3</v>
      </c>
      <c r="C531" s="75">
        <v>447</v>
      </c>
      <c r="D531" s="76">
        <v>43349.594189814816</v>
      </c>
      <c r="E531" s="77">
        <v>43344</v>
      </c>
      <c r="F531" s="78">
        <v>0.59418981481481481</v>
      </c>
      <c r="G531" s="75">
        <v>2</v>
      </c>
      <c r="H531" s="75">
        <v>15</v>
      </c>
      <c r="I531" s="75">
        <v>38</v>
      </c>
    </row>
    <row r="532" spans="1:9">
      <c r="A532" s="75">
        <v>479</v>
      </c>
      <c r="B532" s="75">
        <v>2</v>
      </c>
      <c r="C532" s="75">
        <v>481</v>
      </c>
      <c r="D532" s="76">
        <v>43349.60460648148</v>
      </c>
      <c r="E532" s="77">
        <v>43344</v>
      </c>
      <c r="F532" s="78">
        <v>0.60460648148148144</v>
      </c>
      <c r="G532" s="75">
        <v>2</v>
      </c>
      <c r="H532" s="75">
        <v>30</v>
      </c>
      <c r="I532" s="75">
        <v>38</v>
      </c>
    </row>
    <row r="533" spans="1:9">
      <c r="A533" s="75">
        <v>579</v>
      </c>
      <c r="B533" s="75">
        <v>2</v>
      </c>
      <c r="C533" s="75">
        <v>581</v>
      </c>
      <c r="D533" s="76">
        <v>43349.615034722221</v>
      </c>
      <c r="E533" s="77">
        <v>43344</v>
      </c>
      <c r="F533" s="78">
        <v>0.61503472222222222</v>
      </c>
      <c r="G533" s="75">
        <v>2</v>
      </c>
      <c r="H533" s="75">
        <v>45</v>
      </c>
      <c r="I533" s="75">
        <v>39</v>
      </c>
    </row>
    <row r="534" spans="1:9">
      <c r="A534" s="75">
        <v>528</v>
      </c>
      <c r="B534" s="75">
        <v>2</v>
      </c>
      <c r="C534" s="75">
        <v>530</v>
      </c>
      <c r="D534" s="76">
        <v>43349.625439814816</v>
      </c>
      <c r="E534" s="77">
        <v>43344</v>
      </c>
      <c r="F534" s="78">
        <v>0.62543981481481481</v>
      </c>
      <c r="G534" s="75">
        <v>2</v>
      </c>
      <c r="H534" s="75">
        <v>0</v>
      </c>
      <c r="I534" s="75">
        <v>38</v>
      </c>
    </row>
    <row r="535" spans="1:9">
      <c r="A535" s="75">
        <v>568</v>
      </c>
      <c r="B535" s="75">
        <v>3</v>
      </c>
      <c r="C535" s="75">
        <v>571</v>
      </c>
      <c r="D535" s="76">
        <v>43349.63585648148</v>
      </c>
      <c r="E535" s="77">
        <v>43344</v>
      </c>
      <c r="F535" s="78">
        <v>0.63585648148148144</v>
      </c>
      <c r="G535" s="75">
        <v>2</v>
      </c>
      <c r="H535" s="75">
        <v>15</v>
      </c>
      <c r="I535" s="75">
        <v>38</v>
      </c>
    </row>
    <row r="536" spans="1:9">
      <c r="A536" s="75">
        <v>575</v>
      </c>
      <c r="B536" s="75">
        <v>1</v>
      </c>
      <c r="C536" s="75">
        <v>576</v>
      </c>
      <c r="D536" s="76">
        <v>43349.646273148152</v>
      </c>
      <c r="E536" s="77">
        <v>43344</v>
      </c>
      <c r="F536" s="78">
        <v>0.64627314814814818</v>
      </c>
      <c r="G536" s="75">
        <v>2</v>
      </c>
      <c r="H536" s="75">
        <v>30</v>
      </c>
      <c r="I536" s="75">
        <v>38</v>
      </c>
    </row>
    <row r="537" spans="1:9">
      <c r="A537" s="75">
        <v>607</v>
      </c>
      <c r="B537" s="75">
        <v>5</v>
      </c>
      <c r="C537" s="75">
        <v>612</v>
      </c>
      <c r="D537" s="76">
        <v>43349.656689814816</v>
      </c>
      <c r="E537" s="77">
        <v>43344</v>
      </c>
      <c r="F537" s="78">
        <v>0.65668981481481481</v>
      </c>
      <c r="G537" s="75">
        <v>2</v>
      </c>
      <c r="H537" s="75">
        <v>45</v>
      </c>
      <c r="I537" s="75">
        <v>38</v>
      </c>
    </row>
    <row r="538" spans="1:9">
      <c r="A538" s="75">
        <v>596</v>
      </c>
      <c r="B538" s="75">
        <v>7</v>
      </c>
      <c r="C538" s="75">
        <v>603</v>
      </c>
      <c r="D538" s="76">
        <v>43349.66710648148</v>
      </c>
      <c r="E538" s="77">
        <v>43344</v>
      </c>
      <c r="F538" s="78">
        <v>0.66710648148148144</v>
      </c>
      <c r="G538" s="75">
        <v>2</v>
      </c>
      <c r="H538" s="75">
        <v>0</v>
      </c>
      <c r="I538" s="75">
        <v>38</v>
      </c>
    </row>
    <row r="539" spans="1:9">
      <c r="A539" s="75">
        <v>726</v>
      </c>
      <c r="B539" s="75">
        <v>10</v>
      </c>
      <c r="C539" s="75">
        <v>736</v>
      </c>
      <c r="D539" s="76">
        <v>43349.677523148152</v>
      </c>
      <c r="E539" s="77">
        <v>43344</v>
      </c>
      <c r="F539" s="78">
        <v>0.67752314814814818</v>
      </c>
      <c r="G539" s="75">
        <v>2</v>
      </c>
      <c r="H539" s="75">
        <v>15</v>
      </c>
      <c r="I539" s="75">
        <v>38</v>
      </c>
    </row>
    <row r="540" spans="1:9">
      <c r="A540" s="75">
        <v>688</v>
      </c>
      <c r="B540" s="75">
        <v>10</v>
      </c>
      <c r="C540" s="75">
        <v>698</v>
      </c>
      <c r="D540" s="76">
        <v>43349.687951388885</v>
      </c>
      <c r="E540" s="77">
        <v>43344</v>
      </c>
      <c r="F540" s="78">
        <v>0.68795138888888896</v>
      </c>
      <c r="G540" s="75">
        <v>2</v>
      </c>
      <c r="H540" s="75">
        <v>30</v>
      </c>
      <c r="I540" s="75">
        <v>39</v>
      </c>
    </row>
    <row r="541" spans="1:9">
      <c r="A541" s="75">
        <v>685</v>
      </c>
      <c r="B541" s="75">
        <v>8</v>
      </c>
      <c r="C541" s="75">
        <v>693</v>
      </c>
      <c r="D541" s="76">
        <v>43349.69835648148</v>
      </c>
      <c r="E541" s="77">
        <v>43344</v>
      </c>
      <c r="F541" s="78">
        <v>0.69835648148148144</v>
      </c>
      <c r="G541" s="75">
        <v>2</v>
      </c>
      <c r="H541" s="75">
        <v>45</v>
      </c>
      <c r="I541" s="75">
        <v>38</v>
      </c>
    </row>
    <row r="542" spans="1:9">
      <c r="A542" s="75">
        <v>603</v>
      </c>
      <c r="B542" s="75">
        <v>7</v>
      </c>
      <c r="C542" s="75">
        <v>610</v>
      </c>
      <c r="D542" s="76">
        <v>43349.708773148152</v>
      </c>
      <c r="E542" s="77">
        <v>43344</v>
      </c>
      <c r="F542" s="78">
        <v>0.70877314814814818</v>
      </c>
      <c r="G542" s="75">
        <v>2</v>
      </c>
      <c r="H542" s="75">
        <v>0</v>
      </c>
      <c r="I542" s="75">
        <v>38</v>
      </c>
    </row>
    <row r="543" spans="1:9">
      <c r="A543" s="75">
        <v>711</v>
      </c>
      <c r="B543" s="75">
        <v>1</v>
      </c>
      <c r="C543" s="75">
        <v>712</v>
      </c>
      <c r="D543" s="76">
        <v>43349.719189814816</v>
      </c>
      <c r="E543" s="77">
        <v>43344</v>
      </c>
      <c r="F543" s="78">
        <v>0.71918981481481481</v>
      </c>
      <c r="G543" s="75">
        <v>2</v>
      </c>
      <c r="H543" s="75">
        <v>15</v>
      </c>
      <c r="I543" s="75">
        <v>38</v>
      </c>
    </row>
    <row r="544" spans="1:9">
      <c r="A544" s="75">
        <v>629</v>
      </c>
      <c r="B544" s="75">
        <v>4</v>
      </c>
      <c r="C544" s="75">
        <v>633</v>
      </c>
      <c r="D544" s="76">
        <v>43349.72960648148</v>
      </c>
      <c r="E544" s="77">
        <v>43344</v>
      </c>
      <c r="F544" s="78">
        <v>0.72960648148148144</v>
      </c>
      <c r="G544" s="75">
        <v>2</v>
      </c>
      <c r="H544" s="75">
        <v>30</v>
      </c>
      <c r="I544" s="75">
        <v>38</v>
      </c>
    </row>
    <row r="545" spans="1:9">
      <c r="A545" s="75">
        <v>632</v>
      </c>
      <c r="B545" s="75">
        <v>9</v>
      </c>
      <c r="C545" s="75">
        <v>641</v>
      </c>
      <c r="D545" s="76">
        <v>43349.740023148152</v>
      </c>
      <c r="E545" s="77">
        <v>43344</v>
      </c>
      <c r="F545" s="78">
        <v>0.74002314814814818</v>
      </c>
      <c r="G545" s="75">
        <v>2</v>
      </c>
      <c r="H545" s="75">
        <v>45</v>
      </c>
      <c r="I545" s="75">
        <v>38</v>
      </c>
    </row>
    <row r="546" spans="1:9">
      <c r="A546" s="75">
        <v>557</v>
      </c>
      <c r="B546" s="75">
        <v>11</v>
      </c>
      <c r="C546" s="75">
        <v>568</v>
      </c>
      <c r="D546" s="76">
        <v>43349.750428240739</v>
      </c>
      <c r="E546" s="77">
        <v>43344</v>
      </c>
      <c r="F546" s="78">
        <v>0.75042824074074066</v>
      </c>
      <c r="G546" s="75">
        <v>2</v>
      </c>
      <c r="H546" s="75">
        <v>0</v>
      </c>
      <c r="I546" s="75">
        <v>37</v>
      </c>
    </row>
    <row r="547" spans="1:9">
      <c r="A547" s="75">
        <v>642</v>
      </c>
      <c r="B547" s="75">
        <v>5</v>
      </c>
      <c r="C547" s="75">
        <v>647</v>
      </c>
      <c r="D547" s="76">
        <v>43349.76085648148</v>
      </c>
      <c r="E547" s="77">
        <v>43344</v>
      </c>
      <c r="F547" s="78">
        <v>0.76085648148148144</v>
      </c>
      <c r="G547" s="75">
        <v>2</v>
      </c>
      <c r="H547" s="75">
        <v>15</v>
      </c>
      <c r="I547" s="75">
        <v>38</v>
      </c>
    </row>
    <row r="548" spans="1:9">
      <c r="A548" s="75">
        <v>626</v>
      </c>
      <c r="B548" s="75">
        <v>2</v>
      </c>
      <c r="C548" s="75">
        <v>628</v>
      </c>
      <c r="D548" s="76">
        <v>43349.771273148152</v>
      </c>
      <c r="E548" s="77">
        <v>43344</v>
      </c>
      <c r="F548" s="78">
        <v>0.77127314814814818</v>
      </c>
      <c r="G548" s="75">
        <v>2</v>
      </c>
      <c r="H548" s="75">
        <v>30</v>
      </c>
      <c r="I548" s="75">
        <v>38</v>
      </c>
    </row>
    <row r="549" spans="1:9">
      <c r="A549" s="75">
        <v>717</v>
      </c>
      <c r="B549" s="75">
        <v>6</v>
      </c>
      <c r="C549" s="75">
        <v>723</v>
      </c>
      <c r="D549" s="76">
        <v>43349.781689814816</v>
      </c>
      <c r="E549" s="77">
        <v>43344</v>
      </c>
      <c r="F549" s="78">
        <v>0.78168981481481481</v>
      </c>
      <c r="G549" s="75">
        <v>2</v>
      </c>
      <c r="H549" s="75">
        <v>45</v>
      </c>
      <c r="I549" s="75">
        <v>38</v>
      </c>
    </row>
    <row r="550" spans="1:9">
      <c r="A550" s="75">
        <v>653</v>
      </c>
      <c r="B550" s="75">
        <v>5</v>
      </c>
      <c r="C550" s="75">
        <v>658</v>
      </c>
      <c r="D550" s="76">
        <v>43349.79210648148</v>
      </c>
      <c r="E550" s="77">
        <v>43344</v>
      </c>
      <c r="F550" s="78">
        <v>0.79210648148148144</v>
      </c>
      <c r="G550" s="75">
        <v>2</v>
      </c>
      <c r="H550" s="75">
        <v>0</v>
      </c>
      <c r="I550" s="75">
        <v>38</v>
      </c>
    </row>
    <row r="551" spans="1:9">
      <c r="A551" s="75">
        <v>760</v>
      </c>
      <c r="B551" s="75">
        <v>7</v>
      </c>
      <c r="C551" s="75">
        <v>767</v>
      </c>
      <c r="D551" s="76">
        <v>43349.802511574075</v>
      </c>
      <c r="E551" s="77">
        <v>43344</v>
      </c>
      <c r="F551" s="78">
        <v>0.80251157407407403</v>
      </c>
      <c r="G551" s="75">
        <v>2</v>
      </c>
      <c r="H551" s="75">
        <v>15</v>
      </c>
      <c r="I551" s="75">
        <v>37</v>
      </c>
    </row>
    <row r="552" spans="1:9">
      <c r="A552" s="75">
        <v>553</v>
      </c>
      <c r="B552" s="75">
        <v>5</v>
      </c>
      <c r="C552" s="75">
        <v>558</v>
      </c>
      <c r="D552" s="76">
        <v>43349.812939814816</v>
      </c>
      <c r="E552" s="77">
        <v>43344</v>
      </c>
      <c r="F552" s="78">
        <v>0.81293981481481481</v>
      </c>
      <c r="G552" s="75">
        <v>2</v>
      </c>
      <c r="H552" s="75">
        <v>30</v>
      </c>
      <c r="I552" s="75">
        <v>38</v>
      </c>
    </row>
    <row r="553" spans="1:9">
      <c r="A553" s="75">
        <v>320</v>
      </c>
      <c r="B553" s="75">
        <v>2</v>
      </c>
      <c r="C553" s="75">
        <v>322</v>
      </c>
      <c r="D553" s="76">
        <v>43349.823344907411</v>
      </c>
      <c r="E553" s="77">
        <v>43344</v>
      </c>
      <c r="F553" s="78">
        <v>0.8233449074074074</v>
      </c>
      <c r="G553" s="75">
        <v>2</v>
      </c>
      <c r="H553" s="75">
        <v>45</v>
      </c>
      <c r="I553" s="75">
        <v>37</v>
      </c>
    </row>
    <row r="554" spans="1:9">
      <c r="A554" s="75">
        <v>270</v>
      </c>
      <c r="B554" s="75">
        <v>1</v>
      </c>
      <c r="C554" s="75">
        <v>271</v>
      </c>
      <c r="D554" s="76">
        <v>43349.833773148152</v>
      </c>
      <c r="E554" s="77">
        <v>43344</v>
      </c>
      <c r="F554" s="78">
        <v>0.83377314814814818</v>
      </c>
      <c r="G554" s="75">
        <v>2</v>
      </c>
      <c r="H554" s="75">
        <v>0</v>
      </c>
      <c r="I554" s="75">
        <v>38</v>
      </c>
    </row>
    <row r="555" spans="1:9">
      <c r="A555" s="75">
        <v>389</v>
      </c>
      <c r="B555" s="75">
        <v>2</v>
      </c>
      <c r="C555" s="75">
        <v>391</v>
      </c>
      <c r="D555" s="76">
        <v>43349.844178240739</v>
      </c>
      <c r="E555" s="77">
        <v>43344</v>
      </c>
      <c r="F555" s="78">
        <v>0.84417824074074066</v>
      </c>
      <c r="G555" s="75">
        <v>2</v>
      </c>
      <c r="H555" s="75">
        <v>15</v>
      </c>
      <c r="I555" s="75">
        <v>37</v>
      </c>
    </row>
    <row r="556" spans="1:9">
      <c r="A556" s="75">
        <v>527</v>
      </c>
      <c r="B556" s="75">
        <v>3</v>
      </c>
      <c r="C556" s="75">
        <v>523</v>
      </c>
      <c r="D556" s="76">
        <v>43349.85460648148</v>
      </c>
      <c r="E556" s="77">
        <v>43344</v>
      </c>
      <c r="F556" s="78">
        <v>0.85460648148148144</v>
      </c>
      <c r="G556" s="75">
        <v>2</v>
      </c>
      <c r="H556" s="75">
        <v>30</v>
      </c>
      <c r="I556" s="75">
        <v>38</v>
      </c>
    </row>
    <row r="557" spans="1:9">
      <c r="A557" s="75">
        <v>723</v>
      </c>
      <c r="B557" s="75">
        <v>6</v>
      </c>
      <c r="C557" s="75">
        <v>729</v>
      </c>
      <c r="D557" s="76">
        <v>43349.865011574075</v>
      </c>
      <c r="E557" s="77">
        <v>43344</v>
      </c>
      <c r="F557" s="78">
        <v>0.86501157407407403</v>
      </c>
      <c r="G557" s="75">
        <v>2</v>
      </c>
      <c r="H557" s="75">
        <v>45</v>
      </c>
      <c r="I557" s="75">
        <v>37</v>
      </c>
    </row>
    <row r="558" spans="1:9">
      <c r="A558" s="75">
        <v>752</v>
      </c>
      <c r="B558" s="75">
        <v>7</v>
      </c>
      <c r="C558" s="75">
        <v>759</v>
      </c>
      <c r="D558" s="76">
        <v>43349.875439814816</v>
      </c>
      <c r="E558" s="77">
        <v>43344</v>
      </c>
      <c r="F558" s="78">
        <v>0.87543981481481481</v>
      </c>
      <c r="G558" s="75">
        <v>2</v>
      </c>
      <c r="H558" s="75">
        <v>0</v>
      </c>
      <c r="I558" s="75">
        <v>38</v>
      </c>
    </row>
    <row r="559" spans="1:9">
      <c r="A559" s="75">
        <v>834</v>
      </c>
      <c r="B559" s="75">
        <v>6</v>
      </c>
      <c r="C559" s="75">
        <v>840</v>
      </c>
      <c r="D559" s="76">
        <v>43349.885844907411</v>
      </c>
      <c r="E559" s="77">
        <v>43344</v>
      </c>
      <c r="F559" s="78">
        <v>0.8858449074074074</v>
      </c>
      <c r="G559" s="75">
        <v>2</v>
      </c>
      <c r="H559" s="75">
        <v>15</v>
      </c>
      <c r="I559" s="75">
        <v>37</v>
      </c>
    </row>
    <row r="560" spans="1:9">
      <c r="A560" s="75">
        <v>752</v>
      </c>
      <c r="B560" s="75">
        <v>10</v>
      </c>
      <c r="C560" s="75">
        <v>762</v>
      </c>
      <c r="D560" s="76">
        <v>43349.896273148152</v>
      </c>
      <c r="E560" s="77">
        <v>43344</v>
      </c>
      <c r="F560" s="78">
        <v>0.89627314814814818</v>
      </c>
      <c r="G560" s="75">
        <v>2</v>
      </c>
      <c r="H560" s="75">
        <v>30</v>
      </c>
      <c r="I560" s="75">
        <v>38</v>
      </c>
    </row>
    <row r="561" spans="1:9">
      <c r="A561" s="75">
        <v>755</v>
      </c>
      <c r="B561" s="75">
        <v>7</v>
      </c>
      <c r="C561" s="75">
        <v>762</v>
      </c>
      <c r="D561" s="76">
        <v>43349.906678240739</v>
      </c>
      <c r="E561" s="77">
        <v>43344</v>
      </c>
      <c r="F561" s="78">
        <v>0.90667824074074066</v>
      </c>
      <c r="G561" s="75">
        <v>2</v>
      </c>
      <c r="H561" s="75">
        <v>45</v>
      </c>
      <c r="I561" s="75">
        <v>37</v>
      </c>
    </row>
    <row r="562" spans="1:9">
      <c r="A562" s="75">
        <v>686</v>
      </c>
      <c r="B562" s="75">
        <v>3</v>
      </c>
      <c r="C562" s="75">
        <v>689</v>
      </c>
      <c r="D562" s="76">
        <v>43349.91710648148</v>
      </c>
      <c r="E562" s="77">
        <v>43344</v>
      </c>
      <c r="F562" s="78">
        <v>0.91710648148148144</v>
      </c>
      <c r="G562" s="75">
        <v>2</v>
      </c>
      <c r="H562" s="75">
        <v>0</v>
      </c>
      <c r="I562" s="75">
        <v>38</v>
      </c>
    </row>
    <row r="563" spans="1:9">
      <c r="A563" s="75">
        <v>708</v>
      </c>
      <c r="B563" s="75">
        <v>4</v>
      </c>
      <c r="C563" s="75">
        <v>712</v>
      </c>
      <c r="D563" s="76">
        <v>43349.927511574075</v>
      </c>
      <c r="E563" s="77">
        <v>43344</v>
      </c>
      <c r="F563" s="78">
        <v>0.92751157407407403</v>
      </c>
      <c r="G563" s="75">
        <v>2</v>
      </c>
      <c r="H563" s="75">
        <v>15</v>
      </c>
      <c r="I563" s="75">
        <v>37</v>
      </c>
    </row>
    <row r="564" spans="1:9">
      <c r="A564" s="75">
        <v>380</v>
      </c>
      <c r="B564" s="75">
        <v>1</v>
      </c>
      <c r="C564" s="75">
        <v>372</v>
      </c>
      <c r="D564" s="76">
        <v>43349.937928240739</v>
      </c>
      <c r="E564" s="77">
        <v>43344</v>
      </c>
      <c r="F564" s="78">
        <v>0.93792824074074066</v>
      </c>
      <c r="G564" s="75">
        <v>2</v>
      </c>
      <c r="H564" s="75">
        <v>30</v>
      </c>
      <c r="I564" s="75">
        <v>37</v>
      </c>
    </row>
    <row r="565" spans="1:9">
      <c r="A565" s="75">
        <v>295</v>
      </c>
      <c r="B565" s="75">
        <v>1</v>
      </c>
      <c r="C565" s="75">
        <v>296</v>
      </c>
      <c r="D565" s="76">
        <v>43349.94835648148</v>
      </c>
      <c r="E565" s="77">
        <v>43344</v>
      </c>
      <c r="F565" s="78">
        <v>0.94835648148148144</v>
      </c>
      <c r="G565" s="75">
        <v>2</v>
      </c>
      <c r="H565" s="75">
        <v>45</v>
      </c>
      <c r="I565" s="75">
        <v>38</v>
      </c>
    </row>
    <row r="566" spans="1:9">
      <c r="A566" s="75">
        <v>339</v>
      </c>
      <c r="B566" s="75">
        <v>1</v>
      </c>
      <c r="C566" s="75">
        <v>340</v>
      </c>
      <c r="D566" s="76">
        <v>43349.958761574075</v>
      </c>
      <c r="E566" s="77">
        <v>43344</v>
      </c>
      <c r="F566" s="78">
        <v>0.95876157407407403</v>
      </c>
      <c r="G566" s="75">
        <v>2</v>
      </c>
      <c r="H566" s="75">
        <v>0</v>
      </c>
      <c r="I566" s="75">
        <v>37</v>
      </c>
    </row>
    <row r="567" spans="1:9">
      <c r="A567" s="75">
        <v>337</v>
      </c>
      <c r="B567" s="75">
        <v>0</v>
      </c>
      <c r="C567" s="75">
        <v>337</v>
      </c>
      <c r="D567" s="76">
        <v>43349.969189814816</v>
      </c>
      <c r="E567" s="77">
        <v>43344</v>
      </c>
      <c r="F567" s="78">
        <v>0.96918981481481481</v>
      </c>
      <c r="G567" s="75">
        <v>2</v>
      </c>
      <c r="H567" s="75">
        <v>15</v>
      </c>
      <c r="I567" s="75">
        <v>38</v>
      </c>
    </row>
    <row r="568" spans="1:9">
      <c r="A568" s="75">
        <v>342</v>
      </c>
      <c r="B568" s="75">
        <v>1</v>
      </c>
      <c r="C568" s="75">
        <v>343</v>
      </c>
      <c r="D568" s="76">
        <v>43349.979594907411</v>
      </c>
      <c r="E568" s="77">
        <v>43344</v>
      </c>
      <c r="F568" s="78">
        <v>0.9795949074074074</v>
      </c>
      <c r="G568" s="75">
        <v>2</v>
      </c>
      <c r="H568" s="75">
        <v>30</v>
      </c>
      <c r="I568" s="75">
        <v>37</v>
      </c>
    </row>
    <row r="569" spans="1:9">
      <c r="A569" s="75">
        <v>362</v>
      </c>
      <c r="B569" s="75">
        <v>2</v>
      </c>
      <c r="C569" s="75">
        <v>356</v>
      </c>
      <c r="D569" s="76">
        <v>43349.990023148152</v>
      </c>
      <c r="E569" s="77">
        <v>43344</v>
      </c>
      <c r="F569" s="78">
        <v>0.99002314814814818</v>
      </c>
      <c r="G569" s="75">
        <v>2</v>
      </c>
      <c r="H569" s="75">
        <v>45</v>
      </c>
      <c r="I569" s="75">
        <v>38</v>
      </c>
    </row>
    <row r="570" spans="1:9">
      <c r="A570" s="75">
        <v>353</v>
      </c>
      <c r="B570" s="75">
        <v>3</v>
      </c>
      <c r="C570" s="75">
        <v>356</v>
      </c>
      <c r="D570" s="76">
        <v>43350.000428240739</v>
      </c>
      <c r="E570" s="77">
        <v>43344</v>
      </c>
      <c r="F570" s="78">
        <v>4.2824074074074075E-4</v>
      </c>
      <c r="G570" s="75">
        <v>2</v>
      </c>
      <c r="H570" s="75">
        <v>0</v>
      </c>
      <c r="I570" s="75">
        <v>37</v>
      </c>
    </row>
    <row r="571" spans="1:9">
      <c r="A571" s="75">
        <v>357</v>
      </c>
      <c r="B571" s="75">
        <v>5</v>
      </c>
      <c r="C571" s="75">
        <v>362</v>
      </c>
      <c r="D571" s="76">
        <v>43350.01085648148</v>
      </c>
      <c r="E571" s="77">
        <v>43344</v>
      </c>
      <c r="F571" s="78">
        <v>1.0856481481481481E-2</v>
      </c>
      <c r="G571" s="75">
        <v>2</v>
      </c>
      <c r="H571" s="75">
        <v>15</v>
      </c>
      <c r="I571" s="75">
        <v>38</v>
      </c>
    </row>
    <row r="572" spans="1:9">
      <c r="A572" s="75">
        <v>349</v>
      </c>
      <c r="B572" s="75">
        <v>6</v>
      </c>
      <c r="C572" s="75">
        <v>355</v>
      </c>
      <c r="D572" s="76">
        <v>43350.021261574075</v>
      </c>
      <c r="E572" s="77">
        <v>43344</v>
      </c>
      <c r="F572" s="78">
        <v>2.1261574074074075E-2</v>
      </c>
      <c r="G572" s="75">
        <v>2</v>
      </c>
      <c r="H572" s="75">
        <v>30</v>
      </c>
      <c r="I572" s="75">
        <v>37</v>
      </c>
    </row>
    <row r="573" spans="1:9">
      <c r="A573" s="75">
        <v>311</v>
      </c>
      <c r="B573" s="75">
        <v>2</v>
      </c>
      <c r="C573" s="75">
        <v>313</v>
      </c>
      <c r="D573" s="76">
        <v>43350.031689814816</v>
      </c>
      <c r="E573" s="77">
        <v>43344</v>
      </c>
      <c r="F573" s="78">
        <v>3.1689814814814816E-2</v>
      </c>
      <c r="G573" s="75">
        <v>2</v>
      </c>
      <c r="H573" s="75">
        <v>45</v>
      </c>
      <c r="I573" s="75">
        <v>38</v>
      </c>
    </row>
    <row r="574" spans="1:9">
      <c r="A574" s="75">
        <v>321</v>
      </c>
      <c r="B574" s="75">
        <v>4</v>
      </c>
      <c r="C574" s="75">
        <v>325</v>
      </c>
      <c r="D574" s="76">
        <v>43350.042094907411</v>
      </c>
      <c r="E574" s="77">
        <v>43344</v>
      </c>
      <c r="F574" s="78">
        <v>4.2094907407407407E-2</v>
      </c>
      <c r="G574" s="75">
        <v>2</v>
      </c>
      <c r="H574" s="75">
        <v>0</v>
      </c>
      <c r="I574" s="75">
        <v>37</v>
      </c>
    </row>
    <row r="575" spans="1:9">
      <c r="A575" s="75">
        <v>332</v>
      </c>
      <c r="B575" s="75">
        <v>4</v>
      </c>
      <c r="C575" s="75">
        <v>336</v>
      </c>
      <c r="D575" s="76">
        <v>43350.052511574075</v>
      </c>
      <c r="E575" s="77">
        <v>43344</v>
      </c>
      <c r="F575" s="78">
        <v>5.2511574074074079E-2</v>
      </c>
      <c r="G575" s="75">
        <v>2</v>
      </c>
      <c r="H575" s="75">
        <v>15</v>
      </c>
      <c r="I575" s="75">
        <v>37</v>
      </c>
    </row>
    <row r="576" spans="1:9">
      <c r="A576" s="75">
        <v>337</v>
      </c>
      <c r="B576" s="75">
        <v>1</v>
      </c>
      <c r="C576" s="75">
        <v>338</v>
      </c>
      <c r="D576" s="76">
        <v>43350.062939814816</v>
      </c>
      <c r="E576" s="77">
        <v>43344</v>
      </c>
      <c r="F576" s="78">
        <v>6.293981481481481E-2</v>
      </c>
      <c r="G576" s="75">
        <v>2</v>
      </c>
      <c r="H576" s="75">
        <v>30</v>
      </c>
      <c r="I576" s="75">
        <v>38</v>
      </c>
    </row>
    <row r="577" spans="1:9">
      <c r="A577" s="75">
        <v>348</v>
      </c>
      <c r="B577" s="75">
        <v>3</v>
      </c>
      <c r="C577" s="75">
        <v>351</v>
      </c>
      <c r="D577" s="76">
        <v>43350.07335648148</v>
      </c>
      <c r="E577" s="77">
        <v>43344</v>
      </c>
      <c r="F577" s="78">
        <v>7.3356481481481481E-2</v>
      </c>
      <c r="G577" s="75">
        <v>2</v>
      </c>
      <c r="H577" s="75">
        <v>45</v>
      </c>
      <c r="I577" s="75">
        <v>38</v>
      </c>
    </row>
    <row r="578" spans="1:9">
      <c r="A578" s="75">
        <v>361</v>
      </c>
      <c r="B578" s="75">
        <v>2</v>
      </c>
      <c r="C578" s="75">
        <v>363</v>
      </c>
      <c r="D578" s="76">
        <v>43350.083773148152</v>
      </c>
      <c r="E578" s="77">
        <v>43344</v>
      </c>
      <c r="F578" s="78">
        <v>8.3773148148148138E-2</v>
      </c>
      <c r="G578" s="75">
        <v>2</v>
      </c>
      <c r="H578" s="75">
        <v>0</v>
      </c>
      <c r="I578" s="75">
        <v>38</v>
      </c>
    </row>
    <row r="579" spans="1:9">
      <c r="A579" s="75">
        <v>352</v>
      </c>
      <c r="B579" s="75">
        <v>1</v>
      </c>
      <c r="C579" s="75">
        <v>353</v>
      </c>
      <c r="D579" s="76">
        <v>43350.094189814816</v>
      </c>
      <c r="E579" s="77">
        <v>43344</v>
      </c>
      <c r="F579" s="78">
        <v>9.418981481481481E-2</v>
      </c>
      <c r="G579" s="75">
        <v>2</v>
      </c>
      <c r="H579" s="75">
        <v>15</v>
      </c>
      <c r="I579" s="75">
        <v>38</v>
      </c>
    </row>
    <row r="580" spans="1:9">
      <c r="A580" s="75">
        <v>296</v>
      </c>
      <c r="B580" s="75">
        <v>3</v>
      </c>
      <c r="C580" s="75">
        <v>291</v>
      </c>
      <c r="D580" s="76">
        <v>43350.104594907411</v>
      </c>
      <c r="E580" s="77">
        <v>43344</v>
      </c>
      <c r="F580" s="78">
        <v>0.1045949074074074</v>
      </c>
      <c r="G580" s="75">
        <v>2</v>
      </c>
      <c r="H580" s="75">
        <v>30</v>
      </c>
      <c r="I580" s="75">
        <v>37</v>
      </c>
    </row>
    <row r="581" spans="1:9">
      <c r="A581" s="75">
        <v>232</v>
      </c>
      <c r="B581" s="75">
        <v>0</v>
      </c>
      <c r="C581" s="75">
        <v>232</v>
      </c>
      <c r="D581" s="76">
        <v>43350.115011574075</v>
      </c>
      <c r="E581" s="77">
        <v>43344</v>
      </c>
      <c r="F581" s="78">
        <v>0.11501157407407407</v>
      </c>
      <c r="G581" s="75">
        <v>2</v>
      </c>
      <c r="H581" s="75">
        <v>45</v>
      </c>
      <c r="I581" s="75">
        <v>37</v>
      </c>
    </row>
    <row r="582" spans="1:9">
      <c r="A582" s="75">
        <v>229</v>
      </c>
      <c r="B582" s="75">
        <v>1</v>
      </c>
      <c r="C582" s="75">
        <v>230</v>
      </c>
      <c r="D582" s="76">
        <v>43350.125428240739</v>
      </c>
      <c r="E582" s="77">
        <v>43344</v>
      </c>
      <c r="F582" s="78">
        <v>0.12542824074074074</v>
      </c>
      <c r="G582" s="75">
        <v>2</v>
      </c>
      <c r="H582" s="75">
        <v>0</v>
      </c>
      <c r="I582" s="75">
        <v>37</v>
      </c>
    </row>
    <row r="583" spans="1:9">
      <c r="A583" s="75">
        <v>182</v>
      </c>
      <c r="B583" s="75">
        <v>1</v>
      </c>
      <c r="C583" s="75">
        <v>183</v>
      </c>
      <c r="D583" s="76">
        <v>43350.135844907411</v>
      </c>
      <c r="E583" s="77">
        <v>43344</v>
      </c>
      <c r="F583" s="78">
        <v>0.1358449074074074</v>
      </c>
      <c r="G583" s="75">
        <v>2</v>
      </c>
      <c r="H583" s="75">
        <v>15</v>
      </c>
      <c r="I583" s="75">
        <v>37</v>
      </c>
    </row>
    <row r="584" spans="1:9">
      <c r="A584" s="75">
        <v>161</v>
      </c>
      <c r="B584" s="75">
        <v>0</v>
      </c>
      <c r="C584" s="75">
        <v>161</v>
      </c>
      <c r="D584" s="76">
        <v>43350.146261574075</v>
      </c>
      <c r="E584" s="77">
        <v>43344</v>
      </c>
      <c r="F584" s="78">
        <v>0.14626157407407406</v>
      </c>
      <c r="G584" s="75">
        <v>2</v>
      </c>
      <c r="H584" s="75">
        <v>30</v>
      </c>
      <c r="I584" s="75">
        <v>37</v>
      </c>
    </row>
    <row r="585" spans="1:9">
      <c r="A585" s="75">
        <v>156</v>
      </c>
      <c r="B585" s="75">
        <v>1</v>
      </c>
      <c r="C585" s="75">
        <v>157</v>
      </c>
      <c r="D585" s="76">
        <v>43350.156678240739</v>
      </c>
      <c r="E585" s="77">
        <v>43344</v>
      </c>
      <c r="F585" s="78">
        <v>0.15667824074074074</v>
      </c>
      <c r="G585" s="75">
        <v>2</v>
      </c>
      <c r="H585" s="75">
        <v>45</v>
      </c>
      <c r="I585" s="75">
        <v>37</v>
      </c>
    </row>
    <row r="586" spans="1:9">
      <c r="A586" s="75">
        <v>132</v>
      </c>
      <c r="B586" s="75">
        <v>0</v>
      </c>
      <c r="C586" s="75">
        <v>132</v>
      </c>
      <c r="D586" s="76">
        <v>43350.167094907411</v>
      </c>
      <c r="E586" s="77">
        <v>43344</v>
      </c>
      <c r="F586" s="78">
        <v>0.1670949074074074</v>
      </c>
      <c r="G586" s="75">
        <v>2</v>
      </c>
      <c r="H586" s="75">
        <v>0</v>
      </c>
      <c r="I586" s="75">
        <v>37</v>
      </c>
    </row>
    <row r="587" spans="1:9">
      <c r="A587" s="75">
        <v>117</v>
      </c>
      <c r="B587" s="75">
        <v>0</v>
      </c>
      <c r="C587" s="75">
        <v>117</v>
      </c>
      <c r="D587" s="76">
        <v>43350.177511574075</v>
      </c>
      <c r="E587" s="77">
        <v>43344</v>
      </c>
      <c r="F587" s="78">
        <v>0.17751157407407406</v>
      </c>
      <c r="G587" s="75">
        <v>2</v>
      </c>
      <c r="H587" s="75">
        <v>15</v>
      </c>
      <c r="I587" s="75">
        <v>37</v>
      </c>
    </row>
    <row r="588" spans="1:9">
      <c r="A588" s="75">
        <v>97</v>
      </c>
      <c r="B588" s="75">
        <v>0</v>
      </c>
      <c r="C588" s="75">
        <v>97</v>
      </c>
      <c r="D588" s="76">
        <v>43350.187928240739</v>
      </c>
      <c r="E588" s="77">
        <v>43344</v>
      </c>
      <c r="F588" s="78">
        <v>0.18792824074074074</v>
      </c>
      <c r="G588" s="75">
        <v>2</v>
      </c>
      <c r="H588" s="75">
        <v>30</v>
      </c>
      <c r="I588" s="75">
        <v>37</v>
      </c>
    </row>
    <row r="589" spans="1:9">
      <c r="A589" s="75">
        <v>97</v>
      </c>
      <c r="B589" s="75">
        <v>0</v>
      </c>
      <c r="C589" s="75">
        <v>97</v>
      </c>
      <c r="D589" s="76">
        <v>43350.198344907411</v>
      </c>
      <c r="E589" s="77">
        <v>43344</v>
      </c>
      <c r="F589" s="78">
        <v>0.1983449074074074</v>
      </c>
      <c r="G589" s="75">
        <v>2</v>
      </c>
      <c r="H589" s="75">
        <v>45</v>
      </c>
      <c r="I589" s="75">
        <v>37</v>
      </c>
    </row>
    <row r="590" spans="1:9">
      <c r="A590" s="75">
        <v>101</v>
      </c>
      <c r="B590" s="75">
        <v>0</v>
      </c>
      <c r="C590" s="75">
        <v>101</v>
      </c>
      <c r="D590" s="76">
        <v>43350.208749999998</v>
      </c>
      <c r="E590" s="77">
        <v>43344</v>
      </c>
      <c r="F590" s="78">
        <v>0.20874999999999999</v>
      </c>
      <c r="G590" s="75">
        <v>2</v>
      </c>
      <c r="H590" s="75">
        <v>0</v>
      </c>
      <c r="I590" s="75">
        <v>36</v>
      </c>
    </row>
    <row r="591" spans="1:9">
      <c r="A591" s="75">
        <v>65</v>
      </c>
      <c r="B591" s="75">
        <v>0</v>
      </c>
      <c r="C591" s="75">
        <v>65</v>
      </c>
      <c r="D591" s="76">
        <v>43350.219178240739</v>
      </c>
      <c r="E591" s="77">
        <v>43344</v>
      </c>
      <c r="F591" s="78">
        <v>0.21917824074074074</v>
      </c>
      <c r="G591" s="75">
        <v>2</v>
      </c>
      <c r="H591" s="75">
        <v>15</v>
      </c>
      <c r="I591" s="75">
        <v>37</v>
      </c>
    </row>
    <row r="592" spans="1:9">
      <c r="A592" s="75">
        <v>52</v>
      </c>
      <c r="B592" s="75">
        <v>0</v>
      </c>
      <c r="C592" s="75">
        <v>52</v>
      </c>
      <c r="D592" s="76">
        <v>43350.229594907411</v>
      </c>
      <c r="E592" s="77">
        <v>43344</v>
      </c>
      <c r="F592" s="78">
        <v>0.2295949074074074</v>
      </c>
      <c r="G592" s="75">
        <v>2</v>
      </c>
      <c r="H592" s="75">
        <v>30</v>
      </c>
      <c r="I592" s="75">
        <v>37</v>
      </c>
    </row>
    <row r="593" spans="1:9">
      <c r="A593" s="75">
        <v>50</v>
      </c>
      <c r="B593" s="75">
        <v>0</v>
      </c>
      <c r="C593" s="75">
        <v>50</v>
      </c>
      <c r="D593" s="76">
        <v>43350.240011574075</v>
      </c>
      <c r="E593" s="77">
        <v>43344</v>
      </c>
      <c r="F593" s="78">
        <v>0.24001157407407406</v>
      </c>
      <c r="G593" s="75">
        <v>2</v>
      </c>
      <c r="H593" s="75">
        <v>45</v>
      </c>
      <c r="I593" s="75">
        <v>37</v>
      </c>
    </row>
    <row r="594" spans="1:9">
      <c r="A594" s="75">
        <v>48</v>
      </c>
      <c r="B594" s="75">
        <v>0</v>
      </c>
      <c r="C594" s="75">
        <v>48</v>
      </c>
      <c r="D594" s="76">
        <v>43350.250416666669</v>
      </c>
      <c r="E594" s="77">
        <v>43344</v>
      </c>
      <c r="F594" s="78">
        <v>0.25041666666666668</v>
      </c>
      <c r="G594" s="75">
        <v>2</v>
      </c>
      <c r="H594" s="75">
        <v>0</v>
      </c>
      <c r="I594" s="75">
        <v>36</v>
      </c>
    </row>
    <row r="595" spans="1:9">
      <c r="A595" s="75">
        <v>48</v>
      </c>
      <c r="B595" s="75">
        <v>0</v>
      </c>
      <c r="C595" s="75">
        <v>48</v>
      </c>
      <c r="D595" s="76">
        <v>43350.260833333334</v>
      </c>
      <c r="E595" s="77">
        <v>43344</v>
      </c>
      <c r="F595" s="78">
        <v>0.26083333333333331</v>
      </c>
      <c r="G595" s="75">
        <v>2</v>
      </c>
      <c r="H595" s="75">
        <v>15</v>
      </c>
      <c r="I595" s="75">
        <v>36</v>
      </c>
    </row>
    <row r="596" spans="1:9">
      <c r="A596" s="75">
        <v>54</v>
      </c>
      <c r="B596" s="75">
        <v>0</v>
      </c>
      <c r="C596" s="75">
        <v>46</v>
      </c>
      <c r="D596" s="76">
        <v>43350.274016203701</v>
      </c>
      <c r="E596" s="77">
        <v>43344</v>
      </c>
      <c r="F596" s="78">
        <v>0.27401620370370372</v>
      </c>
      <c r="G596" s="75">
        <v>2</v>
      </c>
      <c r="H596" s="75">
        <v>34</v>
      </c>
      <c r="I596" s="75">
        <v>35</v>
      </c>
    </row>
    <row r="597" spans="1:9">
      <c r="A597" s="75">
        <v>47</v>
      </c>
      <c r="B597" s="75">
        <v>0</v>
      </c>
      <c r="C597" s="75">
        <v>46</v>
      </c>
      <c r="D597" s="76">
        <v>43350.281666666669</v>
      </c>
      <c r="E597" s="77">
        <v>43344</v>
      </c>
      <c r="F597" s="78">
        <v>0.28166666666666668</v>
      </c>
      <c r="G597" s="75">
        <v>2</v>
      </c>
      <c r="H597" s="75">
        <v>45</v>
      </c>
      <c r="I597" s="75">
        <v>36</v>
      </c>
    </row>
    <row r="598" spans="1:9">
      <c r="A598" s="75">
        <v>56</v>
      </c>
      <c r="B598" s="75">
        <v>0</v>
      </c>
      <c r="C598" s="75">
        <v>55</v>
      </c>
      <c r="D598" s="76">
        <v>43350.292094907411</v>
      </c>
      <c r="E598" s="77">
        <v>43344</v>
      </c>
      <c r="F598" s="78">
        <v>0.2920949074074074</v>
      </c>
      <c r="G598" s="75">
        <v>2</v>
      </c>
      <c r="H598" s="75">
        <v>0</v>
      </c>
      <c r="I598" s="75">
        <v>37</v>
      </c>
    </row>
    <row r="599" spans="1:9">
      <c r="A599" s="75">
        <v>82</v>
      </c>
      <c r="B599" s="75">
        <v>0</v>
      </c>
      <c r="C599" s="75">
        <v>81</v>
      </c>
      <c r="D599" s="76">
        <v>43350.302523148152</v>
      </c>
      <c r="E599" s="77">
        <v>43344</v>
      </c>
      <c r="F599" s="78">
        <v>0.30252314814814812</v>
      </c>
      <c r="G599" s="75">
        <v>2</v>
      </c>
      <c r="H599" s="75">
        <v>15</v>
      </c>
      <c r="I599" s="75">
        <v>38</v>
      </c>
    </row>
    <row r="600" spans="1:9">
      <c r="A600" s="75">
        <v>83</v>
      </c>
      <c r="B600" s="75">
        <v>0</v>
      </c>
      <c r="C600" s="75">
        <v>82</v>
      </c>
      <c r="D600" s="76">
        <v>43350.312951388885</v>
      </c>
      <c r="E600" s="77">
        <v>43344</v>
      </c>
      <c r="F600" s="78">
        <v>0.3129513888888889</v>
      </c>
      <c r="G600" s="75">
        <v>2</v>
      </c>
      <c r="H600" s="75">
        <v>30</v>
      </c>
      <c r="I600" s="75">
        <v>39</v>
      </c>
    </row>
    <row r="601" spans="1:9">
      <c r="A601" s="75">
        <v>91</v>
      </c>
      <c r="B601" s="75">
        <v>0</v>
      </c>
      <c r="C601" s="75">
        <v>90</v>
      </c>
      <c r="D601" s="76">
        <v>43350.32335648148</v>
      </c>
      <c r="E601" s="77">
        <v>43344</v>
      </c>
      <c r="F601" s="78">
        <v>0.32335648148148149</v>
      </c>
      <c r="G601" s="75">
        <v>2</v>
      </c>
      <c r="H601" s="75">
        <v>45</v>
      </c>
      <c r="I601" s="75">
        <v>38</v>
      </c>
    </row>
    <row r="602" spans="1:9">
      <c r="A602" s="75">
        <v>85</v>
      </c>
      <c r="B602" s="75">
        <v>0</v>
      </c>
      <c r="C602" s="75">
        <v>84</v>
      </c>
      <c r="D602" s="76">
        <v>43350.333773148152</v>
      </c>
      <c r="E602" s="77">
        <v>43344</v>
      </c>
      <c r="F602" s="78">
        <v>0.33377314814814812</v>
      </c>
      <c r="G602" s="75">
        <v>2</v>
      </c>
      <c r="H602" s="75">
        <v>0</v>
      </c>
      <c r="I602" s="75">
        <v>38</v>
      </c>
    </row>
    <row r="603" spans="1:9">
      <c r="A603" s="75">
        <v>96</v>
      </c>
      <c r="B603" s="75">
        <v>0</v>
      </c>
      <c r="C603" s="75">
        <v>95</v>
      </c>
      <c r="D603" s="76">
        <v>43350.344189814816</v>
      </c>
      <c r="E603" s="77">
        <v>43344</v>
      </c>
      <c r="F603" s="78">
        <v>0.34418981481481481</v>
      </c>
      <c r="G603" s="75">
        <v>2</v>
      </c>
      <c r="H603" s="75">
        <v>15</v>
      </c>
      <c r="I603" s="75">
        <v>38</v>
      </c>
    </row>
    <row r="604" spans="1:9">
      <c r="A604" s="75">
        <v>157</v>
      </c>
      <c r="B604" s="75">
        <v>0</v>
      </c>
      <c r="C604" s="75">
        <v>157</v>
      </c>
      <c r="D604" s="76">
        <v>43350.35460648148</v>
      </c>
      <c r="E604" s="77">
        <v>43344</v>
      </c>
      <c r="F604" s="78">
        <v>0.35460648148148149</v>
      </c>
      <c r="G604" s="75">
        <v>2</v>
      </c>
      <c r="H604" s="75">
        <v>30</v>
      </c>
      <c r="I604" s="75">
        <v>38</v>
      </c>
    </row>
    <row r="605" spans="1:9">
      <c r="A605" s="75">
        <v>226</v>
      </c>
      <c r="B605" s="75">
        <v>0</v>
      </c>
      <c r="C605" s="75">
        <v>225</v>
      </c>
      <c r="D605" s="76">
        <v>43350.365034722221</v>
      </c>
      <c r="E605" s="77">
        <v>43344</v>
      </c>
      <c r="F605" s="78">
        <v>0.36503472222222227</v>
      </c>
      <c r="G605" s="75">
        <v>2</v>
      </c>
      <c r="H605" s="75">
        <v>45</v>
      </c>
      <c r="I605" s="75">
        <v>39</v>
      </c>
    </row>
    <row r="606" spans="1:9">
      <c r="A606" s="75">
        <v>184</v>
      </c>
      <c r="B606" s="75">
        <v>0</v>
      </c>
      <c r="C606" s="75">
        <v>183</v>
      </c>
      <c r="D606" s="76">
        <v>43350.375439814816</v>
      </c>
      <c r="E606" s="77">
        <v>43344</v>
      </c>
      <c r="F606" s="78">
        <v>0.37543981481481481</v>
      </c>
      <c r="G606" s="75">
        <v>2</v>
      </c>
      <c r="H606" s="75">
        <v>0</v>
      </c>
      <c r="I606" s="75">
        <v>38</v>
      </c>
    </row>
    <row r="607" spans="1:9">
      <c r="A607" s="75">
        <v>280</v>
      </c>
      <c r="B607" s="75">
        <v>2</v>
      </c>
      <c r="C607" s="75">
        <v>282</v>
      </c>
      <c r="D607" s="76">
        <v>43350.38585648148</v>
      </c>
      <c r="E607" s="77">
        <v>43344</v>
      </c>
      <c r="F607" s="78">
        <v>0.38585648148148149</v>
      </c>
      <c r="G607" s="75">
        <v>2</v>
      </c>
      <c r="H607" s="75">
        <v>15</v>
      </c>
      <c r="I607" s="75">
        <v>38</v>
      </c>
    </row>
    <row r="608" spans="1:9">
      <c r="A608" s="75">
        <v>420</v>
      </c>
      <c r="B608" s="75">
        <v>3</v>
      </c>
      <c r="C608" s="75">
        <v>423</v>
      </c>
      <c r="D608" s="76">
        <v>43350.396273148152</v>
      </c>
      <c r="E608" s="77">
        <v>43344</v>
      </c>
      <c r="F608" s="78">
        <v>0.39627314814814812</v>
      </c>
      <c r="G608" s="75">
        <v>2</v>
      </c>
      <c r="H608" s="75">
        <v>30</v>
      </c>
      <c r="I608" s="75">
        <v>38</v>
      </c>
    </row>
    <row r="609" spans="1:9">
      <c r="A609" s="75">
        <v>747</v>
      </c>
      <c r="B609" s="75">
        <v>3</v>
      </c>
      <c r="C609" s="75">
        <v>750</v>
      </c>
      <c r="D609" s="76">
        <v>43350.406701388885</v>
      </c>
      <c r="E609" s="77">
        <v>43344</v>
      </c>
      <c r="F609" s="78">
        <v>0.4067013888888889</v>
      </c>
      <c r="G609" s="75">
        <v>2</v>
      </c>
      <c r="H609" s="75">
        <v>45</v>
      </c>
      <c r="I609" s="75">
        <v>39</v>
      </c>
    </row>
    <row r="610" spans="1:9">
      <c r="A610" s="75">
        <v>689</v>
      </c>
      <c r="B610" s="75">
        <v>6</v>
      </c>
      <c r="C610" s="75">
        <v>695</v>
      </c>
      <c r="D610" s="76">
        <v>43350.41710648148</v>
      </c>
      <c r="E610" s="77">
        <v>43344</v>
      </c>
      <c r="F610" s="78">
        <v>0.41710648148148149</v>
      </c>
      <c r="G610" s="75">
        <v>2</v>
      </c>
      <c r="H610" s="75">
        <v>0</v>
      </c>
      <c r="I610" s="75">
        <v>38</v>
      </c>
    </row>
    <row r="611" spans="1:9">
      <c r="A611" s="75">
        <v>653</v>
      </c>
      <c r="B611" s="75">
        <v>8</v>
      </c>
      <c r="C611" s="75">
        <v>661</v>
      </c>
      <c r="D611" s="76">
        <v>43350.427523148152</v>
      </c>
      <c r="E611" s="77">
        <v>43344</v>
      </c>
      <c r="F611" s="78">
        <v>0.42752314814814812</v>
      </c>
      <c r="G611" s="75">
        <v>2</v>
      </c>
      <c r="H611" s="75">
        <v>15</v>
      </c>
      <c r="I611" s="75">
        <v>38</v>
      </c>
    </row>
    <row r="612" spans="1:9">
      <c r="A612" s="75">
        <v>797</v>
      </c>
      <c r="B612" s="75">
        <v>11</v>
      </c>
      <c r="C612" s="75">
        <v>800</v>
      </c>
      <c r="D612" s="76">
        <v>43350.437939814816</v>
      </c>
      <c r="E612" s="77">
        <v>43344</v>
      </c>
      <c r="F612" s="78">
        <v>0.43793981481481481</v>
      </c>
      <c r="G612" s="75">
        <v>2</v>
      </c>
      <c r="H612" s="75">
        <v>30</v>
      </c>
      <c r="I612" s="75">
        <v>38</v>
      </c>
    </row>
    <row r="613" spans="1:9">
      <c r="A613" s="75">
        <v>950</v>
      </c>
      <c r="B613" s="75">
        <v>14</v>
      </c>
      <c r="C613" s="75">
        <v>964</v>
      </c>
      <c r="D613" s="76">
        <v>43350.448344907411</v>
      </c>
      <c r="E613" s="77">
        <v>43344</v>
      </c>
      <c r="F613" s="78">
        <v>0.44834490740740746</v>
      </c>
      <c r="G613" s="75">
        <v>2</v>
      </c>
      <c r="H613" s="75">
        <v>45</v>
      </c>
      <c r="I613" s="75">
        <v>37</v>
      </c>
    </row>
    <row r="614" spans="1:9">
      <c r="A614" s="75">
        <v>805</v>
      </c>
      <c r="B614" s="75">
        <v>13</v>
      </c>
      <c r="C614" s="75">
        <v>818</v>
      </c>
      <c r="D614" s="76">
        <v>43350.458773148152</v>
      </c>
      <c r="E614" s="77">
        <v>43344</v>
      </c>
      <c r="F614" s="78">
        <v>0.45877314814814812</v>
      </c>
      <c r="G614" s="75">
        <v>2</v>
      </c>
      <c r="H614" s="75">
        <v>0</v>
      </c>
      <c r="I614" s="75">
        <v>38</v>
      </c>
    </row>
    <row r="615" spans="1:9">
      <c r="A615" s="75">
        <v>584</v>
      </c>
      <c r="B615" s="75">
        <v>12</v>
      </c>
      <c r="C615" s="75">
        <v>596</v>
      </c>
      <c r="D615" s="76">
        <v>43350.469189814816</v>
      </c>
      <c r="E615" s="77">
        <v>43344</v>
      </c>
      <c r="F615" s="78">
        <v>0.46918981481481481</v>
      </c>
      <c r="G615" s="75">
        <v>2</v>
      </c>
      <c r="H615" s="75">
        <v>15</v>
      </c>
      <c r="I615" s="75">
        <v>38</v>
      </c>
    </row>
    <row r="616" spans="1:9">
      <c r="A616" s="75">
        <v>515</v>
      </c>
      <c r="B616" s="75">
        <v>2</v>
      </c>
      <c r="C616" s="75">
        <v>517</v>
      </c>
      <c r="D616" s="76">
        <v>43350.47960648148</v>
      </c>
      <c r="E616" s="77">
        <v>43344</v>
      </c>
      <c r="F616" s="78">
        <v>0.47960648148148149</v>
      </c>
      <c r="G616" s="75">
        <v>2</v>
      </c>
      <c r="H616" s="75">
        <v>30</v>
      </c>
      <c r="I616" s="75">
        <v>38</v>
      </c>
    </row>
    <row r="617" spans="1:9">
      <c r="A617" s="75">
        <v>481</v>
      </c>
      <c r="B617" s="75">
        <v>3</v>
      </c>
      <c r="C617" s="75">
        <v>484</v>
      </c>
      <c r="D617" s="76">
        <v>43350.490011574075</v>
      </c>
      <c r="E617" s="77">
        <v>43344</v>
      </c>
      <c r="F617" s="78">
        <v>0.49001157407407409</v>
      </c>
      <c r="G617" s="75">
        <v>2</v>
      </c>
      <c r="H617" s="75">
        <v>45</v>
      </c>
      <c r="I617" s="75">
        <v>37</v>
      </c>
    </row>
    <row r="618" spans="1:9">
      <c r="A618" s="75">
        <v>378</v>
      </c>
      <c r="B618" s="75">
        <v>2</v>
      </c>
      <c r="C618" s="75">
        <v>380</v>
      </c>
      <c r="D618" s="76">
        <v>43350.500439814816</v>
      </c>
      <c r="E618" s="77">
        <v>43344</v>
      </c>
      <c r="F618" s="78">
        <v>0.50043981481481481</v>
      </c>
      <c r="G618" s="75">
        <v>2</v>
      </c>
      <c r="H618" s="75">
        <v>0</v>
      </c>
      <c r="I618" s="75">
        <v>38</v>
      </c>
    </row>
    <row r="619" spans="1:9">
      <c r="A619" s="75">
        <v>371</v>
      </c>
      <c r="B619" s="75">
        <v>4</v>
      </c>
      <c r="C619" s="75">
        <v>375</v>
      </c>
      <c r="D619" s="76">
        <v>43350.51085648148</v>
      </c>
      <c r="E619" s="77">
        <v>43344</v>
      </c>
      <c r="F619" s="78">
        <v>0.51085648148148144</v>
      </c>
      <c r="G619" s="75">
        <v>2</v>
      </c>
      <c r="H619" s="75">
        <v>15</v>
      </c>
      <c r="I619" s="75">
        <v>38</v>
      </c>
    </row>
    <row r="620" spans="1:9">
      <c r="A620" s="75">
        <v>353</v>
      </c>
      <c r="B620" s="75">
        <v>0</v>
      </c>
      <c r="C620" s="75">
        <v>352</v>
      </c>
      <c r="D620" s="76">
        <v>43350.521273148152</v>
      </c>
      <c r="E620" s="77">
        <v>43344</v>
      </c>
      <c r="F620" s="78">
        <v>0.52127314814814818</v>
      </c>
      <c r="G620" s="75">
        <v>2</v>
      </c>
      <c r="H620" s="75">
        <v>30</v>
      </c>
      <c r="I620" s="75">
        <v>38</v>
      </c>
    </row>
    <row r="621" spans="1:9">
      <c r="A621" s="75">
        <v>389</v>
      </c>
      <c r="B621" s="75">
        <v>2</v>
      </c>
      <c r="C621" s="75">
        <v>391</v>
      </c>
      <c r="D621" s="76">
        <v>43350.531689814816</v>
      </c>
      <c r="E621" s="77">
        <v>43344</v>
      </c>
      <c r="F621" s="78">
        <v>0.53168981481481481</v>
      </c>
      <c r="G621" s="75">
        <v>2</v>
      </c>
      <c r="H621" s="75">
        <v>45</v>
      </c>
      <c r="I621" s="75">
        <v>38</v>
      </c>
    </row>
    <row r="622" spans="1:9">
      <c r="A622" s="75">
        <v>329</v>
      </c>
      <c r="B622" s="75">
        <v>1</v>
      </c>
      <c r="C622" s="75">
        <v>330</v>
      </c>
      <c r="D622" s="76">
        <v>43350.54210648148</v>
      </c>
      <c r="E622" s="77">
        <v>43344</v>
      </c>
      <c r="F622" s="78">
        <v>0.54210648148148144</v>
      </c>
      <c r="G622" s="75">
        <v>2</v>
      </c>
      <c r="H622" s="75">
        <v>0</v>
      </c>
      <c r="I622" s="75">
        <v>38</v>
      </c>
    </row>
    <row r="623" spans="1:9">
      <c r="A623" s="75">
        <v>370</v>
      </c>
      <c r="B623" s="75">
        <v>1</v>
      </c>
      <c r="C623" s="75">
        <v>371</v>
      </c>
      <c r="D623" s="76">
        <v>43350.552523148152</v>
      </c>
      <c r="E623" s="77">
        <v>43344</v>
      </c>
      <c r="F623" s="78">
        <v>0.55252314814814818</v>
      </c>
      <c r="G623" s="75">
        <v>2</v>
      </c>
      <c r="H623" s="75">
        <v>15</v>
      </c>
      <c r="I623" s="75">
        <v>38</v>
      </c>
    </row>
    <row r="624" spans="1:9">
      <c r="A624" s="75">
        <v>347</v>
      </c>
      <c r="B624" s="75">
        <v>2</v>
      </c>
      <c r="C624" s="75">
        <v>349</v>
      </c>
      <c r="D624" s="76">
        <v>43350.562951388885</v>
      </c>
      <c r="E624" s="77">
        <v>43344</v>
      </c>
      <c r="F624" s="78">
        <v>0.56295138888888896</v>
      </c>
      <c r="G624" s="75">
        <v>2</v>
      </c>
      <c r="H624" s="75">
        <v>30</v>
      </c>
      <c r="I624" s="75">
        <v>39</v>
      </c>
    </row>
    <row r="625" spans="1:9">
      <c r="A625" s="75">
        <v>395</v>
      </c>
      <c r="B625" s="75">
        <v>1</v>
      </c>
      <c r="C625" s="75">
        <v>394</v>
      </c>
      <c r="D625" s="76">
        <v>43350.57335648148</v>
      </c>
      <c r="E625" s="77">
        <v>43344</v>
      </c>
      <c r="F625" s="78">
        <v>0.57335648148148144</v>
      </c>
      <c r="G625" s="75">
        <v>2</v>
      </c>
      <c r="H625" s="75">
        <v>45</v>
      </c>
      <c r="I625" s="75">
        <v>38</v>
      </c>
    </row>
    <row r="626" spans="1:9">
      <c r="A626" s="75">
        <v>347</v>
      </c>
      <c r="B626" s="75">
        <v>0</v>
      </c>
      <c r="C626" s="75">
        <v>346</v>
      </c>
      <c r="D626" s="76">
        <v>43350.583773148152</v>
      </c>
      <c r="E626" s="77">
        <v>43344</v>
      </c>
      <c r="F626" s="78">
        <v>0.58377314814814818</v>
      </c>
      <c r="G626" s="75">
        <v>2</v>
      </c>
      <c r="H626" s="75">
        <v>0</v>
      </c>
      <c r="I626" s="75">
        <v>38</v>
      </c>
    </row>
    <row r="627" spans="1:9">
      <c r="A627" s="75">
        <v>400</v>
      </c>
      <c r="B627" s="75">
        <v>3</v>
      </c>
      <c r="C627" s="75">
        <v>403</v>
      </c>
      <c r="D627" s="76">
        <v>43350.594189814816</v>
      </c>
      <c r="E627" s="77">
        <v>43344</v>
      </c>
      <c r="F627" s="78">
        <v>0.59418981481481481</v>
      </c>
      <c r="G627" s="75">
        <v>2</v>
      </c>
      <c r="H627" s="75">
        <v>15</v>
      </c>
      <c r="I627" s="75">
        <v>38</v>
      </c>
    </row>
    <row r="628" spans="1:9">
      <c r="A628" s="75">
        <v>387</v>
      </c>
      <c r="B628" s="75">
        <v>5</v>
      </c>
      <c r="C628" s="75">
        <v>392</v>
      </c>
      <c r="D628" s="76">
        <v>43350.604594907411</v>
      </c>
      <c r="E628" s="77">
        <v>43344</v>
      </c>
      <c r="F628" s="78">
        <v>0.6045949074074074</v>
      </c>
      <c r="G628" s="75">
        <v>2</v>
      </c>
      <c r="H628" s="75">
        <v>30</v>
      </c>
      <c r="I628" s="75">
        <v>37</v>
      </c>
    </row>
    <row r="629" spans="1:9">
      <c r="A629" s="75">
        <v>438</v>
      </c>
      <c r="B629" s="75">
        <v>1</v>
      </c>
      <c r="C629" s="75">
        <v>439</v>
      </c>
      <c r="D629" s="76">
        <v>43350.615023148152</v>
      </c>
      <c r="E629" s="77">
        <v>43344</v>
      </c>
      <c r="F629" s="78">
        <v>0.61502314814814818</v>
      </c>
      <c r="G629" s="75">
        <v>2</v>
      </c>
      <c r="H629" s="75">
        <v>45</v>
      </c>
      <c r="I629" s="75">
        <v>38</v>
      </c>
    </row>
    <row r="630" spans="1:9">
      <c r="A630" s="75">
        <v>394</v>
      </c>
      <c r="B630" s="75">
        <v>1</v>
      </c>
      <c r="C630" s="75">
        <v>395</v>
      </c>
      <c r="D630" s="76">
        <v>43350.625439814816</v>
      </c>
      <c r="E630" s="77">
        <v>43344</v>
      </c>
      <c r="F630" s="78">
        <v>0.62543981481481481</v>
      </c>
      <c r="G630" s="75">
        <v>2</v>
      </c>
      <c r="H630" s="75">
        <v>0</v>
      </c>
      <c r="I630" s="75">
        <v>38</v>
      </c>
    </row>
    <row r="631" spans="1:9">
      <c r="A631" s="75">
        <v>446</v>
      </c>
      <c r="B631" s="75">
        <v>1</v>
      </c>
      <c r="C631" s="75">
        <v>447</v>
      </c>
      <c r="D631" s="76">
        <v>43350.635868055557</v>
      </c>
      <c r="E631" s="77">
        <v>43344</v>
      </c>
      <c r="F631" s="78">
        <v>0.63586805555555559</v>
      </c>
      <c r="G631" s="75">
        <v>2</v>
      </c>
      <c r="H631" s="75">
        <v>15</v>
      </c>
      <c r="I631" s="75">
        <v>39</v>
      </c>
    </row>
    <row r="632" spans="1:9">
      <c r="A632" s="75">
        <v>484</v>
      </c>
      <c r="B632" s="75">
        <v>3</v>
      </c>
      <c r="C632" s="75">
        <v>487</v>
      </c>
      <c r="D632" s="76">
        <v>43350.646273148152</v>
      </c>
      <c r="E632" s="77">
        <v>43344</v>
      </c>
      <c r="F632" s="78">
        <v>0.64627314814814818</v>
      </c>
      <c r="G632" s="75">
        <v>2</v>
      </c>
      <c r="H632" s="75">
        <v>30</v>
      </c>
      <c r="I632" s="75">
        <v>38</v>
      </c>
    </row>
    <row r="633" spans="1:9">
      <c r="A633" s="75">
        <v>521</v>
      </c>
      <c r="B633" s="75">
        <v>5</v>
      </c>
      <c r="C633" s="75">
        <v>526</v>
      </c>
      <c r="D633" s="76">
        <v>43350.656678240739</v>
      </c>
      <c r="E633" s="77">
        <v>43344</v>
      </c>
      <c r="F633" s="78">
        <v>0.65667824074074077</v>
      </c>
      <c r="G633" s="75">
        <v>2</v>
      </c>
      <c r="H633" s="75">
        <v>45</v>
      </c>
      <c r="I633" s="75">
        <v>37</v>
      </c>
    </row>
    <row r="634" spans="1:9">
      <c r="A634" s="75">
        <v>503</v>
      </c>
      <c r="B634" s="75">
        <v>4</v>
      </c>
      <c r="C634" s="75">
        <v>507</v>
      </c>
      <c r="D634" s="76">
        <v>43350.66710648148</v>
      </c>
      <c r="E634" s="77">
        <v>43344</v>
      </c>
      <c r="F634" s="78">
        <v>0.66710648148148144</v>
      </c>
      <c r="G634" s="75">
        <v>2</v>
      </c>
      <c r="H634" s="75">
        <v>0</v>
      </c>
      <c r="I634" s="75">
        <v>38</v>
      </c>
    </row>
    <row r="635" spans="1:9">
      <c r="A635" s="75">
        <v>685</v>
      </c>
      <c r="B635" s="75">
        <v>6</v>
      </c>
      <c r="C635" s="75">
        <v>691</v>
      </c>
      <c r="D635" s="76">
        <v>43350.677511574075</v>
      </c>
      <c r="E635" s="77">
        <v>43344</v>
      </c>
      <c r="F635" s="78">
        <v>0.67751157407407403</v>
      </c>
      <c r="G635" s="75">
        <v>2</v>
      </c>
      <c r="H635" s="75">
        <v>15</v>
      </c>
      <c r="I635" s="75">
        <v>37</v>
      </c>
    </row>
    <row r="636" spans="1:9">
      <c r="A636" s="75">
        <v>675</v>
      </c>
      <c r="B636" s="75">
        <v>9</v>
      </c>
      <c r="C636" s="75">
        <v>684</v>
      </c>
      <c r="D636" s="76">
        <v>43350.687939814816</v>
      </c>
      <c r="E636" s="77">
        <v>43344</v>
      </c>
      <c r="F636" s="78">
        <v>0.68793981481481481</v>
      </c>
      <c r="G636" s="75">
        <v>2</v>
      </c>
      <c r="H636" s="75">
        <v>30</v>
      </c>
      <c r="I636" s="75">
        <v>38</v>
      </c>
    </row>
    <row r="637" spans="1:9">
      <c r="A637" s="75">
        <v>685</v>
      </c>
      <c r="B637" s="75">
        <v>5</v>
      </c>
      <c r="C637" s="75">
        <v>690</v>
      </c>
      <c r="D637" s="76">
        <v>43350.698344907411</v>
      </c>
      <c r="E637" s="77">
        <v>43344</v>
      </c>
      <c r="F637" s="78">
        <v>0.6983449074074074</v>
      </c>
      <c r="G637" s="75">
        <v>2</v>
      </c>
      <c r="H637" s="75">
        <v>45</v>
      </c>
      <c r="I637" s="75">
        <v>37</v>
      </c>
    </row>
    <row r="638" spans="1:9">
      <c r="A638" s="75">
        <v>603</v>
      </c>
      <c r="B638" s="75">
        <v>5</v>
      </c>
      <c r="C638" s="75">
        <v>608</v>
      </c>
      <c r="D638" s="76">
        <v>43350.708773148152</v>
      </c>
      <c r="E638" s="77">
        <v>43344</v>
      </c>
      <c r="F638" s="78">
        <v>0.70877314814814818</v>
      </c>
      <c r="G638" s="75">
        <v>2</v>
      </c>
      <c r="H638" s="75">
        <v>0</v>
      </c>
      <c r="I638" s="75">
        <v>38</v>
      </c>
    </row>
    <row r="639" spans="1:9">
      <c r="A639" s="75">
        <v>854</v>
      </c>
      <c r="B639" s="75">
        <v>12</v>
      </c>
      <c r="C639" s="75">
        <v>866</v>
      </c>
      <c r="D639" s="76">
        <v>43350.719189814816</v>
      </c>
      <c r="E639" s="77">
        <v>43344</v>
      </c>
      <c r="F639" s="78">
        <v>0.71918981481481481</v>
      </c>
      <c r="G639" s="75">
        <v>2</v>
      </c>
      <c r="H639" s="75">
        <v>15</v>
      </c>
      <c r="I639" s="75">
        <v>38</v>
      </c>
    </row>
    <row r="640" spans="1:9">
      <c r="A640" s="75">
        <v>688</v>
      </c>
      <c r="B640" s="75">
        <v>11</v>
      </c>
      <c r="C640" s="75">
        <v>699</v>
      </c>
      <c r="D640" s="76">
        <v>43350.72960648148</v>
      </c>
      <c r="E640" s="77">
        <v>43344</v>
      </c>
      <c r="F640" s="78">
        <v>0.72960648148148144</v>
      </c>
      <c r="G640" s="75">
        <v>2</v>
      </c>
      <c r="H640" s="75">
        <v>30</v>
      </c>
      <c r="I640" s="75">
        <v>38</v>
      </c>
    </row>
    <row r="641" spans="1:9">
      <c r="A641" s="75">
        <v>620</v>
      </c>
      <c r="B641" s="75">
        <v>5</v>
      </c>
      <c r="C641" s="75">
        <v>625</v>
      </c>
      <c r="D641" s="76">
        <v>43350.740023148152</v>
      </c>
      <c r="E641" s="77">
        <v>43344</v>
      </c>
      <c r="F641" s="78">
        <v>0.74002314814814818</v>
      </c>
      <c r="G641" s="75">
        <v>2</v>
      </c>
      <c r="H641" s="75">
        <v>45</v>
      </c>
      <c r="I641" s="75">
        <v>38</v>
      </c>
    </row>
    <row r="642" spans="1:9">
      <c r="A642" s="75">
        <v>510</v>
      </c>
      <c r="B642" s="75">
        <v>8</v>
      </c>
      <c r="C642" s="75">
        <v>518</v>
      </c>
      <c r="D642" s="76">
        <v>43350.750428240739</v>
      </c>
      <c r="E642" s="77">
        <v>43344</v>
      </c>
      <c r="F642" s="78">
        <v>0.75042824074074066</v>
      </c>
      <c r="G642" s="75">
        <v>2</v>
      </c>
      <c r="H642" s="75">
        <v>0</v>
      </c>
      <c r="I642" s="75">
        <v>37</v>
      </c>
    </row>
    <row r="643" spans="1:9">
      <c r="A643" s="75">
        <v>608</v>
      </c>
      <c r="B643" s="75">
        <v>8</v>
      </c>
      <c r="C643" s="75">
        <v>616</v>
      </c>
      <c r="D643" s="76">
        <v>43350.76085648148</v>
      </c>
      <c r="E643" s="77">
        <v>43344</v>
      </c>
      <c r="F643" s="78">
        <v>0.76085648148148144</v>
      </c>
      <c r="G643" s="75">
        <v>2</v>
      </c>
      <c r="H643" s="75">
        <v>15</v>
      </c>
      <c r="I643" s="75">
        <v>38</v>
      </c>
    </row>
    <row r="644" spans="1:9">
      <c r="A644" s="75">
        <v>589</v>
      </c>
      <c r="B644" s="75">
        <v>5</v>
      </c>
      <c r="C644" s="75">
        <v>594</v>
      </c>
      <c r="D644" s="76">
        <v>43350.771261574075</v>
      </c>
      <c r="E644" s="77">
        <v>43344</v>
      </c>
      <c r="F644" s="78">
        <v>0.77126157407407403</v>
      </c>
      <c r="G644" s="75">
        <v>2</v>
      </c>
      <c r="H644" s="75">
        <v>30</v>
      </c>
      <c r="I644" s="75">
        <v>37</v>
      </c>
    </row>
    <row r="645" spans="1:9">
      <c r="A645" s="75">
        <v>583</v>
      </c>
      <c r="B645" s="75">
        <v>9</v>
      </c>
      <c r="C645" s="75">
        <v>592</v>
      </c>
      <c r="D645" s="76">
        <v>43350.781678240739</v>
      </c>
      <c r="E645" s="77">
        <v>43344</v>
      </c>
      <c r="F645" s="78">
        <v>0.78167824074074066</v>
      </c>
      <c r="G645" s="75">
        <v>2</v>
      </c>
      <c r="H645" s="75">
        <v>45</v>
      </c>
      <c r="I645" s="75">
        <v>37</v>
      </c>
    </row>
    <row r="646" spans="1:9">
      <c r="A646" s="75">
        <v>532</v>
      </c>
      <c r="B646" s="75">
        <v>11</v>
      </c>
      <c r="C646" s="75">
        <v>543</v>
      </c>
      <c r="D646" s="76">
        <v>43350.792094907411</v>
      </c>
      <c r="E646" s="77">
        <v>43344</v>
      </c>
      <c r="F646" s="78">
        <v>0.7920949074074074</v>
      </c>
      <c r="G646" s="75">
        <v>2</v>
      </c>
      <c r="H646" s="75">
        <v>0</v>
      </c>
      <c r="I646" s="75">
        <v>37</v>
      </c>
    </row>
    <row r="647" spans="1:9">
      <c r="A647" s="75">
        <v>618</v>
      </c>
      <c r="B647" s="75">
        <v>8</v>
      </c>
      <c r="C647" s="75">
        <v>626</v>
      </c>
      <c r="D647" s="76">
        <v>43350.802511574075</v>
      </c>
      <c r="E647" s="77">
        <v>43344</v>
      </c>
      <c r="F647" s="78">
        <v>0.80251157407407403</v>
      </c>
      <c r="G647" s="75">
        <v>2</v>
      </c>
      <c r="H647" s="75">
        <v>15</v>
      </c>
      <c r="I647" s="75">
        <v>37</v>
      </c>
    </row>
    <row r="648" spans="1:9">
      <c r="A648" s="75">
        <v>640</v>
      </c>
      <c r="B648" s="75">
        <v>8</v>
      </c>
      <c r="C648" s="75">
        <v>648</v>
      </c>
      <c r="D648" s="76">
        <v>43350.812939814816</v>
      </c>
      <c r="E648" s="77">
        <v>43344</v>
      </c>
      <c r="F648" s="78">
        <v>0.81293981481481481</v>
      </c>
      <c r="G648" s="75">
        <v>2</v>
      </c>
      <c r="H648" s="75">
        <v>30</v>
      </c>
      <c r="I648" s="75">
        <v>38</v>
      </c>
    </row>
    <row r="649" spans="1:9">
      <c r="A649" s="75">
        <v>714</v>
      </c>
      <c r="B649" s="75">
        <v>7</v>
      </c>
      <c r="C649" s="75">
        <v>721</v>
      </c>
      <c r="D649" s="76">
        <v>43350.823344907411</v>
      </c>
      <c r="E649" s="77">
        <v>43344</v>
      </c>
      <c r="F649" s="78">
        <v>0.8233449074074074</v>
      </c>
      <c r="G649" s="75">
        <v>2</v>
      </c>
      <c r="H649" s="75">
        <v>45</v>
      </c>
      <c r="I649" s="75">
        <v>37</v>
      </c>
    </row>
    <row r="650" spans="1:9">
      <c r="A650" s="75">
        <v>635</v>
      </c>
      <c r="B650" s="75">
        <v>8</v>
      </c>
      <c r="C650" s="75">
        <v>643</v>
      </c>
      <c r="D650" s="76">
        <v>43350.833773148152</v>
      </c>
      <c r="E650" s="77">
        <v>43344</v>
      </c>
      <c r="F650" s="78">
        <v>0.83377314814814818</v>
      </c>
      <c r="G650" s="75">
        <v>2</v>
      </c>
      <c r="H650" s="75">
        <v>0</v>
      </c>
      <c r="I650" s="75">
        <v>38</v>
      </c>
    </row>
    <row r="651" spans="1:9">
      <c r="A651" s="75">
        <v>762</v>
      </c>
      <c r="B651" s="75">
        <v>6</v>
      </c>
      <c r="C651" s="75">
        <v>768</v>
      </c>
      <c r="D651" s="76">
        <v>43350.844178240739</v>
      </c>
      <c r="E651" s="77">
        <v>43344</v>
      </c>
      <c r="F651" s="78">
        <v>0.84417824074074066</v>
      </c>
      <c r="G651" s="75">
        <v>2</v>
      </c>
      <c r="H651" s="75">
        <v>15</v>
      </c>
      <c r="I651" s="75">
        <v>37</v>
      </c>
    </row>
    <row r="652" spans="1:9">
      <c r="A652" s="75">
        <v>736</v>
      </c>
      <c r="B652" s="75">
        <v>1</v>
      </c>
      <c r="C652" s="75">
        <v>737</v>
      </c>
      <c r="D652" s="76">
        <v>43350.854629629626</v>
      </c>
      <c r="E652" s="77">
        <v>43344</v>
      </c>
      <c r="F652" s="78">
        <v>0.85462962962962974</v>
      </c>
      <c r="G652" s="75">
        <v>2</v>
      </c>
      <c r="H652" s="75">
        <v>30</v>
      </c>
      <c r="I652" s="75">
        <v>40</v>
      </c>
    </row>
    <row r="653" spans="1:9">
      <c r="A653" s="75">
        <v>731</v>
      </c>
      <c r="B653" s="75">
        <v>6</v>
      </c>
      <c r="C653" s="75">
        <v>737</v>
      </c>
      <c r="D653" s="76">
        <v>43350.865023148152</v>
      </c>
      <c r="E653" s="77">
        <v>43344</v>
      </c>
      <c r="F653" s="78">
        <v>0.86502314814814818</v>
      </c>
      <c r="G653" s="75">
        <v>2</v>
      </c>
      <c r="H653" s="75">
        <v>45</v>
      </c>
      <c r="I653" s="75">
        <v>38</v>
      </c>
    </row>
    <row r="654" spans="1:9">
      <c r="A654" s="75">
        <v>673</v>
      </c>
      <c r="B654" s="75">
        <v>6</v>
      </c>
      <c r="C654" s="75">
        <v>679</v>
      </c>
      <c r="D654" s="76">
        <v>43350.875428240739</v>
      </c>
      <c r="E654" s="77">
        <v>43344</v>
      </c>
      <c r="F654" s="78">
        <v>0.87542824074074066</v>
      </c>
      <c r="G654" s="75">
        <v>2</v>
      </c>
      <c r="H654" s="75">
        <v>0</v>
      </c>
      <c r="I654" s="75">
        <v>37</v>
      </c>
    </row>
    <row r="655" spans="1:9">
      <c r="A655" s="75">
        <v>691</v>
      </c>
      <c r="B655" s="75">
        <v>1</v>
      </c>
      <c r="C655" s="75">
        <v>692</v>
      </c>
      <c r="D655" s="76">
        <v>43350.885833333334</v>
      </c>
      <c r="E655" s="77">
        <v>43344</v>
      </c>
      <c r="F655" s="78">
        <v>0.88583333333333336</v>
      </c>
      <c r="G655" s="75">
        <v>2</v>
      </c>
      <c r="H655" s="75">
        <v>15</v>
      </c>
      <c r="I655" s="75">
        <v>36</v>
      </c>
    </row>
    <row r="656" spans="1:9">
      <c r="A656" s="75">
        <v>688</v>
      </c>
      <c r="B656" s="75">
        <v>4</v>
      </c>
      <c r="C656" s="75">
        <v>692</v>
      </c>
      <c r="D656" s="76">
        <v>43350.896273148152</v>
      </c>
      <c r="E656" s="77">
        <v>43344</v>
      </c>
      <c r="F656" s="78">
        <v>0.89627314814814818</v>
      </c>
      <c r="G656" s="75">
        <v>2</v>
      </c>
      <c r="H656" s="75">
        <v>30</v>
      </c>
      <c r="I656" s="75">
        <v>38</v>
      </c>
    </row>
    <row r="657" spans="1:9">
      <c r="A657" s="75">
        <v>661</v>
      </c>
      <c r="B657" s="75">
        <v>7</v>
      </c>
      <c r="C657" s="75">
        <v>668</v>
      </c>
      <c r="D657" s="76">
        <v>43350.906678240739</v>
      </c>
      <c r="E657" s="77">
        <v>43344</v>
      </c>
      <c r="F657" s="78">
        <v>0.90667824074074066</v>
      </c>
      <c r="G657" s="75">
        <v>2</v>
      </c>
      <c r="H657" s="75">
        <v>45</v>
      </c>
      <c r="I657" s="75">
        <v>37</v>
      </c>
    </row>
    <row r="658" spans="1:9">
      <c r="A658" s="75">
        <v>606</v>
      </c>
      <c r="B658" s="75">
        <v>11</v>
      </c>
      <c r="C658" s="75">
        <v>617</v>
      </c>
      <c r="D658" s="76">
        <v>43350.91710648148</v>
      </c>
      <c r="E658" s="77">
        <v>43344</v>
      </c>
      <c r="F658" s="78">
        <v>0.91710648148148144</v>
      </c>
      <c r="G658" s="75">
        <v>2</v>
      </c>
      <c r="H658" s="75">
        <v>0</v>
      </c>
      <c r="I658" s="75">
        <v>38</v>
      </c>
    </row>
    <row r="659" spans="1:9">
      <c r="A659" s="75">
        <v>624</v>
      </c>
      <c r="B659" s="75">
        <v>8</v>
      </c>
      <c r="C659" s="75">
        <v>632</v>
      </c>
      <c r="D659" s="76">
        <v>43350.927511574075</v>
      </c>
      <c r="E659" s="77">
        <v>43344</v>
      </c>
      <c r="F659" s="78">
        <v>0.92751157407407403</v>
      </c>
      <c r="G659" s="75">
        <v>2</v>
      </c>
      <c r="H659" s="75">
        <v>15</v>
      </c>
      <c r="I659" s="75">
        <v>37</v>
      </c>
    </row>
    <row r="660" spans="1:9">
      <c r="A660" s="75">
        <v>600</v>
      </c>
      <c r="B660" s="75">
        <v>7</v>
      </c>
      <c r="C660" s="75">
        <v>607</v>
      </c>
      <c r="D660" s="76">
        <v>43350.937928240739</v>
      </c>
      <c r="E660" s="77">
        <v>43344</v>
      </c>
      <c r="F660" s="78">
        <v>0.93792824074074066</v>
      </c>
      <c r="G660" s="75">
        <v>2</v>
      </c>
      <c r="H660" s="75">
        <v>30</v>
      </c>
      <c r="I660" s="75">
        <v>37</v>
      </c>
    </row>
    <row r="661" spans="1:9">
      <c r="A661" s="75">
        <v>593</v>
      </c>
      <c r="B661" s="75">
        <v>9</v>
      </c>
      <c r="C661" s="75">
        <v>602</v>
      </c>
      <c r="D661" s="76">
        <v>43350.948344907411</v>
      </c>
      <c r="E661" s="77">
        <v>43344</v>
      </c>
      <c r="F661" s="78">
        <v>0.9483449074074074</v>
      </c>
      <c r="G661" s="75">
        <v>2</v>
      </c>
      <c r="H661" s="75">
        <v>45</v>
      </c>
      <c r="I661" s="75">
        <v>37</v>
      </c>
    </row>
    <row r="662" spans="1:9">
      <c r="A662" s="75">
        <v>547</v>
      </c>
      <c r="B662" s="75">
        <v>8</v>
      </c>
      <c r="C662" s="75">
        <v>555</v>
      </c>
      <c r="D662" s="76">
        <v>43350.958761574075</v>
      </c>
      <c r="E662" s="77">
        <v>43344</v>
      </c>
      <c r="F662" s="78">
        <v>0.95876157407407403</v>
      </c>
      <c r="G662" s="75">
        <v>2</v>
      </c>
      <c r="H662" s="75">
        <v>0</v>
      </c>
      <c r="I662" s="75">
        <v>37</v>
      </c>
    </row>
    <row r="663" spans="1:9">
      <c r="A663" s="75">
        <v>490</v>
      </c>
      <c r="B663" s="75">
        <v>9</v>
      </c>
      <c r="C663" s="75">
        <v>499</v>
      </c>
      <c r="D663" s="76">
        <v>43350.969178240739</v>
      </c>
      <c r="E663" s="77">
        <v>43344</v>
      </c>
      <c r="F663" s="78">
        <v>0.96917824074074066</v>
      </c>
      <c r="G663" s="75">
        <v>2</v>
      </c>
      <c r="H663" s="75">
        <v>15</v>
      </c>
      <c r="I663" s="75">
        <v>37</v>
      </c>
    </row>
    <row r="664" spans="1:9">
      <c r="A664" s="75">
        <v>444</v>
      </c>
      <c r="B664" s="75">
        <v>9</v>
      </c>
      <c r="C664" s="75">
        <v>453</v>
      </c>
      <c r="D664" s="76">
        <v>43350.979594907411</v>
      </c>
      <c r="E664" s="77">
        <v>43344</v>
      </c>
      <c r="F664" s="78">
        <v>0.9795949074074074</v>
      </c>
      <c r="G664" s="75">
        <v>2</v>
      </c>
      <c r="H664" s="75">
        <v>30</v>
      </c>
      <c r="I664" s="75">
        <v>37</v>
      </c>
    </row>
    <row r="665" spans="1:9">
      <c r="A665" s="75">
        <v>370</v>
      </c>
      <c r="B665" s="75">
        <v>4</v>
      </c>
      <c r="C665" s="75">
        <v>374</v>
      </c>
      <c r="D665" s="76">
        <v>43350.990011574075</v>
      </c>
      <c r="E665" s="77">
        <v>43344</v>
      </c>
      <c r="F665" s="78">
        <v>0.99001157407407403</v>
      </c>
      <c r="G665" s="75">
        <v>2</v>
      </c>
      <c r="H665" s="75">
        <v>45</v>
      </c>
      <c r="I665" s="75">
        <v>37</v>
      </c>
    </row>
    <row r="666" spans="1:9">
      <c r="A666" s="75">
        <v>253</v>
      </c>
      <c r="B666" s="75">
        <v>2</v>
      </c>
      <c r="C666" s="75">
        <v>255</v>
      </c>
      <c r="D666" s="76">
        <v>43351.000428240739</v>
      </c>
      <c r="E666" s="77">
        <v>43344</v>
      </c>
      <c r="F666" s="78">
        <v>4.2824074074074075E-4</v>
      </c>
      <c r="G666" s="75">
        <v>2</v>
      </c>
      <c r="H666" s="75">
        <v>0</v>
      </c>
      <c r="I666" s="75">
        <v>37</v>
      </c>
    </row>
    <row r="667" spans="1:9">
      <c r="A667" s="75">
        <v>234</v>
      </c>
      <c r="B667" s="75">
        <v>3</v>
      </c>
      <c r="C667" s="75">
        <v>237</v>
      </c>
      <c r="D667" s="76">
        <v>43351.010833333334</v>
      </c>
      <c r="E667" s="77">
        <v>43344</v>
      </c>
      <c r="F667" s="78">
        <v>1.0833333333333334E-2</v>
      </c>
      <c r="G667" s="75">
        <v>2</v>
      </c>
      <c r="H667" s="75">
        <v>15</v>
      </c>
      <c r="I667" s="75">
        <v>36</v>
      </c>
    </row>
    <row r="668" spans="1:9">
      <c r="A668" s="75">
        <v>242</v>
      </c>
      <c r="B668" s="75">
        <v>2</v>
      </c>
      <c r="C668" s="75">
        <v>244</v>
      </c>
      <c r="D668" s="76">
        <v>43351.021261574075</v>
      </c>
      <c r="E668" s="77">
        <v>43344</v>
      </c>
      <c r="F668" s="78">
        <v>2.1261574074074075E-2</v>
      </c>
      <c r="G668" s="75">
        <v>2</v>
      </c>
      <c r="H668" s="75">
        <v>30</v>
      </c>
      <c r="I668" s="75">
        <v>37</v>
      </c>
    </row>
    <row r="669" spans="1:9">
      <c r="A669" s="75">
        <v>211</v>
      </c>
      <c r="B669" s="75">
        <v>3</v>
      </c>
      <c r="C669" s="75">
        <v>207</v>
      </c>
      <c r="D669" s="76">
        <v>43351.031678240739</v>
      </c>
      <c r="E669" s="77">
        <v>43344</v>
      </c>
      <c r="F669" s="78">
        <v>3.1678240740740743E-2</v>
      </c>
      <c r="G669" s="75">
        <v>2</v>
      </c>
      <c r="H669" s="75">
        <v>45</v>
      </c>
      <c r="I669" s="75">
        <v>37</v>
      </c>
    </row>
    <row r="670" spans="1:9">
      <c r="A670" s="75">
        <v>157</v>
      </c>
      <c r="B670" s="75">
        <v>2</v>
      </c>
      <c r="C670" s="75">
        <v>159</v>
      </c>
      <c r="D670" s="76">
        <v>43351.042094907411</v>
      </c>
      <c r="E670" s="77">
        <v>43344</v>
      </c>
      <c r="F670" s="78">
        <v>4.2094907407407407E-2</v>
      </c>
      <c r="G670" s="75">
        <v>2</v>
      </c>
      <c r="H670" s="75">
        <v>0</v>
      </c>
      <c r="I670" s="75">
        <v>37</v>
      </c>
    </row>
    <row r="671" spans="1:9">
      <c r="A671" s="75">
        <v>204</v>
      </c>
      <c r="B671" s="75">
        <v>2</v>
      </c>
      <c r="C671" s="75">
        <v>206</v>
      </c>
      <c r="D671" s="76">
        <v>43351.052511574075</v>
      </c>
      <c r="E671" s="77">
        <v>43344</v>
      </c>
      <c r="F671" s="78">
        <v>5.2511574074074079E-2</v>
      </c>
      <c r="G671" s="75">
        <v>2</v>
      </c>
      <c r="H671" s="75">
        <v>15</v>
      </c>
      <c r="I671" s="75">
        <v>37</v>
      </c>
    </row>
    <row r="672" spans="1:9">
      <c r="A672" s="75">
        <v>172</v>
      </c>
      <c r="B672" s="75">
        <v>1</v>
      </c>
      <c r="C672" s="75">
        <v>171</v>
      </c>
      <c r="D672" s="76">
        <v>43351.062928240739</v>
      </c>
      <c r="E672" s="77">
        <v>43344</v>
      </c>
      <c r="F672" s="78">
        <v>6.2928240740740743E-2</v>
      </c>
      <c r="G672" s="75">
        <v>2</v>
      </c>
      <c r="H672" s="75">
        <v>30</v>
      </c>
      <c r="I672" s="75">
        <v>37</v>
      </c>
    </row>
    <row r="673" spans="1:9">
      <c r="A673" s="75">
        <v>144</v>
      </c>
      <c r="B673" s="75">
        <v>2</v>
      </c>
      <c r="C673" s="75">
        <v>146</v>
      </c>
      <c r="D673" s="76">
        <v>43351.073344907411</v>
      </c>
      <c r="E673" s="77">
        <v>43344</v>
      </c>
      <c r="F673" s="78">
        <v>7.3344907407407414E-2</v>
      </c>
      <c r="G673" s="75">
        <v>2</v>
      </c>
      <c r="H673" s="75">
        <v>45</v>
      </c>
      <c r="I673" s="75">
        <v>37</v>
      </c>
    </row>
    <row r="674" spans="1:9">
      <c r="A674" s="75">
        <v>162</v>
      </c>
      <c r="B674" s="75">
        <v>4</v>
      </c>
      <c r="C674" s="75">
        <v>166</v>
      </c>
      <c r="D674" s="76">
        <v>43351.083773148152</v>
      </c>
      <c r="E674" s="77">
        <v>43344</v>
      </c>
      <c r="F674" s="78">
        <v>8.3773148148148138E-2</v>
      </c>
      <c r="G674" s="75">
        <v>2</v>
      </c>
      <c r="H674" s="75">
        <v>0</v>
      </c>
      <c r="I674" s="75">
        <v>38</v>
      </c>
    </row>
    <row r="675" spans="1:9">
      <c r="A675" s="75">
        <v>208</v>
      </c>
      <c r="B675" s="75">
        <v>3</v>
      </c>
      <c r="C675" s="75">
        <v>211</v>
      </c>
      <c r="D675" s="76">
        <v>43351.094178240739</v>
      </c>
      <c r="E675" s="77">
        <v>43344</v>
      </c>
      <c r="F675" s="78">
        <v>9.4178240740740729E-2</v>
      </c>
      <c r="G675" s="75">
        <v>2</v>
      </c>
      <c r="H675" s="75">
        <v>15</v>
      </c>
      <c r="I675" s="75">
        <v>37</v>
      </c>
    </row>
    <row r="676" spans="1:9">
      <c r="A676" s="75">
        <v>246</v>
      </c>
      <c r="B676" s="75">
        <v>2</v>
      </c>
      <c r="C676" s="75">
        <v>248</v>
      </c>
      <c r="D676" s="76">
        <v>43351.104594907411</v>
      </c>
      <c r="E676" s="77">
        <v>43344</v>
      </c>
      <c r="F676" s="78">
        <v>0.1045949074074074</v>
      </c>
      <c r="G676" s="75">
        <v>2</v>
      </c>
      <c r="H676" s="75">
        <v>30</v>
      </c>
      <c r="I676" s="75">
        <v>37</v>
      </c>
    </row>
    <row r="677" spans="1:9">
      <c r="A677" s="75">
        <v>229</v>
      </c>
      <c r="B677" s="75">
        <v>5</v>
      </c>
      <c r="C677" s="75">
        <v>234</v>
      </c>
      <c r="D677" s="76">
        <v>43351.115011574075</v>
      </c>
      <c r="E677" s="77">
        <v>43344</v>
      </c>
      <c r="F677" s="78">
        <v>0.11501157407407407</v>
      </c>
      <c r="G677" s="75">
        <v>2</v>
      </c>
      <c r="H677" s="75">
        <v>45</v>
      </c>
      <c r="I677" s="75">
        <v>37</v>
      </c>
    </row>
    <row r="678" spans="1:9">
      <c r="A678" s="75">
        <v>237</v>
      </c>
      <c r="B678" s="75">
        <v>4</v>
      </c>
      <c r="C678" s="75">
        <v>241</v>
      </c>
      <c r="D678" s="76">
        <v>43351.125428240739</v>
      </c>
      <c r="E678" s="77">
        <v>43344</v>
      </c>
      <c r="F678" s="78">
        <v>0.12542824074074074</v>
      </c>
      <c r="G678" s="75">
        <v>2</v>
      </c>
      <c r="H678" s="75">
        <v>0</v>
      </c>
      <c r="I678" s="75">
        <v>37</v>
      </c>
    </row>
    <row r="679" spans="1:9">
      <c r="A679" s="75">
        <v>189</v>
      </c>
      <c r="B679" s="75">
        <v>4</v>
      </c>
      <c r="C679" s="75">
        <v>193</v>
      </c>
      <c r="D679" s="76">
        <v>43351.135833333334</v>
      </c>
      <c r="E679" s="77">
        <v>43344</v>
      </c>
      <c r="F679" s="78">
        <v>0.13583333333333333</v>
      </c>
      <c r="G679" s="75">
        <v>2</v>
      </c>
      <c r="H679" s="75">
        <v>15</v>
      </c>
      <c r="I679" s="75">
        <v>36</v>
      </c>
    </row>
    <row r="680" spans="1:9">
      <c r="A680" s="75">
        <v>201</v>
      </c>
      <c r="B680" s="75">
        <v>5</v>
      </c>
      <c r="C680" s="75">
        <v>206</v>
      </c>
      <c r="D680" s="76">
        <v>43351.146261574075</v>
      </c>
      <c r="E680" s="77">
        <v>43344</v>
      </c>
      <c r="F680" s="78">
        <v>0.14626157407407406</v>
      </c>
      <c r="G680" s="75">
        <v>2</v>
      </c>
      <c r="H680" s="75">
        <v>30</v>
      </c>
      <c r="I680" s="75">
        <v>37</v>
      </c>
    </row>
    <row r="681" spans="1:9">
      <c r="A681" s="75">
        <v>174</v>
      </c>
      <c r="B681" s="75">
        <v>3</v>
      </c>
      <c r="C681" s="75">
        <v>177</v>
      </c>
      <c r="D681" s="76">
        <v>43351.156666666669</v>
      </c>
      <c r="E681" s="77">
        <v>43344</v>
      </c>
      <c r="F681" s="78">
        <v>0.15666666666666665</v>
      </c>
      <c r="G681" s="75">
        <v>2</v>
      </c>
      <c r="H681" s="75">
        <v>45</v>
      </c>
      <c r="I681" s="75">
        <v>36</v>
      </c>
    </row>
    <row r="682" spans="1:9">
      <c r="A682" s="75">
        <v>182</v>
      </c>
      <c r="B682" s="75">
        <v>3</v>
      </c>
      <c r="C682" s="75">
        <v>185</v>
      </c>
      <c r="D682" s="76">
        <v>43351.167083333334</v>
      </c>
      <c r="E682" s="77">
        <v>43344</v>
      </c>
      <c r="F682" s="78">
        <v>0.16708333333333333</v>
      </c>
      <c r="G682" s="75">
        <v>2</v>
      </c>
      <c r="H682" s="75">
        <v>0</v>
      </c>
      <c r="I682" s="75">
        <v>36</v>
      </c>
    </row>
    <row r="683" spans="1:9">
      <c r="A683" s="75">
        <v>129</v>
      </c>
      <c r="B683" s="75">
        <v>3</v>
      </c>
      <c r="C683" s="75">
        <v>132</v>
      </c>
      <c r="D683" s="76">
        <v>43351.177511574075</v>
      </c>
      <c r="E683" s="77">
        <v>43344</v>
      </c>
      <c r="F683" s="78">
        <v>0.17751157407407406</v>
      </c>
      <c r="G683" s="75">
        <v>2</v>
      </c>
      <c r="H683" s="75">
        <v>15</v>
      </c>
      <c r="I683" s="75">
        <v>37</v>
      </c>
    </row>
    <row r="684" spans="1:9">
      <c r="A684" s="75">
        <v>121</v>
      </c>
      <c r="B684" s="75">
        <v>1</v>
      </c>
      <c r="C684" s="75">
        <v>122</v>
      </c>
      <c r="D684" s="76">
        <v>43351.187916666669</v>
      </c>
      <c r="E684" s="77">
        <v>43344</v>
      </c>
      <c r="F684" s="78">
        <v>0.18791666666666665</v>
      </c>
      <c r="G684" s="75">
        <v>2</v>
      </c>
      <c r="H684" s="75">
        <v>30</v>
      </c>
      <c r="I684" s="75">
        <v>36</v>
      </c>
    </row>
    <row r="685" spans="1:9">
      <c r="A685" s="75">
        <v>124</v>
      </c>
      <c r="B685" s="75">
        <v>2</v>
      </c>
      <c r="C685" s="75">
        <v>126</v>
      </c>
      <c r="D685" s="76">
        <v>43351.198333333334</v>
      </c>
      <c r="E685" s="77">
        <v>43344</v>
      </c>
      <c r="F685" s="78">
        <v>0.19833333333333333</v>
      </c>
      <c r="G685" s="75">
        <v>2</v>
      </c>
      <c r="H685" s="75">
        <v>45</v>
      </c>
      <c r="I685" s="75">
        <v>36</v>
      </c>
    </row>
    <row r="686" spans="1:9">
      <c r="A686" s="75">
        <v>135</v>
      </c>
      <c r="B686" s="75">
        <v>2</v>
      </c>
      <c r="C686" s="75">
        <v>137</v>
      </c>
      <c r="D686" s="76">
        <v>43351.208761574075</v>
      </c>
      <c r="E686" s="77">
        <v>43344</v>
      </c>
      <c r="F686" s="78">
        <v>0.20876157407407406</v>
      </c>
      <c r="G686" s="75">
        <v>2</v>
      </c>
      <c r="H686" s="75">
        <v>0</v>
      </c>
      <c r="I686" s="75">
        <v>37</v>
      </c>
    </row>
    <row r="687" spans="1:9">
      <c r="A687" s="75">
        <v>124</v>
      </c>
      <c r="B687" s="75">
        <v>2</v>
      </c>
      <c r="C687" s="75">
        <v>126</v>
      </c>
      <c r="D687" s="76">
        <v>43351.219166666669</v>
      </c>
      <c r="E687" s="77">
        <v>43344</v>
      </c>
      <c r="F687" s="78">
        <v>0.21916666666666665</v>
      </c>
      <c r="G687" s="75">
        <v>2</v>
      </c>
      <c r="H687" s="75">
        <v>15</v>
      </c>
      <c r="I687" s="75">
        <v>36</v>
      </c>
    </row>
    <row r="688" spans="1:9">
      <c r="A688" s="75">
        <v>119</v>
      </c>
      <c r="B688" s="75">
        <v>2</v>
      </c>
      <c r="C688" s="75">
        <v>121</v>
      </c>
      <c r="D688" s="76">
        <v>43351.229583333334</v>
      </c>
      <c r="E688" s="77">
        <v>43344</v>
      </c>
      <c r="F688" s="78">
        <v>0.22958333333333333</v>
      </c>
      <c r="G688" s="75">
        <v>2</v>
      </c>
      <c r="H688" s="75">
        <v>30</v>
      </c>
      <c r="I688" s="75">
        <v>36</v>
      </c>
    </row>
    <row r="689" spans="1:9">
      <c r="A689" s="75">
        <v>93</v>
      </c>
      <c r="B689" s="75">
        <v>1</v>
      </c>
      <c r="C689" s="75">
        <v>94</v>
      </c>
      <c r="D689" s="76">
        <v>43351.240011574075</v>
      </c>
      <c r="E689" s="77">
        <v>43344</v>
      </c>
      <c r="F689" s="78">
        <v>0.24001157407407406</v>
      </c>
      <c r="G689" s="75">
        <v>2</v>
      </c>
      <c r="H689" s="75">
        <v>45</v>
      </c>
      <c r="I689" s="75">
        <v>37</v>
      </c>
    </row>
    <row r="690" spans="1:9">
      <c r="A690" s="75">
        <v>73</v>
      </c>
      <c r="B690" s="75">
        <v>1</v>
      </c>
      <c r="C690" s="75">
        <v>74</v>
      </c>
      <c r="D690" s="76">
        <v>43351.250428240739</v>
      </c>
      <c r="E690" s="77">
        <v>43344</v>
      </c>
      <c r="F690" s="78">
        <v>0.25042824074074072</v>
      </c>
      <c r="G690" s="75">
        <v>2</v>
      </c>
      <c r="H690" s="75">
        <v>0</v>
      </c>
      <c r="I690" s="75">
        <v>37</v>
      </c>
    </row>
    <row r="691" spans="1:9">
      <c r="A691" s="75">
        <v>83</v>
      </c>
      <c r="B691" s="75">
        <v>1</v>
      </c>
      <c r="C691" s="75">
        <v>84</v>
      </c>
      <c r="D691" s="76">
        <v>43351.260833333334</v>
      </c>
      <c r="E691" s="77">
        <v>43344</v>
      </c>
      <c r="F691" s="78">
        <v>0.26083333333333331</v>
      </c>
      <c r="G691" s="75">
        <v>2</v>
      </c>
      <c r="H691" s="75">
        <v>15</v>
      </c>
      <c r="I691" s="75">
        <v>36</v>
      </c>
    </row>
    <row r="692" spans="1:9">
      <c r="A692" s="75">
        <v>68</v>
      </c>
      <c r="B692" s="75">
        <v>1</v>
      </c>
      <c r="C692" s="75">
        <v>69</v>
      </c>
      <c r="D692" s="76">
        <v>43351.273946759262</v>
      </c>
      <c r="E692" s="77">
        <v>43344</v>
      </c>
      <c r="F692" s="78">
        <v>0.27394675925925926</v>
      </c>
      <c r="G692" s="75">
        <v>2</v>
      </c>
      <c r="H692" s="75">
        <v>34</v>
      </c>
      <c r="I692" s="75">
        <v>29</v>
      </c>
    </row>
    <row r="693" spans="1:9">
      <c r="A693" s="75">
        <v>77</v>
      </c>
      <c r="B693" s="75">
        <v>1</v>
      </c>
      <c r="C693" s="75">
        <v>78</v>
      </c>
      <c r="D693" s="76">
        <v>43351.281666666669</v>
      </c>
      <c r="E693" s="77">
        <v>43344</v>
      </c>
      <c r="F693" s="78">
        <v>0.28166666666666668</v>
      </c>
      <c r="G693" s="75">
        <v>2</v>
      </c>
      <c r="H693" s="75">
        <v>45</v>
      </c>
      <c r="I693" s="75">
        <v>36</v>
      </c>
    </row>
    <row r="694" spans="1:9">
      <c r="A694" s="75">
        <v>65</v>
      </c>
      <c r="B694" s="75">
        <v>1</v>
      </c>
      <c r="C694" s="75">
        <v>66</v>
      </c>
      <c r="D694" s="76">
        <v>43351.292083333334</v>
      </c>
      <c r="E694" s="77">
        <v>43344</v>
      </c>
      <c r="F694" s="78">
        <v>0.29208333333333331</v>
      </c>
      <c r="G694" s="75">
        <v>2</v>
      </c>
      <c r="H694" s="75">
        <v>0</v>
      </c>
      <c r="I694" s="75">
        <v>36</v>
      </c>
    </row>
    <row r="695" spans="1:9">
      <c r="A695" s="75">
        <v>74</v>
      </c>
      <c r="B695" s="75">
        <v>1</v>
      </c>
      <c r="C695" s="75">
        <v>74</v>
      </c>
      <c r="D695" s="76">
        <v>43351.302523148152</v>
      </c>
      <c r="E695" s="77">
        <v>43344</v>
      </c>
      <c r="F695" s="78">
        <v>0.30252314814814812</v>
      </c>
      <c r="G695" s="75">
        <v>2</v>
      </c>
      <c r="H695" s="75">
        <v>15</v>
      </c>
      <c r="I695" s="75">
        <v>38</v>
      </c>
    </row>
    <row r="696" spans="1:9">
      <c r="A696" s="75">
        <v>82</v>
      </c>
      <c r="B696" s="75">
        <v>1</v>
      </c>
      <c r="C696" s="75">
        <v>83</v>
      </c>
      <c r="D696" s="76">
        <v>43351.312939814816</v>
      </c>
      <c r="E696" s="77">
        <v>43344</v>
      </c>
      <c r="F696" s="78">
        <v>0.31293981481481481</v>
      </c>
      <c r="G696" s="75">
        <v>2</v>
      </c>
      <c r="H696" s="75">
        <v>30</v>
      </c>
      <c r="I696" s="75">
        <v>38</v>
      </c>
    </row>
    <row r="697" spans="1:9">
      <c r="A697" s="75">
        <v>71</v>
      </c>
      <c r="B697" s="75">
        <v>1</v>
      </c>
      <c r="C697" s="75">
        <v>72</v>
      </c>
      <c r="D697" s="76">
        <v>43351.32335648148</v>
      </c>
      <c r="E697" s="77">
        <v>43344</v>
      </c>
      <c r="F697" s="78">
        <v>0.32335648148148149</v>
      </c>
      <c r="G697" s="75">
        <v>2</v>
      </c>
      <c r="H697" s="75">
        <v>45</v>
      </c>
      <c r="I697" s="75">
        <v>38</v>
      </c>
    </row>
    <row r="698" spans="1:9">
      <c r="A698" s="75">
        <v>76</v>
      </c>
      <c r="B698" s="75">
        <v>1</v>
      </c>
      <c r="C698" s="75">
        <v>77</v>
      </c>
      <c r="D698" s="76">
        <v>43351.333773148152</v>
      </c>
      <c r="E698" s="77">
        <v>43344</v>
      </c>
      <c r="F698" s="78">
        <v>0.33377314814814812</v>
      </c>
      <c r="G698" s="75">
        <v>2</v>
      </c>
      <c r="H698" s="75">
        <v>0</v>
      </c>
      <c r="I698" s="75">
        <v>38</v>
      </c>
    </row>
    <row r="699" spans="1:9">
      <c r="A699" s="75">
        <v>91</v>
      </c>
      <c r="B699" s="75">
        <v>2</v>
      </c>
      <c r="C699" s="75">
        <v>93</v>
      </c>
      <c r="D699" s="76">
        <v>43351.344189814816</v>
      </c>
      <c r="E699" s="77">
        <v>43344</v>
      </c>
      <c r="F699" s="78">
        <v>0.34418981481481481</v>
      </c>
      <c r="G699" s="75">
        <v>2</v>
      </c>
      <c r="H699" s="75">
        <v>15</v>
      </c>
      <c r="I699" s="75">
        <v>38</v>
      </c>
    </row>
    <row r="700" spans="1:9">
      <c r="A700" s="75">
        <v>115</v>
      </c>
      <c r="B700" s="75">
        <v>2</v>
      </c>
      <c r="C700" s="75">
        <v>117</v>
      </c>
      <c r="D700" s="76">
        <v>43351.35460648148</v>
      </c>
      <c r="E700" s="77">
        <v>43344</v>
      </c>
      <c r="F700" s="78">
        <v>0.35460648148148149</v>
      </c>
      <c r="G700" s="75">
        <v>2</v>
      </c>
      <c r="H700" s="75">
        <v>30</v>
      </c>
      <c r="I700" s="75">
        <v>38</v>
      </c>
    </row>
    <row r="701" spans="1:9">
      <c r="A701" s="75">
        <v>118</v>
      </c>
      <c r="B701" s="75">
        <v>1</v>
      </c>
      <c r="C701" s="75">
        <v>119</v>
      </c>
      <c r="D701" s="76">
        <v>43351.365023148152</v>
      </c>
      <c r="E701" s="77">
        <v>43344</v>
      </c>
      <c r="F701" s="78">
        <v>0.36502314814814812</v>
      </c>
      <c r="G701" s="75">
        <v>2</v>
      </c>
      <c r="H701" s="75">
        <v>45</v>
      </c>
      <c r="I701" s="75">
        <v>38</v>
      </c>
    </row>
    <row r="702" spans="1:9">
      <c r="A702" s="75">
        <v>81</v>
      </c>
      <c r="B702" s="75">
        <v>2</v>
      </c>
      <c r="C702" s="75">
        <v>83</v>
      </c>
      <c r="D702" s="76">
        <v>43351.375439814816</v>
      </c>
      <c r="E702" s="77">
        <v>43344</v>
      </c>
      <c r="F702" s="78">
        <v>0.37543981481481481</v>
      </c>
      <c r="G702" s="75">
        <v>2</v>
      </c>
      <c r="H702" s="75">
        <v>0</v>
      </c>
      <c r="I702" s="75">
        <v>38</v>
      </c>
    </row>
    <row r="703" spans="1:9">
      <c r="A703" s="75">
        <v>107</v>
      </c>
      <c r="B703" s="75">
        <v>1</v>
      </c>
      <c r="C703" s="75">
        <v>108</v>
      </c>
      <c r="D703" s="76">
        <v>43351.38585648148</v>
      </c>
      <c r="E703" s="77">
        <v>43344</v>
      </c>
      <c r="F703" s="78">
        <v>0.38585648148148149</v>
      </c>
      <c r="G703" s="75">
        <v>2</v>
      </c>
      <c r="H703" s="75">
        <v>15</v>
      </c>
      <c r="I703" s="75">
        <v>38</v>
      </c>
    </row>
    <row r="704" spans="1:9">
      <c r="A704" s="75">
        <v>108</v>
      </c>
      <c r="B704" s="75">
        <v>1</v>
      </c>
      <c r="C704" s="75">
        <v>109</v>
      </c>
      <c r="D704" s="76">
        <v>43351.396284722221</v>
      </c>
      <c r="E704" s="77">
        <v>43344</v>
      </c>
      <c r="F704" s="78">
        <v>0.39628472222222227</v>
      </c>
      <c r="G704" s="75">
        <v>2</v>
      </c>
      <c r="H704" s="75">
        <v>30</v>
      </c>
      <c r="I704" s="75">
        <v>39</v>
      </c>
    </row>
    <row r="705" spans="1:9">
      <c r="A705" s="75">
        <v>134</v>
      </c>
      <c r="B705" s="75">
        <v>1</v>
      </c>
      <c r="C705" s="75">
        <v>135</v>
      </c>
      <c r="D705" s="76">
        <v>43351.406689814816</v>
      </c>
      <c r="E705" s="77">
        <v>43344</v>
      </c>
      <c r="F705" s="78">
        <v>0.40668981481481481</v>
      </c>
      <c r="G705" s="75">
        <v>2</v>
      </c>
      <c r="H705" s="75">
        <v>45</v>
      </c>
      <c r="I705" s="75">
        <v>38</v>
      </c>
    </row>
    <row r="706" spans="1:9">
      <c r="A706" s="75">
        <v>108</v>
      </c>
      <c r="B706" s="75">
        <v>1</v>
      </c>
      <c r="C706" s="75">
        <v>109</v>
      </c>
      <c r="D706" s="76">
        <v>43351.41710648148</v>
      </c>
      <c r="E706" s="77">
        <v>43344</v>
      </c>
      <c r="F706" s="78">
        <v>0.41710648148148149</v>
      </c>
      <c r="G706" s="75">
        <v>2</v>
      </c>
      <c r="H706" s="75">
        <v>0</v>
      </c>
      <c r="I706" s="75">
        <v>38</v>
      </c>
    </row>
    <row r="707" spans="1:9">
      <c r="A707" s="75">
        <v>111</v>
      </c>
      <c r="B707" s="75">
        <v>2</v>
      </c>
      <c r="C707" s="75">
        <v>113</v>
      </c>
      <c r="D707" s="76">
        <v>43351.427511574075</v>
      </c>
      <c r="E707" s="77">
        <v>43344</v>
      </c>
      <c r="F707" s="78">
        <v>0.42751157407407409</v>
      </c>
      <c r="G707" s="75">
        <v>2</v>
      </c>
      <c r="H707" s="75">
        <v>15</v>
      </c>
      <c r="I707" s="75">
        <v>37</v>
      </c>
    </row>
    <row r="708" spans="1:9">
      <c r="A708" s="75">
        <v>142</v>
      </c>
      <c r="B708" s="75">
        <v>5</v>
      </c>
      <c r="C708" s="75">
        <v>147</v>
      </c>
      <c r="D708" s="76">
        <v>43351.437939814816</v>
      </c>
      <c r="E708" s="77">
        <v>43344</v>
      </c>
      <c r="F708" s="78">
        <v>0.43793981481481481</v>
      </c>
      <c r="G708" s="75">
        <v>2</v>
      </c>
      <c r="H708" s="75">
        <v>30</v>
      </c>
      <c r="I708" s="75">
        <v>38</v>
      </c>
    </row>
    <row r="709" spans="1:9">
      <c r="A709" s="75">
        <v>206</v>
      </c>
      <c r="B709" s="75">
        <v>4</v>
      </c>
      <c r="C709" s="75">
        <v>210</v>
      </c>
      <c r="D709" s="76">
        <v>43351.44835648148</v>
      </c>
      <c r="E709" s="77">
        <v>43344</v>
      </c>
      <c r="F709" s="78">
        <v>0.44835648148148149</v>
      </c>
      <c r="G709" s="75">
        <v>2</v>
      </c>
      <c r="H709" s="75">
        <v>45</v>
      </c>
      <c r="I709" s="75">
        <v>38</v>
      </c>
    </row>
    <row r="710" spans="1:9">
      <c r="A710" s="75">
        <v>179</v>
      </c>
      <c r="B710" s="75">
        <v>2</v>
      </c>
      <c r="C710" s="75">
        <v>181</v>
      </c>
      <c r="D710" s="76">
        <v>43351.458773148152</v>
      </c>
      <c r="E710" s="77">
        <v>43344</v>
      </c>
      <c r="F710" s="78">
        <v>0.45877314814814812</v>
      </c>
      <c r="G710" s="75">
        <v>2</v>
      </c>
      <c r="H710" s="75">
        <v>0</v>
      </c>
      <c r="I710" s="75">
        <v>38</v>
      </c>
    </row>
    <row r="711" spans="1:9">
      <c r="A711" s="75">
        <v>179</v>
      </c>
      <c r="B711" s="75">
        <v>2</v>
      </c>
      <c r="C711" s="75">
        <v>181</v>
      </c>
      <c r="D711" s="76">
        <v>43351.469189814816</v>
      </c>
      <c r="E711" s="77">
        <v>43344</v>
      </c>
      <c r="F711" s="78">
        <v>0.46918981481481481</v>
      </c>
      <c r="G711" s="75">
        <v>2</v>
      </c>
      <c r="H711" s="75">
        <v>15</v>
      </c>
      <c r="I711" s="75">
        <v>38</v>
      </c>
    </row>
    <row r="712" spans="1:9">
      <c r="A712" s="75">
        <v>204</v>
      </c>
      <c r="B712" s="75">
        <v>3</v>
      </c>
      <c r="C712" s="75">
        <v>201</v>
      </c>
      <c r="D712" s="76">
        <v>43351.47960648148</v>
      </c>
      <c r="E712" s="77">
        <v>43344</v>
      </c>
      <c r="F712" s="78">
        <v>0.47960648148148149</v>
      </c>
      <c r="G712" s="75">
        <v>2</v>
      </c>
      <c r="H712" s="75">
        <v>30</v>
      </c>
      <c r="I712" s="75">
        <v>38</v>
      </c>
    </row>
    <row r="713" spans="1:9">
      <c r="A713" s="75">
        <v>285</v>
      </c>
      <c r="B713" s="75">
        <v>1</v>
      </c>
      <c r="C713" s="75">
        <v>286</v>
      </c>
      <c r="D713" s="76">
        <v>43351.490011574075</v>
      </c>
      <c r="E713" s="77">
        <v>43344</v>
      </c>
      <c r="F713" s="78">
        <v>0.49001157407407409</v>
      </c>
      <c r="G713" s="75">
        <v>2</v>
      </c>
      <c r="H713" s="75">
        <v>45</v>
      </c>
      <c r="I713" s="75">
        <v>37</v>
      </c>
    </row>
    <row r="714" spans="1:9">
      <c r="A714" s="75">
        <v>249</v>
      </c>
      <c r="B714" s="75">
        <v>2</v>
      </c>
      <c r="C714" s="75">
        <v>251</v>
      </c>
      <c r="D714" s="76">
        <v>43351.500439814816</v>
      </c>
      <c r="E714" s="77">
        <v>43344</v>
      </c>
      <c r="F714" s="78">
        <v>0.50043981481481481</v>
      </c>
      <c r="G714" s="75">
        <v>2</v>
      </c>
      <c r="H714" s="75">
        <v>0</v>
      </c>
      <c r="I714" s="75">
        <v>38</v>
      </c>
    </row>
    <row r="715" spans="1:9">
      <c r="A715" s="75">
        <v>252</v>
      </c>
      <c r="B715" s="75">
        <v>2</v>
      </c>
      <c r="C715" s="75">
        <v>254</v>
      </c>
      <c r="D715" s="76">
        <v>43351.51085648148</v>
      </c>
      <c r="E715" s="77">
        <v>43344</v>
      </c>
      <c r="F715" s="78">
        <v>0.51085648148148144</v>
      </c>
      <c r="G715" s="75">
        <v>2</v>
      </c>
      <c r="H715" s="75">
        <v>15</v>
      </c>
      <c r="I715" s="75">
        <v>38</v>
      </c>
    </row>
    <row r="716" spans="1:9">
      <c r="A716" s="75">
        <v>278</v>
      </c>
      <c r="B716" s="75">
        <v>2</v>
      </c>
      <c r="C716" s="75">
        <v>280</v>
      </c>
      <c r="D716" s="76">
        <v>43351.521273148152</v>
      </c>
      <c r="E716" s="77">
        <v>43344</v>
      </c>
      <c r="F716" s="78">
        <v>0.52127314814814818</v>
      </c>
      <c r="G716" s="75">
        <v>2</v>
      </c>
      <c r="H716" s="75">
        <v>30</v>
      </c>
      <c r="I716" s="75">
        <v>38</v>
      </c>
    </row>
    <row r="717" spans="1:9">
      <c r="A717" s="75">
        <v>305</v>
      </c>
      <c r="B717" s="75">
        <v>3</v>
      </c>
      <c r="C717" s="75">
        <v>308</v>
      </c>
      <c r="D717" s="76">
        <v>43351.531678240739</v>
      </c>
      <c r="E717" s="77">
        <v>43344</v>
      </c>
      <c r="F717" s="78">
        <v>0.53167824074074077</v>
      </c>
      <c r="G717" s="75">
        <v>2</v>
      </c>
      <c r="H717" s="75">
        <v>45</v>
      </c>
      <c r="I717" s="75">
        <v>37</v>
      </c>
    </row>
    <row r="718" spans="1:9">
      <c r="A718" s="75">
        <v>288</v>
      </c>
      <c r="B718" s="75">
        <v>3</v>
      </c>
      <c r="C718" s="75">
        <v>291</v>
      </c>
      <c r="D718" s="76">
        <v>43351.54210648148</v>
      </c>
      <c r="E718" s="77">
        <v>43344</v>
      </c>
      <c r="F718" s="78">
        <v>0.54210648148148144</v>
      </c>
      <c r="G718" s="75">
        <v>2</v>
      </c>
      <c r="H718" s="75">
        <v>0</v>
      </c>
      <c r="I718" s="75">
        <v>38</v>
      </c>
    </row>
    <row r="719" spans="1:9">
      <c r="A719" s="75">
        <v>349</v>
      </c>
      <c r="B719" s="75">
        <v>4</v>
      </c>
      <c r="C719" s="75">
        <v>353</v>
      </c>
      <c r="D719" s="76">
        <v>43351.552511574075</v>
      </c>
      <c r="E719" s="77">
        <v>43344</v>
      </c>
      <c r="F719" s="78">
        <v>0.55251157407407414</v>
      </c>
      <c r="G719" s="75">
        <v>2</v>
      </c>
      <c r="H719" s="75">
        <v>15</v>
      </c>
      <c r="I719" s="75">
        <v>37</v>
      </c>
    </row>
    <row r="720" spans="1:9">
      <c r="A720" s="75">
        <v>320</v>
      </c>
      <c r="B720" s="75">
        <v>5</v>
      </c>
      <c r="C720" s="75">
        <v>325</v>
      </c>
      <c r="D720" s="76">
        <v>43351.562939814816</v>
      </c>
      <c r="E720" s="77">
        <v>43344</v>
      </c>
      <c r="F720" s="78">
        <v>0.56293981481481481</v>
      </c>
      <c r="G720" s="75">
        <v>2</v>
      </c>
      <c r="H720" s="75">
        <v>30</v>
      </c>
      <c r="I720" s="75">
        <v>38</v>
      </c>
    </row>
    <row r="721" spans="1:9">
      <c r="A721" s="75">
        <v>390</v>
      </c>
      <c r="B721" s="75">
        <v>8</v>
      </c>
      <c r="C721" s="75">
        <v>398</v>
      </c>
      <c r="D721" s="76">
        <v>43351.57335648148</v>
      </c>
      <c r="E721" s="77">
        <v>43344</v>
      </c>
      <c r="F721" s="78">
        <v>0.57335648148148144</v>
      </c>
      <c r="G721" s="75">
        <v>2</v>
      </c>
      <c r="H721" s="75">
        <v>45</v>
      </c>
      <c r="I721" s="75">
        <v>38</v>
      </c>
    </row>
    <row r="722" spans="1:9">
      <c r="A722" s="75">
        <v>382</v>
      </c>
      <c r="B722" s="75">
        <v>5</v>
      </c>
      <c r="C722" s="75">
        <v>387</v>
      </c>
      <c r="D722" s="76">
        <v>43351.583761574075</v>
      </c>
      <c r="E722" s="77">
        <v>43344</v>
      </c>
      <c r="F722" s="78">
        <v>0.58376157407407414</v>
      </c>
      <c r="G722" s="75">
        <v>2</v>
      </c>
      <c r="H722" s="75">
        <v>0</v>
      </c>
      <c r="I722" s="75">
        <v>37</v>
      </c>
    </row>
    <row r="723" spans="1:9">
      <c r="A723" s="75">
        <v>394</v>
      </c>
      <c r="B723" s="75">
        <v>6</v>
      </c>
      <c r="C723" s="75">
        <v>400</v>
      </c>
      <c r="D723" s="76">
        <v>43351.594178240739</v>
      </c>
      <c r="E723" s="77">
        <v>43344</v>
      </c>
      <c r="F723" s="78">
        <v>0.59417824074074077</v>
      </c>
      <c r="G723" s="75">
        <v>2</v>
      </c>
      <c r="H723" s="75">
        <v>15</v>
      </c>
      <c r="I723" s="75">
        <v>37</v>
      </c>
    </row>
    <row r="724" spans="1:9">
      <c r="A724" s="75">
        <v>391</v>
      </c>
      <c r="B724" s="75">
        <v>3</v>
      </c>
      <c r="C724" s="75">
        <v>384</v>
      </c>
      <c r="D724" s="76">
        <v>43351.60460648148</v>
      </c>
      <c r="E724" s="77">
        <v>43344</v>
      </c>
      <c r="F724" s="78">
        <v>0.60460648148148144</v>
      </c>
      <c r="G724" s="75">
        <v>2</v>
      </c>
      <c r="H724" s="75">
        <v>30</v>
      </c>
      <c r="I724" s="75">
        <v>38</v>
      </c>
    </row>
    <row r="725" spans="1:9">
      <c r="A725" s="75">
        <v>393</v>
      </c>
      <c r="B725" s="75">
        <v>1</v>
      </c>
      <c r="C725" s="75">
        <v>394</v>
      </c>
      <c r="D725" s="76">
        <v>43351.615011574075</v>
      </c>
      <c r="E725" s="77">
        <v>43344</v>
      </c>
      <c r="F725" s="78">
        <v>0.61501157407407414</v>
      </c>
      <c r="G725" s="75">
        <v>2</v>
      </c>
      <c r="H725" s="75">
        <v>45</v>
      </c>
      <c r="I725" s="75">
        <v>37</v>
      </c>
    </row>
    <row r="726" spans="1:9">
      <c r="A726" s="75">
        <v>404</v>
      </c>
      <c r="B726" s="75">
        <v>1</v>
      </c>
      <c r="C726" s="75">
        <v>405</v>
      </c>
      <c r="D726" s="76">
        <v>43351.625428240739</v>
      </c>
      <c r="E726" s="77">
        <v>43344</v>
      </c>
      <c r="F726" s="78">
        <v>0.62542824074074077</v>
      </c>
      <c r="G726" s="75">
        <v>2</v>
      </c>
      <c r="H726" s="75">
        <v>0</v>
      </c>
      <c r="I726" s="75">
        <v>37</v>
      </c>
    </row>
    <row r="727" spans="1:9">
      <c r="A727" s="75">
        <v>399</v>
      </c>
      <c r="B727" s="75">
        <v>1</v>
      </c>
      <c r="C727" s="75">
        <v>400</v>
      </c>
      <c r="D727" s="76">
        <v>43351.635844907411</v>
      </c>
      <c r="E727" s="77">
        <v>43344</v>
      </c>
      <c r="F727" s="78">
        <v>0.6358449074074074</v>
      </c>
      <c r="G727" s="75">
        <v>2</v>
      </c>
      <c r="H727" s="75">
        <v>15</v>
      </c>
      <c r="I727" s="75">
        <v>37</v>
      </c>
    </row>
    <row r="728" spans="1:9">
      <c r="A728" s="75">
        <v>416</v>
      </c>
      <c r="B728" s="75">
        <v>1</v>
      </c>
      <c r="C728" s="75">
        <v>417</v>
      </c>
      <c r="D728" s="76">
        <v>43351.646273148152</v>
      </c>
      <c r="E728" s="77">
        <v>43344</v>
      </c>
      <c r="F728" s="78">
        <v>0.64627314814814818</v>
      </c>
      <c r="G728" s="75">
        <v>2</v>
      </c>
      <c r="H728" s="75">
        <v>30</v>
      </c>
      <c r="I728" s="75">
        <v>38</v>
      </c>
    </row>
    <row r="729" spans="1:9">
      <c r="A729" s="75">
        <v>428</v>
      </c>
      <c r="B729" s="75">
        <v>7</v>
      </c>
      <c r="C729" s="75">
        <v>435</v>
      </c>
      <c r="D729" s="76">
        <v>43351.656678240739</v>
      </c>
      <c r="E729" s="77">
        <v>43344</v>
      </c>
      <c r="F729" s="78">
        <v>0.65667824074074077</v>
      </c>
      <c r="G729" s="75">
        <v>2</v>
      </c>
      <c r="H729" s="75">
        <v>45</v>
      </c>
      <c r="I729" s="75">
        <v>37</v>
      </c>
    </row>
    <row r="730" spans="1:9">
      <c r="A730" s="75">
        <v>400</v>
      </c>
      <c r="B730" s="75">
        <v>4</v>
      </c>
      <c r="C730" s="75">
        <v>404</v>
      </c>
      <c r="D730" s="76">
        <v>43351.66710648148</v>
      </c>
      <c r="E730" s="77">
        <v>43344</v>
      </c>
      <c r="F730" s="78">
        <v>0.66710648148148144</v>
      </c>
      <c r="G730" s="75">
        <v>2</v>
      </c>
      <c r="H730" s="75">
        <v>0</v>
      </c>
      <c r="I730" s="75">
        <v>38</v>
      </c>
    </row>
    <row r="731" spans="1:9">
      <c r="A731" s="75">
        <v>409</v>
      </c>
      <c r="B731" s="75">
        <v>2</v>
      </c>
      <c r="C731" s="75">
        <v>411</v>
      </c>
      <c r="D731" s="76">
        <v>43351.677511574075</v>
      </c>
      <c r="E731" s="77">
        <v>43344</v>
      </c>
      <c r="F731" s="78">
        <v>0.67751157407407403</v>
      </c>
      <c r="G731" s="75">
        <v>2</v>
      </c>
      <c r="H731" s="75">
        <v>15</v>
      </c>
      <c r="I731" s="75">
        <v>37</v>
      </c>
    </row>
    <row r="732" spans="1:9">
      <c r="A732" s="75">
        <v>412</v>
      </c>
      <c r="B732" s="75">
        <v>4</v>
      </c>
      <c r="C732" s="75">
        <v>416</v>
      </c>
      <c r="D732" s="76">
        <v>43351.687939814816</v>
      </c>
      <c r="E732" s="77">
        <v>43344</v>
      </c>
      <c r="F732" s="78">
        <v>0.68793981481481481</v>
      </c>
      <c r="G732" s="75">
        <v>2</v>
      </c>
      <c r="H732" s="75">
        <v>30</v>
      </c>
      <c r="I732" s="75">
        <v>38</v>
      </c>
    </row>
    <row r="733" spans="1:9">
      <c r="A733" s="75">
        <v>364</v>
      </c>
      <c r="B733" s="75">
        <v>3</v>
      </c>
      <c r="C733" s="75">
        <v>367</v>
      </c>
      <c r="D733" s="76">
        <v>43351.698344907411</v>
      </c>
      <c r="E733" s="77">
        <v>43344</v>
      </c>
      <c r="F733" s="78">
        <v>0.6983449074074074</v>
      </c>
      <c r="G733" s="75">
        <v>2</v>
      </c>
      <c r="H733" s="75">
        <v>45</v>
      </c>
      <c r="I733" s="75">
        <v>37</v>
      </c>
    </row>
    <row r="734" spans="1:9">
      <c r="A734" s="75">
        <v>349</v>
      </c>
      <c r="B734" s="75">
        <v>4</v>
      </c>
      <c r="C734" s="75">
        <v>353</v>
      </c>
      <c r="D734" s="76">
        <v>43351.708773148152</v>
      </c>
      <c r="E734" s="77">
        <v>43344</v>
      </c>
      <c r="F734" s="78">
        <v>0.70877314814814818</v>
      </c>
      <c r="G734" s="75">
        <v>2</v>
      </c>
      <c r="H734" s="75">
        <v>0</v>
      </c>
      <c r="I734" s="75">
        <v>38</v>
      </c>
    </row>
    <row r="735" spans="1:9">
      <c r="A735" s="75">
        <v>316</v>
      </c>
      <c r="B735" s="75">
        <v>3</v>
      </c>
      <c r="C735" s="75">
        <v>319</v>
      </c>
      <c r="D735" s="76">
        <v>43351.719178240739</v>
      </c>
      <c r="E735" s="77">
        <v>43344</v>
      </c>
      <c r="F735" s="78">
        <v>0.71917824074074066</v>
      </c>
      <c r="G735" s="75">
        <v>2</v>
      </c>
      <c r="H735" s="75">
        <v>15</v>
      </c>
      <c r="I735" s="75">
        <v>37</v>
      </c>
    </row>
    <row r="736" spans="1:9">
      <c r="A736" s="75">
        <v>333</v>
      </c>
      <c r="B736" s="75">
        <v>1</v>
      </c>
      <c r="C736" s="75">
        <v>334</v>
      </c>
      <c r="D736" s="76">
        <v>43351.729594907411</v>
      </c>
      <c r="E736" s="77">
        <v>43344</v>
      </c>
      <c r="F736" s="78">
        <v>0.7295949074074074</v>
      </c>
      <c r="G736" s="75">
        <v>2</v>
      </c>
      <c r="H736" s="75">
        <v>30</v>
      </c>
      <c r="I736" s="75">
        <v>37</v>
      </c>
    </row>
    <row r="737" spans="1:9">
      <c r="A737" s="75">
        <v>385</v>
      </c>
      <c r="B737" s="75">
        <v>2</v>
      </c>
      <c r="C737" s="75">
        <v>383</v>
      </c>
      <c r="D737" s="76">
        <v>43351.740011574075</v>
      </c>
      <c r="E737" s="77">
        <v>43344</v>
      </c>
      <c r="F737" s="78">
        <v>0.74001157407407403</v>
      </c>
      <c r="G737" s="75">
        <v>2</v>
      </c>
      <c r="H737" s="75">
        <v>45</v>
      </c>
      <c r="I737" s="75">
        <v>37</v>
      </c>
    </row>
    <row r="738" spans="1:9">
      <c r="A738" s="75">
        <v>349</v>
      </c>
      <c r="B738" s="75">
        <v>1</v>
      </c>
      <c r="C738" s="75">
        <v>350</v>
      </c>
      <c r="D738" s="76">
        <v>43351.750439814816</v>
      </c>
      <c r="E738" s="77">
        <v>43344</v>
      </c>
      <c r="F738" s="78">
        <v>0.75043981481481481</v>
      </c>
      <c r="G738" s="75">
        <v>2</v>
      </c>
      <c r="H738" s="75">
        <v>0</v>
      </c>
      <c r="I738" s="75">
        <v>38</v>
      </c>
    </row>
    <row r="739" spans="1:9">
      <c r="A739" s="75">
        <v>388</v>
      </c>
      <c r="B739" s="75">
        <v>1</v>
      </c>
      <c r="C739" s="75">
        <v>389</v>
      </c>
      <c r="D739" s="76">
        <v>43351.760844907411</v>
      </c>
      <c r="E739" s="77">
        <v>43344</v>
      </c>
      <c r="F739" s="78">
        <v>0.7608449074074074</v>
      </c>
      <c r="G739" s="75">
        <v>2</v>
      </c>
      <c r="H739" s="75">
        <v>15</v>
      </c>
      <c r="I739" s="75">
        <v>37</v>
      </c>
    </row>
    <row r="740" spans="1:9">
      <c r="A740" s="75">
        <v>382</v>
      </c>
      <c r="B740" s="75">
        <v>1</v>
      </c>
      <c r="C740" s="75">
        <v>383</v>
      </c>
      <c r="D740" s="76">
        <v>43351.771261574075</v>
      </c>
      <c r="E740" s="77">
        <v>43344</v>
      </c>
      <c r="F740" s="78">
        <v>0.77126157407407403</v>
      </c>
      <c r="G740" s="75">
        <v>2</v>
      </c>
      <c r="H740" s="75">
        <v>30</v>
      </c>
      <c r="I740" s="75">
        <v>37</v>
      </c>
    </row>
    <row r="741" spans="1:9">
      <c r="A741" s="75">
        <v>410</v>
      </c>
      <c r="B741" s="75">
        <v>1</v>
      </c>
      <c r="C741" s="75">
        <v>411</v>
      </c>
      <c r="D741" s="76">
        <v>43351.781666666669</v>
      </c>
      <c r="E741" s="77">
        <v>43344</v>
      </c>
      <c r="F741" s="78">
        <v>0.78166666666666673</v>
      </c>
      <c r="G741" s="75">
        <v>2</v>
      </c>
      <c r="H741" s="75">
        <v>45</v>
      </c>
      <c r="I741" s="75">
        <v>36</v>
      </c>
    </row>
    <row r="742" spans="1:9">
      <c r="A742" s="75">
        <v>387</v>
      </c>
      <c r="B742" s="75">
        <v>9</v>
      </c>
      <c r="C742" s="75">
        <v>387</v>
      </c>
      <c r="D742" s="76">
        <v>43351.792094907411</v>
      </c>
      <c r="E742" s="77">
        <v>43344</v>
      </c>
      <c r="F742" s="78">
        <v>0.7920949074074074</v>
      </c>
      <c r="G742" s="75">
        <v>2</v>
      </c>
      <c r="H742" s="75">
        <v>0</v>
      </c>
      <c r="I742" s="75">
        <v>37</v>
      </c>
    </row>
    <row r="743" spans="1:9">
      <c r="A743" s="75">
        <v>385</v>
      </c>
      <c r="B743" s="75">
        <v>6</v>
      </c>
      <c r="C743" s="75">
        <v>391</v>
      </c>
      <c r="D743" s="76">
        <v>43351.802511574075</v>
      </c>
      <c r="E743" s="77">
        <v>43344</v>
      </c>
      <c r="F743" s="78">
        <v>0.80251157407407403</v>
      </c>
      <c r="G743" s="75">
        <v>2</v>
      </c>
      <c r="H743" s="75">
        <v>15</v>
      </c>
      <c r="I743" s="75">
        <v>37</v>
      </c>
    </row>
    <row r="744" spans="1:9">
      <c r="A744" s="75">
        <v>389</v>
      </c>
      <c r="B744" s="75">
        <v>6</v>
      </c>
      <c r="C744" s="75">
        <v>395</v>
      </c>
      <c r="D744" s="76">
        <v>43351.812928240739</v>
      </c>
      <c r="E744" s="77">
        <v>43344</v>
      </c>
      <c r="F744" s="78">
        <v>0.81292824074074066</v>
      </c>
      <c r="G744" s="75">
        <v>2</v>
      </c>
      <c r="H744" s="75">
        <v>30</v>
      </c>
      <c r="I744" s="75">
        <v>37</v>
      </c>
    </row>
    <row r="745" spans="1:9">
      <c r="A745" s="75">
        <v>422</v>
      </c>
      <c r="B745" s="75">
        <v>7</v>
      </c>
      <c r="C745" s="75">
        <v>429</v>
      </c>
      <c r="D745" s="76">
        <v>43351.823333333334</v>
      </c>
      <c r="E745" s="77">
        <v>43344</v>
      </c>
      <c r="F745" s="78">
        <v>0.82333333333333336</v>
      </c>
      <c r="G745" s="75">
        <v>2</v>
      </c>
      <c r="H745" s="75">
        <v>45</v>
      </c>
      <c r="I745" s="75">
        <v>36</v>
      </c>
    </row>
    <row r="746" spans="1:9">
      <c r="A746" s="75">
        <v>419</v>
      </c>
      <c r="B746" s="75">
        <v>5</v>
      </c>
      <c r="C746" s="75">
        <v>424</v>
      </c>
      <c r="D746" s="76">
        <v>43351.833761574075</v>
      </c>
      <c r="E746" s="77">
        <v>43344</v>
      </c>
      <c r="F746" s="78">
        <v>0.83376157407407403</v>
      </c>
      <c r="G746" s="75">
        <v>2</v>
      </c>
      <c r="H746" s="75">
        <v>0</v>
      </c>
      <c r="I746" s="75">
        <v>37</v>
      </c>
    </row>
    <row r="747" spans="1:9">
      <c r="A747" s="75">
        <v>410</v>
      </c>
      <c r="B747" s="75">
        <v>0</v>
      </c>
      <c r="C747" s="75">
        <v>410</v>
      </c>
      <c r="D747" s="76">
        <v>43351.844166666669</v>
      </c>
      <c r="E747" s="77">
        <v>43344</v>
      </c>
      <c r="F747" s="78">
        <v>0.84416666666666673</v>
      </c>
      <c r="G747" s="75">
        <v>2</v>
      </c>
      <c r="H747" s="75">
        <v>15</v>
      </c>
      <c r="I747" s="75">
        <v>36</v>
      </c>
    </row>
    <row r="748" spans="1:9">
      <c r="A748" s="75">
        <v>452</v>
      </c>
      <c r="B748" s="75">
        <v>2</v>
      </c>
      <c r="C748" s="75">
        <v>454</v>
      </c>
      <c r="D748" s="76">
        <v>43351.854594907411</v>
      </c>
      <c r="E748" s="77">
        <v>43344</v>
      </c>
      <c r="F748" s="78">
        <v>0.8545949074074074</v>
      </c>
      <c r="G748" s="75">
        <v>2</v>
      </c>
      <c r="H748" s="75">
        <v>30</v>
      </c>
      <c r="I748" s="75">
        <v>37</v>
      </c>
    </row>
    <row r="749" spans="1:9">
      <c r="A749" s="75">
        <v>474</v>
      </c>
      <c r="B749" s="75">
        <v>0</v>
      </c>
      <c r="C749" s="75">
        <v>474</v>
      </c>
      <c r="D749" s="76">
        <v>43351.865011574075</v>
      </c>
      <c r="E749" s="77">
        <v>43344</v>
      </c>
      <c r="F749" s="78">
        <v>0.86501157407407403</v>
      </c>
      <c r="G749" s="75">
        <v>2</v>
      </c>
      <c r="H749" s="75">
        <v>45</v>
      </c>
      <c r="I749" s="75">
        <v>37</v>
      </c>
    </row>
    <row r="750" spans="1:9">
      <c r="A750" s="75">
        <v>465</v>
      </c>
      <c r="B750" s="75">
        <v>0</v>
      </c>
      <c r="C750" s="75">
        <v>465</v>
      </c>
      <c r="D750" s="76">
        <v>43351.875428240739</v>
      </c>
      <c r="E750" s="77">
        <v>43344</v>
      </c>
      <c r="F750" s="78">
        <v>0.87542824074074066</v>
      </c>
      <c r="G750" s="75">
        <v>2</v>
      </c>
      <c r="H750" s="75">
        <v>0</v>
      </c>
      <c r="I750" s="75">
        <v>37</v>
      </c>
    </row>
    <row r="751" spans="1:9">
      <c r="A751" s="75">
        <v>489</v>
      </c>
      <c r="B751" s="75">
        <v>3</v>
      </c>
      <c r="C751" s="75">
        <v>492</v>
      </c>
      <c r="D751" s="76">
        <v>43351.885833333334</v>
      </c>
      <c r="E751" s="77">
        <v>43344</v>
      </c>
      <c r="F751" s="78">
        <v>0.88583333333333336</v>
      </c>
      <c r="G751" s="75">
        <v>2</v>
      </c>
      <c r="H751" s="75">
        <v>15</v>
      </c>
      <c r="I751" s="75">
        <v>36</v>
      </c>
    </row>
    <row r="752" spans="1:9">
      <c r="A752" s="75">
        <v>470</v>
      </c>
      <c r="B752" s="75">
        <v>4</v>
      </c>
      <c r="C752" s="75">
        <v>474</v>
      </c>
      <c r="D752" s="76">
        <v>43351.896261574075</v>
      </c>
      <c r="E752" s="77">
        <v>43344</v>
      </c>
      <c r="F752" s="78">
        <v>0.89626157407407403</v>
      </c>
      <c r="G752" s="75">
        <v>2</v>
      </c>
      <c r="H752" s="75">
        <v>30</v>
      </c>
      <c r="I752" s="75">
        <v>37</v>
      </c>
    </row>
    <row r="753" spans="1:9">
      <c r="A753" s="75">
        <v>493</v>
      </c>
      <c r="B753" s="75">
        <v>8</v>
      </c>
      <c r="C753" s="75">
        <v>501</v>
      </c>
      <c r="D753" s="76">
        <v>43351.906678240739</v>
      </c>
      <c r="E753" s="77">
        <v>43344</v>
      </c>
      <c r="F753" s="78">
        <v>0.90667824074074066</v>
      </c>
      <c r="G753" s="75">
        <v>2</v>
      </c>
      <c r="H753" s="75">
        <v>45</v>
      </c>
      <c r="I753" s="75">
        <v>37</v>
      </c>
    </row>
    <row r="754" spans="1:9">
      <c r="A754" s="75">
        <v>431</v>
      </c>
      <c r="B754" s="75">
        <v>0</v>
      </c>
      <c r="C754" s="75">
        <v>431</v>
      </c>
      <c r="D754" s="76">
        <v>43351.917094907411</v>
      </c>
      <c r="E754" s="77">
        <v>43344</v>
      </c>
      <c r="F754" s="78">
        <v>0.9170949074074074</v>
      </c>
      <c r="G754" s="75">
        <v>2</v>
      </c>
      <c r="H754" s="75">
        <v>0</v>
      </c>
      <c r="I754" s="75">
        <v>37</v>
      </c>
    </row>
    <row r="755" spans="1:9">
      <c r="A755" s="75">
        <v>458</v>
      </c>
      <c r="B755" s="75">
        <v>5</v>
      </c>
      <c r="C755" s="75">
        <v>463</v>
      </c>
      <c r="D755" s="76">
        <v>43351.927499999998</v>
      </c>
      <c r="E755" s="77">
        <v>43344</v>
      </c>
      <c r="F755" s="78">
        <v>0.9275000000000001</v>
      </c>
      <c r="G755" s="75">
        <v>2</v>
      </c>
      <c r="H755" s="75">
        <v>15</v>
      </c>
      <c r="I755" s="75">
        <v>36</v>
      </c>
    </row>
    <row r="756" spans="1:9">
      <c r="A756" s="75">
        <v>475</v>
      </c>
      <c r="B756" s="75">
        <v>4</v>
      </c>
      <c r="C756" s="75">
        <v>479</v>
      </c>
      <c r="D756" s="76">
        <v>43351.937928240739</v>
      </c>
      <c r="E756" s="77">
        <v>43344</v>
      </c>
      <c r="F756" s="78">
        <v>0.93792824074074066</v>
      </c>
      <c r="G756" s="75">
        <v>2</v>
      </c>
      <c r="H756" s="75">
        <v>30</v>
      </c>
      <c r="I756" s="75">
        <v>37</v>
      </c>
    </row>
    <row r="757" spans="1:9">
      <c r="A757" s="75">
        <v>444</v>
      </c>
      <c r="B757" s="75">
        <v>2</v>
      </c>
      <c r="C757" s="75">
        <v>446</v>
      </c>
      <c r="D757" s="76">
        <v>43351.948344907411</v>
      </c>
      <c r="E757" s="77">
        <v>43344</v>
      </c>
      <c r="F757" s="78">
        <v>0.9483449074074074</v>
      </c>
      <c r="G757" s="75">
        <v>2</v>
      </c>
      <c r="H757" s="75">
        <v>45</v>
      </c>
      <c r="I757" s="75">
        <v>37</v>
      </c>
    </row>
    <row r="758" spans="1:9">
      <c r="A758" s="75">
        <v>450</v>
      </c>
      <c r="B758" s="75">
        <v>0</v>
      </c>
      <c r="C758" s="75">
        <v>449</v>
      </c>
      <c r="D758" s="76">
        <v>43351.958761574075</v>
      </c>
      <c r="E758" s="77">
        <v>43344</v>
      </c>
      <c r="F758" s="78">
        <v>0.95876157407407403</v>
      </c>
      <c r="G758" s="75">
        <v>2</v>
      </c>
      <c r="H758" s="75">
        <v>0</v>
      </c>
      <c r="I758" s="75">
        <v>37</v>
      </c>
    </row>
    <row r="759" spans="1:9">
      <c r="A759" s="75">
        <v>395</v>
      </c>
      <c r="B759" s="75">
        <v>0</v>
      </c>
      <c r="C759" s="75">
        <v>394</v>
      </c>
      <c r="D759" s="76">
        <v>43351.969178240739</v>
      </c>
      <c r="E759" s="77">
        <v>43344</v>
      </c>
      <c r="F759" s="78">
        <v>0.96917824074074066</v>
      </c>
      <c r="G759" s="75">
        <v>2</v>
      </c>
      <c r="H759" s="75">
        <v>15</v>
      </c>
      <c r="I759" s="75">
        <v>37</v>
      </c>
    </row>
    <row r="760" spans="1:9">
      <c r="A760" s="75">
        <v>331</v>
      </c>
      <c r="B760" s="75">
        <v>1</v>
      </c>
      <c r="C760" s="75">
        <v>332</v>
      </c>
      <c r="D760" s="76">
        <v>43351.979583333334</v>
      </c>
      <c r="E760" s="77">
        <v>43344</v>
      </c>
      <c r="F760" s="78">
        <v>0.97958333333333336</v>
      </c>
      <c r="G760" s="75">
        <v>2</v>
      </c>
      <c r="H760" s="75">
        <v>30</v>
      </c>
      <c r="I760" s="75">
        <v>36</v>
      </c>
    </row>
    <row r="761" spans="1:9">
      <c r="A761" s="75">
        <v>325</v>
      </c>
      <c r="B761" s="75">
        <v>2</v>
      </c>
      <c r="C761" s="75">
        <v>327</v>
      </c>
      <c r="D761" s="76">
        <v>43351.99</v>
      </c>
      <c r="E761" s="77">
        <v>43344</v>
      </c>
      <c r="F761" s="78">
        <v>0.9900000000000001</v>
      </c>
      <c r="G761" s="75">
        <v>2</v>
      </c>
      <c r="H761" s="75">
        <v>45</v>
      </c>
      <c r="I761" s="75">
        <v>36</v>
      </c>
    </row>
    <row r="762" spans="1:9">
      <c r="A762" s="75">
        <v>289</v>
      </c>
      <c r="B762" s="75">
        <v>1</v>
      </c>
      <c r="C762" s="75">
        <v>290</v>
      </c>
      <c r="D762" s="76">
        <v>43352.000428240739</v>
      </c>
      <c r="E762" s="77">
        <v>43344</v>
      </c>
      <c r="F762" s="78">
        <v>4.2824074074074075E-4</v>
      </c>
      <c r="G762" s="75">
        <v>2</v>
      </c>
      <c r="H762" s="75">
        <v>0</v>
      </c>
      <c r="I762" s="75">
        <v>37</v>
      </c>
    </row>
    <row r="763" spans="1:9">
      <c r="A763" s="75">
        <v>311</v>
      </c>
      <c r="B763" s="75">
        <v>0</v>
      </c>
      <c r="C763" s="75">
        <v>311</v>
      </c>
      <c r="D763" s="76">
        <v>43352.010844907411</v>
      </c>
      <c r="E763" s="77">
        <v>43344</v>
      </c>
      <c r="F763" s="78">
        <v>1.0844907407407407E-2</v>
      </c>
      <c r="G763" s="75">
        <v>2</v>
      </c>
      <c r="H763" s="75">
        <v>15</v>
      </c>
      <c r="I763" s="75">
        <v>37</v>
      </c>
    </row>
    <row r="764" spans="1:9">
      <c r="A764" s="75">
        <v>256</v>
      </c>
      <c r="B764" s="75">
        <v>0</v>
      </c>
      <c r="C764" s="75">
        <v>256</v>
      </c>
      <c r="D764" s="76">
        <v>43352.021249999998</v>
      </c>
      <c r="E764" s="77">
        <v>43344</v>
      </c>
      <c r="F764" s="78">
        <v>2.1250000000000002E-2</v>
      </c>
      <c r="G764" s="75">
        <v>2</v>
      </c>
      <c r="H764" s="75">
        <v>30</v>
      </c>
      <c r="I764" s="75">
        <v>36</v>
      </c>
    </row>
    <row r="765" spans="1:9">
      <c r="A765" s="75">
        <v>264</v>
      </c>
      <c r="B765" s="75">
        <v>0</v>
      </c>
      <c r="C765" s="75">
        <v>264</v>
      </c>
      <c r="D765" s="76">
        <v>43352.031666666669</v>
      </c>
      <c r="E765" s="77">
        <v>43344</v>
      </c>
      <c r="F765" s="78">
        <v>3.1666666666666669E-2</v>
      </c>
      <c r="G765" s="75">
        <v>2</v>
      </c>
      <c r="H765" s="75">
        <v>45</v>
      </c>
      <c r="I765" s="75">
        <v>36</v>
      </c>
    </row>
    <row r="766" spans="1:9">
      <c r="A766" s="75">
        <v>256</v>
      </c>
      <c r="B766" s="75">
        <v>4</v>
      </c>
      <c r="C766" s="75">
        <v>260</v>
      </c>
      <c r="D766" s="76">
        <v>43352.042094907411</v>
      </c>
      <c r="E766" s="77">
        <v>43344</v>
      </c>
      <c r="F766" s="78">
        <v>4.2094907407407407E-2</v>
      </c>
      <c r="G766" s="75">
        <v>2</v>
      </c>
      <c r="H766" s="75">
        <v>0</v>
      </c>
      <c r="I766" s="75">
        <v>37</v>
      </c>
    </row>
    <row r="767" spans="1:9">
      <c r="A767" s="75">
        <v>301</v>
      </c>
      <c r="B767" s="75">
        <v>0</v>
      </c>
      <c r="C767" s="75">
        <v>301</v>
      </c>
      <c r="D767" s="76">
        <v>43352.052499999998</v>
      </c>
      <c r="E767" s="77">
        <v>43344</v>
      </c>
      <c r="F767" s="78">
        <v>5.2499999999999998E-2</v>
      </c>
      <c r="G767" s="75">
        <v>2</v>
      </c>
      <c r="H767" s="75">
        <v>15</v>
      </c>
      <c r="I767" s="75">
        <v>36</v>
      </c>
    </row>
    <row r="768" spans="1:9">
      <c r="A768" s="75">
        <v>279</v>
      </c>
      <c r="B768" s="75">
        <v>2</v>
      </c>
      <c r="C768" s="75">
        <v>281</v>
      </c>
      <c r="D768" s="76">
        <v>43352.062928240739</v>
      </c>
      <c r="E768" s="77">
        <v>43344</v>
      </c>
      <c r="F768" s="78">
        <v>6.2928240740740743E-2</v>
      </c>
      <c r="G768" s="75">
        <v>2</v>
      </c>
      <c r="H768" s="75">
        <v>30</v>
      </c>
      <c r="I768" s="75">
        <v>37</v>
      </c>
    </row>
    <row r="769" spans="1:9">
      <c r="A769" s="75">
        <v>246</v>
      </c>
      <c r="B769" s="75">
        <v>3</v>
      </c>
      <c r="C769" s="75">
        <v>249</v>
      </c>
      <c r="D769" s="76">
        <v>43352.073344907411</v>
      </c>
      <c r="E769" s="77">
        <v>43344</v>
      </c>
      <c r="F769" s="78">
        <v>7.3344907407407414E-2</v>
      </c>
      <c r="G769" s="75">
        <v>2</v>
      </c>
      <c r="H769" s="75">
        <v>45</v>
      </c>
      <c r="I769" s="75">
        <v>37</v>
      </c>
    </row>
    <row r="770" spans="1:9">
      <c r="A770" s="75">
        <v>275</v>
      </c>
      <c r="B770" s="75">
        <v>3</v>
      </c>
      <c r="C770" s="75">
        <v>278</v>
      </c>
      <c r="D770" s="76">
        <v>43352.083761574075</v>
      </c>
      <c r="E770" s="77">
        <v>43344</v>
      </c>
      <c r="F770" s="78">
        <v>8.3761574074074072E-2</v>
      </c>
      <c r="G770" s="75">
        <v>2</v>
      </c>
      <c r="H770" s="75">
        <v>0</v>
      </c>
      <c r="I770" s="75">
        <v>37</v>
      </c>
    </row>
    <row r="771" spans="1:9">
      <c r="A771" s="75">
        <v>294</v>
      </c>
      <c r="B771" s="75">
        <v>4</v>
      </c>
      <c r="C771" s="75">
        <v>298</v>
      </c>
      <c r="D771" s="76">
        <v>43352.094178240739</v>
      </c>
      <c r="E771" s="77">
        <v>43344</v>
      </c>
      <c r="F771" s="78">
        <v>9.4178240740740729E-2</v>
      </c>
      <c r="G771" s="75">
        <v>2</v>
      </c>
      <c r="H771" s="75">
        <v>15</v>
      </c>
      <c r="I771" s="75">
        <v>37</v>
      </c>
    </row>
    <row r="772" spans="1:9">
      <c r="A772" s="75">
        <v>246</v>
      </c>
      <c r="B772" s="75">
        <v>5</v>
      </c>
      <c r="C772" s="75">
        <v>251</v>
      </c>
      <c r="D772" s="76">
        <v>43352.104583333334</v>
      </c>
      <c r="E772" s="77">
        <v>43344</v>
      </c>
      <c r="F772" s="78">
        <v>0.10458333333333332</v>
      </c>
      <c r="G772" s="75">
        <v>2</v>
      </c>
      <c r="H772" s="75">
        <v>30</v>
      </c>
      <c r="I772" s="75">
        <v>36</v>
      </c>
    </row>
    <row r="773" spans="1:9">
      <c r="A773" s="75">
        <v>219</v>
      </c>
      <c r="B773" s="75">
        <v>4</v>
      </c>
      <c r="C773" s="75">
        <v>223</v>
      </c>
      <c r="D773" s="76">
        <v>43352.114999999998</v>
      </c>
      <c r="E773" s="77">
        <v>43344</v>
      </c>
      <c r="F773" s="78">
        <v>0.11499999999999999</v>
      </c>
      <c r="G773" s="75">
        <v>2</v>
      </c>
      <c r="H773" s="75">
        <v>45</v>
      </c>
      <c r="I773" s="75">
        <v>36</v>
      </c>
    </row>
    <row r="774" spans="1:9">
      <c r="A774" s="75">
        <v>200</v>
      </c>
      <c r="B774" s="75">
        <v>4</v>
      </c>
      <c r="C774" s="75">
        <v>204</v>
      </c>
      <c r="D774" s="76">
        <v>43352.125416666669</v>
      </c>
      <c r="E774" s="77">
        <v>43344</v>
      </c>
      <c r="F774" s="78">
        <v>0.12541666666666665</v>
      </c>
      <c r="G774" s="75">
        <v>2</v>
      </c>
      <c r="H774" s="75">
        <v>0</v>
      </c>
      <c r="I774" s="75">
        <v>36</v>
      </c>
    </row>
    <row r="775" spans="1:9">
      <c r="A775" s="75">
        <v>214</v>
      </c>
      <c r="B775" s="75">
        <v>4</v>
      </c>
      <c r="C775" s="75">
        <v>218</v>
      </c>
      <c r="D775" s="76">
        <v>43352.135833333334</v>
      </c>
      <c r="E775" s="77">
        <v>43344</v>
      </c>
      <c r="F775" s="78">
        <v>0.13583333333333333</v>
      </c>
      <c r="G775" s="75">
        <v>2</v>
      </c>
      <c r="H775" s="75">
        <v>15</v>
      </c>
      <c r="I775" s="75">
        <v>36</v>
      </c>
    </row>
    <row r="776" spans="1:9">
      <c r="A776" s="75">
        <v>172</v>
      </c>
      <c r="B776" s="75">
        <v>3</v>
      </c>
      <c r="C776" s="75">
        <v>175</v>
      </c>
      <c r="D776" s="76">
        <v>43352.146249999998</v>
      </c>
      <c r="E776" s="77">
        <v>43344</v>
      </c>
      <c r="F776" s="78">
        <v>0.14624999999999999</v>
      </c>
      <c r="G776" s="75">
        <v>2</v>
      </c>
      <c r="H776" s="75">
        <v>30</v>
      </c>
      <c r="I776" s="75">
        <v>36</v>
      </c>
    </row>
    <row r="777" spans="1:9">
      <c r="A777" s="75">
        <v>169</v>
      </c>
      <c r="B777" s="75">
        <v>1</v>
      </c>
      <c r="C777" s="75">
        <v>170</v>
      </c>
      <c r="D777" s="76">
        <v>43352.156678240739</v>
      </c>
      <c r="E777" s="77">
        <v>43344</v>
      </c>
      <c r="F777" s="78">
        <v>0.15667824074074074</v>
      </c>
      <c r="G777" s="75">
        <v>2</v>
      </c>
      <c r="H777" s="75">
        <v>45</v>
      </c>
      <c r="I777" s="75">
        <v>37</v>
      </c>
    </row>
    <row r="778" spans="1:9">
      <c r="A778" s="75">
        <v>157</v>
      </c>
      <c r="B778" s="75">
        <v>1</v>
      </c>
      <c r="C778" s="75">
        <v>158</v>
      </c>
      <c r="D778" s="76">
        <v>43352.167083333334</v>
      </c>
      <c r="E778" s="77">
        <v>43344</v>
      </c>
      <c r="F778" s="78">
        <v>0.16708333333333333</v>
      </c>
      <c r="G778" s="75">
        <v>2</v>
      </c>
      <c r="H778" s="75">
        <v>0</v>
      </c>
      <c r="I778" s="75">
        <v>36</v>
      </c>
    </row>
    <row r="779" spans="1:9">
      <c r="A779" s="75">
        <v>150</v>
      </c>
      <c r="B779" s="75">
        <v>2</v>
      </c>
      <c r="C779" s="75">
        <v>152</v>
      </c>
      <c r="D779" s="76">
        <v>43352.177499999998</v>
      </c>
      <c r="E779" s="77">
        <v>43344</v>
      </c>
      <c r="F779" s="78">
        <v>0.17749999999999999</v>
      </c>
      <c r="G779" s="75">
        <v>2</v>
      </c>
      <c r="H779" s="75">
        <v>15</v>
      </c>
      <c r="I779" s="75">
        <v>36</v>
      </c>
    </row>
    <row r="780" spans="1:9">
      <c r="A780" s="75">
        <v>137</v>
      </c>
      <c r="B780" s="75">
        <v>2</v>
      </c>
      <c r="C780" s="75">
        <v>139</v>
      </c>
      <c r="D780" s="76">
        <v>43352.187916666669</v>
      </c>
      <c r="E780" s="77">
        <v>43344</v>
      </c>
      <c r="F780" s="78">
        <v>0.18791666666666665</v>
      </c>
      <c r="G780" s="75">
        <v>2</v>
      </c>
      <c r="H780" s="75">
        <v>30</v>
      </c>
      <c r="I780" s="75">
        <v>36</v>
      </c>
    </row>
    <row r="781" spans="1:9">
      <c r="A781" s="75">
        <v>123</v>
      </c>
      <c r="B781" s="75">
        <v>0</v>
      </c>
      <c r="C781" s="75">
        <v>122</v>
      </c>
      <c r="D781" s="76">
        <v>43352.198333333334</v>
      </c>
      <c r="E781" s="77">
        <v>43344</v>
      </c>
      <c r="F781" s="78">
        <v>0.19833333333333333</v>
      </c>
      <c r="G781" s="75">
        <v>2</v>
      </c>
      <c r="H781" s="75">
        <v>45</v>
      </c>
      <c r="I781" s="75">
        <v>36</v>
      </c>
    </row>
    <row r="782" spans="1:9">
      <c r="A782" s="75">
        <v>102</v>
      </c>
      <c r="B782" s="75">
        <v>2</v>
      </c>
      <c r="C782" s="75">
        <v>104</v>
      </c>
      <c r="D782" s="76">
        <v>43352.208749999998</v>
      </c>
      <c r="E782" s="77">
        <v>43344</v>
      </c>
      <c r="F782" s="78">
        <v>0.20874999999999999</v>
      </c>
      <c r="G782" s="75">
        <v>2</v>
      </c>
      <c r="H782" s="75">
        <v>0</v>
      </c>
      <c r="I782" s="75">
        <v>36</v>
      </c>
    </row>
    <row r="783" spans="1:9">
      <c r="A783" s="75">
        <v>127</v>
      </c>
      <c r="B783" s="75">
        <v>2</v>
      </c>
      <c r="C783" s="75">
        <v>129</v>
      </c>
      <c r="D783" s="76">
        <v>43352.219166666669</v>
      </c>
      <c r="E783" s="77">
        <v>43344</v>
      </c>
      <c r="F783" s="78">
        <v>0.21916666666666665</v>
      </c>
      <c r="G783" s="75">
        <v>2</v>
      </c>
      <c r="H783" s="75">
        <v>15</v>
      </c>
      <c r="I783" s="75">
        <v>36</v>
      </c>
    </row>
    <row r="784" spans="1:9">
      <c r="A784" s="75">
        <v>145</v>
      </c>
      <c r="B784" s="75">
        <v>0</v>
      </c>
      <c r="C784" s="75">
        <v>145</v>
      </c>
      <c r="D784" s="76">
        <v>43352.229583333334</v>
      </c>
      <c r="E784" s="77">
        <v>43344</v>
      </c>
      <c r="F784" s="78">
        <v>0.22958333333333333</v>
      </c>
      <c r="G784" s="75">
        <v>2</v>
      </c>
      <c r="H784" s="75">
        <v>30</v>
      </c>
      <c r="I784" s="75">
        <v>36</v>
      </c>
    </row>
    <row r="785" spans="1:9">
      <c r="A785" s="75">
        <v>131</v>
      </c>
      <c r="B785" s="75">
        <v>0</v>
      </c>
      <c r="C785" s="75">
        <v>131</v>
      </c>
      <c r="D785" s="76">
        <v>43352.24</v>
      </c>
      <c r="E785" s="77">
        <v>43344</v>
      </c>
      <c r="F785" s="78">
        <v>0.24</v>
      </c>
      <c r="G785" s="75">
        <v>2</v>
      </c>
      <c r="H785" s="75">
        <v>45</v>
      </c>
      <c r="I785" s="75">
        <v>36</v>
      </c>
    </row>
    <row r="786" spans="1:9">
      <c r="A786" s="75">
        <v>115</v>
      </c>
      <c r="B786" s="75">
        <v>0</v>
      </c>
      <c r="C786" s="75">
        <v>115</v>
      </c>
      <c r="D786" s="76">
        <v>43352.250416666669</v>
      </c>
      <c r="E786" s="77">
        <v>43344</v>
      </c>
      <c r="F786" s="78">
        <v>0.25041666666666668</v>
      </c>
      <c r="G786" s="75">
        <v>2</v>
      </c>
      <c r="H786" s="75">
        <v>0</v>
      </c>
      <c r="I786" s="75">
        <v>36</v>
      </c>
    </row>
    <row r="787" spans="1:9">
      <c r="A787" s="75">
        <v>107</v>
      </c>
      <c r="B787" s="75">
        <v>0</v>
      </c>
      <c r="C787" s="75">
        <v>98</v>
      </c>
      <c r="D787" s="76">
        <v>43352.260821759257</v>
      </c>
      <c r="E787" s="77">
        <v>43344</v>
      </c>
      <c r="F787" s="78">
        <v>0.26082175925925927</v>
      </c>
      <c r="G787" s="75">
        <v>2</v>
      </c>
      <c r="H787" s="75">
        <v>15</v>
      </c>
      <c r="I787" s="75">
        <v>35</v>
      </c>
    </row>
    <row r="788" spans="1:9">
      <c r="A788" s="75">
        <v>112</v>
      </c>
      <c r="B788" s="75">
        <v>0</v>
      </c>
      <c r="C788" s="75">
        <v>111</v>
      </c>
      <c r="D788" s="76">
        <v>43352.273935185185</v>
      </c>
      <c r="E788" s="77">
        <v>43344</v>
      </c>
      <c r="F788" s="78">
        <v>0.27393518518518517</v>
      </c>
      <c r="G788" s="75">
        <v>2</v>
      </c>
      <c r="H788" s="75">
        <v>34</v>
      </c>
      <c r="I788" s="75">
        <v>28</v>
      </c>
    </row>
    <row r="789" spans="1:9">
      <c r="A789" s="75">
        <v>84</v>
      </c>
      <c r="B789" s="75">
        <v>1</v>
      </c>
      <c r="C789" s="75">
        <v>85</v>
      </c>
      <c r="D789" s="76">
        <v>43352.281666666669</v>
      </c>
      <c r="E789" s="77">
        <v>43344</v>
      </c>
      <c r="F789" s="78">
        <v>0.28166666666666668</v>
      </c>
      <c r="G789" s="75">
        <v>2</v>
      </c>
      <c r="H789" s="75">
        <v>45</v>
      </c>
      <c r="I789" s="75">
        <v>36</v>
      </c>
    </row>
    <row r="790" spans="1:9">
      <c r="A790" s="75">
        <v>83</v>
      </c>
      <c r="B790" s="75">
        <v>0</v>
      </c>
      <c r="C790" s="75">
        <v>74</v>
      </c>
      <c r="D790" s="76">
        <v>43352.292083333334</v>
      </c>
      <c r="E790" s="77">
        <v>43344</v>
      </c>
      <c r="F790" s="78">
        <v>0.29208333333333331</v>
      </c>
      <c r="G790" s="75">
        <v>2</v>
      </c>
      <c r="H790" s="75">
        <v>0</v>
      </c>
      <c r="I790" s="75">
        <v>36</v>
      </c>
    </row>
    <row r="791" spans="1:9">
      <c r="A791" s="75">
        <v>100</v>
      </c>
      <c r="B791" s="75">
        <v>0</v>
      </c>
      <c r="C791" s="75">
        <v>100</v>
      </c>
      <c r="D791" s="76">
        <v>43352.302523148152</v>
      </c>
      <c r="E791" s="77">
        <v>43344</v>
      </c>
      <c r="F791" s="78">
        <v>0.30252314814814812</v>
      </c>
      <c r="G791" s="75">
        <v>2</v>
      </c>
      <c r="H791" s="75">
        <v>15</v>
      </c>
      <c r="I791" s="75">
        <v>38</v>
      </c>
    </row>
    <row r="792" spans="1:9">
      <c r="A792" s="75">
        <v>76</v>
      </c>
      <c r="B792" s="75">
        <v>0</v>
      </c>
      <c r="C792" s="75">
        <v>75</v>
      </c>
      <c r="D792" s="76">
        <v>43352.312928240739</v>
      </c>
      <c r="E792" s="77">
        <v>43344</v>
      </c>
      <c r="F792" s="78">
        <v>0.31292824074074072</v>
      </c>
      <c r="G792" s="75">
        <v>2</v>
      </c>
      <c r="H792" s="75">
        <v>30</v>
      </c>
      <c r="I792" s="75">
        <v>37</v>
      </c>
    </row>
    <row r="793" spans="1:9">
      <c r="A793" s="75">
        <v>86</v>
      </c>
      <c r="B793" s="75">
        <v>0</v>
      </c>
      <c r="C793" s="75">
        <v>85</v>
      </c>
      <c r="D793" s="76">
        <v>43352.32335648148</v>
      </c>
      <c r="E793" s="77">
        <v>43344</v>
      </c>
      <c r="F793" s="78">
        <v>0.32335648148148149</v>
      </c>
      <c r="G793" s="75">
        <v>2</v>
      </c>
      <c r="H793" s="75">
        <v>45</v>
      </c>
      <c r="I793" s="75">
        <v>38</v>
      </c>
    </row>
    <row r="794" spans="1:9">
      <c r="A794" s="75">
        <v>80</v>
      </c>
      <c r="B794" s="75">
        <v>0</v>
      </c>
      <c r="C794" s="75">
        <v>79</v>
      </c>
      <c r="D794" s="76">
        <v>43352.333761574075</v>
      </c>
      <c r="E794" s="77">
        <v>43344</v>
      </c>
      <c r="F794" s="78">
        <v>0.33376157407407409</v>
      </c>
      <c r="G794" s="75">
        <v>2</v>
      </c>
      <c r="H794" s="75">
        <v>0</v>
      </c>
      <c r="I794" s="75">
        <v>37</v>
      </c>
    </row>
    <row r="795" spans="1:9">
      <c r="A795" s="75">
        <v>79</v>
      </c>
      <c r="B795" s="75">
        <v>0</v>
      </c>
      <c r="C795" s="75">
        <v>78</v>
      </c>
      <c r="D795" s="76">
        <v>43352.344178240739</v>
      </c>
      <c r="E795" s="77">
        <v>43344</v>
      </c>
      <c r="F795" s="78">
        <v>0.34417824074074077</v>
      </c>
      <c r="G795" s="75">
        <v>2</v>
      </c>
      <c r="H795" s="75">
        <v>15</v>
      </c>
      <c r="I795" s="75">
        <v>37</v>
      </c>
    </row>
    <row r="796" spans="1:9">
      <c r="A796" s="75">
        <v>98</v>
      </c>
      <c r="B796" s="75">
        <v>2</v>
      </c>
      <c r="C796" s="75">
        <v>100</v>
      </c>
      <c r="D796" s="76">
        <v>43352.35460648148</v>
      </c>
      <c r="E796" s="77">
        <v>43344</v>
      </c>
      <c r="F796" s="78">
        <v>0.35460648148148149</v>
      </c>
      <c r="G796" s="75">
        <v>2</v>
      </c>
      <c r="H796" s="75">
        <v>30</v>
      </c>
      <c r="I796" s="75">
        <v>38</v>
      </c>
    </row>
    <row r="797" spans="1:9">
      <c r="A797" s="75">
        <v>90</v>
      </c>
      <c r="B797" s="75">
        <v>0</v>
      </c>
      <c r="C797" s="75">
        <v>89</v>
      </c>
      <c r="D797" s="76">
        <v>43352.365023148152</v>
      </c>
      <c r="E797" s="77">
        <v>43344</v>
      </c>
      <c r="F797" s="78">
        <v>0.36502314814814812</v>
      </c>
      <c r="G797" s="75">
        <v>2</v>
      </c>
      <c r="H797" s="75">
        <v>45</v>
      </c>
      <c r="I797" s="75">
        <v>38</v>
      </c>
    </row>
    <row r="798" spans="1:9">
      <c r="A798" s="75">
        <v>74</v>
      </c>
      <c r="B798" s="75">
        <v>0</v>
      </c>
      <c r="C798" s="75">
        <v>74</v>
      </c>
      <c r="D798" s="76">
        <v>43352.375439814816</v>
      </c>
      <c r="E798" s="77">
        <v>43344</v>
      </c>
      <c r="F798" s="78">
        <v>0.37543981481481481</v>
      </c>
      <c r="G798" s="75">
        <v>2</v>
      </c>
      <c r="H798" s="75">
        <v>0</v>
      </c>
      <c r="I798" s="75">
        <v>38</v>
      </c>
    </row>
    <row r="799" spans="1:9">
      <c r="A799" s="75">
        <v>86</v>
      </c>
      <c r="B799" s="75">
        <v>0</v>
      </c>
      <c r="C799" s="75">
        <v>85</v>
      </c>
      <c r="D799" s="76">
        <v>43352.385844907411</v>
      </c>
      <c r="E799" s="77">
        <v>43344</v>
      </c>
      <c r="F799" s="78">
        <v>0.38584490740740746</v>
      </c>
      <c r="G799" s="75">
        <v>2</v>
      </c>
      <c r="H799" s="75">
        <v>15</v>
      </c>
      <c r="I799" s="75">
        <v>37</v>
      </c>
    </row>
    <row r="800" spans="1:9">
      <c r="A800" s="75">
        <v>108</v>
      </c>
      <c r="B800" s="75">
        <v>0</v>
      </c>
      <c r="C800" s="75">
        <v>102</v>
      </c>
      <c r="D800" s="76">
        <v>43352.396261574075</v>
      </c>
      <c r="E800" s="77">
        <v>43344</v>
      </c>
      <c r="F800" s="78">
        <v>0.39626157407407409</v>
      </c>
      <c r="G800" s="75">
        <v>2</v>
      </c>
      <c r="H800" s="75">
        <v>30</v>
      </c>
      <c r="I800" s="75">
        <v>37</v>
      </c>
    </row>
    <row r="801" spans="1:9">
      <c r="A801" s="75">
        <v>122</v>
      </c>
      <c r="B801" s="75">
        <v>0</v>
      </c>
      <c r="C801" s="75">
        <v>121</v>
      </c>
      <c r="D801" s="76">
        <v>43352.406678240739</v>
      </c>
      <c r="E801" s="77">
        <v>43344</v>
      </c>
      <c r="F801" s="78">
        <v>0.40667824074074077</v>
      </c>
      <c r="G801" s="75">
        <v>2</v>
      </c>
      <c r="H801" s="75">
        <v>45</v>
      </c>
      <c r="I801" s="75">
        <v>37</v>
      </c>
    </row>
    <row r="802" spans="1:9">
      <c r="A802" s="75">
        <v>81</v>
      </c>
      <c r="B802" s="75">
        <v>0</v>
      </c>
      <c r="C802" s="75">
        <v>80</v>
      </c>
      <c r="D802" s="76">
        <v>43352.41710648148</v>
      </c>
      <c r="E802" s="77">
        <v>43344</v>
      </c>
      <c r="F802" s="78">
        <v>0.41710648148148149</v>
      </c>
      <c r="G802" s="75">
        <v>2</v>
      </c>
      <c r="H802" s="75">
        <v>0</v>
      </c>
      <c r="I802" s="75">
        <v>38</v>
      </c>
    </row>
    <row r="803" spans="1:9">
      <c r="A803" s="75">
        <v>79</v>
      </c>
      <c r="B803" s="75">
        <v>0</v>
      </c>
      <c r="C803" s="75">
        <v>78</v>
      </c>
      <c r="D803" s="76">
        <v>43352.427511574075</v>
      </c>
      <c r="E803" s="77">
        <v>43344</v>
      </c>
      <c r="F803" s="78">
        <v>0.42751157407407409</v>
      </c>
      <c r="G803" s="75">
        <v>2</v>
      </c>
      <c r="H803" s="75">
        <v>15</v>
      </c>
      <c r="I803" s="75">
        <v>37</v>
      </c>
    </row>
    <row r="804" spans="1:9">
      <c r="A804" s="75">
        <v>104</v>
      </c>
      <c r="B804" s="75">
        <v>2</v>
      </c>
      <c r="C804" s="75">
        <v>106</v>
      </c>
      <c r="D804" s="76">
        <v>43352.437928240739</v>
      </c>
      <c r="E804" s="77">
        <v>43344</v>
      </c>
      <c r="F804" s="78">
        <v>0.43792824074074077</v>
      </c>
      <c r="G804" s="75">
        <v>2</v>
      </c>
      <c r="H804" s="75">
        <v>30</v>
      </c>
      <c r="I804" s="75">
        <v>37</v>
      </c>
    </row>
    <row r="805" spans="1:9">
      <c r="A805" s="75">
        <v>137</v>
      </c>
      <c r="B805" s="75">
        <v>0</v>
      </c>
      <c r="C805" s="75">
        <v>133</v>
      </c>
      <c r="D805" s="76">
        <v>43352.448344907411</v>
      </c>
      <c r="E805" s="77">
        <v>43344</v>
      </c>
      <c r="F805" s="78">
        <v>0.44834490740740746</v>
      </c>
      <c r="G805" s="75">
        <v>2</v>
      </c>
      <c r="H805" s="75">
        <v>45</v>
      </c>
      <c r="I805" s="75">
        <v>37</v>
      </c>
    </row>
    <row r="806" spans="1:9">
      <c r="A806" s="75">
        <v>118</v>
      </c>
      <c r="B806" s="75">
        <v>0</v>
      </c>
      <c r="C806" s="75">
        <v>118</v>
      </c>
      <c r="D806" s="76">
        <v>43352.458773148152</v>
      </c>
      <c r="E806" s="77">
        <v>43344</v>
      </c>
      <c r="F806" s="78">
        <v>0.45877314814814812</v>
      </c>
      <c r="G806" s="75">
        <v>2</v>
      </c>
      <c r="H806" s="75">
        <v>0</v>
      </c>
      <c r="I806" s="75">
        <v>38</v>
      </c>
    </row>
    <row r="807" spans="1:9">
      <c r="A807" s="75">
        <v>108</v>
      </c>
      <c r="B807" s="75">
        <v>0</v>
      </c>
      <c r="C807" s="75">
        <v>108</v>
      </c>
      <c r="D807" s="76">
        <v>43352.469178240739</v>
      </c>
      <c r="E807" s="77">
        <v>43344</v>
      </c>
      <c r="F807" s="78">
        <v>0.46917824074074077</v>
      </c>
      <c r="G807" s="75">
        <v>2</v>
      </c>
      <c r="H807" s="75">
        <v>15</v>
      </c>
      <c r="I807" s="75">
        <v>37</v>
      </c>
    </row>
    <row r="808" spans="1:9">
      <c r="A808" s="75">
        <v>151</v>
      </c>
      <c r="B808" s="75">
        <v>0</v>
      </c>
      <c r="C808" s="75">
        <v>141</v>
      </c>
      <c r="D808" s="76">
        <v>43352.47960648148</v>
      </c>
      <c r="E808" s="77">
        <v>43344</v>
      </c>
      <c r="F808" s="78">
        <v>0.47960648148148149</v>
      </c>
      <c r="G808" s="75">
        <v>2</v>
      </c>
      <c r="H808" s="75">
        <v>30</v>
      </c>
      <c r="I808" s="75">
        <v>38</v>
      </c>
    </row>
    <row r="809" spans="1:9">
      <c r="A809" s="75">
        <v>191</v>
      </c>
      <c r="B809" s="75">
        <v>0</v>
      </c>
      <c r="C809" s="75">
        <v>191</v>
      </c>
      <c r="D809" s="76">
        <v>43352.490011574075</v>
      </c>
      <c r="E809" s="77">
        <v>43344</v>
      </c>
      <c r="F809" s="78">
        <v>0.49001157407407409</v>
      </c>
      <c r="G809" s="75">
        <v>2</v>
      </c>
      <c r="H809" s="75">
        <v>45</v>
      </c>
      <c r="I809" s="75">
        <v>37</v>
      </c>
    </row>
    <row r="810" spans="1:9">
      <c r="A810" s="75">
        <v>165</v>
      </c>
      <c r="B810" s="75">
        <v>0</v>
      </c>
      <c r="C810" s="75">
        <v>164</v>
      </c>
      <c r="D810" s="76">
        <v>43352.500428240739</v>
      </c>
      <c r="E810" s="77">
        <v>43344</v>
      </c>
      <c r="F810" s="78">
        <v>0.50042824074074077</v>
      </c>
      <c r="G810" s="75">
        <v>2</v>
      </c>
      <c r="H810" s="75">
        <v>0</v>
      </c>
      <c r="I810" s="75">
        <v>37</v>
      </c>
    </row>
    <row r="811" spans="1:9">
      <c r="A811" s="75">
        <v>163</v>
      </c>
      <c r="B811" s="75">
        <v>0</v>
      </c>
      <c r="C811" s="75">
        <v>162</v>
      </c>
      <c r="D811" s="76">
        <v>43352.510833333334</v>
      </c>
      <c r="E811" s="77">
        <v>43344</v>
      </c>
      <c r="F811" s="78">
        <v>0.51083333333333336</v>
      </c>
      <c r="G811" s="75">
        <v>2</v>
      </c>
      <c r="H811" s="75">
        <v>15</v>
      </c>
      <c r="I811" s="75">
        <v>36</v>
      </c>
    </row>
    <row r="812" spans="1:9">
      <c r="A812" s="75">
        <v>204</v>
      </c>
      <c r="B812" s="75">
        <v>0</v>
      </c>
      <c r="C812" s="75">
        <v>204</v>
      </c>
      <c r="D812" s="76">
        <v>43352.521273148152</v>
      </c>
      <c r="E812" s="77">
        <v>43344</v>
      </c>
      <c r="F812" s="78">
        <v>0.52127314814814818</v>
      </c>
      <c r="G812" s="75">
        <v>2</v>
      </c>
      <c r="H812" s="75">
        <v>30</v>
      </c>
      <c r="I812" s="75">
        <v>38</v>
      </c>
    </row>
    <row r="813" spans="1:9">
      <c r="A813" s="75">
        <v>236</v>
      </c>
      <c r="B813" s="75">
        <v>1</v>
      </c>
      <c r="C813" s="75">
        <v>237</v>
      </c>
      <c r="D813" s="76">
        <v>43352.531678240739</v>
      </c>
      <c r="E813" s="77">
        <v>43344</v>
      </c>
      <c r="F813" s="78">
        <v>0.53167824074074077</v>
      </c>
      <c r="G813" s="75">
        <v>2</v>
      </c>
      <c r="H813" s="75">
        <v>45</v>
      </c>
      <c r="I813" s="75">
        <v>37</v>
      </c>
    </row>
    <row r="814" spans="1:9">
      <c r="A814" s="75">
        <v>213</v>
      </c>
      <c r="B814" s="75">
        <v>2</v>
      </c>
      <c r="C814" s="75">
        <v>215</v>
      </c>
      <c r="D814" s="76">
        <v>43352.54210648148</v>
      </c>
      <c r="E814" s="77">
        <v>43344</v>
      </c>
      <c r="F814" s="78">
        <v>0.54210648148148144</v>
      </c>
      <c r="G814" s="75">
        <v>2</v>
      </c>
      <c r="H814" s="75">
        <v>0</v>
      </c>
      <c r="I814" s="75">
        <v>38</v>
      </c>
    </row>
    <row r="815" spans="1:9">
      <c r="A815" s="75">
        <v>246</v>
      </c>
      <c r="B815" s="75">
        <v>0</v>
      </c>
      <c r="C815" s="75">
        <v>246</v>
      </c>
      <c r="D815" s="76">
        <v>43352.552511574075</v>
      </c>
      <c r="E815" s="77">
        <v>43344</v>
      </c>
      <c r="F815" s="78">
        <v>0.55251157407407414</v>
      </c>
      <c r="G815" s="75">
        <v>2</v>
      </c>
      <c r="H815" s="75">
        <v>15</v>
      </c>
      <c r="I815" s="75">
        <v>37</v>
      </c>
    </row>
    <row r="816" spans="1:9">
      <c r="A816" s="75">
        <v>283</v>
      </c>
      <c r="B816" s="75">
        <v>1</v>
      </c>
      <c r="C816" s="75">
        <v>284</v>
      </c>
      <c r="D816" s="76">
        <v>43352.562928240739</v>
      </c>
      <c r="E816" s="77">
        <v>43344</v>
      </c>
      <c r="F816" s="78">
        <v>0.56292824074074077</v>
      </c>
      <c r="G816" s="75">
        <v>2</v>
      </c>
      <c r="H816" s="75">
        <v>30</v>
      </c>
      <c r="I816" s="75">
        <v>37</v>
      </c>
    </row>
    <row r="817" spans="1:9">
      <c r="A817" s="75">
        <v>341</v>
      </c>
      <c r="B817" s="75">
        <v>1</v>
      </c>
      <c r="C817" s="75">
        <v>342</v>
      </c>
      <c r="D817" s="76">
        <v>43352.573344907411</v>
      </c>
      <c r="E817" s="77">
        <v>43344</v>
      </c>
      <c r="F817" s="78">
        <v>0.5733449074074074</v>
      </c>
      <c r="G817" s="75">
        <v>2</v>
      </c>
      <c r="H817" s="75">
        <v>45</v>
      </c>
      <c r="I817" s="75">
        <v>37</v>
      </c>
    </row>
    <row r="818" spans="1:9">
      <c r="A818" s="75">
        <v>313</v>
      </c>
      <c r="B818" s="75">
        <v>1</v>
      </c>
      <c r="C818" s="75">
        <v>314</v>
      </c>
      <c r="D818" s="76">
        <v>43352.583761574075</v>
      </c>
      <c r="E818" s="77">
        <v>43344</v>
      </c>
      <c r="F818" s="78">
        <v>0.58376157407407414</v>
      </c>
      <c r="G818" s="75">
        <v>2</v>
      </c>
      <c r="H818" s="75">
        <v>0</v>
      </c>
      <c r="I818" s="75">
        <v>37</v>
      </c>
    </row>
    <row r="819" spans="1:9">
      <c r="A819" s="75">
        <v>332</v>
      </c>
      <c r="B819" s="75">
        <v>1</v>
      </c>
      <c r="C819" s="75">
        <v>331</v>
      </c>
      <c r="D819" s="76">
        <v>43352.594178240739</v>
      </c>
      <c r="E819" s="77">
        <v>43344</v>
      </c>
      <c r="F819" s="78">
        <v>0.59417824074074077</v>
      </c>
      <c r="G819" s="75">
        <v>2</v>
      </c>
      <c r="H819" s="75">
        <v>15</v>
      </c>
      <c r="I819" s="75">
        <v>37</v>
      </c>
    </row>
    <row r="820" spans="1:9">
      <c r="A820" s="75">
        <v>303</v>
      </c>
      <c r="B820" s="75">
        <v>3</v>
      </c>
      <c r="C820" s="75">
        <v>306</v>
      </c>
      <c r="D820" s="76">
        <v>43352.60460648148</v>
      </c>
      <c r="E820" s="77">
        <v>43344</v>
      </c>
      <c r="F820" s="78">
        <v>0.60460648148148144</v>
      </c>
      <c r="G820" s="75">
        <v>2</v>
      </c>
      <c r="H820" s="75">
        <v>30</v>
      </c>
      <c r="I820" s="75">
        <v>38</v>
      </c>
    </row>
    <row r="821" spans="1:9">
      <c r="A821" s="75">
        <v>304</v>
      </c>
      <c r="B821" s="75">
        <v>3</v>
      </c>
      <c r="C821" s="75">
        <v>307</v>
      </c>
      <c r="D821" s="76">
        <v>43352.615011574075</v>
      </c>
      <c r="E821" s="77">
        <v>43344</v>
      </c>
      <c r="F821" s="78">
        <v>0.61501157407407414</v>
      </c>
      <c r="G821" s="75">
        <v>2</v>
      </c>
      <c r="H821" s="75">
        <v>45</v>
      </c>
      <c r="I821" s="75">
        <v>37</v>
      </c>
    </row>
    <row r="822" spans="1:9">
      <c r="A822" s="75">
        <v>304</v>
      </c>
      <c r="B822" s="75">
        <v>5</v>
      </c>
      <c r="C822" s="75">
        <v>309</v>
      </c>
      <c r="D822" s="76">
        <v>43352.625428240739</v>
      </c>
      <c r="E822" s="77">
        <v>43344</v>
      </c>
      <c r="F822" s="78">
        <v>0.62542824074074077</v>
      </c>
      <c r="G822" s="75">
        <v>2</v>
      </c>
      <c r="H822" s="75">
        <v>0</v>
      </c>
      <c r="I822" s="75">
        <v>37</v>
      </c>
    </row>
    <row r="823" spans="1:9">
      <c r="A823" s="75">
        <v>356</v>
      </c>
      <c r="B823" s="75">
        <v>4</v>
      </c>
      <c r="C823" s="75">
        <v>360</v>
      </c>
      <c r="D823" s="76">
        <v>43352.635833333334</v>
      </c>
      <c r="E823" s="77">
        <v>43344</v>
      </c>
      <c r="F823" s="78">
        <v>0.63583333333333336</v>
      </c>
      <c r="G823" s="75">
        <v>2</v>
      </c>
      <c r="H823" s="75">
        <v>15</v>
      </c>
      <c r="I823" s="75">
        <v>36</v>
      </c>
    </row>
    <row r="824" spans="1:9">
      <c r="A824" s="75">
        <v>352</v>
      </c>
      <c r="B824" s="75">
        <v>1</v>
      </c>
      <c r="C824" s="75">
        <v>353</v>
      </c>
      <c r="D824" s="76">
        <v>43352.646261574075</v>
      </c>
      <c r="E824" s="77">
        <v>43344</v>
      </c>
      <c r="F824" s="78">
        <v>0.64626157407407414</v>
      </c>
      <c r="G824" s="75">
        <v>2</v>
      </c>
      <c r="H824" s="75">
        <v>30</v>
      </c>
      <c r="I824" s="75">
        <v>37</v>
      </c>
    </row>
    <row r="825" spans="1:9">
      <c r="A825" s="75">
        <v>351</v>
      </c>
      <c r="B825" s="75">
        <v>1</v>
      </c>
      <c r="C825" s="75">
        <v>352</v>
      </c>
      <c r="D825" s="76">
        <v>43352.656678240739</v>
      </c>
      <c r="E825" s="77">
        <v>43344</v>
      </c>
      <c r="F825" s="78">
        <v>0.65667824074074077</v>
      </c>
      <c r="G825" s="75">
        <v>2</v>
      </c>
      <c r="H825" s="75">
        <v>45</v>
      </c>
      <c r="I825" s="75">
        <v>37</v>
      </c>
    </row>
    <row r="826" spans="1:9">
      <c r="A826" s="75">
        <v>393</v>
      </c>
      <c r="B826" s="75">
        <v>1</v>
      </c>
      <c r="C826" s="75">
        <v>394</v>
      </c>
      <c r="D826" s="76">
        <v>43352.667094907411</v>
      </c>
      <c r="E826" s="77">
        <v>43344</v>
      </c>
      <c r="F826" s="78">
        <v>0.6670949074074074</v>
      </c>
      <c r="G826" s="75">
        <v>2</v>
      </c>
      <c r="H826" s="75">
        <v>0</v>
      </c>
      <c r="I826" s="75">
        <v>37</v>
      </c>
    </row>
    <row r="827" spans="1:9">
      <c r="A827" s="75">
        <v>373</v>
      </c>
      <c r="B827" s="75">
        <v>1</v>
      </c>
      <c r="C827" s="75">
        <v>374</v>
      </c>
      <c r="D827" s="76">
        <v>43352.677511574075</v>
      </c>
      <c r="E827" s="77">
        <v>43344</v>
      </c>
      <c r="F827" s="78">
        <v>0.67751157407407403</v>
      </c>
      <c r="G827" s="75">
        <v>2</v>
      </c>
      <c r="H827" s="75">
        <v>15</v>
      </c>
      <c r="I827" s="75">
        <v>37</v>
      </c>
    </row>
    <row r="828" spans="1:9">
      <c r="A828" s="75">
        <v>327</v>
      </c>
      <c r="B828" s="75">
        <v>0</v>
      </c>
      <c r="C828" s="75">
        <v>327</v>
      </c>
      <c r="D828" s="76">
        <v>43352.687928240739</v>
      </c>
      <c r="E828" s="77">
        <v>43344</v>
      </c>
      <c r="F828" s="78">
        <v>0.68792824074074066</v>
      </c>
      <c r="G828" s="75">
        <v>2</v>
      </c>
      <c r="H828" s="75">
        <v>30</v>
      </c>
      <c r="I828" s="75">
        <v>37</v>
      </c>
    </row>
    <row r="829" spans="1:9">
      <c r="A829" s="75">
        <v>312</v>
      </c>
      <c r="B829" s="75">
        <v>1</v>
      </c>
      <c r="C829" s="75">
        <v>313</v>
      </c>
      <c r="D829" s="76">
        <v>43352.698333333334</v>
      </c>
      <c r="E829" s="77">
        <v>43344</v>
      </c>
      <c r="F829" s="78">
        <v>0.69833333333333336</v>
      </c>
      <c r="G829" s="75">
        <v>2</v>
      </c>
      <c r="H829" s="75">
        <v>45</v>
      </c>
      <c r="I829" s="75">
        <v>36</v>
      </c>
    </row>
    <row r="830" spans="1:9">
      <c r="A830" s="75">
        <v>265</v>
      </c>
      <c r="B830" s="75">
        <v>0</v>
      </c>
      <c r="C830" s="75">
        <v>265</v>
      </c>
      <c r="D830" s="76">
        <v>43352.708761574075</v>
      </c>
      <c r="E830" s="77">
        <v>43344</v>
      </c>
      <c r="F830" s="78">
        <v>0.70876157407407403</v>
      </c>
      <c r="G830" s="75">
        <v>2</v>
      </c>
      <c r="H830" s="75">
        <v>0</v>
      </c>
      <c r="I830" s="75">
        <v>37</v>
      </c>
    </row>
    <row r="831" spans="1:9">
      <c r="A831" s="75">
        <v>291</v>
      </c>
      <c r="B831" s="75">
        <v>6</v>
      </c>
      <c r="C831" s="75">
        <v>297</v>
      </c>
      <c r="D831" s="76">
        <v>43352.719178240739</v>
      </c>
      <c r="E831" s="77">
        <v>43344</v>
      </c>
      <c r="F831" s="78">
        <v>0.71917824074074066</v>
      </c>
      <c r="G831" s="75">
        <v>2</v>
      </c>
      <c r="H831" s="75">
        <v>15</v>
      </c>
      <c r="I831" s="75">
        <v>37</v>
      </c>
    </row>
    <row r="832" spans="1:9">
      <c r="A832" s="75">
        <v>297</v>
      </c>
      <c r="B832" s="75">
        <v>2</v>
      </c>
      <c r="C832" s="75">
        <v>299</v>
      </c>
      <c r="D832" s="76">
        <v>43352.729594907411</v>
      </c>
      <c r="E832" s="77">
        <v>43344</v>
      </c>
      <c r="F832" s="78">
        <v>0.7295949074074074</v>
      </c>
      <c r="G832" s="75">
        <v>2</v>
      </c>
      <c r="H832" s="75">
        <v>30</v>
      </c>
      <c r="I832" s="75">
        <v>37</v>
      </c>
    </row>
    <row r="833" spans="1:9">
      <c r="A833" s="75">
        <v>275</v>
      </c>
      <c r="B833" s="75">
        <v>0</v>
      </c>
      <c r="C833" s="75">
        <v>275</v>
      </c>
      <c r="D833" s="76">
        <v>43352.740011574075</v>
      </c>
      <c r="E833" s="77">
        <v>43344</v>
      </c>
      <c r="F833" s="78">
        <v>0.74001157407407403</v>
      </c>
      <c r="G833" s="75">
        <v>2</v>
      </c>
      <c r="H833" s="75">
        <v>45</v>
      </c>
      <c r="I833" s="75">
        <v>37</v>
      </c>
    </row>
    <row r="834" spans="1:9">
      <c r="A834" s="75">
        <v>285</v>
      </c>
      <c r="B834" s="75">
        <v>0</v>
      </c>
      <c r="C834" s="75">
        <v>285</v>
      </c>
      <c r="D834" s="76">
        <v>43352.750428240739</v>
      </c>
      <c r="E834" s="77">
        <v>43344</v>
      </c>
      <c r="F834" s="78">
        <v>0.75042824074074066</v>
      </c>
      <c r="G834" s="75">
        <v>2</v>
      </c>
      <c r="H834" s="75">
        <v>0</v>
      </c>
      <c r="I834" s="75">
        <v>37</v>
      </c>
    </row>
    <row r="835" spans="1:9">
      <c r="A835" s="75">
        <v>336</v>
      </c>
      <c r="B835" s="75">
        <v>3</v>
      </c>
      <c r="C835" s="75">
        <v>334</v>
      </c>
      <c r="D835" s="76">
        <v>43352.760833333334</v>
      </c>
      <c r="E835" s="77">
        <v>43344</v>
      </c>
      <c r="F835" s="78">
        <v>0.76083333333333336</v>
      </c>
      <c r="G835" s="75">
        <v>2</v>
      </c>
      <c r="H835" s="75">
        <v>15</v>
      </c>
      <c r="I835" s="75">
        <v>36</v>
      </c>
    </row>
    <row r="836" spans="1:9">
      <c r="A836" s="75">
        <v>339</v>
      </c>
      <c r="B836" s="75">
        <v>0</v>
      </c>
      <c r="C836" s="75">
        <v>339</v>
      </c>
      <c r="D836" s="76">
        <v>43352.771249999998</v>
      </c>
      <c r="E836" s="77">
        <v>43344</v>
      </c>
      <c r="F836" s="78">
        <v>0.7712500000000001</v>
      </c>
      <c r="G836" s="75">
        <v>2</v>
      </c>
      <c r="H836" s="75">
        <v>30</v>
      </c>
      <c r="I836" s="75">
        <v>36</v>
      </c>
    </row>
    <row r="837" spans="1:9">
      <c r="A837" s="75">
        <v>338</v>
      </c>
      <c r="B837" s="75">
        <v>0</v>
      </c>
      <c r="C837" s="75">
        <v>338</v>
      </c>
      <c r="D837" s="76">
        <v>43352.781678240739</v>
      </c>
      <c r="E837" s="77">
        <v>43344</v>
      </c>
      <c r="F837" s="78">
        <v>0.78167824074074066</v>
      </c>
      <c r="G837" s="75">
        <v>2</v>
      </c>
      <c r="H837" s="75">
        <v>45</v>
      </c>
      <c r="I837" s="75">
        <v>37</v>
      </c>
    </row>
    <row r="838" spans="1:9">
      <c r="A838" s="75">
        <v>328</v>
      </c>
      <c r="B838" s="75">
        <v>1</v>
      </c>
      <c r="C838" s="75">
        <v>329</v>
      </c>
      <c r="D838" s="76">
        <v>43352.792094907411</v>
      </c>
      <c r="E838" s="77">
        <v>43344</v>
      </c>
      <c r="F838" s="78">
        <v>0.7920949074074074</v>
      </c>
      <c r="G838" s="75">
        <v>2</v>
      </c>
      <c r="H838" s="75">
        <v>0</v>
      </c>
      <c r="I838" s="75">
        <v>37</v>
      </c>
    </row>
    <row r="839" spans="1:9">
      <c r="A839" s="75">
        <v>366</v>
      </c>
      <c r="B839" s="75">
        <v>2</v>
      </c>
      <c r="C839" s="75">
        <v>368</v>
      </c>
      <c r="D839" s="76">
        <v>43352.802499999998</v>
      </c>
      <c r="E839" s="77">
        <v>43344</v>
      </c>
      <c r="F839" s="78">
        <v>0.8025000000000001</v>
      </c>
      <c r="G839" s="75">
        <v>2</v>
      </c>
      <c r="H839" s="75">
        <v>15</v>
      </c>
      <c r="I839" s="75">
        <v>36</v>
      </c>
    </row>
    <row r="840" spans="1:9">
      <c r="A840" s="75">
        <v>358</v>
      </c>
      <c r="B840" s="75">
        <v>4</v>
      </c>
      <c r="C840" s="75">
        <v>362</v>
      </c>
      <c r="D840" s="76">
        <v>43352.812928240739</v>
      </c>
      <c r="E840" s="77">
        <v>43344</v>
      </c>
      <c r="F840" s="78">
        <v>0.81292824074074066</v>
      </c>
      <c r="G840" s="75">
        <v>2</v>
      </c>
      <c r="H840" s="75">
        <v>30</v>
      </c>
      <c r="I840" s="75">
        <v>37</v>
      </c>
    </row>
    <row r="841" spans="1:9">
      <c r="A841" s="75">
        <v>409</v>
      </c>
      <c r="B841" s="75">
        <v>5</v>
      </c>
      <c r="C841" s="75">
        <v>407</v>
      </c>
      <c r="D841" s="76">
        <v>43352.823333333334</v>
      </c>
      <c r="E841" s="77">
        <v>43344</v>
      </c>
      <c r="F841" s="78">
        <v>0.82333333333333336</v>
      </c>
      <c r="G841" s="75">
        <v>2</v>
      </c>
      <c r="H841" s="75">
        <v>45</v>
      </c>
      <c r="I841" s="75">
        <v>36</v>
      </c>
    </row>
    <row r="842" spans="1:9">
      <c r="A842" s="75">
        <v>373</v>
      </c>
      <c r="B842" s="75">
        <v>5</v>
      </c>
      <c r="C842" s="75">
        <v>377</v>
      </c>
      <c r="D842" s="76">
        <v>43352.833749999998</v>
      </c>
      <c r="E842" s="77">
        <v>43344</v>
      </c>
      <c r="F842" s="78">
        <v>0.8337500000000001</v>
      </c>
      <c r="G842" s="75">
        <v>2</v>
      </c>
      <c r="H842" s="75">
        <v>0</v>
      </c>
      <c r="I842" s="75">
        <v>36</v>
      </c>
    </row>
    <row r="843" spans="1:9">
      <c r="A843" s="75">
        <v>379</v>
      </c>
      <c r="B843" s="75">
        <v>7</v>
      </c>
      <c r="C843" s="75">
        <v>386</v>
      </c>
      <c r="D843" s="76">
        <v>43352.844178240739</v>
      </c>
      <c r="E843" s="77">
        <v>43344</v>
      </c>
      <c r="F843" s="78">
        <v>0.84417824074074066</v>
      </c>
      <c r="G843" s="75">
        <v>2</v>
      </c>
      <c r="H843" s="75">
        <v>15</v>
      </c>
      <c r="I843" s="75">
        <v>37</v>
      </c>
    </row>
    <row r="844" spans="1:9">
      <c r="A844" s="75">
        <v>384</v>
      </c>
      <c r="B844" s="75">
        <v>4</v>
      </c>
      <c r="C844" s="75">
        <v>388</v>
      </c>
      <c r="D844" s="76">
        <v>43352.854583333334</v>
      </c>
      <c r="E844" s="77">
        <v>43344</v>
      </c>
      <c r="F844" s="78">
        <v>0.85458333333333336</v>
      </c>
      <c r="G844" s="75">
        <v>2</v>
      </c>
      <c r="H844" s="75">
        <v>30</v>
      </c>
      <c r="I844" s="75">
        <v>36</v>
      </c>
    </row>
    <row r="845" spans="1:9">
      <c r="A845" s="75">
        <v>393</v>
      </c>
      <c r="B845" s="75">
        <v>5</v>
      </c>
      <c r="C845" s="75">
        <v>398</v>
      </c>
      <c r="D845" s="76">
        <v>43352.864999999998</v>
      </c>
      <c r="E845" s="77">
        <v>43344</v>
      </c>
      <c r="F845" s="78">
        <v>0.8650000000000001</v>
      </c>
      <c r="G845" s="75">
        <v>2</v>
      </c>
      <c r="H845" s="75">
        <v>45</v>
      </c>
      <c r="I845" s="75">
        <v>36</v>
      </c>
    </row>
    <row r="846" spans="1:9">
      <c r="A846" s="75">
        <v>402</v>
      </c>
      <c r="B846" s="75">
        <v>3</v>
      </c>
      <c r="C846" s="75">
        <v>405</v>
      </c>
      <c r="D846" s="76">
        <v>43352.875428240739</v>
      </c>
      <c r="E846" s="77">
        <v>43344</v>
      </c>
      <c r="F846" s="78">
        <v>0.87542824074074066</v>
      </c>
      <c r="G846" s="75">
        <v>2</v>
      </c>
      <c r="H846" s="75">
        <v>0</v>
      </c>
      <c r="I846" s="75">
        <v>37</v>
      </c>
    </row>
    <row r="847" spans="1:9">
      <c r="A847" s="75">
        <v>403</v>
      </c>
      <c r="B847" s="75">
        <v>1</v>
      </c>
      <c r="C847" s="75">
        <v>404</v>
      </c>
      <c r="D847" s="76">
        <v>43352.885844907411</v>
      </c>
      <c r="E847" s="77">
        <v>43344</v>
      </c>
      <c r="F847" s="78">
        <v>0.8858449074074074</v>
      </c>
      <c r="G847" s="75">
        <v>2</v>
      </c>
      <c r="H847" s="75">
        <v>15</v>
      </c>
      <c r="I847" s="75">
        <v>37</v>
      </c>
    </row>
    <row r="848" spans="1:9">
      <c r="A848" s="75">
        <v>422</v>
      </c>
      <c r="B848" s="75">
        <v>2</v>
      </c>
      <c r="C848" s="75">
        <v>424</v>
      </c>
      <c r="D848" s="76">
        <v>43352.896249999998</v>
      </c>
      <c r="E848" s="77">
        <v>43344</v>
      </c>
      <c r="F848" s="78">
        <v>0.8962500000000001</v>
      </c>
      <c r="G848" s="75">
        <v>2</v>
      </c>
      <c r="H848" s="75">
        <v>30</v>
      </c>
      <c r="I848" s="75">
        <v>36</v>
      </c>
    </row>
    <row r="849" spans="1:9">
      <c r="A849" s="75">
        <v>457</v>
      </c>
      <c r="B849" s="75">
        <v>1</v>
      </c>
      <c r="C849" s="75">
        <v>458</v>
      </c>
      <c r="D849" s="76">
        <v>43352.906666666669</v>
      </c>
      <c r="E849" s="77">
        <v>43344</v>
      </c>
      <c r="F849" s="78">
        <v>0.90666666666666673</v>
      </c>
      <c r="G849" s="75">
        <v>2</v>
      </c>
      <c r="H849" s="75">
        <v>45</v>
      </c>
      <c r="I849" s="75">
        <v>36</v>
      </c>
    </row>
    <row r="850" spans="1:9">
      <c r="A850" s="75">
        <v>434</v>
      </c>
      <c r="B850" s="75">
        <v>1</v>
      </c>
      <c r="C850" s="75">
        <v>435</v>
      </c>
      <c r="D850" s="76">
        <v>43352.917094907411</v>
      </c>
      <c r="E850" s="77">
        <v>43344</v>
      </c>
      <c r="F850" s="78">
        <v>0.9170949074074074</v>
      </c>
      <c r="G850" s="75">
        <v>2</v>
      </c>
      <c r="H850" s="75">
        <v>0</v>
      </c>
      <c r="I850" s="75">
        <v>37</v>
      </c>
    </row>
    <row r="851" spans="1:9">
      <c r="A851" s="75">
        <v>451</v>
      </c>
      <c r="B851" s="75">
        <v>2</v>
      </c>
      <c r="C851" s="75">
        <v>453</v>
      </c>
      <c r="D851" s="76">
        <v>43352.927499999998</v>
      </c>
      <c r="E851" s="77">
        <v>43344</v>
      </c>
      <c r="F851" s="78">
        <v>0.9275000000000001</v>
      </c>
      <c r="G851" s="75">
        <v>2</v>
      </c>
      <c r="H851" s="75">
        <v>15</v>
      </c>
      <c r="I851" s="75">
        <v>36</v>
      </c>
    </row>
    <row r="852" spans="1:9">
      <c r="A852" s="75">
        <v>464</v>
      </c>
      <c r="B852" s="75">
        <v>3</v>
      </c>
      <c r="C852" s="75">
        <v>467</v>
      </c>
      <c r="D852" s="76">
        <v>43352.937916666669</v>
      </c>
      <c r="E852" s="77">
        <v>43344</v>
      </c>
      <c r="F852" s="78">
        <v>0.93791666666666673</v>
      </c>
      <c r="G852" s="75">
        <v>2</v>
      </c>
      <c r="H852" s="75">
        <v>30</v>
      </c>
      <c r="I852" s="75">
        <v>36</v>
      </c>
    </row>
    <row r="853" spans="1:9">
      <c r="A853" s="75">
        <v>416</v>
      </c>
      <c r="B853" s="75">
        <v>6</v>
      </c>
      <c r="C853" s="75">
        <v>422</v>
      </c>
      <c r="D853" s="76">
        <v>43352.948344907411</v>
      </c>
      <c r="E853" s="77">
        <v>43344</v>
      </c>
      <c r="F853" s="78">
        <v>0.9483449074074074</v>
      </c>
      <c r="G853" s="75">
        <v>2</v>
      </c>
      <c r="H853" s="75">
        <v>45</v>
      </c>
      <c r="I853" s="75">
        <v>37</v>
      </c>
    </row>
    <row r="854" spans="1:9">
      <c r="A854" s="75">
        <v>397</v>
      </c>
      <c r="B854" s="75">
        <v>3</v>
      </c>
      <c r="C854" s="75">
        <v>400</v>
      </c>
      <c r="D854" s="76">
        <v>43352.958749999998</v>
      </c>
      <c r="E854" s="77">
        <v>43344</v>
      </c>
      <c r="F854" s="78">
        <v>0.9587500000000001</v>
      </c>
      <c r="G854" s="75">
        <v>2</v>
      </c>
      <c r="H854" s="75">
        <v>0</v>
      </c>
      <c r="I854" s="75">
        <v>36</v>
      </c>
    </row>
    <row r="855" spans="1:9">
      <c r="A855" s="75">
        <v>374</v>
      </c>
      <c r="B855" s="75">
        <v>5</v>
      </c>
      <c r="C855" s="75">
        <v>379</v>
      </c>
      <c r="D855" s="76">
        <v>43352.969166666669</v>
      </c>
      <c r="E855" s="77">
        <v>43344</v>
      </c>
      <c r="F855" s="78">
        <v>0.96916666666666673</v>
      </c>
      <c r="G855" s="75">
        <v>2</v>
      </c>
      <c r="H855" s="75">
        <v>15</v>
      </c>
      <c r="I855" s="75">
        <v>36</v>
      </c>
    </row>
    <row r="856" spans="1:9">
      <c r="A856" s="75">
        <v>331</v>
      </c>
      <c r="B856" s="75">
        <v>0</v>
      </c>
      <c r="C856" s="75">
        <v>330</v>
      </c>
      <c r="D856" s="76">
        <v>43352.979594907411</v>
      </c>
      <c r="E856" s="77">
        <v>43344</v>
      </c>
      <c r="F856" s="78">
        <v>0.9795949074074074</v>
      </c>
      <c r="G856" s="75">
        <v>2</v>
      </c>
      <c r="H856" s="75">
        <v>30</v>
      </c>
      <c r="I856" s="75">
        <v>37</v>
      </c>
    </row>
    <row r="857" spans="1:9">
      <c r="A857" s="75">
        <v>275</v>
      </c>
      <c r="B857" s="75">
        <v>1</v>
      </c>
      <c r="C857" s="75">
        <v>270</v>
      </c>
      <c r="D857" s="76">
        <v>43352.99</v>
      </c>
      <c r="E857" s="77">
        <v>43344</v>
      </c>
      <c r="F857" s="78">
        <v>0.9900000000000001</v>
      </c>
      <c r="G857" s="75">
        <v>2</v>
      </c>
      <c r="H857" s="75">
        <v>45</v>
      </c>
      <c r="I857" s="75">
        <v>36</v>
      </c>
    </row>
    <row r="858" spans="1:9">
      <c r="A858" s="75">
        <v>245</v>
      </c>
      <c r="B858" s="75">
        <v>2</v>
      </c>
      <c r="C858" s="75">
        <v>247</v>
      </c>
      <c r="D858" s="76">
        <v>43353.000416666669</v>
      </c>
      <c r="E858" s="77">
        <v>43344</v>
      </c>
      <c r="F858" s="78">
        <v>4.1666666666666669E-4</v>
      </c>
      <c r="G858" s="75">
        <v>2</v>
      </c>
      <c r="H858" s="75">
        <v>0</v>
      </c>
      <c r="I858" s="75">
        <v>36</v>
      </c>
    </row>
    <row r="859" spans="1:9">
      <c r="A859" s="75">
        <v>281</v>
      </c>
      <c r="B859" s="75">
        <v>1</v>
      </c>
      <c r="C859" s="75">
        <v>282</v>
      </c>
      <c r="D859" s="76">
        <v>43353.010821759257</v>
      </c>
      <c r="E859" s="77">
        <v>43344</v>
      </c>
      <c r="F859" s="78">
        <v>1.082175925925926E-2</v>
      </c>
      <c r="G859" s="75">
        <v>2</v>
      </c>
      <c r="H859" s="75">
        <v>15</v>
      </c>
      <c r="I859" s="75">
        <v>35</v>
      </c>
    </row>
    <row r="860" spans="1:9">
      <c r="A860" s="75">
        <v>272</v>
      </c>
      <c r="B860" s="75">
        <v>1</v>
      </c>
      <c r="C860" s="75">
        <v>273</v>
      </c>
      <c r="D860" s="76">
        <v>43353.021249999998</v>
      </c>
      <c r="E860" s="77">
        <v>43344</v>
      </c>
      <c r="F860" s="78">
        <v>2.1250000000000002E-2</v>
      </c>
      <c r="G860" s="75">
        <v>2</v>
      </c>
      <c r="H860" s="75">
        <v>30</v>
      </c>
      <c r="I860" s="75">
        <v>36</v>
      </c>
    </row>
    <row r="861" spans="1:9">
      <c r="A861" s="75">
        <v>239</v>
      </c>
      <c r="B861" s="75">
        <v>1</v>
      </c>
      <c r="C861" s="75">
        <v>240</v>
      </c>
      <c r="D861" s="76">
        <v>43353.031666666669</v>
      </c>
      <c r="E861" s="77">
        <v>43344</v>
      </c>
      <c r="F861" s="78">
        <v>3.1666666666666669E-2</v>
      </c>
      <c r="G861" s="75">
        <v>2</v>
      </c>
      <c r="H861" s="75">
        <v>45</v>
      </c>
      <c r="I861" s="75">
        <v>36</v>
      </c>
    </row>
    <row r="862" spans="1:9">
      <c r="A862" s="75">
        <v>248</v>
      </c>
      <c r="B862" s="75">
        <v>2</v>
      </c>
      <c r="C862" s="75">
        <v>250</v>
      </c>
      <c r="D862" s="76">
        <v>43353.042094907411</v>
      </c>
      <c r="E862" s="77">
        <v>43344</v>
      </c>
      <c r="F862" s="78">
        <v>4.2094907407407407E-2</v>
      </c>
      <c r="G862" s="75">
        <v>2</v>
      </c>
      <c r="H862" s="75">
        <v>0</v>
      </c>
      <c r="I862" s="75">
        <v>37</v>
      </c>
    </row>
    <row r="863" spans="1:9">
      <c r="A863" s="75">
        <v>256</v>
      </c>
      <c r="B863" s="75">
        <v>0</v>
      </c>
      <c r="C863" s="75">
        <v>256</v>
      </c>
      <c r="D863" s="76">
        <v>43353.052499999998</v>
      </c>
      <c r="E863" s="77">
        <v>43344</v>
      </c>
      <c r="F863" s="78">
        <v>5.2499999999999998E-2</v>
      </c>
      <c r="G863" s="75">
        <v>2</v>
      </c>
      <c r="H863" s="75">
        <v>15</v>
      </c>
      <c r="I863" s="75">
        <v>36</v>
      </c>
    </row>
    <row r="864" spans="1:9">
      <c r="A864" s="75">
        <v>207</v>
      </c>
      <c r="B864" s="75">
        <v>0</v>
      </c>
      <c r="C864" s="75">
        <v>206</v>
      </c>
      <c r="D864" s="76">
        <v>43353.062916666669</v>
      </c>
      <c r="E864" s="77">
        <v>43344</v>
      </c>
      <c r="F864" s="78">
        <v>6.2916666666666662E-2</v>
      </c>
      <c r="G864" s="75">
        <v>2</v>
      </c>
      <c r="H864" s="75">
        <v>30</v>
      </c>
      <c r="I864" s="75">
        <v>36</v>
      </c>
    </row>
    <row r="865" spans="1:9">
      <c r="A865" s="75">
        <v>194</v>
      </c>
      <c r="B865" s="75">
        <v>0</v>
      </c>
      <c r="C865" s="75">
        <v>194</v>
      </c>
      <c r="D865" s="76">
        <v>43353.073333333334</v>
      </c>
      <c r="E865" s="77">
        <v>43344</v>
      </c>
      <c r="F865" s="78">
        <v>7.3333333333333334E-2</v>
      </c>
      <c r="G865" s="75">
        <v>2</v>
      </c>
      <c r="H865" s="75">
        <v>45</v>
      </c>
      <c r="I865" s="75">
        <v>36</v>
      </c>
    </row>
    <row r="866" spans="1:9">
      <c r="A866" s="75">
        <v>185</v>
      </c>
      <c r="B866" s="75">
        <v>3</v>
      </c>
      <c r="C866" s="75">
        <v>188</v>
      </c>
      <c r="D866" s="76">
        <v>43353.083761574075</v>
      </c>
      <c r="E866" s="77">
        <v>43344</v>
      </c>
      <c r="F866" s="78">
        <v>8.3761574074074072E-2</v>
      </c>
      <c r="G866" s="75">
        <v>2</v>
      </c>
      <c r="H866" s="75">
        <v>0</v>
      </c>
      <c r="I866" s="75">
        <v>37</v>
      </c>
    </row>
    <row r="867" spans="1:9">
      <c r="A867" s="75">
        <v>216</v>
      </c>
      <c r="B867" s="75">
        <v>3</v>
      </c>
      <c r="C867" s="75">
        <v>219</v>
      </c>
      <c r="D867" s="76">
        <v>43353.094166666669</v>
      </c>
      <c r="E867" s="77">
        <v>43344</v>
      </c>
      <c r="F867" s="78">
        <v>9.4166666666666662E-2</v>
      </c>
      <c r="G867" s="75">
        <v>2</v>
      </c>
      <c r="H867" s="75">
        <v>15</v>
      </c>
      <c r="I867" s="75">
        <v>36</v>
      </c>
    </row>
    <row r="868" spans="1:9">
      <c r="A868" s="75">
        <v>191</v>
      </c>
      <c r="B868" s="75">
        <v>0</v>
      </c>
      <c r="C868" s="75">
        <v>191</v>
      </c>
      <c r="D868" s="76">
        <v>43353.104583333334</v>
      </c>
      <c r="E868" s="77">
        <v>43344</v>
      </c>
      <c r="F868" s="78">
        <v>0.10458333333333332</v>
      </c>
      <c r="G868" s="75">
        <v>2</v>
      </c>
      <c r="H868" s="75">
        <v>30</v>
      </c>
      <c r="I868" s="75">
        <v>36</v>
      </c>
    </row>
    <row r="869" spans="1:9">
      <c r="A869" s="75">
        <v>166</v>
      </c>
      <c r="B869" s="75">
        <v>3</v>
      </c>
      <c r="C869" s="75">
        <v>169</v>
      </c>
      <c r="D869" s="76">
        <v>43353.114988425928</v>
      </c>
      <c r="E869" s="77">
        <v>43344</v>
      </c>
      <c r="F869" s="78">
        <v>0.11498842592592594</v>
      </c>
      <c r="G869" s="75">
        <v>2</v>
      </c>
      <c r="H869" s="75">
        <v>45</v>
      </c>
      <c r="I869" s="75">
        <v>35</v>
      </c>
    </row>
    <row r="870" spans="1:9">
      <c r="A870" s="75">
        <v>152</v>
      </c>
      <c r="B870" s="75">
        <v>4</v>
      </c>
      <c r="C870" s="75">
        <v>156</v>
      </c>
      <c r="D870" s="76">
        <v>43353.125416666669</v>
      </c>
      <c r="E870" s="77">
        <v>43344</v>
      </c>
      <c r="F870" s="78">
        <v>0.12541666666666665</v>
      </c>
      <c r="G870" s="75">
        <v>2</v>
      </c>
      <c r="H870" s="75">
        <v>0</v>
      </c>
      <c r="I870" s="75">
        <v>36</v>
      </c>
    </row>
    <row r="871" spans="1:9">
      <c r="A871" s="75">
        <v>135</v>
      </c>
      <c r="B871" s="75">
        <v>2</v>
      </c>
      <c r="C871" s="75">
        <v>137</v>
      </c>
      <c r="D871" s="76">
        <v>43353.135821759257</v>
      </c>
      <c r="E871" s="77">
        <v>43344</v>
      </c>
      <c r="F871" s="78">
        <v>0.13582175925925927</v>
      </c>
      <c r="G871" s="75">
        <v>2</v>
      </c>
      <c r="H871" s="75">
        <v>15</v>
      </c>
      <c r="I871" s="75">
        <v>35</v>
      </c>
    </row>
    <row r="872" spans="1:9">
      <c r="A872" s="75">
        <v>127</v>
      </c>
      <c r="B872" s="75">
        <v>0</v>
      </c>
      <c r="C872" s="75">
        <v>127</v>
      </c>
      <c r="D872" s="76">
        <v>43353.146261574075</v>
      </c>
      <c r="E872" s="77">
        <v>43344</v>
      </c>
      <c r="F872" s="78">
        <v>0.14626157407407406</v>
      </c>
      <c r="G872" s="75">
        <v>2</v>
      </c>
      <c r="H872" s="75">
        <v>30</v>
      </c>
      <c r="I872" s="75">
        <v>37</v>
      </c>
    </row>
    <row r="873" spans="1:9">
      <c r="A873" s="75">
        <v>111</v>
      </c>
      <c r="B873" s="75">
        <v>0</v>
      </c>
      <c r="C873" s="75">
        <v>111</v>
      </c>
      <c r="D873" s="76">
        <v>43353.156666666669</v>
      </c>
      <c r="E873" s="77">
        <v>43344</v>
      </c>
      <c r="F873" s="78">
        <v>0.15666666666666665</v>
      </c>
      <c r="G873" s="75">
        <v>2</v>
      </c>
      <c r="H873" s="75">
        <v>45</v>
      </c>
      <c r="I873" s="75">
        <v>36</v>
      </c>
    </row>
    <row r="874" spans="1:9">
      <c r="A874" s="75">
        <v>107</v>
      </c>
      <c r="B874" s="75">
        <v>0</v>
      </c>
      <c r="C874" s="75">
        <v>107</v>
      </c>
      <c r="D874" s="76">
        <v>43353.167083333334</v>
      </c>
      <c r="E874" s="77">
        <v>43344</v>
      </c>
      <c r="F874" s="78">
        <v>0.16708333333333333</v>
      </c>
      <c r="G874" s="75">
        <v>2</v>
      </c>
      <c r="H874" s="75">
        <v>0</v>
      </c>
      <c r="I874" s="75">
        <v>36</v>
      </c>
    </row>
    <row r="875" spans="1:9">
      <c r="A875" s="75">
        <v>44</v>
      </c>
      <c r="B875" s="75">
        <v>0</v>
      </c>
      <c r="C875" s="75">
        <v>44</v>
      </c>
      <c r="D875" s="76">
        <v>43353.177499999998</v>
      </c>
      <c r="E875" s="77">
        <v>43344</v>
      </c>
      <c r="F875" s="78">
        <v>0.17749999999999999</v>
      </c>
      <c r="G875" s="75">
        <v>2</v>
      </c>
      <c r="H875" s="75">
        <v>15</v>
      </c>
      <c r="I875" s="75">
        <v>36</v>
      </c>
    </row>
    <row r="876" spans="1:9">
      <c r="A876" s="75">
        <v>16</v>
      </c>
      <c r="B876" s="75">
        <v>0</v>
      </c>
      <c r="C876" s="75">
        <v>15</v>
      </c>
      <c r="D876" s="76">
        <v>43353.187916666669</v>
      </c>
      <c r="E876" s="77">
        <v>43344</v>
      </c>
      <c r="F876" s="78">
        <v>0.18791666666666665</v>
      </c>
      <c r="G876" s="75">
        <v>2</v>
      </c>
      <c r="H876" s="75">
        <v>30</v>
      </c>
      <c r="I876" s="75">
        <v>36</v>
      </c>
    </row>
    <row r="877" spans="1:9">
      <c r="A877" s="75">
        <v>22</v>
      </c>
      <c r="B877" s="75">
        <v>0</v>
      </c>
      <c r="C877" s="75">
        <v>14</v>
      </c>
      <c r="D877" s="76">
        <v>43353.198333333334</v>
      </c>
      <c r="E877" s="77">
        <v>43344</v>
      </c>
      <c r="F877" s="78">
        <v>0.19833333333333333</v>
      </c>
      <c r="G877" s="75">
        <v>2</v>
      </c>
      <c r="H877" s="75">
        <v>45</v>
      </c>
      <c r="I877" s="75">
        <v>36</v>
      </c>
    </row>
    <row r="878" spans="1:9">
      <c r="A878" s="75">
        <v>15</v>
      </c>
      <c r="B878" s="75">
        <v>0</v>
      </c>
      <c r="C878" s="75">
        <v>14</v>
      </c>
      <c r="D878" s="76">
        <v>43353.208749999998</v>
      </c>
      <c r="E878" s="77">
        <v>43344</v>
      </c>
      <c r="F878" s="78">
        <v>0.20874999999999999</v>
      </c>
      <c r="G878" s="75">
        <v>2</v>
      </c>
      <c r="H878" s="75">
        <v>0</v>
      </c>
      <c r="I878" s="75">
        <v>36</v>
      </c>
    </row>
    <row r="879" spans="1:9">
      <c r="A879" s="75">
        <v>15</v>
      </c>
      <c r="B879" s="75">
        <v>0</v>
      </c>
      <c r="C879" s="75">
        <v>14</v>
      </c>
      <c r="D879" s="76">
        <v>43353.219155092593</v>
      </c>
      <c r="E879" s="77">
        <v>43344</v>
      </c>
      <c r="F879" s="78">
        <v>0.21915509259259258</v>
      </c>
      <c r="G879" s="75">
        <v>2</v>
      </c>
      <c r="H879" s="75">
        <v>15</v>
      </c>
      <c r="I879" s="75">
        <v>35</v>
      </c>
    </row>
    <row r="880" spans="1:9">
      <c r="A880" s="75">
        <v>15</v>
      </c>
      <c r="B880" s="75">
        <v>0</v>
      </c>
      <c r="C880" s="75">
        <v>14</v>
      </c>
      <c r="D880" s="76">
        <v>43353.229583333334</v>
      </c>
      <c r="E880" s="77">
        <v>43344</v>
      </c>
      <c r="F880" s="78">
        <v>0.22958333333333333</v>
      </c>
      <c r="G880" s="75">
        <v>2</v>
      </c>
      <c r="H880" s="75">
        <v>30</v>
      </c>
      <c r="I880" s="75">
        <v>36</v>
      </c>
    </row>
    <row r="881" spans="1:9">
      <c r="A881" s="75">
        <v>15</v>
      </c>
      <c r="B881" s="75">
        <v>0</v>
      </c>
      <c r="C881" s="75">
        <v>14</v>
      </c>
      <c r="D881" s="76">
        <v>43353.24</v>
      </c>
      <c r="E881" s="77">
        <v>43344</v>
      </c>
      <c r="F881" s="78">
        <v>0.24</v>
      </c>
      <c r="G881" s="75">
        <v>2</v>
      </c>
      <c r="H881" s="75">
        <v>45</v>
      </c>
      <c r="I881" s="75">
        <v>36</v>
      </c>
    </row>
    <row r="882" spans="1:9">
      <c r="A882" s="75">
        <v>14</v>
      </c>
      <c r="B882" s="75">
        <v>0</v>
      </c>
      <c r="C882" s="75">
        <v>13</v>
      </c>
      <c r="D882" s="76">
        <v>43353.250416666669</v>
      </c>
      <c r="E882" s="77">
        <v>43344</v>
      </c>
      <c r="F882" s="78">
        <v>0.25041666666666668</v>
      </c>
      <c r="G882" s="75">
        <v>2</v>
      </c>
      <c r="H882" s="75">
        <v>0</v>
      </c>
      <c r="I882" s="75">
        <v>36</v>
      </c>
    </row>
    <row r="883" spans="1:9">
      <c r="A883" s="75">
        <v>14</v>
      </c>
      <c r="B883" s="75">
        <v>0</v>
      </c>
      <c r="C883" s="75">
        <v>13</v>
      </c>
      <c r="D883" s="76">
        <v>43353.260821759257</v>
      </c>
      <c r="E883" s="77">
        <v>43344</v>
      </c>
      <c r="F883" s="78">
        <v>0.26082175925925927</v>
      </c>
      <c r="G883" s="75">
        <v>2</v>
      </c>
      <c r="H883" s="75">
        <v>15</v>
      </c>
      <c r="I883" s="75">
        <v>35</v>
      </c>
    </row>
    <row r="884" spans="1:9">
      <c r="A884" s="75">
        <v>14</v>
      </c>
      <c r="B884" s="75">
        <v>0</v>
      </c>
      <c r="C884" s="75">
        <v>13</v>
      </c>
      <c r="D884" s="76">
        <v>43353.273900462962</v>
      </c>
      <c r="E884" s="77">
        <v>43344</v>
      </c>
      <c r="F884" s="78">
        <v>0.27390046296296294</v>
      </c>
      <c r="G884" s="75">
        <v>2</v>
      </c>
      <c r="H884" s="75">
        <v>34</v>
      </c>
      <c r="I884" s="75">
        <v>25</v>
      </c>
    </row>
    <row r="885" spans="1:9">
      <c r="A885" s="75">
        <v>14</v>
      </c>
      <c r="B885" s="75">
        <v>0</v>
      </c>
      <c r="C885" s="75">
        <v>13</v>
      </c>
      <c r="D885" s="76">
        <v>43353.281655092593</v>
      </c>
      <c r="E885" s="77">
        <v>43344</v>
      </c>
      <c r="F885" s="78">
        <v>0.28165509259259258</v>
      </c>
      <c r="G885" s="75">
        <v>2</v>
      </c>
      <c r="H885" s="75">
        <v>45</v>
      </c>
      <c r="I885" s="75">
        <v>35</v>
      </c>
    </row>
    <row r="886" spans="1:9">
      <c r="A886" s="75">
        <v>15</v>
      </c>
      <c r="B886" s="75">
        <v>0</v>
      </c>
      <c r="C886" s="75">
        <v>14</v>
      </c>
      <c r="D886" s="76">
        <v>43353.292094907411</v>
      </c>
      <c r="E886" s="77">
        <v>43344</v>
      </c>
      <c r="F886" s="78">
        <v>0.2920949074074074</v>
      </c>
      <c r="G886" s="75">
        <v>2</v>
      </c>
      <c r="H886" s="75">
        <v>0</v>
      </c>
      <c r="I886" s="75">
        <v>37</v>
      </c>
    </row>
    <row r="887" spans="1:9">
      <c r="A887" s="75">
        <v>34</v>
      </c>
      <c r="B887" s="75">
        <v>0</v>
      </c>
      <c r="C887" s="75">
        <v>33</v>
      </c>
      <c r="D887" s="76">
        <v>43353.302523148152</v>
      </c>
      <c r="E887" s="77">
        <v>43344</v>
      </c>
      <c r="F887" s="78">
        <v>0.30252314814814812</v>
      </c>
      <c r="G887" s="75">
        <v>2</v>
      </c>
      <c r="H887" s="75">
        <v>15</v>
      </c>
      <c r="I887" s="75">
        <v>38</v>
      </c>
    </row>
    <row r="888" spans="1:9">
      <c r="A888" s="75">
        <v>38</v>
      </c>
      <c r="B888" s="75">
        <v>0</v>
      </c>
      <c r="C888" s="75">
        <v>37</v>
      </c>
      <c r="D888" s="76">
        <v>43353.312928240739</v>
      </c>
      <c r="E888" s="77">
        <v>43344</v>
      </c>
      <c r="F888" s="78">
        <v>0.31292824074074072</v>
      </c>
      <c r="G888" s="75">
        <v>2</v>
      </c>
      <c r="H888" s="75">
        <v>30</v>
      </c>
      <c r="I888" s="75">
        <v>37</v>
      </c>
    </row>
    <row r="889" spans="1:9">
      <c r="A889" s="75">
        <v>58</v>
      </c>
      <c r="B889" s="75">
        <v>0</v>
      </c>
      <c r="C889" s="75">
        <v>57</v>
      </c>
      <c r="D889" s="76">
        <v>43353.32335648148</v>
      </c>
      <c r="E889" s="77">
        <v>43344</v>
      </c>
      <c r="F889" s="78">
        <v>0.32335648148148149</v>
      </c>
      <c r="G889" s="75">
        <v>2</v>
      </c>
      <c r="H889" s="75">
        <v>45</v>
      </c>
      <c r="I889" s="75">
        <v>38</v>
      </c>
    </row>
    <row r="890" spans="1:9">
      <c r="A890" s="75">
        <v>45</v>
      </c>
      <c r="B890" s="75">
        <v>0</v>
      </c>
      <c r="C890" s="75">
        <v>44</v>
      </c>
      <c r="D890" s="76">
        <v>43353.333773148152</v>
      </c>
      <c r="E890" s="77">
        <v>43344</v>
      </c>
      <c r="F890" s="78">
        <v>0.33377314814814812</v>
      </c>
      <c r="G890" s="75">
        <v>2</v>
      </c>
      <c r="H890" s="75">
        <v>0</v>
      </c>
      <c r="I890" s="75">
        <v>38</v>
      </c>
    </row>
    <row r="891" spans="1:9">
      <c r="A891" s="75">
        <v>59</v>
      </c>
      <c r="B891" s="75">
        <v>0</v>
      </c>
      <c r="C891" s="75">
        <v>59</v>
      </c>
      <c r="D891" s="76">
        <v>43353.344178240739</v>
      </c>
      <c r="E891" s="77">
        <v>43344</v>
      </c>
      <c r="F891" s="78">
        <v>0.34417824074074077</v>
      </c>
      <c r="G891" s="75">
        <v>2</v>
      </c>
      <c r="H891" s="75">
        <v>15</v>
      </c>
      <c r="I891" s="75">
        <v>37</v>
      </c>
    </row>
    <row r="892" spans="1:9">
      <c r="A892" s="75">
        <v>108</v>
      </c>
      <c r="B892" s="75">
        <v>0</v>
      </c>
      <c r="C892" s="75">
        <v>108</v>
      </c>
      <c r="D892" s="76">
        <v>43353.354594907411</v>
      </c>
      <c r="E892" s="77">
        <v>43344</v>
      </c>
      <c r="F892" s="78">
        <v>0.35459490740740746</v>
      </c>
      <c r="G892" s="75">
        <v>2</v>
      </c>
      <c r="H892" s="75">
        <v>30</v>
      </c>
      <c r="I892" s="75">
        <v>37</v>
      </c>
    </row>
    <row r="893" spans="1:9">
      <c r="A893" s="75">
        <v>145</v>
      </c>
      <c r="B893" s="75">
        <v>1</v>
      </c>
      <c r="C893" s="75">
        <v>146</v>
      </c>
      <c r="D893" s="76">
        <v>43353.365011574075</v>
      </c>
      <c r="E893" s="77">
        <v>43344</v>
      </c>
      <c r="F893" s="78">
        <v>0.36501157407407409</v>
      </c>
      <c r="G893" s="75">
        <v>2</v>
      </c>
      <c r="H893" s="75">
        <v>45</v>
      </c>
      <c r="I893" s="75">
        <v>37</v>
      </c>
    </row>
    <row r="894" spans="1:9">
      <c r="A894" s="75">
        <v>146</v>
      </c>
      <c r="B894" s="75">
        <v>0</v>
      </c>
      <c r="C894" s="75">
        <v>145</v>
      </c>
      <c r="D894" s="76">
        <v>43353.375428240739</v>
      </c>
      <c r="E894" s="77">
        <v>43344</v>
      </c>
      <c r="F894" s="78">
        <v>0.37542824074074077</v>
      </c>
      <c r="G894" s="75">
        <v>2</v>
      </c>
      <c r="H894" s="75">
        <v>0</v>
      </c>
      <c r="I894" s="75">
        <v>37</v>
      </c>
    </row>
    <row r="895" spans="1:9">
      <c r="A895" s="75">
        <v>213</v>
      </c>
      <c r="B895" s="75">
        <v>1</v>
      </c>
      <c r="C895" s="75">
        <v>214</v>
      </c>
      <c r="D895" s="76">
        <v>43353.385844907411</v>
      </c>
      <c r="E895" s="77">
        <v>43344</v>
      </c>
      <c r="F895" s="78">
        <v>0.38584490740740746</v>
      </c>
      <c r="G895" s="75">
        <v>2</v>
      </c>
      <c r="H895" s="75">
        <v>15</v>
      </c>
      <c r="I895" s="75">
        <v>37</v>
      </c>
    </row>
    <row r="896" spans="1:9">
      <c r="A896" s="75">
        <v>312</v>
      </c>
      <c r="B896" s="75">
        <v>2</v>
      </c>
      <c r="C896" s="75">
        <v>314</v>
      </c>
      <c r="D896" s="76">
        <v>43353.396273148152</v>
      </c>
      <c r="E896" s="77">
        <v>43344</v>
      </c>
      <c r="F896" s="78">
        <v>0.39627314814814812</v>
      </c>
      <c r="G896" s="75">
        <v>2</v>
      </c>
      <c r="H896" s="75">
        <v>30</v>
      </c>
      <c r="I896" s="75">
        <v>38</v>
      </c>
    </row>
    <row r="897" spans="1:9">
      <c r="A897" s="75">
        <v>539</v>
      </c>
      <c r="B897" s="75">
        <v>4</v>
      </c>
      <c r="C897" s="75">
        <v>543</v>
      </c>
      <c r="D897" s="76">
        <v>43353.406678240739</v>
      </c>
      <c r="E897" s="77">
        <v>43344</v>
      </c>
      <c r="F897" s="78">
        <v>0.40667824074074077</v>
      </c>
      <c r="G897" s="75">
        <v>2</v>
      </c>
      <c r="H897" s="75">
        <v>45</v>
      </c>
      <c r="I897" s="75">
        <v>37</v>
      </c>
    </row>
    <row r="898" spans="1:9">
      <c r="A898" s="75">
        <v>471</v>
      </c>
      <c r="B898" s="75">
        <v>2</v>
      </c>
      <c r="C898" s="75">
        <v>473</v>
      </c>
      <c r="D898" s="76">
        <v>43353.417094907411</v>
      </c>
      <c r="E898" s="77">
        <v>43344</v>
      </c>
      <c r="F898" s="78">
        <v>0.41709490740740746</v>
      </c>
      <c r="G898" s="75">
        <v>2</v>
      </c>
      <c r="H898" s="75">
        <v>0</v>
      </c>
      <c r="I898" s="75">
        <v>37</v>
      </c>
    </row>
    <row r="899" spans="1:9">
      <c r="A899" s="75">
        <v>495</v>
      </c>
      <c r="B899" s="75">
        <v>6</v>
      </c>
      <c r="C899" s="75">
        <v>501</v>
      </c>
      <c r="D899" s="76">
        <v>43353.427499999998</v>
      </c>
      <c r="E899" s="77">
        <v>43344</v>
      </c>
      <c r="F899" s="78">
        <v>0.42749999999999999</v>
      </c>
      <c r="G899" s="75">
        <v>2</v>
      </c>
      <c r="H899" s="75">
        <v>15</v>
      </c>
      <c r="I899" s="75">
        <v>36</v>
      </c>
    </row>
    <row r="900" spans="1:9">
      <c r="A900" s="75">
        <v>612</v>
      </c>
      <c r="B900" s="75">
        <v>13</v>
      </c>
      <c r="C900" s="75">
        <v>625</v>
      </c>
      <c r="D900" s="76">
        <v>43353.437928240739</v>
      </c>
      <c r="E900" s="77">
        <v>43344</v>
      </c>
      <c r="F900" s="78">
        <v>0.43792824074074077</v>
      </c>
      <c r="G900" s="75">
        <v>2</v>
      </c>
      <c r="H900" s="75">
        <v>30</v>
      </c>
      <c r="I900" s="75">
        <v>37</v>
      </c>
    </row>
    <row r="901" spans="1:9">
      <c r="A901" s="75">
        <v>776</v>
      </c>
      <c r="B901" s="75">
        <v>15</v>
      </c>
      <c r="C901" s="75">
        <v>791</v>
      </c>
      <c r="D901" s="76">
        <v>43353.448333333334</v>
      </c>
      <c r="E901" s="77">
        <v>43344</v>
      </c>
      <c r="F901" s="78">
        <v>0.44833333333333331</v>
      </c>
      <c r="G901" s="75">
        <v>2</v>
      </c>
      <c r="H901" s="75">
        <v>45</v>
      </c>
      <c r="I901" s="75">
        <v>36</v>
      </c>
    </row>
    <row r="902" spans="1:9">
      <c r="A902" s="75">
        <v>545</v>
      </c>
      <c r="B902" s="75">
        <v>8</v>
      </c>
      <c r="C902" s="75">
        <v>553</v>
      </c>
      <c r="D902" s="76">
        <v>43353.458773148152</v>
      </c>
      <c r="E902" s="77">
        <v>43344</v>
      </c>
      <c r="F902" s="78">
        <v>0.45877314814814812</v>
      </c>
      <c r="G902" s="75">
        <v>2</v>
      </c>
      <c r="H902" s="75">
        <v>0</v>
      </c>
      <c r="I902" s="75">
        <v>38</v>
      </c>
    </row>
    <row r="903" spans="1:9">
      <c r="A903" s="75">
        <v>454</v>
      </c>
      <c r="B903" s="75">
        <v>9</v>
      </c>
      <c r="C903" s="75">
        <v>463</v>
      </c>
      <c r="D903" s="76">
        <v>43353.469178240739</v>
      </c>
      <c r="E903" s="77">
        <v>43344</v>
      </c>
      <c r="F903" s="78">
        <v>0.46917824074074077</v>
      </c>
      <c r="G903" s="75">
        <v>2</v>
      </c>
      <c r="H903" s="75">
        <v>15</v>
      </c>
      <c r="I903" s="75">
        <v>37</v>
      </c>
    </row>
    <row r="904" spans="1:9">
      <c r="A904" s="75">
        <v>404</v>
      </c>
      <c r="B904" s="75">
        <v>3</v>
      </c>
      <c r="C904" s="75">
        <v>407</v>
      </c>
      <c r="D904" s="76">
        <v>43353.479594907411</v>
      </c>
      <c r="E904" s="77">
        <v>43344</v>
      </c>
      <c r="F904" s="78">
        <v>0.47959490740740746</v>
      </c>
      <c r="G904" s="75">
        <v>2</v>
      </c>
      <c r="H904" s="75">
        <v>30</v>
      </c>
      <c r="I904" s="75">
        <v>37</v>
      </c>
    </row>
    <row r="905" spans="1:9">
      <c r="A905" s="75">
        <v>385</v>
      </c>
      <c r="B905" s="75">
        <v>5</v>
      </c>
      <c r="C905" s="75">
        <v>390</v>
      </c>
      <c r="D905" s="76">
        <v>43353.490011574075</v>
      </c>
      <c r="E905" s="77">
        <v>43344</v>
      </c>
      <c r="F905" s="78">
        <v>0.49001157407407409</v>
      </c>
      <c r="G905" s="75">
        <v>2</v>
      </c>
      <c r="H905" s="75">
        <v>45</v>
      </c>
      <c r="I905" s="75">
        <v>37</v>
      </c>
    </row>
    <row r="906" spans="1:9">
      <c r="A906" s="75">
        <v>300</v>
      </c>
      <c r="B906" s="75">
        <v>5</v>
      </c>
      <c r="C906" s="75">
        <v>299</v>
      </c>
      <c r="D906" s="76">
        <v>43353.500428240739</v>
      </c>
      <c r="E906" s="77">
        <v>43344</v>
      </c>
      <c r="F906" s="78">
        <v>0.50042824074074077</v>
      </c>
      <c r="G906" s="75">
        <v>2</v>
      </c>
      <c r="H906" s="75">
        <v>0</v>
      </c>
      <c r="I906" s="75">
        <v>37</v>
      </c>
    </row>
    <row r="907" spans="1:9">
      <c r="A907" s="75">
        <v>258</v>
      </c>
      <c r="B907" s="75">
        <v>0</v>
      </c>
      <c r="C907" s="75">
        <v>257</v>
      </c>
      <c r="D907" s="76">
        <v>43353.510844907411</v>
      </c>
      <c r="E907" s="77">
        <v>43344</v>
      </c>
      <c r="F907" s="78">
        <v>0.5108449074074074</v>
      </c>
      <c r="G907" s="75">
        <v>2</v>
      </c>
      <c r="H907" s="75">
        <v>15</v>
      </c>
      <c r="I907" s="75">
        <v>37</v>
      </c>
    </row>
    <row r="908" spans="1:9">
      <c r="A908" s="75">
        <v>295</v>
      </c>
      <c r="B908" s="75">
        <v>0</v>
      </c>
      <c r="C908" s="75">
        <v>294</v>
      </c>
      <c r="D908" s="76">
        <v>43353.521261574075</v>
      </c>
      <c r="E908" s="77">
        <v>43344</v>
      </c>
      <c r="F908" s="78">
        <v>0.52126157407407414</v>
      </c>
      <c r="G908" s="75">
        <v>2</v>
      </c>
      <c r="H908" s="75">
        <v>30</v>
      </c>
      <c r="I908" s="75">
        <v>37</v>
      </c>
    </row>
    <row r="909" spans="1:9">
      <c r="A909" s="75">
        <v>312</v>
      </c>
      <c r="B909" s="75">
        <v>1</v>
      </c>
      <c r="C909" s="75">
        <v>313</v>
      </c>
      <c r="D909" s="76">
        <v>43353.531678240739</v>
      </c>
      <c r="E909" s="77">
        <v>43344</v>
      </c>
      <c r="F909" s="78">
        <v>0.53167824074074077</v>
      </c>
      <c r="G909" s="75">
        <v>2</v>
      </c>
      <c r="H909" s="75">
        <v>45</v>
      </c>
      <c r="I909" s="75">
        <v>37</v>
      </c>
    </row>
    <row r="910" spans="1:9">
      <c r="A910" s="75">
        <v>273</v>
      </c>
      <c r="B910" s="75">
        <v>1</v>
      </c>
      <c r="C910" s="75">
        <v>274</v>
      </c>
      <c r="D910" s="76">
        <v>43353.542094907411</v>
      </c>
      <c r="E910" s="77">
        <v>43344</v>
      </c>
      <c r="F910" s="78">
        <v>0.5420949074074074</v>
      </c>
      <c r="G910" s="75">
        <v>2</v>
      </c>
      <c r="H910" s="75">
        <v>0</v>
      </c>
      <c r="I910" s="75">
        <v>37</v>
      </c>
    </row>
    <row r="911" spans="1:9">
      <c r="A911" s="75">
        <v>307</v>
      </c>
      <c r="B911" s="75">
        <v>0</v>
      </c>
      <c r="C911" s="75">
        <v>305</v>
      </c>
      <c r="D911" s="76">
        <v>43353.552511574075</v>
      </c>
      <c r="E911" s="77">
        <v>43344</v>
      </c>
      <c r="F911" s="78">
        <v>0.55251157407407414</v>
      </c>
      <c r="G911" s="75">
        <v>2</v>
      </c>
      <c r="H911" s="75">
        <v>15</v>
      </c>
      <c r="I911" s="75">
        <v>37</v>
      </c>
    </row>
    <row r="912" spans="1:9">
      <c r="A912" s="75">
        <v>332</v>
      </c>
      <c r="B912" s="75">
        <v>2</v>
      </c>
      <c r="C912" s="75">
        <v>334</v>
      </c>
      <c r="D912" s="76">
        <v>43353.562928240739</v>
      </c>
      <c r="E912" s="77">
        <v>43344</v>
      </c>
      <c r="F912" s="78">
        <v>0.56292824074074077</v>
      </c>
      <c r="G912" s="75">
        <v>2</v>
      </c>
      <c r="H912" s="75">
        <v>30</v>
      </c>
      <c r="I912" s="75">
        <v>37</v>
      </c>
    </row>
    <row r="913" spans="1:9">
      <c r="A913" s="75">
        <v>338</v>
      </c>
      <c r="B913" s="75">
        <v>0</v>
      </c>
      <c r="C913" s="75">
        <v>338</v>
      </c>
      <c r="D913" s="76">
        <v>43353.573344907411</v>
      </c>
      <c r="E913" s="77">
        <v>43344</v>
      </c>
      <c r="F913" s="78">
        <v>0.5733449074074074</v>
      </c>
      <c r="G913" s="75">
        <v>2</v>
      </c>
      <c r="H913" s="75">
        <v>45</v>
      </c>
      <c r="I913" s="75">
        <v>37</v>
      </c>
    </row>
    <row r="914" spans="1:9">
      <c r="A914" s="75">
        <v>296</v>
      </c>
      <c r="B914" s="75">
        <v>0</v>
      </c>
      <c r="C914" s="75">
        <v>296</v>
      </c>
      <c r="D914" s="76">
        <v>43353.583749999998</v>
      </c>
      <c r="E914" s="77">
        <v>43344</v>
      </c>
      <c r="F914" s="78">
        <v>0.58374999999999999</v>
      </c>
      <c r="G914" s="75">
        <v>2</v>
      </c>
      <c r="H914" s="75">
        <v>0</v>
      </c>
      <c r="I914" s="75">
        <v>36</v>
      </c>
    </row>
    <row r="915" spans="1:9">
      <c r="A915" s="75">
        <v>337</v>
      </c>
      <c r="B915" s="75">
        <v>0</v>
      </c>
      <c r="C915" s="75">
        <v>337</v>
      </c>
      <c r="D915" s="76">
        <v>43353.594178240739</v>
      </c>
      <c r="E915" s="77">
        <v>43344</v>
      </c>
      <c r="F915" s="78">
        <v>0.59417824074074077</v>
      </c>
      <c r="G915" s="75">
        <v>2</v>
      </c>
      <c r="H915" s="75">
        <v>15</v>
      </c>
      <c r="I915" s="75">
        <v>37</v>
      </c>
    </row>
    <row r="916" spans="1:9">
      <c r="A916" s="75">
        <v>346</v>
      </c>
      <c r="B916" s="75">
        <v>0</v>
      </c>
      <c r="C916" s="75">
        <v>346</v>
      </c>
      <c r="D916" s="76">
        <v>43353.604594907411</v>
      </c>
      <c r="E916" s="77">
        <v>43344</v>
      </c>
      <c r="F916" s="78">
        <v>0.6045949074074074</v>
      </c>
      <c r="G916" s="75">
        <v>2</v>
      </c>
      <c r="H916" s="75">
        <v>30</v>
      </c>
      <c r="I916" s="75">
        <v>37</v>
      </c>
    </row>
    <row r="917" spans="1:9">
      <c r="A917" s="75">
        <v>403</v>
      </c>
      <c r="B917" s="75">
        <v>1</v>
      </c>
      <c r="C917" s="75">
        <v>404</v>
      </c>
      <c r="D917" s="76">
        <v>43353.614999999998</v>
      </c>
      <c r="E917" s="77">
        <v>43344</v>
      </c>
      <c r="F917" s="78">
        <v>0.61499999999999999</v>
      </c>
      <c r="G917" s="75">
        <v>2</v>
      </c>
      <c r="H917" s="75">
        <v>45</v>
      </c>
      <c r="I917" s="75">
        <v>36</v>
      </c>
    </row>
    <row r="918" spans="1:9">
      <c r="A918" s="75">
        <v>354</v>
      </c>
      <c r="B918" s="75">
        <v>1</v>
      </c>
      <c r="C918" s="75">
        <v>355</v>
      </c>
      <c r="D918" s="76">
        <v>43353.625486111108</v>
      </c>
      <c r="E918" s="77">
        <v>43344</v>
      </c>
      <c r="F918" s="78">
        <v>0.62548611111111108</v>
      </c>
      <c r="G918" s="75">
        <v>2</v>
      </c>
      <c r="H918" s="75">
        <v>0</v>
      </c>
      <c r="I918" s="75">
        <v>42</v>
      </c>
    </row>
    <row r="919" spans="1:9">
      <c r="A919" s="75">
        <v>403</v>
      </c>
      <c r="B919" s="75">
        <v>2</v>
      </c>
      <c r="C919" s="75">
        <v>395</v>
      </c>
      <c r="D919" s="76">
        <v>43353.635833333334</v>
      </c>
      <c r="E919" s="77">
        <v>43344</v>
      </c>
      <c r="F919" s="78">
        <v>0.63583333333333336</v>
      </c>
      <c r="G919" s="75">
        <v>2</v>
      </c>
      <c r="H919" s="75">
        <v>15</v>
      </c>
      <c r="I919" s="75">
        <v>36</v>
      </c>
    </row>
    <row r="920" spans="1:9">
      <c r="A920" s="75">
        <v>412</v>
      </c>
      <c r="B920" s="75">
        <v>2</v>
      </c>
      <c r="C920" s="75">
        <v>414</v>
      </c>
      <c r="D920" s="76">
        <v>43353.646261574075</v>
      </c>
      <c r="E920" s="77">
        <v>43344</v>
      </c>
      <c r="F920" s="78">
        <v>0.64626157407407414</v>
      </c>
      <c r="G920" s="75">
        <v>2</v>
      </c>
      <c r="H920" s="75">
        <v>30</v>
      </c>
      <c r="I920" s="75">
        <v>37</v>
      </c>
    </row>
    <row r="921" spans="1:9">
      <c r="A921" s="75">
        <v>483</v>
      </c>
      <c r="B921" s="75">
        <v>2</v>
      </c>
      <c r="C921" s="75">
        <v>485</v>
      </c>
      <c r="D921" s="76">
        <v>43353.656678240739</v>
      </c>
      <c r="E921" s="77">
        <v>43344</v>
      </c>
      <c r="F921" s="78">
        <v>0.65667824074074077</v>
      </c>
      <c r="G921" s="75">
        <v>2</v>
      </c>
      <c r="H921" s="75">
        <v>45</v>
      </c>
      <c r="I921" s="75">
        <v>37</v>
      </c>
    </row>
    <row r="922" spans="1:9">
      <c r="A922" s="75">
        <v>408</v>
      </c>
      <c r="B922" s="75">
        <v>1</v>
      </c>
      <c r="C922" s="75">
        <v>409</v>
      </c>
      <c r="D922" s="76">
        <v>43353.667083333334</v>
      </c>
      <c r="E922" s="77">
        <v>43344</v>
      </c>
      <c r="F922" s="78">
        <v>0.66708333333333336</v>
      </c>
      <c r="G922" s="75">
        <v>2</v>
      </c>
      <c r="H922" s="75">
        <v>0</v>
      </c>
      <c r="I922" s="75">
        <v>36</v>
      </c>
    </row>
    <row r="923" spans="1:9">
      <c r="A923" s="75">
        <v>493</v>
      </c>
      <c r="B923" s="75">
        <v>4</v>
      </c>
      <c r="C923" s="75">
        <v>497</v>
      </c>
      <c r="D923" s="76">
        <v>43353.677511574075</v>
      </c>
      <c r="E923" s="77">
        <v>43344</v>
      </c>
      <c r="F923" s="78">
        <v>0.67751157407407403</v>
      </c>
      <c r="G923" s="75">
        <v>2</v>
      </c>
      <c r="H923" s="75">
        <v>15</v>
      </c>
      <c r="I923" s="75">
        <v>37</v>
      </c>
    </row>
    <row r="924" spans="1:9">
      <c r="A924" s="75">
        <v>432</v>
      </c>
      <c r="B924" s="75">
        <v>7</v>
      </c>
      <c r="C924" s="75">
        <v>439</v>
      </c>
      <c r="D924" s="76">
        <v>43353.687928240739</v>
      </c>
      <c r="E924" s="77">
        <v>43344</v>
      </c>
      <c r="F924" s="78">
        <v>0.68792824074074066</v>
      </c>
      <c r="G924" s="75">
        <v>2</v>
      </c>
      <c r="H924" s="75">
        <v>30</v>
      </c>
      <c r="I924" s="75">
        <v>37</v>
      </c>
    </row>
    <row r="925" spans="1:9">
      <c r="A925" s="75">
        <v>487</v>
      </c>
      <c r="B925" s="75">
        <v>4</v>
      </c>
      <c r="C925" s="75">
        <v>491</v>
      </c>
      <c r="D925" s="76">
        <v>43353.698344907411</v>
      </c>
      <c r="E925" s="77">
        <v>43344</v>
      </c>
      <c r="F925" s="78">
        <v>0.6983449074074074</v>
      </c>
      <c r="G925" s="75">
        <v>2</v>
      </c>
      <c r="H925" s="75">
        <v>45</v>
      </c>
      <c r="I925" s="75">
        <v>37</v>
      </c>
    </row>
    <row r="926" spans="1:9">
      <c r="A926" s="75">
        <v>442</v>
      </c>
      <c r="B926" s="75">
        <v>3</v>
      </c>
      <c r="C926" s="75">
        <v>445</v>
      </c>
      <c r="D926" s="76">
        <v>43353.708749999998</v>
      </c>
      <c r="E926" s="77">
        <v>43344</v>
      </c>
      <c r="F926" s="78">
        <v>0.7087500000000001</v>
      </c>
      <c r="G926" s="75">
        <v>2</v>
      </c>
      <c r="H926" s="75">
        <v>0</v>
      </c>
      <c r="I926" s="75">
        <v>36</v>
      </c>
    </row>
    <row r="927" spans="1:9">
      <c r="A927" s="75">
        <v>478</v>
      </c>
      <c r="B927" s="75">
        <v>6</v>
      </c>
      <c r="C927" s="75">
        <v>484</v>
      </c>
      <c r="D927" s="76">
        <v>43353.719166666669</v>
      </c>
      <c r="E927" s="77">
        <v>43344</v>
      </c>
      <c r="F927" s="78">
        <v>0.71916666666666673</v>
      </c>
      <c r="G927" s="75">
        <v>2</v>
      </c>
      <c r="H927" s="75">
        <v>15</v>
      </c>
      <c r="I927" s="75">
        <v>36</v>
      </c>
    </row>
    <row r="928" spans="1:9">
      <c r="A928" s="75">
        <v>452</v>
      </c>
      <c r="B928" s="75">
        <v>7</v>
      </c>
      <c r="C928" s="75">
        <v>459</v>
      </c>
      <c r="D928" s="76">
        <v>43353.729594907411</v>
      </c>
      <c r="E928" s="77">
        <v>43344</v>
      </c>
      <c r="F928" s="78">
        <v>0.7295949074074074</v>
      </c>
      <c r="G928" s="75">
        <v>2</v>
      </c>
      <c r="H928" s="75">
        <v>30</v>
      </c>
      <c r="I928" s="75">
        <v>37</v>
      </c>
    </row>
    <row r="929" spans="1:9">
      <c r="A929" s="75">
        <v>397</v>
      </c>
      <c r="B929" s="75">
        <v>5</v>
      </c>
      <c r="C929" s="75">
        <v>402</v>
      </c>
      <c r="D929" s="76">
        <v>43353.74</v>
      </c>
      <c r="E929" s="77">
        <v>43344</v>
      </c>
      <c r="F929" s="78">
        <v>0.7400000000000001</v>
      </c>
      <c r="G929" s="75">
        <v>2</v>
      </c>
      <c r="H929" s="75">
        <v>45</v>
      </c>
      <c r="I929" s="75">
        <v>36</v>
      </c>
    </row>
    <row r="930" spans="1:9">
      <c r="A930" s="75">
        <v>336</v>
      </c>
      <c r="B930" s="75">
        <v>3</v>
      </c>
      <c r="C930" s="75">
        <v>339</v>
      </c>
      <c r="D930" s="76">
        <v>43353.750416666669</v>
      </c>
      <c r="E930" s="77">
        <v>43344</v>
      </c>
      <c r="F930" s="78">
        <v>0.75041666666666673</v>
      </c>
      <c r="G930" s="75">
        <v>2</v>
      </c>
      <c r="H930" s="75">
        <v>0</v>
      </c>
      <c r="I930" s="75">
        <v>36</v>
      </c>
    </row>
    <row r="931" spans="1:9">
      <c r="A931" s="75">
        <v>463</v>
      </c>
      <c r="B931" s="75">
        <v>11</v>
      </c>
      <c r="C931" s="75">
        <v>474</v>
      </c>
      <c r="D931" s="76">
        <v>43353.760833333334</v>
      </c>
      <c r="E931" s="77">
        <v>43344</v>
      </c>
      <c r="F931" s="78">
        <v>0.76083333333333336</v>
      </c>
      <c r="G931" s="75">
        <v>2</v>
      </c>
      <c r="H931" s="75">
        <v>15</v>
      </c>
      <c r="I931" s="75">
        <v>36</v>
      </c>
    </row>
    <row r="932" spans="1:9">
      <c r="A932" s="75">
        <v>428</v>
      </c>
      <c r="B932" s="75">
        <v>7</v>
      </c>
      <c r="C932" s="75">
        <v>435</v>
      </c>
      <c r="D932" s="76">
        <v>43353.771249999998</v>
      </c>
      <c r="E932" s="77">
        <v>43344</v>
      </c>
      <c r="F932" s="78">
        <v>0.7712500000000001</v>
      </c>
      <c r="G932" s="75">
        <v>2</v>
      </c>
      <c r="H932" s="75">
        <v>30</v>
      </c>
      <c r="I932" s="75">
        <v>36</v>
      </c>
    </row>
    <row r="933" spans="1:9">
      <c r="A933" s="75">
        <v>476</v>
      </c>
      <c r="B933" s="75">
        <v>11</v>
      </c>
      <c r="C933" s="75">
        <v>487</v>
      </c>
      <c r="D933" s="76">
        <v>43353.781666666669</v>
      </c>
      <c r="E933" s="77">
        <v>43344</v>
      </c>
      <c r="F933" s="78">
        <v>0.78166666666666673</v>
      </c>
      <c r="G933" s="75">
        <v>2</v>
      </c>
      <c r="H933" s="75">
        <v>45</v>
      </c>
      <c r="I933" s="75">
        <v>36</v>
      </c>
    </row>
    <row r="934" spans="1:9">
      <c r="A934" s="75">
        <v>437</v>
      </c>
      <c r="B934" s="75">
        <v>5</v>
      </c>
      <c r="C934" s="75">
        <v>442</v>
      </c>
      <c r="D934" s="76">
        <v>43353.792083333334</v>
      </c>
      <c r="E934" s="77">
        <v>43344</v>
      </c>
      <c r="F934" s="78">
        <v>0.79208333333333336</v>
      </c>
      <c r="G934" s="75">
        <v>2</v>
      </c>
      <c r="H934" s="75">
        <v>0</v>
      </c>
      <c r="I934" s="75">
        <v>36</v>
      </c>
    </row>
    <row r="935" spans="1:9">
      <c r="A935" s="75">
        <v>579</v>
      </c>
      <c r="B935" s="75">
        <v>5</v>
      </c>
      <c r="C935" s="75">
        <v>577</v>
      </c>
      <c r="D935" s="76">
        <v>43353.802499999998</v>
      </c>
      <c r="E935" s="77">
        <v>43344</v>
      </c>
      <c r="F935" s="78">
        <v>0.8025000000000001</v>
      </c>
      <c r="G935" s="75">
        <v>2</v>
      </c>
      <c r="H935" s="75">
        <v>15</v>
      </c>
      <c r="I935" s="75">
        <v>36</v>
      </c>
    </row>
    <row r="936" spans="1:9">
      <c r="A936" s="75">
        <v>597</v>
      </c>
      <c r="B936" s="75">
        <v>5</v>
      </c>
      <c r="C936" s="75">
        <v>602</v>
      </c>
      <c r="D936" s="76">
        <v>43353.812928240739</v>
      </c>
      <c r="E936" s="77">
        <v>43344</v>
      </c>
      <c r="F936" s="78">
        <v>0.81292824074074066</v>
      </c>
      <c r="G936" s="75">
        <v>2</v>
      </c>
      <c r="H936" s="75">
        <v>30</v>
      </c>
      <c r="I936" s="75">
        <v>37</v>
      </c>
    </row>
    <row r="937" spans="1:9">
      <c r="A937" s="75">
        <v>673</v>
      </c>
      <c r="B937" s="75">
        <v>9</v>
      </c>
      <c r="C937" s="75">
        <v>682</v>
      </c>
      <c r="D937" s="76">
        <v>43353.823333333334</v>
      </c>
      <c r="E937" s="77">
        <v>43344</v>
      </c>
      <c r="F937" s="78">
        <v>0.82333333333333336</v>
      </c>
      <c r="G937" s="75">
        <v>2</v>
      </c>
      <c r="H937" s="75">
        <v>45</v>
      </c>
      <c r="I937" s="75">
        <v>36</v>
      </c>
    </row>
    <row r="938" spans="1:9">
      <c r="A938" s="75">
        <v>644</v>
      </c>
      <c r="B938" s="75">
        <v>10</v>
      </c>
      <c r="C938" s="75">
        <v>654</v>
      </c>
      <c r="D938" s="76">
        <v>43353.833749999998</v>
      </c>
      <c r="E938" s="77">
        <v>43344</v>
      </c>
      <c r="F938" s="78">
        <v>0.8337500000000001</v>
      </c>
      <c r="G938" s="75">
        <v>2</v>
      </c>
      <c r="H938" s="75">
        <v>0</v>
      </c>
      <c r="I938" s="75">
        <v>36</v>
      </c>
    </row>
    <row r="939" spans="1:9">
      <c r="A939" s="75">
        <v>813</v>
      </c>
      <c r="B939" s="75">
        <v>8</v>
      </c>
      <c r="C939" s="75">
        <v>821</v>
      </c>
      <c r="D939" s="76">
        <v>43353.844166666669</v>
      </c>
      <c r="E939" s="77">
        <v>43344</v>
      </c>
      <c r="F939" s="78">
        <v>0.84416666666666673</v>
      </c>
      <c r="G939" s="75">
        <v>2</v>
      </c>
      <c r="H939" s="75">
        <v>15</v>
      </c>
      <c r="I939" s="75">
        <v>36</v>
      </c>
    </row>
    <row r="940" spans="1:9">
      <c r="A940" s="75">
        <v>793</v>
      </c>
      <c r="B940" s="75">
        <v>12</v>
      </c>
      <c r="C940" s="75">
        <v>805</v>
      </c>
      <c r="D940" s="76">
        <v>43353.854571759257</v>
      </c>
      <c r="E940" s="77">
        <v>43344</v>
      </c>
      <c r="F940" s="78">
        <v>0.85457175925925932</v>
      </c>
      <c r="G940" s="75">
        <v>2</v>
      </c>
      <c r="H940" s="75">
        <v>30</v>
      </c>
      <c r="I940" s="75">
        <v>35</v>
      </c>
    </row>
    <row r="941" spans="1:9">
      <c r="A941" s="75">
        <v>777</v>
      </c>
      <c r="B941" s="75">
        <v>13</v>
      </c>
      <c r="C941" s="75">
        <v>790</v>
      </c>
      <c r="D941" s="76">
        <v>43353.865023148152</v>
      </c>
      <c r="E941" s="77">
        <v>43344</v>
      </c>
      <c r="F941" s="78">
        <v>0.86502314814814818</v>
      </c>
      <c r="G941" s="75">
        <v>2</v>
      </c>
      <c r="H941" s="75">
        <v>45</v>
      </c>
      <c r="I941" s="75">
        <v>38</v>
      </c>
    </row>
    <row r="942" spans="1:9">
      <c r="A942" s="75">
        <v>672</v>
      </c>
      <c r="B942" s="75">
        <v>5</v>
      </c>
      <c r="C942" s="75">
        <v>677</v>
      </c>
      <c r="D942" s="76">
        <v>43353.875416666669</v>
      </c>
      <c r="E942" s="77">
        <v>43344</v>
      </c>
      <c r="F942" s="78">
        <v>0.87541666666666673</v>
      </c>
      <c r="G942" s="75">
        <v>2</v>
      </c>
      <c r="H942" s="75">
        <v>0</v>
      </c>
      <c r="I942" s="75">
        <v>36</v>
      </c>
    </row>
    <row r="943" spans="1:9">
      <c r="A943" s="75">
        <v>748</v>
      </c>
      <c r="B943" s="75">
        <v>7</v>
      </c>
      <c r="C943" s="75">
        <v>755</v>
      </c>
      <c r="D943" s="76">
        <v>43353.885833333334</v>
      </c>
      <c r="E943" s="77">
        <v>43344</v>
      </c>
      <c r="F943" s="78">
        <v>0.88583333333333336</v>
      </c>
      <c r="G943" s="75">
        <v>2</v>
      </c>
      <c r="H943" s="75">
        <v>15</v>
      </c>
      <c r="I943" s="75">
        <v>36</v>
      </c>
    </row>
    <row r="944" spans="1:9">
      <c r="A944" s="75">
        <v>700</v>
      </c>
      <c r="B944" s="75">
        <v>8</v>
      </c>
      <c r="C944" s="75">
        <v>708</v>
      </c>
      <c r="D944" s="76">
        <v>43353.896249999998</v>
      </c>
      <c r="E944" s="77">
        <v>43344</v>
      </c>
      <c r="F944" s="78">
        <v>0.8962500000000001</v>
      </c>
      <c r="G944" s="75">
        <v>2</v>
      </c>
      <c r="H944" s="75">
        <v>30</v>
      </c>
      <c r="I944" s="75">
        <v>36</v>
      </c>
    </row>
    <row r="945" spans="1:9">
      <c r="A945" s="75">
        <v>687</v>
      </c>
      <c r="B945" s="75">
        <v>9</v>
      </c>
      <c r="C945" s="75">
        <v>696</v>
      </c>
      <c r="D945" s="76">
        <v>43353.906666666669</v>
      </c>
      <c r="E945" s="77">
        <v>43344</v>
      </c>
      <c r="F945" s="78">
        <v>0.90666666666666673</v>
      </c>
      <c r="G945" s="75">
        <v>2</v>
      </c>
      <c r="H945" s="75">
        <v>45</v>
      </c>
      <c r="I945" s="75">
        <v>36</v>
      </c>
    </row>
    <row r="946" spans="1:9">
      <c r="A946" s="75">
        <v>643</v>
      </c>
      <c r="B946" s="75">
        <v>8</v>
      </c>
      <c r="C946" s="75">
        <v>642</v>
      </c>
      <c r="D946" s="76">
        <v>43353.917094907411</v>
      </c>
      <c r="E946" s="77">
        <v>43344</v>
      </c>
      <c r="F946" s="78">
        <v>0.9170949074074074</v>
      </c>
      <c r="G946" s="75">
        <v>2</v>
      </c>
      <c r="H946" s="75">
        <v>0</v>
      </c>
      <c r="I946" s="75">
        <v>37</v>
      </c>
    </row>
    <row r="947" spans="1:9">
      <c r="A947" s="75">
        <v>667</v>
      </c>
      <c r="B947" s="75">
        <v>10</v>
      </c>
      <c r="C947" s="75">
        <v>677</v>
      </c>
      <c r="D947" s="76">
        <v>43353.927488425928</v>
      </c>
      <c r="E947" s="77">
        <v>43344</v>
      </c>
      <c r="F947" s="78">
        <v>0.92748842592592595</v>
      </c>
      <c r="G947" s="75">
        <v>2</v>
      </c>
      <c r="H947" s="75">
        <v>15</v>
      </c>
      <c r="I947" s="75">
        <v>35</v>
      </c>
    </row>
    <row r="948" spans="1:9">
      <c r="A948" s="75">
        <v>664</v>
      </c>
      <c r="B948" s="75">
        <v>5</v>
      </c>
      <c r="C948" s="75">
        <v>669</v>
      </c>
      <c r="D948" s="76">
        <v>43353.937916666669</v>
      </c>
      <c r="E948" s="77">
        <v>43344</v>
      </c>
      <c r="F948" s="78">
        <v>0.93791666666666673</v>
      </c>
      <c r="G948" s="75">
        <v>2</v>
      </c>
      <c r="H948" s="75">
        <v>30</v>
      </c>
      <c r="I948" s="75">
        <v>36</v>
      </c>
    </row>
    <row r="949" spans="1:9">
      <c r="A949" s="75">
        <v>625</v>
      </c>
      <c r="B949" s="75">
        <v>8</v>
      </c>
      <c r="C949" s="75">
        <v>633</v>
      </c>
      <c r="D949" s="76">
        <v>43353.948321759257</v>
      </c>
      <c r="E949" s="77">
        <v>43344</v>
      </c>
      <c r="F949" s="78">
        <v>0.94832175925925932</v>
      </c>
      <c r="G949" s="75">
        <v>2</v>
      </c>
      <c r="H949" s="75">
        <v>45</v>
      </c>
      <c r="I949" s="75">
        <v>35</v>
      </c>
    </row>
    <row r="950" spans="1:9">
      <c r="A950" s="75">
        <v>564</v>
      </c>
      <c r="B950" s="75">
        <v>3</v>
      </c>
      <c r="C950" s="75">
        <v>562</v>
      </c>
      <c r="D950" s="76">
        <v>43353.958749999998</v>
      </c>
      <c r="E950" s="77">
        <v>43344</v>
      </c>
      <c r="F950" s="78">
        <v>0.9587500000000001</v>
      </c>
      <c r="G950" s="75">
        <v>2</v>
      </c>
      <c r="H950" s="75">
        <v>0</v>
      </c>
      <c r="I950" s="75">
        <v>36</v>
      </c>
    </row>
    <row r="951" spans="1:9">
      <c r="A951" s="75">
        <v>514</v>
      </c>
      <c r="B951" s="75">
        <v>2</v>
      </c>
      <c r="C951" s="75">
        <v>516</v>
      </c>
      <c r="D951" s="76">
        <v>43353.969166666669</v>
      </c>
      <c r="E951" s="77">
        <v>43344</v>
      </c>
      <c r="F951" s="78">
        <v>0.96916666666666673</v>
      </c>
      <c r="G951" s="75">
        <v>2</v>
      </c>
      <c r="H951" s="75">
        <v>15</v>
      </c>
      <c r="I951" s="75">
        <v>36</v>
      </c>
    </row>
    <row r="952" spans="1:9">
      <c r="A952" s="75">
        <v>437</v>
      </c>
      <c r="B952" s="75">
        <v>5</v>
      </c>
      <c r="C952" s="75">
        <v>442</v>
      </c>
      <c r="D952" s="76">
        <v>43353.979583333334</v>
      </c>
      <c r="E952" s="77">
        <v>43344</v>
      </c>
      <c r="F952" s="78">
        <v>0.97958333333333336</v>
      </c>
      <c r="G952" s="75">
        <v>2</v>
      </c>
      <c r="H952" s="75">
        <v>30</v>
      </c>
      <c r="I952" s="75">
        <v>36</v>
      </c>
    </row>
    <row r="953" spans="1:9">
      <c r="A953" s="75">
        <v>450</v>
      </c>
      <c r="B953" s="75">
        <v>5</v>
      </c>
      <c r="C953" s="75">
        <v>455</v>
      </c>
      <c r="D953" s="76">
        <v>43353.99</v>
      </c>
      <c r="E953" s="77">
        <v>43344</v>
      </c>
      <c r="F953" s="78">
        <v>0.9900000000000001</v>
      </c>
      <c r="G953" s="75">
        <v>2</v>
      </c>
      <c r="H953" s="75">
        <v>45</v>
      </c>
      <c r="I953" s="75">
        <v>36</v>
      </c>
    </row>
    <row r="954" spans="1:9">
      <c r="A954" s="75">
        <v>371</v>
      </c>
      <c r="B954" s="75">
        <v>1</v>
      </c>
      <c r="C954" s="75">
        <v>368</v>
      </c>
      <c r="D954" s="76">
        <v>43354.000416666669</v>
      </c>
      <c r="E954" s="77">
        <v>43344</v>
      </c>
      <c r="F954" s="78">
        <v>4.1666666666666669E-4</v>
      </c>
      <c r="G954" s="75">
        <v>2</v>
      </c>
      <c r="H954" s="75">
        <v>0</v>
      </c>
      <c r="I954" s="75">
        <v>36</v>
      </c>
    </row>
    <row r="955" spans="1:9">
      <c r="A955" s="75">
        <v>444</v>
      </c>
      <c r="B955" s="75">
        <v>1</v>
      </c>
      <c r="C955" s="75">
        <v>445</v>
      </c>
      <c r="D955" s="76">
        <v>43354.010833333334</v>
      </c>
      <c r="E955" s="77">
        <v>43344</v>
      </c>
      <c r="F955" s="78">
        <v>1.0833333333333334E-2</v>
      </c>
      <c r="G955" s="75">
        <v>2</v>
      </c>
      <c r="H955" s="75">
        <v>15</v>
      </c>
      <c r="I955" s="75">
        <v>36</v>
      </c>
    </row>
    <row r="956" spans="1:9">
      <c r="A956" s="75">
        <v>339</v>
      </c>
      <c r="B956" s="75">
        <v>8</v>
      </c>
      <c r="C956" s="75">
        <v>347</v>
      </c>
      <c r="D956" s="76">
        <v>43354.021249999998</v>
      </c>
      <c r="E956" s="77">
        <v>43344</v>
      </c>
      <c r="F956" s="78">
        <v>2.1250000000000002E-2</v>
      </c>
      <c r="G956" s="75">
        <v>2</v>
      </c>
      <c r="H956" s="75">
        <v>30</v>
      </c>
      <c r="I956" s="75">
        <v>36</v>
      </c>
    </row>
    <row r="957" spans="1:9">
      <c r="A957" s="75">
        <v>338</v>
      </c>
      <c r="B957" s="75">
        <v>2</v>
      </c>
      <c r="C957" s="75">
        <v>340</v>
      </c>
      <c r="D957" s="76">
        <v>43354.031655092593</v>
      </c>
      <c r="E957" s="77">
        <v>43344</v>
      </c>
      <c r="F957" s="78">
        <v>3.1655092592592596E-2</v>
      </c>
      <c r="G957" s="75">
        <v>2</v>
      </c>
      <c r="H957" s="75">
        <v>45</v>
      </c>
      <c r="I957" s="75">
        <v>35</v>
      </c>
    </row>
    <row r="958" spans="1:9">
      <c r="A958" s="75">
        <v>294</v>
      </c>
      <c r="B958" s="75">
        <v>3</v>
      </c>
      <c r="C958" s="75">
        <v>297</v>
      </c>
      <c r="D958" s="76">
        <v>43354.042071759257</v>
      </c>
      <c r="E958" s="77">
        <v>43344</v>
      </c>
      <c r="F958" s="78">
        <v>4.207175925925926E-2</v>
      </c>
      <c r="G958" s="75">
        <v>2</v>
      </c>
      <c r="H958" s="75">
        <v>0</v>
      </c>
      <c r="I958" s="75">
        <v>35</v>
      </c>
    </row>
    <row r="959" spans="1:9">
      <c r="A959" s="75">
        <v>321</v>
      </c>
      <c r="B959" s="75">
        <v>5</v>
      </c>
      <c r="C959" s="75">
        <v>322</v>
      </c>
      <c r="D959" s="76">
        <v>43354.052488425928</v>
      </c>
      <c r="E959" s="77">
        <v>43344</v>
      </c>
      <c r="F959" s="78">
        <v>5.2488425925925924E-2</v>
      </c>
      <c r="G959" s="75">
        <v>2</v>
      </c>
      <c r="H959" s="75">
        <v>15</v>
      </c>
      <c r="I959" s="75">
        <v>35</v>
      </c>
    </row>
    <row r="960" spans="1:9">
      <c r="A960" s="75">
        <v>286</v>
      </c>
      <c r="B960" s="75">
        <v>4</v>
      </c>
      <c r="C960" s="75">
        <v>290</v>
      </c>
      <c r="D960" s="76">
        <v>43354.062916666669</v>
      </c>
      <c r="E960" s="77">
        <v>43344</v>
      </c>
      <c r="F960" s="78">
        <v>6.2916666666666662E-2</v>
      </c>
      <c r="G960" s="75">
        <v>2</v>
      </c>
      <c r="H960" s="75">
        <v>30</v>
      </c>
      <c r="I960" s="75">
        <v>36</v>
      </c>
    </row>
    <row r="961" spans="1:9">
      <c r="A961" s="75">
        <v>270</v>
      </c>
      <c r="B961" s="75">
        <v>2</v>
      </c>
      <c r="C961" s="75">
        <v>272</v>
      </c>
      <c r="D961" s="76">
        <v>43354.073333333334</v>
      </c>
      <c r="E961" s="77">
        <v>43344</v>
      </c>
      <c r="F961" s="78">
        <v>7.3333333333333334E-2</v>
      </c>
      <c r="G961" s="75">
        <v>2</v>
      </c>
      <c r="H961" s="75">
        <v>45</v>
      </c>
      <c r="I961" s="75">
        <v>36</v>
      </c>
    </row>
    <row r="962" spans="1:9">
      <c r="A962" s="75">
        <v>280</v>
      </c>
      <c r="B962" s="75">
        <v>0</v>
      </c>
      <c r="C962" s="75">
        <v>276</v>
      </c>
      <c r="D962" s="76">
        <v>43354.083773148152</v>
      </c>
      <c r="E962" s="77">
        <v>43344</v>
      </c>
      <c r="F962" s="78">
        <v>8.3773148148148138E-2</v>
      </c>
      <c r="G962" s="75">
        <v>2</v>
      </c>
      <c r="H962" s="75">
        <v>0</v>
      </c>
      <c r="I962" s="75">
        <v>38</v>
      </c>
    </row>
    <row r="963" spans="1:9">
      <c r="A963" s="75">
        <v>247</v>
      </c>
      <c r="B963" s="75">
        <v>2</v>
      </c>
      <c r="C963" s="75">
        <v>249</v>
      </c>
      <c r="D963" s="76">
        <v>43354.094166666669</v>
      </c>
      <c r="E963" s="77">
        <v>43344</v>
      </c>
      <c r="F963" s="78">
        <v>9.4166666666666662E-2</v>
      </c>
      <c r="G963" s="75">
        <v>2</v>
      </c>
      <c r="H963" s="75">
        <v>15</v>
      </c>
      <c r="I963" s="75">
        <v>36</v>
      </c>
    </row>
    <row r="964" spans="1:9">
      <c r="A964" s="75">
        <v>246</v>
      </c>
      <c r="B964" s="75">
        <v>9</v>
      </c>
      <c r="C964" s="75">
        <v>255</v>
      </c>
      <c r="D964" s="76">
        <v>43354.104583333334</v>
      </c>
      <c r="E964" s="77">
        <v>43344</v>
      </c>
      <c r="F964" s="78">
        <v>0.10458333333333332</v>
      </c>
      <c r="G964" s="75">
        <v>2</v>
      </c>
      <c r="H964" s="75">
        <v>30</v>
      </c>
      <c r="I964" s="75">
        <v>36</v>
      </c>
    </row>
    <row r="965" spans="1:9">
      <c r="A965" s="75">
        <v>192</v>
      </c>
      <c r="B965" s="75">
        <v>7</v>
      </c>
      <c r="C965" s="75">
        <v>199</v>
      </c>
      <c r="D965" s="76">
        <v>43354.114999999998</v>
      </c>
      <c r="E965" s="77">
        <v>43344</v>
      </c>
      <c r="F965" s="78">
        <v>0.11499999999999999</v>
      </c>
      <c r="G965" s="75">
        <v>2</v>
      </c>
      <c r="H965" s="75">
        <v>45</v>
      </c>
      <c r="I965" s="75">
        <v>36</v>
      </c>
    </row>
    <row r="966" spans="1:9">
      <c r="A966" s="75">
        <v>179</v>
      </c>
      <c r="B966" s="75">
        <v>4</v>
      </c>
      <c r="C966" s="75">
        <v>183</v>
      </c>
      <c r="D966" s="76">
        <v>43354.125405092593</v>
      </c>
      <c r="E966" s="77">
        <v>43344</v>
      </c>
      <c r="F966" s="78">
        <v>0.12540509259259261</v>
      </c>
      <c r="G966" s="75">
        <v>2</v>
      </c>
      <c r="H966" s="75">
        <v>0</v>
      </c>
      <c r="I966" s="75">
        <v>35</v>
      </c>
    </row>
    <row r="967" spans="1:9">
      <c r="A967" s="75">
        <v>190</v>
      </c>
      <c r="B967" s="75">
        <v>5</v>
      </c>
      <c r="C967" s="75">
        <v>195</v>
      </c>
      <c r="D967" s="76">
        <v>43354.135821759257</v>
      </c>
      <c r="E967" s="77">
        <v>43344</v>
      </c>
      <c r="F967" s="78">
        <v>0.13582175925925927</v>
      </c>
      <c r="G967" s="75">
        <v>2</v>
      </c>
      <c r="H967" s="75">
        <v>15</v>
      </c>
      <c r="I967" s="75">
        <v>35</v>
      </c>
    </row>
    <row r="968" spans="1:9">
      <c r="A968" s="75">
        <v>166</v>
      </c>
      <c r="B968" s="75">
        <v>2</v>
      </c>
      <c r="C968" s="75">
        <v>168</v>
      </c>
      <c r="D968" s="76">
        <v>43354.146238425928</v>
      </c>
      <c r="E968" s="77">
        <v>43344</v>
      </c>
      <c r="F968" s="78">
        <v>0.14623842592592592</v>
      </c>
      <c r="G968" s="75">
        <v>2</v>
      </c>
      <c r="H968" s="75">
        <v>30</v>
      </c>
      <c r="I968" s="75">
        <v>35</v>
      </c>
    </row>
    <row r="969" spans="1:9">
      <c r="A969" s="75">
        <v>156</v>
      </c>
      <c r="B969" s="75">
        <v>2</v>
      </c>
      <c r="C969" s="75">
        <v>158</v>
      </c>
      <c r="D969" s="76">
        <v>43354.156655092593</v>
      </c>
      <c r="E969" s="77">
        <v>43344</v>
      </c>
      <c r="F969" s="78">
        <v>0.15665509259259261</v>
      </c>
      <c r="G969" s="75">
        <v>2</v>
      </c>
      <c r="H969" s="75">
        <v>45</v>
      </c>
      <c r="I969" s="75">
        <v>35</v>
      </c>
    </row>
    <row r="970" spans="1:9">
      <c r="A970" s="75">
        <v>165</v>
      </c>
      <c r="B970" s="75">
        <v>2</v>
      </c>
      <c r="C970" s="75">
        <v>167</v>
      </c>
      <c r="D970" s="76">
        <v>43354.167071759257</v>
      </c>
      <c r="E970" s="77">
        <v>43344</v>
      </c>
      <c r="F970" s="78">
        <v>0.16707175925925924</v>
      </c>
      <c r="G970" s="75">
        <v>2</v>
      </c>
      <c r="H970" s="75">
        <v>0</v>
      </c>
      <c r="I970" s="75">
        <v>35</v>
      </c>
    </row>
    <row r="971" spans="1:9">
      <c r="A971" s="75">
        <v>129</v>
      </c>
      <c r="B971" s="75">
        <v>0</v>
      </c>
      <c r="C971" s="75">
        <v>128</v>
      </c>
      <c r="D971" s="76">
        <v>43354.177499999998</v>
      </c>
      <c r="E971" s="77">
        <v>43344</v>
      </c>
      <c r="F971" s="78">
        <v>0.17749999999999999</v>
      </c>
      <c r="G971" s="75">
        <v>2</v>
      </c>
      <c r="H971" s="75">
        <v>15</v>
      </c>
      <c r="I971" s="75">
        <v>36</v>
      </c>
    </row>
    <row r="972" spans="1:9">
      <c r="A972" s="75">
        <v>108</v>
      </c>
      <c r="B972" s="75">
        <v>0</v>
      </c>
      <c r="C972" s="75">
        <v>108</v>
      </c>
      <c r="D972" s="76">
        <v>43354.187916666669</v>
      </c>
      <c r="E972" s="77">
        <v>43344</v>
      </c>
      <c r="F972" s="78">
        <v>0.18791666666666665</v>
      </c>
      <c r="G972" s="75">
        <v>2</v>
      </c>
      <c r="H972" s="75">
        <v>30</v>
      </c>
      <c r="I972" s="75">
        <v>36</v>
      </c>
    </row>
    <row r="973" spans="1:9">
      <c r="A973" s="75">
        <v>93</v>
      </c>
      <c r="B973" s="75">
        <v>0</v>
      </c>
      <c r="C973" s="75">
        <v>92</v>
      </c>
      <c r="D973" s="76">
        <v>43354.198321759257</v>
      </c>
      <c r="E973" s="77">
        <v>43344</v>
      </c>
      <c r="F973" s="78">
        <v>0.19832175925925924</v>
      </c>
      <c r="G973" s="75">
        <v>2</v>
      </c>
      <c r="H973" s="75">
        <v>45</v>
      </c>
      <c r="I973" s="75">
        <v>35</v>
      </c>
    </row>
    <row r="974" spans="1:9">
      <c r="A974" s="75">
        <v>89</v>
      </c>
      <c r="B974" s="75">
        <v>0</v>
      </c>
      <c r="C974" s="75">
        <v>89</v>
      </c>
      <c r="D974" s="76">
        <v>43354.208738425928</v>
      </c>
      <c r="E974" s="77">
        <v>43344</v>
      </c>
      <c r="F974" s="78">
        <v>0.20873842592592592</v>
      </c>
      <c r="G974" s="75">
        <v>2</v>
      </c>
      <c r="H974" s="75">
        <v>0</v>
      </c>
      <c r="I974" s="75">
        <v>35</v>
      </c>
    </row>
    <row r="975" spans="1:9">
      <c r="A975" s="75">
        <v>126</v>
      </c>
      <c r="B975" s="75">
        <v>2</v>
      </c>
      <c r="C975" s="75">
        <v>128</v>
      </c>
      <c r="D975" s="76">
        <v>43354.219166666669</v>
      </c>
      <c r="E975" s="77">
        <v>43344</v>
      </c>
      <c r="F975" s="78">
        <v>0.21916666666666665</v>
      </c>
      <c r="G975" s="75">
        <v>2</v>
      </c>
      <c r="H975" s="75">
        <v>15</v>
      </c>
      <c r="I975" s="75">
        <v>36</v>
      </c>
    </row>
    <row r="976" spans="1:9">
      <c r="A976" s="75">
        <v>122</v>
      </c>
      <c r="B976" s="75">
        <v>0</v>
      </c>
      <c r="C976" s="75">
        <v>122</v>
      </c>
      <c r="D976" s="76">
        <v>43354.229571759257</v>
      </c>
      <c r="E976" s="77">
        <v>43344</v>
      </c>
      <c r="F976" s="78">
        <v>0.22957175925925924</v>
      </c>
      <c r="G976" s="75">
        <v>2</v>
      </c>
      <c r="H976" s="75">
        <v>30</v>
      </c>
      <c r="I976" s="75">
        <v>35</v>
      </c>
    </row>
    <row r="977" spans="1:9">
      <c r="A977" s="75">
        <v>103</v>
      </c>
      <c r="B977" s="75">
        <v>0</v>
      </c>
      <c r="C977" s="75">
        <v>103</v>
      </c>
      <c r="D977" s="76">
        <v>43354.239988425928</v>
      </c>
      <c r="E977" s="77">
        <v>43344</v>
      </c>
      <c r="F977" s="78">
        <v>0.23998842592592592</v>
      </c>
      <c r="G977" s="75">
        <v>2</v>
      </c>
      <c r="H977" s="75">
        <v>45</v>
      </c>
      <c r="I977" s="75">
        <v>35</v>
      </c>
    </row>
    <row r="978" spans="1:9">
      <c r="A978" s="75">
        <v>79</v>
      </c>
      <c r="B978" s="75">
        <v>0</v>
      </c>
      <c r="C978" s="75">
        <v>79</v>
      </c>
      <c r="D978" s="76">
        <v>43354.250405092593</v>
      </c>
      <c r="E978" s="77">
        <v>43344</v>
      </c>
      <c r="F978" s="78">
        <v>0.25040509259259258</v>
      </c>
      <c r="G978" s="75">
        <v>2</v>
      </c>
      <c r="H978" s="75">
        <v>0</v>
      </c>
      <c r="I978" s="75">
        <v>35</v>
      </c>
    </row>
    <row r="979" spans="1:9">
      <c r="A979" s="75">
        <v>69</v>
      </c>
      <c r="B979" s="75">
        <v>0</v>
      </c>
      <c r="C979" s="75">
        <v>69</v>
      </c>
      <c r="D979" s="76">
        <v>43354.260821759257</v>
      </c>
      <c r="E979" s="77">
        <v>43344</v>
      </c>
      <c r="F979" s="78">
        <v>0.26082175925925927</v>
      </c>
      <c r="G979" s="75">
        <v>2</v>
      </c>
      <c r="H979" s="75">
        <v>15</v>
      </c>
      <c r="I979" s="75">
        <v>35</v>
      </c>
    </row>
    <row r="980" spans="1:9">
      <c r="A980" s="75">
        <v>63</v>
      </c>
      <c r="B980" s="75">
        <v>0</v>
      </c>
      <c r="C980" s="75">
        <v>62</v>
      </c>
      <c r="D980" s="76">
        <v>43354.273761574077</v>
      </c>
      <c r="E980" s="77">
        <v>43344</v>
      </c>
      <c r="F980" s="78">
        <v>0.27376157407407409</v>
      </c>
      <c r="G980" s="75">
        <v>2</v>
      </c>
      <c r="H980" s="75">
        <v>34</v>
      </c>
      <c r="I980" s="75">
        <v>13</v>
      </c>
    </row>
    <row r="981" spans="1:9">
      <c r="A981" s="75">
        <v>60</v>
      </c>
      <c r="B981" s="75">
        <v>0</v>
      </c>
      <c r="C981" s="75">
        <v>59</v>
      </c>
      <c r="D981" s="76">
        <v>43354.281655092593</v>
      </c>
      <c r="E981" s="77">
        <v>43344</v>
      </c>
      <c r="F981" s="78">
        <v>0.28165509259259258</v>
      </c>
      <c r="G981" s="75">
        <v>2</v>
      </c>
      <c r="H981" s="75">
        <v>45</v>
      </c>
      <c r="I981" s="75">
        <v>35</v>
      </c>
    </row>
    <row r="982" spans="1:9">
      <c r="A982" s="75">
        <v>59</v>
      </c>
      <c r="B982" s="75">
        <v>0</v>
      </c>
      <c r="C982" s="75">
        <v>58</v>
      </c>
      <c r="D982" s="76">
        <v>43354.292071759257</v>
      </c>
      <c r="E982" s="77">
        <v>43344</v>
      </c>
      <c r="F982" s="78">
        <v>0.29207175925925927</v>
      </c>
      <c r="G982" s="75">
        <v>2</v>
      </c>
      <c r="H982" s="75">
        <v>0</v>
      </c>
      <c r="I982" s="75">
        <v>35</v>
      </c>
    </row>
    <row r="983" spans="1:9">
      <c r="A983" s="75">
        <v>68</v>
      </c>
      <c r="B983" s="75">
        <v>0</v>
      </c>
      <c r="C983" s="75">
        <v>67</v>
      </c>
      <c r="D983" s="76">
        <v>43354.302499999998</v>
      </c>
      <c r="E983" s="77">
        <v>43344</v>
      </c>
      <c r="F983" s="78">
        <v>0.30249999999999999</v>
      </c>
      <c r="G983" s="75">
        <v>2</v>
      </c>
      <c r="H983" s="75">
        <v>15</v>
      </c>
      <c r="I983" s="75">
        <v>36</v>
      </c>
    </row>
    <row r="984" spans="1:9">
      <c r="A984" s="75">
        <v>70</v>
      </c>
      <c r="B984" s="75">
        <v>1</v>
      </c>
      <c r="C984" s="75">
        <v>71</v>
      </c>
      <c r="D984" s="76">
        <v>43354.312916666669</v>
      </c>
      <c r="E984" s="77">
        <v>43344</v>
      </c>
      <c r="F984" s="78">
        <v>0.31291666666666668</v>
      </c>
      <c r="G984" s="75">
        <v>2</v>
      </c>
      <c r="H984" s="75">
        <v>30</v>
      </c>
      <c r="I984" s="75">
        <v>36</v>
      </c>
    </row>
    <row r="985" spans="1:9">
      <c r="A985" s="75">
        <v>77</v>
      </c>
      <c r="B985" s="75">
        <v>0</v>
      </c>
      <c r="C985" s="75">
        <v>76</v>
      </c>
      <c r="D985" s="76">
        <v>43354.323344907411</v>
      </c>
      <c r="E985" s="77">
        <v>43344</v>
      </c>
      <c r="F985" s="78">
        <v>0.3233449074074074</v>
      </c>
      <c r="G985" s="75">
        <v>2</v>
      </c>
      <c r="H985" s="75">
        <v>45</v>
      </c>
      <c r="I985" s="75">
        <v>37</v>
      </c>
    </row>
    <row r="986" spans="1:9">
      <c r="A986" s="75">
        <v>60</v>
      </c>
      <c r="B986" s="75">
        <v>0</v>
      </c>
      <c r="C986" s="75">
        <v>59</v>
      </c>
      <c r="D986" s="76">
        <v>43354.333761574075</v>
      </c>
      <c r="E986" s="77">
        <v>43344</v>
      </c>
      <c r="F986" s="78">
        <v>0.33376157407407409</v>
      </c>
      <c r="G986" s="75">
        <v>2</v>
      </c>
      <c r="H986" s="75">
        <v>0</v>
      </c>
      <c r="I986" s="75">
        <v>37</v>
      </c>
    </row>
    <row r="987" spans="1:9">
      <c r="A987" s="75">
        <v>65</v>
      </c>
      <c r="B987" s="75">
        <v>0</v>
      </c>
      <c r="C987" s="75">
        <v>65</v>
      </c>
      <c r="D987" s="76">
        <v>43354.344166666669</v>
      </c>
      <c r="E987" s="77">
        <v>43344</v>
      </c>
      <c r="F987" s="78">
        <v>0.34416666666666668</v>
      </c>
      <c r="G987" s="75">
        <v>2</v>
      </c>
      <c r="H987" s="75">
        <v>15</v>
      </c>
      <c r="I987" s="75">
        <v>36</v>
      </c>
    </row>
    <row r="988" spans="1:9">
      <c r="A988" s="75">
        <v>104</v>
      </c>
      <c r="B988" s="75">
        <v>1</v>
      </c>
      <c r="C988" s="75">
        <v>105</v>
      </c>
      <c r="D988" s="76">
        <v>43354.354583333334</v>
      </c>
      <c r="E988" s="77">
        <v>43344</v>
      </c>
      <c r="F988" s="78">
        <v>0.35458333333333331</v>
      </c>
      <c r="G988" s="75">
        <v>2</v>
      </c>
      <c r="H988" s="75">
        <v>30</v>
      </c>
      <c r="I988" s="75">
        <v>36</v>
      </c>
    </row>
    <row r="989" spans="1:9">
      <c r="A989" s="75">
        <v>111</v>
      </c>
      <c r="B989" s="75">
        <v>0</v>
      </c>
      <c r="C989" s="75">
        <v>110</v>
      </c>
      <c r="D989" s="76">
        <v>43354.365011574075</v>
      </c>
      <c r="E989" s="77">
        <v>43344</v>
      </c>
      <c r="F989" s="78">
        <v>0.36501157407407409</v>
      </c>
      <c r="G989" s="75">
        <v>2</v>
      </c>
      <c r="H989" s="75">
        <v>45</v>
      </c>
      <c r="I989" s="75">
        <v>37</v>
      </c>
    </row>
    <row r="990" spans="1:9">
      <c r="A990" s="75">
        <v>86</v>
      </c>
      <c r="B990" s="75">
        <v>0</v>
      </c>
      <c r="C990" s="75">
        <v>85</v>
      </c>
      <c r="D990" s="76">
        <v>43354.375416666669</v>
      </c>
      <c r="E990" s="77">
        <v>43344</v>
      </c>
      <c r="F990" s="78">
        <v>0.37541666666666668</v>
      </c>
      <c r="G990" s="75">
        <v>2</v>
      </c>
      <c r="H990" s="75">
        <v>0</v>
      </c>
      <c r="I990" s="75">
        <v>36</v>
      </c>
    </row>
    <row r="991" spans="1:9">
      <c r="A991" s="75">
        <v>107</v>
      </c>
      <c r="B991" s="75">
        <v>0</v>
      </c>
      <c r="C991" s="75">
        <v>107</v>
      </c>
      <c r="D991" s="76">
        <v>43354.385833333334</v>
      </c>
      <c r="E991" s="77">
        <v>43344</v>
      </c>
      <c r="F991" s="78">
        <v>0.38583333333333331</v>
      </c>
      <c r="G991" s="75">
        <v>2</v>
      </c>
      <c r="H991" s="75">
        <v>15</v>
      </c>
      <c r="I991" s="75">
        <v>36</v>
      </c>
    </row>
    <row r="992" spans="1:9">
      <c r="A992" s="75">
        <v>131</v>
      </c>
      <c r="B992" s="75">
        <v>1</v>
      </c>
      <c r="C992" s="75">
        <v>132</v>
      </c>
      <c r="D992" s="76">
        <v>43354.396261574075</v>
      </c>
      <c r="E992" s="77">
        <v>43344</v>
      </c>
      <c r="F992" s="78">
        <v>0.39626157407407409</v>
      </c>
      <c r="G992" s="75">
        <v>2</v>
      </c>
      <c r="H992" s="75">
        <v>30</v>
      </c>
      <c r="I992" s="75">
        <v>37</v>
      </c>
    </row>
    <row r="993" spans="1:9">
      <c r="A993" s="75">
        <v>181</v>
      </c>
      <c r="B993" s="75">
        <v>0</v>
      </c>
      <c r="C993" s="75">
        <v>181</v>
      </c>
      <c r="D993" s="76">
        <v>43354.406678240739</v>
      </c>
      <c r="E993" s="77">
        <v>43344</v>
      </c>
      <c r="F993" s="78">
        <v>0.40667824074074077</v>
      </c>
      <c r="G993" s="75">
        <v>2</v>
      </c>
      <c r="H993" s="75">
        <v>45</v>
      </c>
      <c r="I993" s="75">
        <v>37</v>
      </c>
    </row>
    <row r="994" spans="1:9">
      <c r="A994" s="75">
        <v>154</v>
      </c>
      <c r="B994" s="75">
        <v>0</v>
      </c>
      <c r="C994" s="75">
        <v>154</v>
      </c>
      <c r="D994" s="76">
        <v>43354.417083333334</v>
      </c>
      <c r="E994" s="77">
        <v>43344</v>
      </c>
      <c r="F994" s="78">
        <v>0.41708333333333331</v>
      </c>
      <c r="G994" s="75">
        <v>2</v>
      </c>
      <c r="H994" s="75">
        <v>0</v>
      </c>
      <c r="I994" s="75">
        <v>36</v>
      </c>
    </row>
    <row r="995" spans="1:9">
      <c r="A995" s="75">
        <v>151</v>
      </c>
      <c r="B995" s="75">
        <v>2</v>
      </c>
      <c r="C995" s="75">
        <v>153</v>
      </c>
      <c r="D995" s="76">
        <v>43354.427499999998</v>
      </c>
      <c r="E995" s="77">
        <v>43344</v>
      </c>
      <c r="F995" s="78">
        <v>0.42749999999999999</v>
      </c>
      <c r="G995" s="75">
        <v>2</v>
      </c>
      <c r="H995" s="75">
        <v>15</v>
      </c>
      <c r="I995" s="75">
        <v>36</v>
      </c>
    </row>
    <row r="996" spans="1:9">
      <c r="A996" s="75">
        <v>215</v>
      </c>
      <c r="B996" s="75">
        <v>3</v>
      </c>
      <c r="C996" s="75">
        <v>218</v>
      </c>
      <c r="D996" s="76">
        <v>43354.437928240739</v>
      </c>
      <c r="E996" s="77">
        <v>43344</v>
      </c>
      <c r="F996" s="78">
        <v>0.43792824074074077</v>
      </c>
      <c r="G996" s="75">
        <v>2</v>
      </c>
      <c r="H996" s="75">
        <v>30</v>
      </c>
      <c r="I996" s="75">
        <v>37</v>
      </c>
    </row>
    <row r="997" spans="1:9">
      <c r="A997" s="75">
        <v>307</v>
      </c>
      <c r="B997" s="75">
        <v>3</v>
      </c>
      <c r="C997" s="75">
        <v>310</v>
      </c>
      <c r="D997" s="76">
        <v>43354.448344907411</v>
      </c>
      <c r="E997" s="77">
        <v>43344</v>
      </c>
      <c r="F997" s="78">
        <v>0.44834490740740746</v>
      </c>
      <c r="G997" s="75">
        <v>2</v>
      </c>
      <c r="H997" s="75">
        <v>45</v>
      </c>
      <c r="I997" s="75">
        <v>37</v>
      </c>
    </row>
    <row r="998" spans="1:9">
      <c r="A998" s="75">
        <v>205</v>
      </c>
      <c r="B998" s="75">
        <v>3</v>
      </c>
      <c r="C998" s="75">
        <v>208</v>
      </c>
      <c r="D998" s="76">
        <v>43354.458749999998</v>
      </c>
      <c r="E998" s="77">
        <v>43344</v>
      </c>
      <c r="F998" s="78">
        <v>0.45874999999999999</v>
      </c>
      <c r="G998" s="75">
        <v>2</v>
      </c>
      <c r="H998" s="75">
        <v>0</v>
      </c>
      <c r="I998" s="75">
        <v>36</v>
      </c>
    </row>
    <row r="999" spans="1:9">
      <c r="A999" s="75">
        <v>205</v>
      </c>
      <c r="B999" s="75">
        <v>1</v>
      </c>
      <c r="C999" s="75">
        <v>206</v>
      </c>
      <c r="D999" s="76">
        <v>43354.469166666669</v>
      </c>
      <c r="E999" s="77">
        <v>43344</v>
      </c>
      <c r="F999" s="78">
        <v>0.46916666666666668</v>
      </c>
      <c r="G999" s="75">
        <v>2</v>
      </c>
      <c r="H999" s="75">
        <v>15</v>
      </c>
      <c r="I999" s="75">
        <v>36</v>
      </c>
    </row>
    <row r="1000" spans="1:9">
      <c r="A1000" s="75">
        <v>243</v>
      </c>
      <c r="B1000" s="75">
        <v>0</v>
      </c>
      <c r="C1000" s="75">
        <v>243</v>
      </c>
      <c r="D1000" s="76">
        <v>43354.479594907411</v>
      </c>
      <c r="E1000" s="77">
        <v>43344</v>
      </c>
      <c r="F1000" s="78">
        <v>0.47959490740740746</v>
      </c>
      <c r="G1000" s="75">
        <v>2</v>
      </c>
      <c r="H1000" s="75">
        <v>30</v>
      </c>
      <c r="I1000" s="75">
        <v>37</v>
      </c>
    </row>
    <row r="1001" spans="1:9">
      <c r="A1001" s="75">
        <v>289</v>
      </c>
      <c r="B1001" s="75">
        <v>0</v>
      </c>
      <c r="C1001" s="75">
        <v>289</v>
      </c>
      <c r="D1001" s="76">
        <v>43354.490011574075</v>
      </c>
      <c r="E1001" s="77">
        <v>43344</v>
      </c>
      <c r="F1001" s="78">
        <v>0.49001157407407409</v>
      </c>
      <c r="G1001" s="75">
        <v>2</v>
      </c>
      <c r="H1001" s="75">
        <v>45</v>
      </c>
      <c r="I1001" s="75">
        <v>37</v>
      </c>
    </row>
    <row r="1002" spans="1:9">
      <c r="A1002" s="75">
        <v>254</v>
      </c>
      <c r="B1002" s="75">
        <v>0</v>
      </c>
      <c r="C1002" s="75">
        <v>254</v>
      </c>
      <c r="D1002" s="76">
        <v>43354.500416666669</v>
      </c>
      <c r="E1002" s="77">
        <v>43344</v>
      </c>
      <c r="F1002" s="78">
        <v>0.50041666666666662</v>
      </c>
      <c r="G1002" s="75">
        <v>2</v>
      </c>
      <c r="H1002" s="75">
        <v>0</v>
      </c>
      <c r="I1002" s="75">
        <v>36</v>
      </c>
    </row>
    <row r="1003" spans="1:9">
      <c r="A1003" s="75">
        <v>267</v>
      </c>
      <c r="B1003" s="75">
        <v>1</v>
      </c>
      <c r="C1003" s="75">
        <v>268</v>
      </c>
      <c r="D1003" s="76">
        <v>43354.510844907411</v>
      </c>
      <c r="E1003" s="77">
        <v>43344</v>
      </c>
      <c r="F1003" s="78">
        <v>0.5108449074074074</v>
      </c>
      <c r="G1003" s="75">
        <v>2</v>
      </c>
      <c r="H1003" s="75">
        <v>15</v>
      </c>
      <c r="I1003" s="75">
        <v>37</v>
      </c>
    </row>
    <row r="1004" spans="1:9">
      <c r="A1004" s="75">
        <v>322</v>
      </c>
      <c r="B1004" s="75">
        <v>0</v>
      </c>
      <c r="C1004" s="75">
        <v>322</v>
      </c>
      <c r="D1004" s="76">
        <v>43354.521261574075</v>
      </c>
      <c r="E1004" s="77">
        <v>43344</v>
      </c>
      <c r="F1004" s="78">
        <v>0.52126157407407414</v>
      </c>
      <c r="G1004" s="75">
        <v>2</v>
      </c>
      <c r="H1004" s="75">
        <v>30</v>
      </c>
      <c r="I1004" s="75">
        <v>37</v>
      </c>
    </row>
    <row r="1005" spans="1:9">
      <c r="A1005" s="75">
        <v>357</v>
      </c>
      <c r="B1005" s="75">
        <v>4</v>
      </c>
      <c r="C1005" s="75">
        <v>361</v>
      </c>
      <c r="D1005" s="76">
        <v>43354.531678240739</v>
      </c>
      <c r="E1005" s="77">
        <v>43344</v>
      </c>
      <c r="F1005" s="78">
        <v>0.53167824074074077</v>
      </c>
      <c r="G1005" s="75">
        <v>2</v>
      </c>
      <c r="H1005" s="75">
        <v>45</v>
      </c>
      <c r="I1005" s="75">
        <v>37</v>
      </c>
    </row>
    <row r="1006" spans="1:9">
      <c r="A1006" s="75">
        <v>333</v>
      </c>
      <c r="B1006" s="75">
        <v>4</v>
      </c>
      <c r="C1006" s="75">
        <v>337</v>
      </c>
      <c r="D1006" s="76">
        <v>43354.542083333334</v>
      </c>
      <c r="E1006" s="77">
        <v>43344</v>
      </c>
      <c r="F1006" s="78">
        <v>0.54208333333333336</v>
      </c>
      <c r="G1006" s="75">
        <v>2</v>
      </c>
      <c r="H1006" s="75">
        <v>0</v>
      </c>
      <c r="I1006" s="75">
        <v>36</v>
      </c>
    </row>
    <row r="1007" spans="1:9">
      <c r="A1007" s="75">
        <v>346</v>
      </c>
      <c r="B1007" s="75">
        <v>4</v>
      </c>
      <c r="C1007" s="75">
        <v>350</v>
      </c>
      <c r="D1007" s="76">
        <v>43354.552499999998</v>
      </c>
      <c r="E1007" s="77">
        <v>43344</v>
      </c>
      <c r="F1007" s="78">
        <v>0.55249999999999999</v>
      </c>
      <c r="G1007" s="75">
        <v>2</v>
      </c>
      <c r="H1007" s="75">
        <v>15</v>
      </c>
      <c r="I1007" s="75">
        <v>36</v>
      </c>
    </row>
    <row r="1008" spans="1:9">
      <c r="A1008" s="75">
        <v>392</v>
      </c>
      <c r="B1008" s="75">
        <v>2</v>
      </c>
      <c r="C1008" s="75">
        <v>394</v>
      </c>
      <c r="D1008" s="76">
        <v>43354.562928240739</v>
      </c>
      <c r="E1008" s="77">
        <v>43344</v>
      </c>
      <c r="F1008" s="78">
        <v>0.56292824074074077</v>
      </c>
      <c r="G1008" s="75">
        <v>2</v>
      </c>
      <c r="H1008" s="75">
        <v>30</v>
      </c>
      <c r="I1008" s="75">
        <v>37</v>
      </c>
    </row>
    <row r="1009" spans="1:9">
      <c r="A1009" s="75">
        <v>382</v>
      </c>
      <c r="B1009" s="75">
        <v>2</v>
      </c>
      <c r="C1009" s="75">
        <v>384</v>
      </c>
      <c r="D1009" s="76">
        <v>43354.573333333334</v>
      </c>
      <c r="E1009" s="77">
        <v>43344</v>
      </c>
      <c r="F1009" s="78">
        <v>0.57333333333333336</v>
      </c>
      <c r="G1009" s="75">
        <v>2</v>
      </c>
      <c r="H1009" s="75">
        <v>45</v>
      </c>
      <c r="I1009" s="75">
        <v>36</v>
      </c>
    </row>
    <row r="1010" spans="1:9">
      <c r="A1010" s="75">
        <v>382</v>
      </c>
      <c r="B1010" s="75">
        <v>2</v>
      </c>
      <c r="C1010" s="75">
        <v>378</v>
      </c>
      <c r="D1010" s="76">
        <v>43354.583749999998</v>
      </c>
      <c r="E1010" s="77">
        <v>43344</v>
      </c>
      <c r="F1010" s="78">
        <v>0.58374999999999999</v>
      </c>
      <c r="G1010" s="75">
        <v>2</v>
      </c>
      <c r="H1010" s="75">
        <v>0</v>
      </c>
      <c r="I1010" s="75">
        <v>36</v>
      </c>
    </row>
    <row r="1011" spans="1:9">
      <c r="A1011" s="75">
        <v>438</v>
      </c>
      <c r="B1011" s="75">
        <v>4</v>
      </c>
      <c r="C1011" s="75">
        <v>442</v>
      </c>
      <c r="D1011" s="76">
        <v>43354.594166666669</v>
      </c>
      <c r="E1011" s="77">
        <v>43344</v>
      </c>
      <c r="F1011" s="78">
        <v>0.59416666666666662</v>
      </c>
      <c r="G1011" s="75">
        <v>2</v>
      </c>
      <c r="H1011" s="75">
        <v>15</v>
      </c>
      <c r="I1011" s="75">
        <v>36</v>
      </c>
    </row>
    <row r="1012" spans="1:9">
      <c r="A1012" s="75">
        <v>473</v>
      </c>
      <c r="B1012" s="75">
        <v>5</v>
      </c>
      <c r="C1012" s="75">
        <v>477</v>
      </c>
      <c r="D1012" s="76">
        <v>43354.604583333334</v>
      </c>
      <c r="E1012" s="77">
        <v>43344</v>
      </c>
      <c r="F1012" s="78">
        <v>0.60458333333333336</v>
      </c>
      <c r="G1012" s="75">
        <v>2</v>
      </c>
      <c r="H1012" s="75">
        <v>30</v>
      </c>
      <c r="I1012" s="75">
        <v>36</v>
      </c>
    </row>
    <row r="1013" spans="1:9">
      <c r="A1013" s="75">
        <v>475</v>
      </c>
      <c r="B1013" s="75">
        <v>2</v>
      </c>
      <c r="C1013" s="75">
        <v>477</v>
      </c>
      <c r="D1013" s="76">
        <v>43354.614999999998</v>
      </c>
      <c r="E1013" s="77">
        <v>43344</v>
      </c>
      <c r="F1013" s="78">
        <v>0.61499999999999999</v>
      </c>
      <c r="G1013" s="75">
        <v>2</v>
      </c>
      <c r="H1013" s="75">
        <v>45</v>
      </c>
      <c r="I1013" s="75">
        <v>36</v>
      </c>
    </row>
    <row r="1014" spans="1:9">
      <c r="A1014" s="75">
        <v>486</v>
      </c>
      <c r="B1014" s="75">
        <v>7</v>
      </c>
      <c r="C1014" s="75">
        <v>493</v>
      </c>
      <c r="D1014" s="76">
        <v>43354.625416666669</v>
      </c>
      <c r="E1014" s="77">
        <v>43344</v>
      </c>
      <c r="F1014" s="78">
        <v>0.62541666666666662</v>
      </c>
      <c r="G1014" s="75">
        <v>2</v>
      </c>
      <c r="H1014" s="75">
        <v>0</v>
      </c>
      <c r="I1014" s="75">
        <v>36</v>
      </c>
    </row>
    <row r="1015" spans="1:9">
      <c r="A1015" s="75">
        <v>490</v>
      </c>
      <c r="B1015" s="75">
        <v>8</v>
      </c>
      <c r="C1015" s="75">
        <v>498</v>
      </c>
      <c r="D1015" s="76">
        <v>43354.635833333334</v>
      </c>
      <c r="E1015" s="77">
        <v>43344</v>
      </c>
      <c r="F1015" s="78">
        <v>0.63583333333333336</v>
      </c>
      <c r="G1015" s="75">
        <v>2</v>
      </c>
      <c r="H1015" s="75">
        <v>15</v>
      </c>
      <c r="I1015" s="75">
        <v>36</v>
      </c>
    </row>
    <row r="1016" spans="1:9">
      <c r="A1016" s="75">
        <v>440</v>
      </c>
      <c r="B1016" s="75">
        <v>3</v>
      </c>
      <c r="C1016" s="75">
        <v>443</v>
      </c>
      <c r="D1016" s="76">
        <v>43354.646249999998</v>
      </c>
      <c r="E1016" s="77">
        <v>43344</v>
      </c>
      <c r="F1016" s="78">
        <v>0.64624999999999999</v>
      </c>
      <c r="G1016" s="75">
        <v>2</v>
      </c>
      <c r="H1016" s="75">
        <v>30</v>
      </c>
      <c r="I1016" s="75">
        <v>36</v>
      </c>
    </row>
    <row r="1017" spans="1:9">
      <c r="A1017" s="75">
        <v>458</v>
      </c>
      <c r="B1017" s="75">
        <v>1</v>
      </c>
      <c r="C1017" s="75">
        <v>458</v>
      </c>
      <c r="D1017" s="76">
        <v>43354.656655092593</v>
      </c>
      <c r="E1017" s="77">
        <v>43344</v>
      </c>
      <c r="F1017" s="78">
        <v>0.65665509259259258</v>
      </c>
      <c r="G1017" s="75">
        <v>2</v>
      </c>
      <c r="H1017" s="75">
        <v>45</v>
      </c>
      <c r="I1017" s="75">
        <v>35</v>
      </c>
    </row>
    <row r="1018" spans="1:9">
      <c r="A1018" s="75">
        <v>449</v>
      </c>
      <c r="B1018" s="75">
        <v>2</v>
      </c>
      <c r="C1018" s="75">
        <v>451</v>
      </c>
      <c r="D1018" s="76">
        <v>43354.667083333334</v>
      </c>
      <c r="E1018" s="77">
        <v>43344</v>
      </c>
      <c r="F1018" s="78">
        <v>0.66708333333333336</v>
      </c>
      <c r="G1018" s="75">
        <v>2</v>
      </c>
      <c r="H1018" s="75">
        <v>0</v>
      </c>
      <c r="I1018" s="75">
        <v>36</v>
      </c>
    </row>
    <row r="1019" spans="1:9">
      <c r="A1019" s="75">
        <v>430</v>
      </c>
      <c r="B1019" s="75">
        <v>4</v>
      </c>
      <c r="C1019" s="75">
        <v>433</v>
      </c>
      <c r="D1019" s="76">
        <v>43354.677499999998</v>
      </c>
      <c r="E1019" s="77">
        <v>43344</v>
      </c>
      <c r="F1019" s="78">
        <v>0.6775000000000001</v>
      </c>
      <c r="G1019" s="75">
        <v>2</v>
      </c>
      <c r="H1019" s="75">
        <v>15</v>
      </c>
      <c r="I1019" s="75">
        <v>36</v>
      </c>
    </row>
    <row r="1020" spans="1:9">
      <c r="A1020" s="75">
        <v>455</v>
      </c>
      <c r="B1020" s="75">
        <v>8</v>
      </c>
      <c r="C1020" s="75">
        <v>456</v>
      </c>
      <c r="D1020" s="76">
        <v>43354.687905092593</v>
      </c>
      <c r="E1020" s="77">
        <v>43344</v>
      </c>
      <c r="F1020" s="78">
        <v>0.68790509259259258</v>
      </c>
      <c r="G1020" s="75">
        <v>2</v>
      </c>
      <c r="H1020" s="75">
        <v>30</v>
      </c>
      <c r="I1020" s="75">
        <v>35</v>
      </c>
    </row>
    <row r="1021" spans="1:9">
      <c r="A1021" s="75">
        <v>439</v>
      </c>
      <c r="B1021" s="75">
        <v>3</v>
      </c>
      <c r="C1021" s="75">
        <v>442</v>
      </c>
      <c r="D1021" s="76">
        <v>43354.698333333334</v>
      </c>
      <c r="E1021" s="77">
        <v>43344</v>
      </c>
      <c r="F1021" s="78">
        <v>0.69833333333333336</v>
      </c>
      <c r="G1021" s="75">
        <v>2</v>
      </c>
      <c r="H1021" s="75">
        <v>45</v>
      </c>
      <c r="I1021" s="75">
        <v>36</v>
      </c>
    </row>
    <row r="1022" spans="1:9">
      <c r="A1022" s="75">
        <v>429</v>
      </c>
      <c r="B1022" s="75">
        <v>2</v>
      </c>
      <c r="C1022" s="75">
        <v>431</v>
      </c>
      <c r="D1022" s="76">
        <v>43354.708749999998</v>
      </c>
      <c r="E1022" s="77">
        <v>43344</v>
      </c>
      <c r="F1022" s="78">
        <v>0.7087500000000001</v>
      </c>
      <c r="G1022" s="75">
        <v>2</v>
      </c>
      <c r="H1022" s="75">
        <v>0</v>
      </c>
      <c r="I1022" s="75">
        <v>36</v>
      </c>
    </row>
    <row r="1023" spans="1:9">
      <c r="A1023" s="75">
        <v>461</v>
      </c>
      <c r="B1023" s="75">
        <v>4</v>
      </c>
      <c r="C1023" s="75">
        <v>465</v>
      </c>
      <c r="D1023" s="76">
        <v>43354.719166666669</v>
      </c>
      <c r="E1023" s="77">
        <v>43344</v>
      </c>
      <c r="F1023" s="78">
        <v>0.71916666666666673</v>
      </c>
      <c r="G1023" s="75">
        <v>2</v>
      </c>
      <c r="H1023" s="75">
        <v>15</v>
      </c>
      <c r="I1023" s="75">
        <v>36</v>
      </c>
    </row>
    <row r="1024" spans="1:9">
      <c r="A1024" s="75">
        <v>408</v>
      </c>
      <c r="B1024" s="75">
        <v>8</v>
      </c>
      <c r="C1024" s="75">
        <v>414</v>
      </c>
      <c r="D1024" s="76">
        <v>43354.729594907411</v>
      </c>
      <c r="E1024" s="77">
        <v>43344</v>
      </c>
      <c r="F1024" s="78">
        <v>0.7295949074074074</v>
      </c>
      <c r="G1024" s="75">
        <v>2</v>
      </c>
      <c r="H1024" s="75">
        <v>30</v>
      </c>
      <c r="I1024" s="75">
        <v>37</v>
      </c>
    </row>
    <row r="1025" spans="1:9">
      <c r="A1025" s="75">
        <v>414</v>
      </c>
      <c r="B1025" s="75">
        <v>2</v>
      </c>
      <c r="C1025" s="75">
        <v>416</v>
      </c>
      <c r="D1025" s="76">
        <v>43354.74</v>
      </c>
      <c r="E1025" s="77">
        <v>43344</v>
      </c>
      <c r="F1025" s="78">
        <v>0.7400000000000001</v>
      </c>
      <c r="G1025" s="75">
        <v>2</v>
      </c>
      <c r="H1025" s="75">
        <v>45</v>
      </c>
      <c r="I1025" s="75">
        <v>36</v>
      </c>
    </row>
    <row r="1026" spans="1:9">
      <c r="A1026" s="75">
        <v>419</v>
      </c>
      <c r="B1026" s="75">
        <v>5</v>
      </c>
      <c r="C1026" s="75">
        <v>424</v>
      </c>
      <c r="D1026" s="76">
        <v>43354.750416666669</v>
      </c>
      <c r="E1026" s="77">
        <v>43344</v>
      </c>
      <c r="F1026" s="78">
        <v>0.75041666666666673</v>
      </c>
      <c r="G1026" s="75">
        <v>2</v>
      </c>
      <c r="H1026" s="75">
        <v>0</v>
      </c>
      <c r="I1026" s="75">
        <v>36</v>
      </c>
    </row>
    <row r="1027" spans="1:9">
      <c r="A1027" s="75">
        <v>445</v>
      </c>
      <c r="B1027" s="75">
        <v>1</v>
      </c>
      <c r="C1027" s="75">
        <v>445</v>
      </c>
      <c r="D1027" s="76">
        <v>43354.760833333334</v>
      </c>
      <c r="E1027" s="77">
        <v>43344</v>
      </c>
      <c r="F1027" s="78">
        <v>0.76083333333333336</v>
      </c>
      <c r="G1027" s="75">
        <v>2</v>
      </c>
      <c r="H1027" s="75">
        <v>15</v>
      </c>
      <c r="I1027" s="75">
        <v>36</v>
      </c>
    </row>
    <row r="1028" spans="1:9">
      <c r="A1028" s="75">
        <v>467</v>
      </c>
      <c r="B1028" s="75">
        <v>0</v>
      </c>
      <c r="C1028" s="75">
        <v>460</v>
      </c>
      <c r="D1028" s="76">
        <v>43354.771249999998</v>
      </c>
      <c r="E1028" s="77">
        <v>43344</v>
      </c>
      <c r="F1028" s="78">
        <v>0.7712500000000001</v>
      </c>
      <c r="G1028" s="75">
        <v>2</v>
      </c>
      <c r="H1028" s="75">
        <v>30</v>
      </c>
      <c r="I1028" s="75">
        <v>36</v>
      </c>
    </row>
    <row r="1029" spans="1:9">
      <c r="A1029" s="75">
        <v>517</v>
      </c>
      <c r="B1029" s="75">
        <v>1</v>
      </c>
      <c r="C1029" s="75">
        <v>518</v>
      </c>
      <c r="D1029" s="76">
        <v>43354.781655092593</v>
      </c>
      <c r="E1029" s="77">
        <v>43344</v>
      </c>
      <c r="F1029" s="78">
        <v>0.78165509259259258</v>
      </c>
      <c r="G1029" s="75">
        <v>2</v>
      </c>
      <c r="H1029" s="75">
        <v>45</v>
      </c>
      <c r="I1029" s="75">
        <v>35</v>
      </c>
    </row>
    <row r="1030" spans="1:9">
      <c r="A1030" s="75">
        <v>461</v>
      </c>
      <c r="B1030" s="75">
        <v>3</v>
      </c>
      <c r="C1030" s="75">
        <v>464</v>
      </c>
      <c r="D1030" s="76">
        <v>43354.792083333334</v>
      </c>
      <c r="E1030" s="77">
        <v>43344</v>
      </c>
      <c r="F1030" s="78">
        <v>0.79208333333333336</v>
      </c>
      <c r="G1030" s="75">
        <v>2</v>
      </c>
      <c r="H1030" s="75">
        <v>0</v>
      </c>
      <c r="I1030" s="75">
        <v>36</v>
      </c>
    </row>
    <row r="1031" spans="1:9">
      <c r="A1031" s="75">
        <v>476</v>
      </c>
      <c r="B1031" s="75">
        <v>3</v>
      </c>
      <c r="C1031" s="75">
        <v>479</v>
      </c>
      <c r="D1031" s="76">
        <v>43354.802499999998</v>
      </c>
      <c r="E1031" s="77">
        <v>43344</v>
      </c>
      <c r="F1031" s="78">
        <v>0.8025000000000001</v>
      </c>
      <c r="G1031" s="75">
        <v>2</v>
      </c>
      <c r="H1031" s="75">
        <v>15</v>
      </c>
      <c r="I1031" s="75">
        <v>36</v>
      </c>
    </row>
    <row r="1032" spans="1:9">
      <c r="A1032" s="75">
        <v>504</v>
      </c>
      <c r="B1032" s="75">
        <v>6</v>
      </c>
      <c r="C1032" s="75">
        <v>510</v>
      </c>
      <c r="D1032" s="76">
        <v>43354.812905092593</v>
      </c>
      <c r="E1032" s="77">
        <v>43344</v>
      </c>
      <c r="F1032" s="78">
        <v>0.81290509259259258</v>
      </c>
      <c r="G1032" s="75">
        <v>2</v>
      </c>
      <c r="H1032" s="75">
        <v>30</v>
      </c>
      <c r="I1032" s="75">
        <v>35</v>
      </c>
    </row>
    <row r="1033" spans="1:9">
      <c r="A1033" s="75">
        <v>560</v>
      </c>
      <c r="B1033" s="75">
        <v>8</v>
      </c>
      <c r="C1033" s="75">
        <v>568</v>
      </c>
      <c r="D1033" s="76">
        <v>43354.823333333334</v>
      </c>
      <c r="E1033" s="77">
        <v>43344</v>
      </c>
      <c r="F1033" s="78">
        <v>0.82333333333333336</v>
      </c>
      <c r="G1033" s="75">
        <v>2</v>
      </c>
      <c r="H1033" s="75">
        <v>45</v>
      </c>
      <c r="I1033" s="75">
        <v>36</v>
      </c>
    </row>
    <row r="1034" spans="1:9">
      <c r="A1034" s="75">
        <v>547</v>
      </c>
      <c r="B1034" s="75">
        <v>8</v>
      </c>
      <c r="C1034" s="75">
        <v>555</v>
      </c>
      <c r="D1034" s="76">
        <v>43354.833738425928</v>
      </c>
      <c r="E1034" s="77">
        <v>43344</v>
      </c>
      <c r="F1034" s="78">
        <v>0.83373842592592595</v>
      </c>
      <c r="G1034" s="75">
        <v>2</v>
      </c>
      <c r="H1034" s="75">
        <v>0</v>
      </c>
      <c r="I1034" s="75">
        <v>35</v>
      </c>
    </row>
    <row r="1035" spans="1:9">
      <c r="A1035" s="75">
        <v>651</v>
      </c>
      <c r="B1035" s="75">
        <v>8</v>
      </c>
      <c r="C1035" s="75">
        <v>659</v>
      </c>
      <c r="D1035" s="76">
        <v>43354.844166666669</v>
      </c>
      <c r="E1035" s="77">
        <v>43344</v>
      </c>
      <c r="F1035" s="78">
        <v>0.84416666666666673</v>
      </c>
      <c r="G1035" s="75">
        <v>2</v>
      </c>
      <c r="H1035" s="75">
        <v>15</v>
      </c>
      <c r="I1035" s="75">
        <v>36</v>
      </c>
    </row>
    <row r="1036" spans="1:9">
      <c r="A1036" s="75">
        <v>689</v>
      </c>
      <c r="B1036" s="75">
        <v>5</v>
      </c>
      <c r="C1036" s="75">
        <v>692</v>
      </c>
      <c r="D1036" s="76">
        <v>43354.854571759257</v>
      </c>
      <c r="E1036" s="77">
        <v>43344</v>
      </c>
      <c r="F1036" s="78">
        <v>0.85457175925925932</v>
      </c>
      <c r="G1036" s="75">
        <v>2</v>
      </c>
      <c r="H1036" s="75">
        <v>30</v>
      </c>
      <c r="I1036" s="75">
        <v>35</v>
      </c>
    </row>
    <row r="1037" spans="1:9">
      <c r="A1037" s="75">
        <v>628</v>
      </c>
      <c r="B1037" s="75">
        <v>7</v>
      </c>
      <c r="C1037" s="75">
        <v>633</v>
      </c>
      <c r="D1037" s="76">
        <v>43354.864988425928</v>
      </c>
      <c r="E1037" s="77">
        <v>43344</v>
      </c>
      <c r="F1037" s="78">
        <v>0.86498842592592595</v>
      </c>
      <c r="G1037" s="75">
        <v>2</v>
      </c>
      <c r="H1037" s="75">
        <v>45</v>
      </c>
      <c r="I1037" s="75">
        <v>35</v>
      </c>
    </row>
    <row r="1038" spans="1:9">
      <c r="A1038" s="75">
        <v>587</v>
      </c>
      <c r="B1038" s="75">
        <v>0</v>
      </c>
      <c r="C1038" s="75">
        <v>586</v>
      </c>
      <c r="D1038" s="76">
        <v>43354.875416666669</v>
      </c>
      <c r="E1038" s="77">
        <v>43344</v>
      </c>
      <c r="F1038" s="78">
        <v>0.87541666666666673</v>
      </c>
      <c r="G1038" s="75">
        <v>2</v>
      </c>
      <c r="H1038" s="75">
        <v>0</v>
      </c>
      <c r="I1038" s="75">
        <v>36</v>
      </c>
    </row>
    <row r="1039" spans="1:9">
      <c r="A1039" s="75">
        <v>607</v>
      </c>
      <c r="B1039" s="75">
        <v>6</v>
      </c>
      <c r="C1039" s="75">
        <v>613</v>
      </c>
      <c r="D1039" s="76">
        <v>43354.885833333334</v>
      </c>
      <c r="E1039" s="77">
        <v>43344</v>
      </c>
      <c r="F1039" s="78">
        <v>0.88583333333333336</v>
      </c>
      <c r="G1039" s="75">
        <v>2</v>
      </c>
      <c r="H1039" s="75">
        <v>15</v>
      </c>
      <c r="I1039" s="75">
        <v>36</v>
      </c>
    </row>
    <row r="1040" spans="1:9">
      <c r="A1040" s="75">
        <v>626</v>
      </c>
      <c r="B1040" s="75">
        <v>6</v>
      </c>
      <c r="C1040" s="75">
        <v>632</v>
      </c>
      <c r="D1040" s="76">
        <v>43354.896238425928</v>
      </c>
      <c r="E1040" s="77">
        <v>43344</v>
      </c>
      <c r="F1040" s="78">
        <v>0.89623842592592595</v>
      </c>
      <c r="G1040" s="75">
        <v>2</v>
      </c>
      <c r="H1040" s="75">
        <v>30</v>
      </c>
      <c r="I1040" s="75">
        <v>35</v>
      </c>
    </row>
    <row r="1041" spans="1:9">
      <c r="A1041" s="75">
        <v>645</v>
      </c>
      <c r="B1041" s="75">
        <v>5</v>
      </c>
      <c r="C1041" s="75">
        <v>642</v>
      </c>
      <c r="D1041" s="76">
        <v>43354.906666666669</v>
      </c>
      <c r="E1041" s="77">
        <v>43344</v>
      </c>
      <c r="F1041" s="78">
        <v>0.90666666666666673</v>
      </c>
      <c r="G1041" s="75">
        <v>2</v>
      </c>
      <c r="H1041" s="75">
        <v>45</v>
      </c>
      <c r="I1041" s="75">
        <v>36</v>
      </c>
    </row>
    <row r="1042" spans="1:9">
      <c r="A1042" s="75">
        <v>598</v>
      </c>
      <c r="B1042" s="75">
        <v>6</v>
      </c>
      <c r="C1042" s="75">
        <v>604</v>
      </c>
      <c r="D1042" s="76">
        <v>43354.917083333334</v>
      </c>
      <c r="E1042" s="77">
        <v>43344</v>
      </c>
      <c r="F1042" s="78">
        <v>0.91708333333333336</v>
      </c>
      <c r="G1042" s="75">
        <v>2</v>
      </c>
      <c r="H1042" s="75">
        <v>0</v>
      </c>
      <c r="I1042" s="75">
        <v>36</v>
      </c>
    </row>
    <row r="1043" spans="1:9">
      <c r="A1043" s="75">
        <v>573</v>
      </c>
      <c r="B1043" s="75">
        <v>4</v>
      </c>
      <c r="C1043" s="75">
        <v>577</v>
      </c>
      <c r="D1043" s="76">
        <v>43354.927499999998</v>
      </c>
      <c r="E1043" s="77">
        <v>43344</v>
      </c>
      <c r="F1043" s="78">
        <v>0.9275000000000001</v>
      </c>
      <c r="G1043" s="75">
        <v>2</v>
      </c>
      <c r="H1043" s="75">
        <v>15</v>
      </c>
      <c r="I1043" s="75">
        <v>36</v>
      </c>
    </row>
    <row r="1044" spans="1:9">
      <c r="A1044" s="75">
        <v>533</v>
      </c>
      <c r="B1044" s="75">
        <v>1</v>
      </c>
      <c r="C1044" s="75">
        <v>534</v>
      </c>
      <c r="D1044" s="76">
        <v>43354.937905092593</v>
      </c>
      <c r="E1044" s="77">
        <v>43344</v>
      </c>
      <c r="F1044" s="78">
        <v>0.93790509259259258</v>
      </c>
      <c r="G1044" s="75">
        <v>2</v>
      </c>
      <c r="H1044" s="75">
        <v>30</v>
      </c>
      <c r="I1044" s="75">
        <v>35</v>
      </c>
    </row>
    <row r="1045" spans="1:9">
      <c r="A1045" s="75">
        <v>553</v>
      </c>
      <c r="B1045" s="75">
        <v>2</v>
      </c>
      <c r="C1045" s="75">
        <v>555</v>
      </c>
      <c r="D1045" s="76">
        <v>43354.948321759257</v>
      </c>
      <c r="E1045" s="77">
        <v>43344</v>
      </c>
      <c r="F1045" s="78">
        <v>0.94832175925925932</v>
      </c>
      <c r="G1045" s="75">
        <v>2</v>
      </c>
      <c r="H1045" s="75">
        <v>45</v>
      </c>
      <c r="I1045" s="75">
        <v>35</v>
      </c>
    </row>
    <row r="1046" spans="1:9">
      <c r="A1046" s="75">
        <v>457</v>
      </c>
      <c r="B1046" s="75">
        <v>1</v>
      </c>
      <c r="C1046" s="75">
        <v>458</v>
      </c>
      <c r="D1046" s="76">
        <v>43354.958749999998</v>
      </c>
      <c r="E1046" s="77">
        <v>43344</v>
      </c>
      <c r="F1046" s="78">
        <v>0.9587500000000001</v>
      </c>
      <c r="G1046" s="75">
        <v>2</v>
      </c>
      <c r="H1046" s="75">
        <v>0</v>
      </c>
      <c r="I1046" s="75">
        <v>36</v>
      </c>
    </row>
    <row r="1047" spans="1:9">
      <c r="A1047" s="75">
        <v>454</v>
      </c>
      <c r="B1047" s="75">
        <v>4</v>
      </c>
      <c r="C1047" s="75">
        <v>458</v>
      </c>
      <c r="D1047" s="76">
        <v>43354.969155092593</v>
      </c>
      <c r="E1047" s="77">
        <v>43344</v>
      </c>
      <c r="F1047" s="78">
        <v>0.96915509259259258</v>
      </c>
      <c r="G1047" s="75">
        <v>2</v>
      </c>
      <c r="H1047" s="75">
        <v>15</v>
      </c>
      <c r="I1047" s="75">
        <v>35</v>
      </c>
    </row>
    <row r="1048" spans="1:9">
      <c r="A1048" s="75">
        <v>408</v>
      </c>
      <c r="B1048" s="75">
        <v>1</v>
      </c>
      <c r="C1048" s="75">
        <v>409</v>
      </c>
      <c r="D1048" s="76">
        <v>43354.979571759257</v>
      </c>
      <c r="E1048" s="77">
        <v>43344</v>
      </c>
      <c r="F1048" s="78">
        <v>0.97957175925925932</v>
      </c>
      <c r="G1048" s="75">
        <v>2</v>
      </c>
      <c r="H1048" s="75">
        <v>30</v>
      </c>
      <c r="I1048" s="75">
        <v>35</v>
      </c>
    </row>
    <row r="1049" spans="1:9">
      <c r="A1049" s="75">
        <v>380</v>
      </c>
      <c r="B1049" s="75">
        <v>2</v>
      </c>
      <c r="C1049" s="75">
        <v>382</v>
      </c>
      <c r="D1049" s="76">
        <v>43354.989988425928</v>
      </c>
      <c r="E1049" s="77">
        <v>43344</v>
      </c>
      <c r="F1049" s="78">
        <v>0.98998842592592595</v>
      </c>
      <c r="G1049" s="75">
        <v>2</v>
      </c>
      <c r="H1049" s="75">
        <v>45</v>
      </c>
      <c r="I1049" s="75">
        <v>35</v>
      </c>
    </row>
    <row r="1050" spans="1:9">
      <c r="A1050" s="75">
        <v>330</v>
      </c>
      <c r="B1050" s="75">
        <v>0</v>
      </c>
      <c r="C1050" s="75">
        <v>330</v>
      </c>
      <c r="D1050" s="76">
        <v>43355.000416666669</v>
      </c>
      <c r="E1050" s="77">
        <v>43344</v>
      </c>
      <c r="F1050" s="78">
        <v>4.1666666666666669E-4</v>
      </c>
      <c r="G1050" s="75">
        <v>2</v>
      </c>
      <c r="H1050" s="75">
        <v>0</v>
      </c>
      <c r="I1050" s="75">
        <v>36</v>
      </c>
    </row>
    <row r="1051" spans="1:9">
      <c r="A1051" s="75">
        <v>352</v>
      </c>
      <c r="B1051" s="75">
        <v>0</v>
      </c>
      <c r="C1051" s="75">
        <v>352</v>
      </c>
      <c r="D1051" s="76">
        <v>43355.010821759257</v>
      </c>
      <c r="E1051" s="77">
        <v>43344</v>
      </c>
      <c r="F1051" s="78">
        <v>1.082175925925926E-2</v>
      </c>
      <c r="G1051" s="75">
        <v>2</v>
      </c>
      <c r="H1051" s="75">
        <v>15</v>
      </c>
      <c r="I1051" s="75">
        <v>35</v>
      </c>
    </row>
    <row r="1052" spans="1:9">
      <c r="A1052" s="75">
        <v>306</v>
      </c>
      <c r="B1052" s="75">
        <v>2</v>
      </c>
      <c r="C1052" s="75">
        <v>308</v>
      </c>
      <c r="D1052" s="76">
        <v>43355.021238425928</v>
      </c>
      <c r="E1052" s="77">
        <v>43344</v>
      </c>
      <c r="F1052" s="78">
        <v>2.1238425925925924E-2</v>
      </c>
      <c r="G1052" s="75">
        <v>2</v>
      </c>
      <c r="H1052" s="75">
        <v>30</v>
      </c>
      <c r="I1052" s="75">
        <v>35</v>
      </c>
    </row>
    <row r="1053" spans="1:9">
      <c r="A1053" s="75">
        <v>295</v>
      </c>
      <c r="B1053" s="75">
        <v>3</v>
      </c>
      <c r="C1053" s="75">
        <v>291</v>
      </c>
      <c r="D1053" s="76">
        <v>43355.031655092593</v>
      </c>
      <c r="E1053" s="77">
        <v>43344</v>
      </c>
      <c r="F1053" s="78">
        <v>3.1655092592592596E-2</v>
      </c>
      <c r="G1053" s="75">
        <v>2</v>
      </c>
      <c r="H1053" s="75">
        <v>45</v>
      </c>
      <c r="I1053" s="75">
        <v>35</v>
      </c>
    </row>
    <row r="1054" spans="1:9">
      <c r="A1054" s="75">
        <v>272</v>
      </c>
      <c r="B1054" s="75">
        <v>1</v>
      </c>
      <c r="C1054" s="75">
        <v>273</v>
      </c>
      <c r="D1054" s="76">
        <v>43355.042083333334</v>
      </c>
      <c r="E1054" s="77">
        <v>43344</v>
      </c>
      <c r="F1054" s="78">
        <v>4.2083333333333334E-2</v>
      </c>
      <c r="G1054" s="75">
        <v>2</v>
      </c>
      <c r="H1054" s="75">
        <v>0</v>
      </c>
      <c r="I1054" s="75">
        <v>36</v>
      </c>
    </row>
    <row r="1055" spans="1:9">
      <c r="A1055" s="75">
        <v>334</v>
      </c>
      <c r="B1055" s="75">
        <v>2</v>
      </c>
      <c r="C1055" s="75">
        <v>336</v>
      </c>
      <c r="D1055" s="76">
        <v>43355.052488425928</v>
      </c>
      <c r="E1055" s="77">
        <v>43344</v>
      </c>
      <c r="F1055" s="78">
        <v>5.2488425925925924E-2</v>
      </c>
      <c r="G1055" s="75">
        <v>2</v>
      </c>
      <c r="H1055" s="75">
        <v>15</v>
      </c>
      <c r="I1055" s="75">
        <v>35</v>
      </c>
    </row>
    <row r="1056" spans="1:9">
      <c r="A1056" s="75">
        <v>350</v>
      </c>
      <c r="B1056" s="75">
        <v>4</v>
      </c>
      <c r="C1056" s="75">
        <v>354</v>
      </c>
      <c r="D1056" s="76">
        <v>43355.062916666669</v>
      </c>
      <c r="E1056" s="77">
        <v>43344</v>
      </c>
      <c r="F1056" s="78">
        <v>6.2916666666666662E-2</v>
      </c>
      <c r="G1056" s="75">
        <v>2</v>
      </c>
      <c r="H1056" s="75">
        <v>30</v>
      </c>
      <c r="I1056" s="75">
        <v>36</v>
      </c>
    </row>
    <row r="1057" spans="1:9">
      <c r="A1057" s="75">
        <v>326</v>
      </c>
      <c r="B1057" s="75">
        <v>0</v>
      </c>
      <c r="C1057" s="75">
        <v>326</v>
      </c>
      <c r="D1057" s="76">
        <v>43355.073321759257</v>
      </c>
      <c r="E1057" s="77">
        <v>43344</v>
      </c>
      <c r="F1057" s="78">
        <v>7.3321759259259267E-2</v>
      </c>
      <c r="G1057" s="75">
        <v>2</v>
      </c>
      <c r="H1057" s="75">
        <v>45</v>
      </c>
      <c r="I1057" s="75">
        <v>35</v>
      </c>
    </row>
    <row r="1058" spans="1:9">
      <c r="A1058" s="75">
        <v>266</v>
      </c>
      <c r="B1058" s="75">
        <v>1</v>
      </c>
      <c r="C1058" s="75">
        <v>267</v>
      </c>
      <c r="D1058" s="76">
        <v>43355.083773148152</v>
      </c>
      <c r="E1058" s="77">
        <v>43344</v>
      </c>
      <c r="F1058" s="78">
        <v>8.3773148148148138E-2</v>
      </c>
      <c r="G1058" s="75">
        <v>2</v>
      </c>
      <c r="H1058" s="75">
        <v>0</v>
      </c>
      <c r="I1058" s="75">
        <v>38</v>
      </c>
    </row>
    <row r="1059" spans="1:9">
      <c r="A1059" s="75">
        <v>286</v>
      </c>
      <c r="B1059" s="75">
        <v>2</v>
      </c>
      <c r="C1059" s="75">
        <v>288</v>
      </c>
      <c r="D1059" s="76">
        <v>43355.094155092593</v>
      </c>
      <c r="E1059" s="77">
        <v>43344</v>
      </c>
      <c r="F1059" s="78">
        <v>9.4155092592592596E-2</v>
      </c>
      <c r="G1059" s="75">
        <v>2</v>
      </c>
      <c r="H1059" s="75">
        <v>15</v>
      </c>
      <c r="I1059" s="75">
        <v>35</v>
      </c>
    </row>
    <row r="1060" spans="1:9">
      <c r="A1060" s="75">
        <v>257</v>
      </c>
      <c r="B1060" s="75">
        <v>3</v>
      </c>
      <c r="C1060" s="75">
        <v>260</v>
      </c>
      <c r="D1060" s="76">
        <v>43355.104583333334</v>
      </c>
      <c r="E1060" s="77">
        <v>43344</v>
      </c>
      <c r="F1060" s="78">
        <v>0.10458333333333332</v>
      </c>
      <c r="G1060" s="75">
        <v>2</v>
      </c>
      <c r="H1060" s="75">
        <v>30</v>
      </c>
      <c r="I1060" s="75">
        <v>36</v>
      </c>
    </row>
    <row r="1061" spans="1:9">
      <c r="A1061" s="75">
        <v>241</v>
      </c>
      <c r="B1061" s="75">
        <v>0</v>
      </c>
      <c r="C1061" s="75">
        <v>241</v>
      </c>
      <c r="D1061" s="76">
        <v>43355.114988425928</v>
      </c>
      <c r="E1061" s="77">
        <v>43344</v>
      </c>
      <c r="F1061" s="78">
        <v>0.11498842592592594</v>
      </c>
      <c r="G1061" s="75">
        <v>2</v>
      </c>
      <c r="H1061" s="75">
        <v>45</v>
      </c>
      <c r="I1061" s="75">
        <v>35</v>
      </c>
    </row>
    <row r="1062" spans="1:9">
      <c r="A1062" s="75">
        <v>194</v>
      </c>
      <c r="B1062" s="75">
        <v>2</v>
      </c>
      <c r="C1062" s="75">
        <v>196</v>
      </c>
      <c r="D1062" s="76">
        <v>43355.125405092593</v>
      </c>
      <c r="E1062" s="77">
        <v>43344</v>
      </c>
      <c r="F1062" s="78">
        <v>0.12540509259259261</v>
      </c>
      <c r="G1062" s="75">
        <v>2</v>
      </c>
      <c r="H1062" s="75">
        <v>0</v>
      </c>
      <c r="I1062" s="75">
        <v>35</v>
      </c>
    </row>
    <row r="1063" spans="1:9">
      <c r="A1063" s="75">
        <v>172</v>
      </c>
      <c r="B1063" s="75">
        <v>1</v>
      </c>
      <c r="C1063" s="75">
        <v>169</v>
      </c>
      <c r="D1063" s="76">
        <v>43355.135821759257</v>
      </c>
      <c r="E1063" s="77">
        <v>43344</v>
      </c>
      <c r="F1063" s="78">
        <v>0.13582175925925927</v>
      </c>
      <c r="G1063" s="75">
        <v>2</v>
      </c>
      <c r="H1063" s="75">
        <v>15</v>
      </c>
      <c r="I1063" s="75">
        <v>35</v>
      </c>
    </row>
    <row r="1064" spans="1:9">
      <c r="A1064" s="75">
        <v>136</v>
      </c>
      <c r="B1064" s="75">
        <v>0</v>
      </c>
      <c r="C1064" s="75">
        <v>135</v>
      </c>
      <c r="D1064" s="76">
        <v>43355.146238425928</v>
      </c>
      <c r="E1064" s="77">
        <v>43344</v>
      </c>
      <c r="F1064" s="78">
        <v>0.14623842592592592</v>
      </c>
      <c r="G1064" s="75">
        <v>2</v>
      </c>
      <c r="H1064" s="75">
        <v>30</v>
      </c>
      <c r="I1064" s="75">
        <v>35</v>
      </c>
    </row>
    <row r="1065" spans="1:9">
      <c r="A1065" s="75">
        <v>126</v>
      </c>
      <c r="B1065" s="75">
        <v>0</v>
      </c>
      <c r="C1065" s="75">
        <v>123</v>
      </c>
      <c r="D1065" s="76">
        <v>43355.156655092593</v>
      </c>
      <c r="E1065" s="77">
        <v>43344</v>
      </c>
      <c r="F1065" s="78">
        <v>0.15665509259259261</v>
      </c>
      <c r="G1065" s="75">
        <v>2</v>
      </c>
      <c r="H1065" s="75">
        <v>45</v>
      </c>
      <c r="I1065" s="75">
        <v>35</v>
      </c>
    </row>
    <row r="1066" spans="1:9">
      <c r="A1066" s="75">
        <v>126</v>
      </c>
      <c r="B1066" s="75">
        <v>0</v>
      </c>
      <c r="C1066" s="75">
        <v>119</v>
      </c>
      <c r="D1066" s="76">
        <v>43355.167071759257</v>
      </c>
      <c r="E1066" s="77">
        <v>43344</v>
      </c>
      <c r="F1066" s="78">
        <v>0.16707175925925924</v>
      </c>
      <c r="G1066" s="75">
        <v>2</v>
      </c>
      <c r="H1066" s="75">
        <v>0</v>
      </c>
      <c r="I1066" s="75">
        <v>35</v>
      </c>
    </row>
    <row r="1067" spans="1:9">
      <c r="A1067" s="75">
        <v>59</v>
      </c>
      <c r="B1067" s="75">
        <v>0</v>
      </c>
      <c r="C1067" s="75">
        <v>58</v>
      </c>
      <c r="D1067" s="76">
        <v>43355.177488425928</v>
      </c>
      <c r="E1067" s="77">
        <v>43344</v>
      </c>
      <c r="F1067" s="78">
        <v>0.17748842592592592</v>
      </c>
      <c r="G1067" s="75">
        <v>2</v>
      </c>
      <c r="H1067" s="75">
        <v>15</v>
      </c>
      <c r="I1067" s="75">
        <v>35</v>
      </c>
    </row>
    <row r="1068" spans="1:9">
      <c r="A1068" s="75">
        <v>40</v>
      </c>
      <c r="B1068" s="75">
        <v>0</v>
      </c>
      <c r="C1068" s="75">
        <v>39</v>
      </c>
      <c r="D1068" s="76">
        <v>43355.187905092593</v>
      </c>
      <c r="E1068" s="77">
        <v>43344</v>
      </c>
      <c r="F1068" s="78">
        <v>0.18790509259259258</v>
      </c>
      <c r="G1068" s="75">
        <v>2</v>
      </c>
      <c r="H1068" s="75">
        <v>30</v>
      </c>
      <c r="I1068" s="75">
        <v>35</v>
      </c>
    </row>
    <row r="1069" spans="1:9">
      <c r="A1069" s="75">
        <v>37</v>
      </c>
      <c r="B1069" s="75">
        <v>0</v>
      </c>
      <c r="C1069" s="75">
        <v>36</v>
      </c>
      <c r="D1069" s="76">
        <v>43355.198310185187</v>
      </c>
      <c r="E1069" s="77">
        <v>43344</v>
      </c>
      <c r="F1069" s="78">
        <v>0.19831018518518517</v>
      </c>
      <c r="G1069" s="75">
        <v>2</v>
      </c>
      <c r="H1069" s="75">
        <v>45</v>
      </c>
      <c r="I1069" s="75">
        <v>34</v>
      </c>
    </row>
    <row r="1070" spans="1:9">
      <c r="A1070" s="75">
        <v>37</v>
      </c>
      <c r="B1070" s="75">
        <v>0</v>
      </c>
      <c r="C1070" s="75">
        <v>36</v>
      </c>
      <c r="D1070" s="76">
        <v>43355.208738425928</v>
      </c>
      <c r="E1070" s="77">
        <v>43344</v>
      </c>
      <c r="F1070" s="78">
        <v>0.20873842592592592</v>
      </c>
      <c r="G1070" s="75">
        <v>2</v>
      </c>
      <c r="H1070" s="75">
        <v>0</v>
      </c>
      <c r="I1070" s="75">
        <v>35</v>
      </c>
    </row>
    <row r="1071" spans="1:9">
      <c r="A1071" s="75">
        <v>36</v>
      </c>
      <c r="B1071" s="75">
        <v>0</v>
      </c>
      <c r="C1071" s="75">
        <v>35</v>
      </c>
      <c r="D1071" s="76">
        <v>43355.219155092593</v>
      </c>
      <c r="E1071" s="77">
        <v>43344</v>
      </c>
      <c r="F1071" s="78">
        <v>0.21915509259259258</v>
      </c>
      <c r="G1071" s="75">
        <v>2</v>
      </c>
      <c r="H1071" s="75">
        <v>15</v>
      </c>
      <c r="I1071" s="75">
        <v>35</v>
      </c>
    </row>
    <row r="1072" spans="1:9">
      <c r="A1072" s="75">
        <v>35</v>
      </c>
      <c r="B1072" s="75">
        <v>0</v>
      </c>
      <c r="C1072" s="75">
        <v>34</v>
      </c>
      <c r="D1072" s="76">
        <v>43355.229571759257</v>
      </c>
      <c r="E1072" s="77">
        <v>43344</v>
      </c>
      <c r="F1072" s="78">
        <v>0.22957175925925924</v>
      </c>
      <c r="G1072" s="75">
        <v>2</v>
      </c>
      <c r="H1072" s="75">
        <v>30</v>
      </c>
      <c r="I1072" s="75">
        <v>35</v>
      </c>
    </row>
    <row r="1073" spans="1:9">
      <c r="A1073" s="75">
        <v>35</v>
      </c>
      <c r="B1073" s="75">
        <v>0</v>
      </c>
      <c r="C1073" s="75">
        <v>34</v>
      </c>
      <c r="D1073" s="76">
        <v>43355.239988425928</v>
      </c>
      <c r="E1073" s="77">
        <v>43344</v>
      </c>
      <c r="F1073" s="78">
        <v>0.23998842592592592</v>
      </c>
      <c r="G1073" s="75">
        <v>2</v>
      </c>
      <c r="H1073" s="75">
        <v>45</v>
      </c>
      <c r="I1073" s="75">
        <v>35</v>
      </c>
    </row>
    <row r="1074" spans="1:9">
      <c r="A1074" s="75">
        <v>35</v>
      </c>
      <c r="B1074" s="75">
        <v>0</v>
      </c>
      <c r="C1074" s="75">
        <v>34</v>
      </c>
      <c r="D1074" s="76">
        <v>43355.250405092593</v>
      </c>
      <c r="E1074" s="77">
        <v>43344</v>
      </c>
      <c r="F1074" s="78">
        <v>0.25040509259259258</v>
      </c>
      <c r="G1074" s="75">
        <v>2</v>
      </c>
      <c r="H1074" s="75">
        <v>0</v>
      </c>
      <c r="I1074" s="75">
        <v>35</v>
      </c>
    </row>
    <row r="1075" spans="1:9">
      <c r="A1075" s="75">
        <v>35</v>
      </c>
      <c r="B1075" s="75">
        <v>0</v>
      </c>
      <c r="C1075" s="75">
        <v>34</v>
      </c>
      <c r="D1075" s="76">
        <v>43355.260821759257</v>
      </c>
      <c r="E1075" s="77">
        <v>43344</v>
      </c>
      <c r="F1075" s="78">
        <v>0.26082175925925927</v>
      </c>
      <c r="G1075" s="75">
        <v>2</v>
      </c>
      <c r="H1075" s="75">
        <v>15</v>
      </c>
      <c r="I1075" s="75">
        <v>35</v>
      </c>
    </row>
    <row r="1076" spans="1:9">
      <c r="A1076" s="75">
        <v>35</v>
      </c>
      <c r="B1076" s="75">
        <v>0</v>
      </c>
      <c r="C1076" s="75">
        <v>34</v>
      </c>
      <c r="D1076" s="76">
        <v>43355.273865740739</v>
      </c>
      <c r="E1076" s="77">
        <v>43344</v>
      </c>
      <c r="F1076" s="78">
        <v>0.27386574074074072</v>
      </c>
      <c r="G1076" s="75">
        <v>2</v>
      </c>
      <c r="H1076" s="75">
        <v>34</v>
      </c>
      <c r="I1076" s="75">
        <v>22</v>
      </c>
    </row>
    <row r="1077" spans="1:9">
      <c r="A1077" s="75">
        <v>32</v>
      </c>
      <c r="B1077" s="75">
        <v>0</v>
      </c>
      <c r="C1077" s="75">
        <v>31</v>
      </c>
      <c r="D1077" s="76">
        <v>43355.281655092593</v>
      </c>
      <c r="E1077" s="77">
        <v>43344</v>
      </c>
      <c r="F1077" s="78">
        <v>0.28165509259259258</v>
      </c>
      <c r="G1077" s="75">
        <v>2</v>
      </c>
      <c r="H1077" s="75">
        <v>45</v>
      </c>
      <c r="I1077" s="75">
        <v>35</v>
      </c>
    </row>
    <row r="1078" spans="1:9">
      <c r="A1078" s="75">
        <v>35</v>
      </c>
      <c r="B1078" s="75">
        <v>0</v>
      </c>
      <c r="C1078" s="75">
        <v>34</v>
      </c>
      <c r="D1078" s="76">
        <v>43355.292060185187</v>
      </c>
      <c r="E1078" s="77">
        <v>43344</v>
      </c>
      <c r="F1078" s="78">
        <v>0.29206018518518517</v>
      </c>
      <c r="G1078" s="75">
        <v>2</v>
      </c>
      <c r="H1078" s="75">
        <v>0</v>
      </c>
      <c r="I1078" s="75">
        <v>34</v>
      </c>
    </row>
    <row r="1079" spans="1:9">
      <c r="A1079" s="75">
        <v>49</v>
      </c>
      <c r="B1079" s="75">
        <v>0</v>
      </c>
      <c r="C1079" s="75">
        <v>48</v>
      </c>
      <c r="D1079" s="76">
        <v>43355.302511574075</v>
      </c>
      <c r="E1079" s="77">
        <v>43344</v>
      </c>
      <c r="F1079" s="78">
        <v>0.30251157407407409</v>
      </c>
      <c r="G1079" s="75">
        <v>2</v>
      </c>
      <c r="H1079" s="75">
        <v>15</v>
      </c>
      <c r="I1079" s="75">
        <v>37</v>
      </c>
    </row>
    <row r="1080" spans="1:9">
      <c r="A1080" s="75">
        <v>54</v>
      </c>
      <c r="B1080" s="75">
        <v>0</v>
      </c>
      <c r="C1080" s="75">
        <v>53</v>
      </c>
      <c r="D1080" s="76">
        <v>43355.312916666669</v>
      </c>
      <c r="E1080" s="77">
        <v>43344</v>
      </c>
      <c r="F1080" s="78">
        <v>0.31291666666666668</v>
      </c>
      <c r="G1080" s="75">
        <v>2</v>
      </c>
      <c r="H1080" s="75">
        <v>30</v>
      </c>
      <c r="I1080" s="75">
        <v>36</v>
      </c>
    </row>
    <row r="1081" spans="1:9">
      <c r="A1081" s="75">
        <v>72</v>
      </c>
      <c r="B1081" s="75">
        <v>0</v>
      </c>
      <c r="C1081" s="75">
        <v>71</v>
      </c>
      <c r="D1081" s="76">
        <v>43355.323333333334</v>
      </c>
      <c r="E1081" s="77">
        <v>43344</v>
      </c>
      <c r="F1081" s="78">
        <v>0.32333333333333331</v>
      </c>
      <c r="G1081" s="75">
        <v>2</v>
      </c>
      <c r="H1081" s="75">
        <v>45</v>
      </c>
      <c r="I1081" s="75">
        <v>36</v>
      </c>
    </row>
    <row r="1082" spans="1:9">
      <c r="A1082" s="75">
        <v>68</v>
      </c>
      <c r="B1082" s="75">
        <v>0</v>
      </c>
      <c r="C1082" s="75">
        <v>67</v>
      </c>
      <c r="D1082" s="76">
        <v>43355.333761574075</v>
      </c>
      <c r="E1082" s="77">
        <v>43344</v>
      </c>
      <c r="F1082" s="78">
        <v>0.33376157407407409</v>
      </c>
      <c r="G1082" s="75">
        <v>2</v>
      </c>
      <c r="H1082" s="75">
        <v>0</v>
      </c>
      <c r="I1082" s="75">
        <v>37</v>
      </c>
    </row>
    <row r="1083" spans="1:9">
      <c r="A1083" s="75">
        <v>77</v>
      </c>
      <c r="B1083" s="75">
        <v>1</v>
      </c>
      <c r="C1083" s="75">
        <v>78</v>
      </c>
      <c r="D1083" s="76">
        <v>43355.344166666669</v>
      </c>
      <c r="E1083" s="77">
        <v>43344</v>
      </c>
      <c r="F1083" s="78">
        <v>0.34416666666666668</v>
      </c>
      <c r="G1083" s="75">
        <v>2</v>
      </c>
      <c r="H1083" s="75">
        <v>15</v>
      </c>
      <c r="I1083" s="75">
        <v>36</v>
      </c>
    </row>
    <row r="1084" spans="1:9">
      <c r="A1084" s="75">
        <v>141</v>
      </c>
      <c r="B1084" s="75">
        <v>0</v>
      </c>
      <c r="C1084" s="75">
        <v>141</v>
      </c>
      <c r="D1084" s="76">
        <v>43355.354594907411</v>
      </c>
      <c r="E1084" s="77">
        <v>43344</v>
      </c>
      <c r="F1084" s="78">
        <v>0.35459490740740746</v>
      </c>
      <c r="G1084" s="75">
        <v>2</v>
      </c>
      <c r="H1084" s="75">
        <v>30</v>
      </c>
      <c r="I1084" s="75">
        <v>37</v>
      </c>
    </row>
    <row r="1085" spans="1:9">
      <c r="A1085" s="75">
        <v>209</v>
      </c>
      <c r="B1085" s="75">
        <v>0</v>
      </c>
      <c r="C1085" s="75">
        <v>209</v>
      </c>
      <c r="D1085" s="76">
        <v>43355.364999999998</v>
      </c>
      <c r="E1085" s="77">
        <v>43344</v>
      </c>
      <c r="F1085" s="78">
        <v>0.36499999999999999</v>
      </c>
      <c r="G1085" s="75">
        <v>2</v>
      </c>
      <c r="H1085" s="75">
        <v>45</v>
      </c>
      <c r="I1085" s="75">
        <v>36</v>
      </c>
    </row>
    <row r="1086" spans="1:9">
      <c r="A1086" s="75">
        <v>204</v>
      </c>
      <c r="B1086" s="75">
        <v>1</v>
      </c>
      <c r="C1086" s="75">
        <v>205</v>
      </c>
      <c r="D1086" s="76">
        <v>43355.375428240739</v>
      </c>
      <c r="E1086" s="77">
        <v>43344</v>
      </c>
      <c r="F1086" s="78">
        <v>0.37542824074074077</v>
      </c>
      <c r="G1086" s="75">
        <v>2</v>
      </c>
      <c r="H1086" s="75">
        <v>0</v>
      </c>
      <c r="I1086" s="75">
        <v>37</v>
      </c>
    </row>
    <row r="1087" spans="1:9">
      <c r="A1087" s="75">
        <v>296</v>
      </c>
      <c r="B1087" s="75">
        <v>5</v>
      </c>
      <c r="C1087" s="75">
        <v>301</v>
      </c>
      <c r="D1087" s="76">
        <v>43355.385833333334</v>
      </c>
      <c r="E1087" s="77">
        <v>43344</v>
      </c>
      <c r="F1087" s="78">
        <v>0.38583333333333331</v>
      </c>
      <c r="G1087" s="75">
        <v>2</v>
      </c>
      <c r="H1087" s="75">
        <v>15</v>
      </c>
      <c r="I1087" s="75">
        <v>36</v>
      </c>
    </row>
    <row r="1088" spans="1:9">
      <c r="A1088" s="75">
        <v>485</v>
      </c>
      <c r="B1088" s="75">
        <v>5</v>
      </c>
      <c r="C1088" s="75">
        <v>490</v>
      </c>
      <c r="D1088" s="76">
        <v>43355.396249999998</v>
      </c>
      <c r="E1088" s="77">
        <v>43344</v>
      </c>
      <c r="F1088" s="78">
        <v>0.39624999999999999</v>
      </c>
      <c r="G1088" s="75">
        <v>2</v>
      </c>
      <c r="H1088" s="75">
        <v>30</v>
      </c>
      <c r="I1088" s="75">
        <v>36</v>
      </c>
    </row>
    <row r="1089" spans="1:9">
      <c r="A1089" s="75">
        <v>829</v>
      </c>
      <c r="B1089" s="75">
        <v>7</v>
      </c>
      <c r="C1089" s="75">
        <v>836</v>
      </c>
      <c r="D1089" s="76">
        <v>43355.406678240739</v>
      </c>
      <c r="E1089" s="77">
        <v>43344</v>
      </c>
      <c r="F1089" s="78">
        <v>0.40667824074074077</v>
      </c>
      <c r="G1089" s="75">
        <v>2</v>
      </c>
      <c r="H1089" s="75">
        <v>45</v>
      </c>
      <c r="I1089" s="75">
        <v>37</v>
      </c>
    </row>
    <row r="1090" spans="1:9">
      <c r="A1090" s="75">
        <v>748</v>
      </c>
      <c r="B1090" s="75">
        <v>11</v>
      </c>
      <c r="C1090" s="75">
        <v>759</v>
      </c>
      <c r="D1090" s="76">
        <v>43355.417094907411</v>
      </c>
      <c r="E1090" s="77">
        <v>43344</v>
      </c>
      <c r="F1090" s="78">
        <v>0.41709490740740746</v>
      </c>
      <c r="G1090" s="75">
        <v>2</v>
      </c>
      <c r="H1090" s="75">
        <v>0</v>
      </c>
      <c r="I1090" s="75">
        <v>37</v>
      </c>
    </row>
    <row r="1091" spans="1:9">
      <c r="A1091" s="75">
        <v>706</v>
      </c>
      <c r="B1091" s="75">
        <v>13</v>
      </c>
      <c r="C1091" s="75">
        <v>719</v>
      </c>
      <c r="D1091" s="76">
        <v>43355.427499999998</v>
      </c>
      <c r="E1091" s="77">
        <v>43344</v>
      </c>
      <c r="F1091" s="78">
        <v>0.42749999999999999</v>
      </c>
      <c r="G1091" s="75">
        <v>2</v>
      </c>
      <c r="H1091" s="75">
        <v>15</v>
      </c>
      <c r="I1091" s="75">
        <v>36</v>
      </c>
    </row>
    <row r="1092" spans="1:9">
      <c r="A1092" s="75">
        <v>820</v>
      </c>
      <c r="B1092" s="75">
        <v>21</v>
      </c>
      <c r="C1092" s="75">
        <v>841</v>
      </c>
      <c r="D1092" s="76">
        <v>43355.437916666669</v>
      </c>
      <c r="E1092" s="77">
        <v>43344</v>
      </c>
      <c r="F1092" s="78">
        <v>0.43791666666666668</v>
      </c>
      <c r="G1092" s="75">
        <v>2</v>
      </c>
      <c r="H1092" s="75">
        <v>30</v>
      </c>
      <c r="I1092" s="75">
        <v>36</v>
      </c>
    </row>
    <row r="1093" spans="1:9">
      <c r="A1093" s="75">
        <v>983</v>
      </c>
      <c r="B1093" s="75">
        <v>27</v>
      </c>
      <c r="C1093" s="75">
        <v>1008</v>
      </c>
      <c r="D1093" s="76">
        <v>43355.448333333334</v>
      </c>
      <c r="E1093" s="77">
        <v>43344</v>
      </c>
      <c r="F1093" s="78">
        <v>0.44833333333333331</v>
      </c>
      <c r="G1093" s="75">
        <v>2</v>
      </c>
      <c r="H1093" s="75">
        <v>45</v>
      </c>
      <c r="I1093" s="75">
        <v>36</v>
      </c>
    </row>
    <row r="1094" spans="1:9">
      <c r="A1094" s="75">
        <v>889</v>
      </c>
      <c r="B1094" s="75">
        <v>19</v>
      </c>
      <c r="C1094" s="75">
        <v>898</v>
      </c>
      <c r="D1094" s="76">
        <v>43355.458761574075</v>
      </c>
      <c r="E1094" s="77">
        <v>43344</v>
      </c>
      <c r="F1094" s="78">
        <v>0.45876157407407409</v>
      </c>
      <c r="G1094" s="75">
        <v>2</v>
      </c>
      <c r="H1094" s="75">
        <v>0</v>
      </c>
      <c r="I1094" s="75">
        <v>37</v>
      </c>
    </row>
    <row r="1095" spans="1:9">
      <c r="A1095" s="75">
        <v>731</v>
      </c>
      <c r="B1095" s="75">
        <v>21</v>
      </c>
      <c r="C1095" s="75">
        <v>752</v>
      </c>
      <c r="D1095" s="76">
        <v>43355.469166666669</v>
      </c>
      <c r="E1095" s="77">
        <v>43344</v>
      </c>
      <c r="F1095" s="78">
        <v>0.46916666666666668</v>
      </c>
      <c r="G1095" s="75">
        <v>2</v>
      </c>
      <c r="H1095" s="75">
        <v>15</v>
      </c>
      <c r="I1095" s="75">
        <v>36</v>
      </c>
    </row>
    <row r="1096" spans="1:9">
      <c r="A1096" s="75">
        <v>643</v>
      </c>
      <c r="B1096" s="75">
        <v>17</v>
      </c>
      <c r="C1096" s="75">
        <v>660</v>
      </c>
      <c r="D1096" s="76">
        <v>43355.479583333334</v>
      </c>
      <c r="E1096" s="77">
        <v>43344</v>
      </c>
      <c r="F1096" s="78">
        <v>0.47958333333333331</v>
      </c>
      <c r="G1096" s="75">
        <v>2</v>
      </c>
      <c r="H1096" s="75">
        <v>30</v>
      </c>
      <c r="I1096" s="75">
        <v>36</v>
      </c>
    </row>
    <row r="1097" spans="1:9">
      <c r="A1097" s="75">
        <v>551</v>
      </c>
      <c r="B1097" s="75">
        <v>12</v>
      </c>
      <c r="C1097" s="75">
        <v>560</v>
      </c>
      <c r="D1097" s="76">
        <v>43355.489988425928</v>
      </c>
      <c r="E1097" s="77">
        <v>43344</v>
      </c>
      <c r="F1097" s="78">
        <v>0.48998842592592595</v>
      </c>
      <c r="G1097" s="75">
        <v>2</v>
      </c>
      <c r="H1097" s="75">
        <v>45</v>
      </c>
      <c r="I1097" s="75">
        <v>35</v>
      </c>
    </row>
    <row r="1098" spans="1:9">
      <c r="A1098" s="75">
        <v>463</v>
      </c>
      <c r="B1098" s="75">
        <v>7</v>
      </c>
      <c r="C1098" s="75">
        <v>470</v>
      </c>
      <c r="D1098" s="76">
        <v>43355.500428240739</v>
      </c>
      <c r="E1098" s="77">
        <v>43344</v>
      </c>
      <c r="F1098" s="78">
        <v>0.50042824074074077</v>
      </c>
      <c r="G1098" s="75">
        <v>2</v>
      </c>
      <c r="H1098" s="75">
        <v>0</v>
      </c>
      <c r="I1098" s="75">
        <v>37</v>
      </c>
    </row>
    <row r="1099" spans="1:9">
      <c r="A1099" s="75">
        <v>429</v>
      </c>
      <c r="B1099" s="75">
        <v>8</v>
      </c>
      <c r="C1099" s="75">
        <v>437</v>
      </c>
      <c r="D1099" s="76">
        <v>43355.510833333334</v>
      </c>
      <c r="E1099" s="77">
        <v>43344</v>
      </c>
      <c r="F1099" s="78">
        <v>0.51083333333333336</v>
      </c>
      <c r="G1099" s="75">
        <v>2</v>
      </c>
      <c r="H1099" s="75">
        <v>15</v>
      </c>
      <c r="I1099" s="75">
        <v>36</v>
      </c>
    </row>
    <row r="1100" spans="1:9">
      <c r="A1100" s="75">
        <v>409</v>
      </c>
      <c r="B1100" s="75">
        <v>7</v>
      </c>
      <c r="C1100" s="75">
        <v>416</v>
      </c>
      <c r="D1100" s="76">
        <v>43355.521249999998</v>
      </c>
      <c r="E1100" s="77">
        <v>43344</v>
      </c>
      <c r="F1100" s="78">
        <v>0.52124999999999999</v>
      </c>
      <c r="G1100" s="75">
        <v>2</v>
      </c>
      <c r="H1100" s="75">
        <v>30</v>
      </c>
      <c r="I1100" s="75">
        <v>36</v>
      </c>
    </row>
    <row r="1101" spans="1:9">
      <c r="A1101" s="75">
        <v>442</v>
      </c>
      <c r="B1101" s="75">
        <v>9</v>
      </c>
      <c r="C1101" s="75">
        <v>451</v>
      </c>
      <c r="D1101" s="76">
        <v>43355.531666666669</v>
      </c>
      <c r="E1101" s="77">
        <v>43344</v>
      </c>
      <c r="F1101" s="78">
        <v>0.53166666666666662</v>
      </c>
      <c r="G1101" s="75">
        <v>2</v>
      </c>
      <c r="H1101" s="75">
        <v>45</v>
      </c>
      <c r="I1101" s="75">
        <v>36</v>
      </c>
    </row>
    <row r="1102" spans="1:9">
      <c r="A1102" s="75">
        <v>405</v>
      </c>
      <c r="B1102" s="75">
        <v>7</v>
      </c>
      <c r="C1102" s="75">
        <v>412</v>
      </c>
      <c r="D1102" s="76">
        <v>43355.542083333334</v>
      </c>
      <c r="E1102" s="77">
        <v>43344</v>
      </c>
      <c r="F1102" s="78">
        <v>0.54208333333333336</v>
      </c>
      <c r="G1102" s="75">
        <v>2</v>
      </c>
      <c r="H1102" s="75">
        <v>0</v>
      </c>
      <c r="I1102" s="75">
        <v>36</v>
      </c>
    </row>
    <row r="1103" spans="1:9">
      <c r="A1103" s="75">
        <v>415</v>
      </c>
      <c r="B1103" s="75">
        <v>7</v>
      </c>
      <c r="C1103" s="75">
        <v>422</v>
      </c>
      <c r="D1103" s="76">
        <v>43355.552488425928</v>
      </c>
      <c r="E1103" s="77">
        <v>43344</v>
      </c>
      <c r="F1103" s="78">
        <v>0.55248842592592595</v>
      </c>
      <c r="G1103" s="75">
        <v>2</v>
      </c>
      <c r="H1103" s="75">
        <v>15</v>
      </c>
      <c r="I1103" s="75">
        <v>35</v>
      </c>
    </row>
    <row r="1104" spans="1:9">
      <c r="A1104" s="75">
        <v>409</v>
      </c>
      <c r="B1104" s="75">
        <v>12</v>
      </c>
      <c r="C1104" s="75">
        <v>421</v>
      </c>
      <c r="D1104" s="76">
        <v>43355.562916666669</v>
      </c>
      <c r="E1104" s="77">
        <v>43344</v>
      </c>
      <c r="F1104" s="78">
        <v>0.56291666666666662</v>
      </c>
      <c r="G1104" s="75">
        <v>2</v>
      </c>
      <c r="H1104" s="75">
        <v>30</v>
      </c>
      <c r="I1104" s="75">
        <v>36</v>
      </c>
    </row>
    <row r="1105" spans="1:9">
      <c r="A1105" s="75">
        <v>486</v>
      </c>
      <c r="B1105" s="75">
        <v>13</v>
      </c>
      <c r="C1105" s="75">
        <v>499</v>
      </c>
      <c r="D1105" s="76">
        <v>43355.573333333334</v>
      </c>
      <c r="E1105" s="77">
        <v>43344</v>
      </c>
      <c r="F1105" s="78">
        <v>0.57333333333333336</v>
      </c>
      <c r="G1105" s="75">
        <v>2</v>
      </c>
      <c r="H1105" s="75">
        <v>45</v>
      </c>
      <c r="I1105" s="75">
        <v>36</v>
      </c>
    </row>
    <row r="1106" spans="1:9">
      <c r="A1106" s="75">
        <v>388</v>
      </c>
      <c r="B1106" s="75">
        <v>9</v>
      </c>
      <c r="C1106" s="75">
        <v>397</v>
      </c>
      <c r="D1106" s="76">
        <v>43355.583738425928</v>
      </c>
      <c r="E1106" s="77">
        <v>43344</v>
      </c>
      <c r="F1106" s="78">
        <v>0.58373842592592595</v>
      </c>
      <c r="G1106" s="75">
        <v>2</v>
      </c>
      <c r="H1106" s="75">
        <v>0</v>
      </c>
      <c r="I1106" s="75">
        <v>35</v>
      </c>
    </row>
    <row r="1107" spans="1:9">
      <c r="A1107" s="75">
        <v>418</v>
      </c>
      <c r="B1107" s="75">
        <v>10</v>
      </c>
      <c r="C1107" s="75">
        <v>428</v>
      </c>
      <c r="D1107" s="76">
        <v>43355.594155092593</v>
      </c>
      <c r="E1107" s="77">
        <v>43344</v>
      </c>
      <c r="F1107" s="78">
        <v>0.59415509259259258</v>
      </c>
      <c r="G1107" s="75">
        <v>2</v>
      </c>
      <c r="H1107" s="75">
        <v>15</v>
      </c>
      <c r="I1107" s="75">
        <v>35</v>
      </c>
    </row>
    <row r="1108" spans="1:9">
      <c r="A1108" s="75">
        <v>460</v>
      </c>
      <c r="B1108" s="75">
        <v>10</v>
      </c>
      <c r="C1108" s="75">
        <v>470</v>
      </c>
      <c r="D1108" s="76">
        <v>43355.604583333334</v>
      </c>
      <c r="E1108" s="77">
        <v>43344</v>
      </c>
      <c r="F1108" s="78">
        <v>0.60458333333333336</v>
      </c>
      <c r="G1108" s="75">
        <v>2</v>
      </c>
      <c r="H1108" s="75">
        <v>30</v>
      </c>
      <c r="I1108" s="75">
        <v>36</v>
      </c>
    </row>
    <row r="1109" spans="1:9">
      <c r="A1109" s="75">
        <v>482</v>
      </c>
      <c r="B1109" s="75">
        <v>10</v>
      </c>
      <c r="C1109" s="75">
        <v>492</v>
      </c>
      <c r="D1109" s="76">
        <v>43355.614999999998</v>
      </c>
      <c r="E1109" s="77">
        <v>43344</v>
      </c>
      <c r="F1109" s="78">
        <v>0.61499999999999999</v>
      </c>
      <c r="G1109" s="75">
        <v>2</v>
      </c>
      <c r="H1109" s="75">
        <v>45</v>
      </c>
      <c r="I1109" s="75">
        <v>36</v>
      </c>
    </row>
    <row r="1110" spans="1:9">
      <c r="A1110" s="75">
        <v>418</v>
      </c>
      <c r="B1110" s="75">
        <v>11</v>
      </c>
      <c r="C1110" s="75">
        <v>429</v>
      </c>
      <c r="D1110" s="76">
        <v>43355.625405092593</v>
      </c>
      <c r="E1110" s="77">
        <v>43344</v>
      </c>
      <c r="F1110" s="78">
        <v>0.62540509259259258</v>
      </c>
      <c r="G1110" s="75">
        <v>2</v>
      </c>
      <c r="H1110" s="75">
        <v>0</v>
      </c>
      <c r="I1110" s="75">
        <v>35</v>
      </c>
    </row>
    <row r="1111" spans="1:9">
      <c r="A1111" s="75">
        <v>477</v>
      </c>
      <c r="B1111" s="75">
        <v>9</v>
      </c>
      <c r="C1111" s="75">
        <v>486</v>
      </c>
      <c r="D1111" s="76">
        <v>43355.635833333334</v>
      </c>
      <c r="E1111" s="77">
        <v>43344</v>
      </c>
      <c r="F1111" s="78">
        <v>0.63583333333333336</v>
      </c>
      <c r="G1111" s="75">
        <v>2</v>
      </c>
      <c r="H1111" s="75">
        <v>15</v>
      </c>
      <c r="I1111" s="75">
        <v>36</v>
      </c>
    </row>
    <row r="1112" spans="1:9">
      <c r="A1112" s="75">
        <v>524</v>
      </c>
      <c r="B1112" s="75">
        <v>9</v>
      </c>
      <c r="C1112" s="75">
        <v>533</v>
      </c>
      <c r="D1112" s="76">
        <v>43355.646238425928</v>
      </c>
      <c r="E1112" s="77">
        <v>43344</v>
      </c>
      <c r="F1112" s="78">
        <v>0.64623842592592595</v>
      </c>
      <c r="G1112" s="75">
        <v>2</v>
      </c>
      <c r="H1112" s="75">
        <v>30</v>
      </c>
      <c r="I1112" s="75">
        <v>35</v>
      </c>
    </row>
    <row r="1113" spans="1:9">
      <c r="A1113" s="75">
        <v>555</v>
      </c>
      <c r="B1113" s="75">
        <v>9</v>
      </c>
      <c r="C1113" s="75">
        <v>564</v>
      </c>
      <c r="D1113" s="76">
        <v>43355.656655092593</v>
      </c>
      <c r="E1113" s="77">
        <v>43344</v>
      </c>
      <c r="F1113" s="78">
        <v>0.65665509259259258</v>
      </c>
      <c r="G1113" s="75">
        <v>2</v>
      </c>
      <c r="H1113" s="75">
        <v>45</v>
      </c>
      <c r="I1113" s="75">
        <v>35</v>
      </c>
    </row>
    <row r="1114" spans="1:9">
      <c r="A1114" s="75">
        <v>529</v>
      </c>
      <c r="B1114" s="75">
        <v>11</v>
      </c>
      <c r="C1114" s="75">
        <v>540</v>
      </c>
      <c r="D1114" s="76">
        <v>43355.667083333334</v>
      </c>
      <c r="E1114" s="77">
        <v>43344</v>
      </c>
      <c r="F1114" s="78">
        <v>0.66708333333333336</v>
      </c>
      <c r="G1114" s="75">
        <v>2</v>
      </c>
      <c r="H1114" s="75">
        <v>0</v>
      </c>
      <c r="I1114" s="75">
        <v>36</v>
      </c>
    </row>
    <row r="1115" spans="1:9">
      <c r="A1115" s="75">
        <v>636</v>
      </c>
      <c r="B1115" s="75">
        <v>7</v>
      </c>
      <c r="C1115" s="75">
        <v>643</v>
      </c>
      <c r="D1115" s="76">
        <v>43355.677499999998</v>
      </c>
      <c r="E1115" s="77">
        <v>43344</v>
      </c>
      <c r="F1115" s="78">
        <v>0.6775000000000001</v>
      </c>
      <c r="G1115" s="75">
        <v>2</v>
      </c>
      <c r="H1115" s="75">
        <v>15</v>
      </c>
      <c r="I1115" s="75">
        <v>36</v>
      </c>
    </row>
    <row r="1116" spans="1:9">
      <c r="A1116" s="75">
        <v>521</v>
      </c>
      <c r="B1116" s="75">
        <v>12</v>
      </c>
      <c r="C1116" s="75">
        <v>533</v>
      </c>
      <c r="D1116" s="76">
        <v>43355.687905092593</v>
      </c>
      <c r="E1116" s="77">
        <v>43344</v>
      </c>
      <c r="F1116" s="78">
        <v>0.68790509259259258</v>
      </c>
      <c r="G1116" s="75">
        <v>2</v>
      </c>
      <c r="H1116" s="75">
        <v>30</v>
      </c>
      <c r="I1116" s="75">
        <v>35</v>
      </c>
    </row>
    <row r="1117" spans="1:9">
      <c r="A1117" s="75">
        <v>604</v>
      </c>
      <c r="B1117" s="75">
        <v>12</v>
      </c>
      <c r="C1117" s="75">
        <v>616</v>
      </c>
      <c r="D1117" s="76">
        <v>43355.698321759257</v>
      </c>
      <c r="E1117" s="77">
        <v>43344</v>
      </c>
      <c r="F1117" s="78">
        <v>0.69832175925925932</v>
      </c>
      <c r="G1117" s="75">
        <v>2</v>
      </c>
      <c r="H1117" s="75">
        <v>45</v>
      </c>
      <c r="I1117" s="75">
        <v>35</v>
      </c>
    </row>
    <row r="1118" spans="1:9">
      <c r="A1118" s="75">
        <v>508</v>
      </c>
      <c r="B1118" s="75">
        <v>12</v>
      </c>
      <c r="C1118" s="75">
        <v>520</v>
      </c>
      <c r="D1118" s="76">
        <v>43355.708749999998</v>
      </c>
      <c r="E1118" s="77">
        <v>43344</v>
      </c>
      <c r="F1118" s="78">
        <v>0.7087500000000001</v>
      </c>
      <c r="G1118" s="75">
        <v>2</v>
      </c>
      <c r="H1118" s="75">
        <v>0</v>
      </c>
      <c r="I1118" s="75">
        <v>36</v>
      </c>
    </row>
    <row r="1119" spans="1:9">
      <c r="A1119" s="75">
        <v>604</v>
      </c>
      <c r="B1119" s="75">
        <v>10</v>
      </c>
      <c r="C1119" s="75">
        <v>614</v>
      </c>
      <c r="D1119" s="76">
        <v>43355.719166666669</v>
      </c>
      <c r="E1119" s="77">
        <v>43344</v>
      </c>
      <c r="F1119" s="78">
        <v>0.71916666666666673</v>
      </c>
      <c r="G1119" s="75">
        <v>2</v>
      </c>
      <c r="H1119" s="75">
        <v>15</v>
      </c>
      <c r="I1119" s="75">
        <v>36</v>
      </c>
    </row>
    <row r="1120" spans="1:9">
      <c r="A1120" s="75">
        <v>553</v>
      </c>
      <c r="B1120" s="75">
        <v>12</v>
      </c>
      <c r="C1120" s="75">
        <v>565</v>
      </c>
      <c r="D1120" s="76">
        <v>43355.729571759257</v>
      </c>
      <c r="E1120" s="77">
        <v>43344</v>
      </c>
      <c r="F1120" s="78">
        <v>0.72957175925925932</v>
      </c>
      <c r="G1120" s="75">
        <v>2</v>
      </c>
      <c r="H1120" s="75">
        <v>30</v>
      </c>
      <c r="I1120" s="75">
        <v>35</v>
      </c>
    </row>
    <row r="1121" spans="1:9">
      <c r="A1121" s="75">
        <v>581</v>
      </c>
      <c r="B1121" s="75">
        <v>9</v>
      </c>
      <c r="C1121" s="75">
        <v>590</v>
      </c>
      <c r="D1121" s="76">
        <v>43355.739988425928</v>
      </c>
      <c r="E1121" s="77">
        <v>43344</v>
      </c>
      <c r="F1121" s="78">
        <v>0.73998842592592595</v>
      </c>
      <c r="G1121" s="75">
        <v>2</v>
      </c>
      <c r="H1121" s="75">
        <v>45</v>
      </c>
      <c r="I1121" s="75">
        <v>35</v>
      </c>
    </row>
    <row r="1122" spans="1:9">
      <c r="A1122" s="75">
        <v>486</v>
      </c>
      <c r="B1122" s="75">
        <v>14</v>
      </c>
      <c r="C1122" s="75">
        <v>491</v>
      </c>
      <c r="D1122" s="76">
        <v>43355.750416666669</v>
      </c>
      <c r="E1122" s="77">
        <v>43344</v>
      </c>
      <c r="F1122" s="78">
        <v>0.75041666666666673</v>
      </c>
      <c r="G1122" s="75">
        <v>2</v>
      </c>
      <c r="H1122" s="75">
        <v>0</v>
      </c>
      <c r="I1122" s="75">
        <v>36</v>
      </c>
    </row>
    <row r="1123" spans="1:9">
      <c r="A1123" s="75">
        <v>588</v>
      </c>
      <c r="B1123" s="75">
        <v>17</v>
      </c>
      <c r="C1123" s="75">
        <v>604</v>
      </c>
      <c r="D1123" s="76">
        <v>43355.760833333334</v>
      </c>
      <c r="E1123" s="77">
        <v>43344</v>
      </c>
      <c r="F1123" s="78">
        <v>0.76083333333333336</v>
      </c>
      <c r="G1123" s="75">
        <v>2</v>
      </c>
      <c r="H1123" s="75">
        <v>15</v>
      </c>
      <c r="I1123" s="75">
        <v>36</v>
      </c>
    </row>
    <row r="1124" spans="1:9">
      <c r="A1124" s="75">
        <v>559</v>
      </c>
      <c r="B1124" s="75">
        <v>14</v>
      </c>
      <c r="C1124" s="75">
        <v>573</v>
      </c>
      <c r="D1124" s="76">
        <v>43355.771238425928</v>
      </c>
      <c r="E1124" s="77">
        <v>43344</v>
      </c>
      <c r="F1124" s="78">
        <v>0.77123842592592595</v>
      </c>
      <c r="G1124" s="75">
        <v>2</v>
      </c>
      <c r="H1124" s="75">
        <v>30</v>
      </c>
      <c r="I1124" s="75">
        <v>35</v>
      </c>
    </row>
    <row r="1125" spans="1:9">
      <c r="A1125" s="75">
        <v>640</v>
      </c>
      <c r="B1125" s="75">
        <v>13</v>
      </c>
      <c r="C1125" s="75">
        <v>653</v>
      </c>
      <c r="D1125" s="76">
        <v>43355.781655092593</v>
      </c>
      <c r="E1125" s="77">
        <v>43344</v>
      </c>
      <c r="F1125" s="78">
        <v>0.78165509259259258</v>
      </c>
      <c r="G1125" s="75">
        <v>2</v>
      </c>
      <c r="H1125" s="75">
        <v>45</v>
      </c>
      <c r="I1125" s="75">
        <v>35</v>
      </c>
    </row>
    <row r="1126" spans="1:9">
      <c r="A1126" s="75">
        <v>559</v>
      </c>
      <c r="B1126" s="75">
        <v>12</v>
      </c>
      <c r="C1126" s="75">
        <v>571</v>
      </c>
      <c r="D1126" s="76">
        <v>43355.792083333334</v>
      </c>
      <c r="E1126" s="77">
        <v>43344</v>
      </c>
      <c r="F1126" s="78">
        <v>0.79208333333333336</v>
      </c>
      <c r="G1126" s="75">
        <v>2</v>
      </c>
      <c r="H1126" s="75">
        <v>0</v>
      </c>
      <c r="I1126" s="75">
        <v>36</v>
      </c>
    </row>
    <row r="1127" spans="1:9">
      <c r="A1127" s="75">
        <v>690</v>
      </c>
      <c r="B1127" s="75">
        <v>16</v>
      </c>
      <c r="C1127" s="75">
        <v>706</v>
      </c>
      <c r="D1127" s="76">
        <v>43355.802488425928</v>
      </c>
      <c r="E1127" s="77">
        <v>43344</v>
      </c>
      <c r="F1127" s="78">
        <v>0.80248842592592595</v>
      </c>
      <c r="G1127" s="75">
        <v>2</v>
      </c>
      <c r="H1127" s="75">
        <v>15</v>
      </c>
      <c r="I1127" s="75">
        <v>35</v>
      </c>
    </row>
    <row r="1128" spans="1:9">
      <c r="A1128" s="75">
        <v>690</v>
      </c>
      <c r="B1128" s="75">
        <v>14</v>
      </c>
      <c r="C1128" s="75">
        <v>704</v>
      </c>
      <c r="D1128" s="76">
        <v>43355.812905092593</v>
      </c>
      <c r="E1128" s="77">
        <v>43344</v>
      </c>
      <c r="F1128" s="78">
        <v>0.81290509259259258</v>
      </c>
      <c r="G1128" s="75">
        <v>2</v>
      </c>
      <c r="H1128" s="75">
        <v>30</v>
      </c>
      <c r="I1128" s="75">
        <v>35</v>
      </c>
    </row>
    <row r="1129" spans="1:9">
      <c r="A1129" s="75">
        <v>865</v>
      </c>
      <c r="B1129" s="75">
        <v>12</v>
      </c>
      <c r="C1129" s="75">
        <v>877</v>
      </c>
      <c r="D1129" s="76">
        <v>43355.823333333334</v>
      </c>
      <c r="E1129" s="77">
        <v>43344</v>
      </c>
      <c r="F1129" s="78">
        <v>0.82333333333333336</v>
      </c>
      <c r="G1129" s="75">
        <v>2</v>
      </c>
      <c r="H1129" s="75">
        <v>45</v>
      </c>
      <c r="I1129" s="75">
        <v>36</v>
      </c>
    </row>
    <row r="1130" spans="1:9">
      <c r="A1130" s="75">
        <v>843</v>
      </c>
      <c r="B1130" s="75">
        <v>17</v>
      </c>
      <c r="C1130" s="75">
        <v>860</v>
      </c>
      <c r="D1130" s="76">
        <v>43355.833738425928</v>
      </c>
      <c r="E1130" s="77">
        <v>43344</v>
      </c>
      <c r="F1130" s="78">
        <v>0.83373842592592595</v>
      </c>
      <c r="G1130" s="75">
        <v>2</v>
      </c>
      <c r="H1130" s="75">
        <v>0</v>
      </c>
      <c r="I1130" s="75">
        <v>35</v>
      </c>
    </row>
    <row r="1131" spans="1:9">
      <c r="A1131" s="75">
        <v>1142</v>
      </c>
      <c r="B1131" s="75">
        <v>5</v>
      </c>
      <c r="C1131" s="75">
        <v>1147</v>
      </c>
      <c r="D1131" s="76">
        <v>43355.844155092593</v>
      </c>
      <c r="E1131" s="77">
        <v>43344</v>
      </c>
      <c r="F1131" s="78">
        <v>0.84415509259259258</v>
      </c>
      <c r="G1131" s="75">
        <v>2</v>
      </c>
      <c r="H1131" s="75">
        <v>15</v>
      </c>
      <c r="I1131" s="75">
        <v>35</v>
      </c>
    </row>
    <row r="1132" spans="1:9">
      <c r="A1132" s="75">
        <v>1061</v>
      </c>
      <c r="B1132" s="75">
        <v>19</v>
      </c>
      <c r="C1132" s="75">
        <v>1080</v>
      </c>
      <c r="D1132" s="76">
        <v>43355.854583333334</v>
      </c>
      <c r="E1132" s="77">
        <v>43344</v>
      </c>
      <c r="F1132" s="78">
        <v>0.85458333333333336</v>
      </c>
      <c r="G1132" s="75">
        <v>2</v>
      </c>
      <c r="H1132" s="75">
        <v>30</v>
      </c>
      <c r="I1132" s="75">
        <v>36</v>
      </c>
    </row>
    <row r="1133" spans="1:9">
      <c r="A1133" s="75">
        <v>995</v>
      </c>
      <c r="B1133" s="75">
        <v>17</v>
      </c>
      <c r="C1133" s="75">
        <v>1012</v>
      </c>
      <c r="D1133" s="76">
        <v>43355.864988425928</v>
      </c>
      <c r="E1133" s="77">
        <v>43344</v>
      </c>
      <c r="F1133" s="78">
        <v>0.86498842592592595</v>
      </c>
      <c r="G1133" s="75">
        <v>2</v>
      </c>
      <c r="H1133" s="75">
        <v>45</v>
      </c>
      <c r="I1133" s="75">
        <v>35</v>
      </c>
    </row>
    <row r="1134" spans="1:9">
      <c r="A1134" s="75">
        <v>429</v>
      </c>
      <c r="B1134" s="75">
        <v>7</v>
      </c>
      <c r="C1134" s="75">
        <v>428</v>
      </c>
      <c r="D1134" s="76">
        <v>43355.875405092593</v>
      </c>
      <c r="E1134" s="77">
        <v>43344</v>
      </c>
      <c r="F1134" s="78">
        <v>0.87540509259259258</v>
      </c>
      <c r="G1134" s="75">
        <v>2</v>
      </c>
      <c r="H1134" s="75">
        <v>0</v>
      </c>
      <c r="I1134" s="75">
        <v>35</v>
      </c>
    </row>
    <row r="1135" spans="1:9">
      <c r="A1135" s="75">
        <v>226</v>
      </c>
      <c r="B1135" s="75">
        <v>2</v>
      </c>
      <c r="C1135" s="75">
        <v>228</v>
      </c>
      <c r="D1135" s="76">
        <v>43355.885821759257</v>
      </c>
      <c r="E1135" s="77">
        <v>43344</v>
      </c>
      <c r="F1135" s="78">
        <v>0.88582175925925932</v>
      </c>
      <c r="G1135" s="75">
        <v>2</v>
      </c>
      <c r="H1135" s="75">
        <v>15</v>
      </c>
      <c r="I1135" s="75">
        <v>35</v>
      </c>
    </row>
    <row r="1136" spans="1:9">
      <c r="A1136" s="75">
        <v>152</v>
      </c>
      <c r="B1136" s="75">
        <v>2</v>
      </c>
      <c r="C1136" s="75">
        <v>154</v>
      </c>
      <c r="D1136" s="76">
        <v>43355.896238425928</v>
      </c>
      <c r="E1136" s="77">
        <v>43344</v>
      </c>
      <c r="F1136" s="78">
        <v>0.89623842592592595</v>
      </c>
      <c r="G1136" s="75">
        <v>2</v>
      </c>
      <c r="H1136" s="75">
        <v>30</v>
      </c>
      <c r="I1136" s="75">
        <v>35</v>
      </c>
    </row>
    <row r="1137" spans="1:9">
      <c r="A1137" s="75">
        <v>159</v>
      </c>
      <c r="B1137" s="75">
        <v>2</v>
      </c>
      <c r="C1137" s="75">
        <v>161</v>
      </c>
      <c r="D1137" s="76">
        <v>43355.906655092593</v>
      </c>
      <c r="E1137" s="77">
        <v>43344</v>
      </c>
      <c r="F1137" s="78">
        <v>0.90665509259259258</v>
      </c>
      <c r="G1137" s="75">
        <v>2</v>
      </c>
      <c r="H1137" s="75">
        <v>45</v>
      </c>
      <c r="I1137" s="75">
        <v>35</v>
      </c>
    </row>
    <row r="1138" spans="1:9">
      <c r="A1138" s="75">
        <v>213</v>
      </c>
      <c r="B1138" s="75">
        <v>0</v>
      </c>
      <c r="C1138" s="75">
        <v>212</v>
      </c>
      <c r="D1138" s="76">
        <v>43355.917083333334</v>
      </c>
      <c r="E1138" s="77">
        <v>43344</v>
      </c>
      <c r="F1138" s="78">
        <v>0.91708333333333336</v>
      </c>
      <c r="G1138" s="75">
        <v>2</v>
      </c>
      <c r="H1138" s="75">
        <v>0</v>
      </c>
      <c r="I1138" s="75">
        <v>36</v>
      </c>
    </row>
    <row r="1139" spans="1:9">
      <c r="A1139" s="75">
        <v>301</v>
      </c>
      <c r="B1139" s="75">
        <v>2</v>
      </c>
      <c r="C1139" s="75">
        <v>303</v>
      </c>
      <c r="D1139" s="76">
        <v>43355.927488425928</v>
      </c>
      <c r="E1139" s="77">
        <v>43344</v>
      </c>
      <c r="F1139" s="78">
        <v>0.92748842592592595</v>
      </c>
      <c r="G1139" s="75">
        <v>2</v>
      </c>
      <c r="H1139" s="75">
        <v>15</v>
      </c>
      <c r="I1139" s="75">
        <v>35</v>
      </c>
    </row>
    <row r="1140" spans="1:9">
      <c r="A1140" s="75">
        <v>302</v>
      </c>
      <c r="B1140" s="75">
        <v>1</v>
      </c>
      <c r="C1140" s="75">
        <v>303</v>
      </c>
      <c r="D1140" s="76">
        <v>43355.937905092593</v>
      </c>
      <c r="E1140" s="77">
        <v>43344</v>
      </c>
      <c r="F1140" s="78">
        <v>0.93790509259259258</v>
      </c>
      <c r="G1140" s="75">
        <v>2</v>
      </c>
      <c r="H1140" s="75">
        <v>30</v>
      </c>
      <c r="I1140" s="75">
        <v>35</v>
      </c>
    </row>
    <row r="1141" spans="1:9">
      <c r="A1141" s="75">
        <v>363</v>
      </c>
      <c r="B1141" s="75">
        <v>1</v>
      </c>
      <c r="C1141" s="75">
        <v>364</v>
      </c>
      <c r="D1141" s="76">
        <v>43355.948310185187</v>
      </c>
      <c r="E1141" s="77">
        <v>43344</v>
      </c>
      <c r="F1141" s="78">
        <v>0.94831018518518517</v>
      </c>
      <c r="G1141" s="75">
        <v>2</v>
      </c>
      <c r="H1141" s="75">
        <v>45</v>
      </c>
      <c r="I1141" s="75">
        <v>34</v>
      </c>
    </row>
    <row r="1142" spans="1:9">
      <c r="A1142" s="75">
        <v>329</v>
      </c>
      <c r="B1142" s="75">
        <v>0</v>
      </c>
      <c r="C1142" s="75">
        <v>328</v>
      </c>
      <c r="D1142" s="76">
        <v>43355.958738425928</v>
      </c>
      <c r="E1142" s="77">
        <v>43344</v>
      </c>
      <c r="F1142" s="78">
        <v>0.95873842592592595</v>
      </c>
      <c r="G1142" s="75">
        <v>2</v>
      </c>
      <c r="H1142" s="75">
        <v>0</v>
      </c>
      <c r="I1142" s="75">
        <v>35</v>
      </c>
    </row>
    <row r="1143" spans="1:9">
      <c r="A1143" s="75">
        <v>339</v>
      </c>
      <c r="B1143" s="75">
        <v>1</v>
      </c>
      <c r="C1143" s="75">
        <v>340</v>
      </c>
      <c r="D1143" s="76">
        <v>43355.969155092593</v>
      </c>
      <c r="E1143" s="77">
        <v>43344</v>
      </c>
      <c r="F1143" s="78">
        <v>0.96915509259259258</v>
      </c>
      <c r="G1143" s="75">
        <v>2</v>
      </c>
      <c r="H1143" s="75">
        <v>15</v>
      </c>
      <c r="I1143" s="75">
        <v>35</v>
      </c>
    </row>
    <row r="1144" spans="1:9">
      <c r="A1144" s="75">
        <v>324</v>
      </c>
      <c r="B1144" s="75">
        <v>0</v>
      </c>
      <c r="C1144" s="75">
        <v>324</v>
      </c>
      <c r="D1144" s="76">
        <v>43355.979571759257</v>
      </c>
      <c r="E1144" s="77">
        <v>43344</v>
      </c>
      <c r="F1144" s="78">
        <v>0.97957175925925932</v>
      </c>
      <c r="G1144" s="75">
        <v>2</v>
      </c>
      <c r="H1144" s="75">
        <v>30</v>
      </c>
      <c r="I1144" s="75">
        <v>35</v>
      </c>
    </row>
    <row r="1145" spans="1:9">
      <c r="A1145" s="75">
        <v>256</v>
      </c>
      <c r="B1145" s="75">
        <v>0</v>
      </c>
      <c r="C1145" s="75">
        <v>255</v>
      </c>
      <c r="D1145" s="76">
        <v>43355.989988425928</v>
      </c>
      <c r="E1145" s="77">
        <v>43344</v>
      </c>
      <c r="F1145" s="78">
        <v>0.98998842592592595</v>
      </c>
      <c r="G1145" s="75">
        <v>2</v>
      </c>
      <c r="H1145" s="75">
        <v>45</v>
      </c>
      <c r="I1145" s="75">
        <v>35</v>
      </c>
    </row>
    <row r="1146" spans="1:9">
      <c r="A1146" s="75">
        <v>281</v>
      </c>
      <c r="B1146" s="75">
        <v>0</v>
      </c>
      <c r="C1146" s="75">
        <v>281</v>
      </c>
      <c r="D1146" s="76">
        <v>43356.000405092593</v>
      </c>
      <c r="E1146" s="77">
        <v>43344</v>
      </c>
      <c r="F1146" s="78">
        <v>4.0509259259259258E-4</v>
      </c>
      <c r="G1146" s="75">
        <v>2</v>
      </c>
      <c r="H1146" s="75">
        <v>0</v>
      </c>
      <c r="I1146" s="75">
        <v>35</v>
      </c>
    </row>
    <row r="1147" spans="1:9">
      <c r="A1147" s="75">
        <v>314</v>
      </c>
      <c r="B1147" s="75">
        <v>1</v>
      </c>
      <c r="C1147" s="75">
        <v>315</v>
      </c>
      <c r="D1147" s="76">
        <v>43356.010821759257</v>
      </c>
      <c r="E1147" s="77">
        <v>43344</v>
      </c>
      <c r="F1147" s="78">
        <v>1.082175925925926E-2</v>
      </c>
      <c r="G1147" s="75">
        <v>2</v>
      </c>
      <c r="H1147" s="75">
        <v>15</v>
      </c>
      <c r="I1147" s="75">
        <v>35</v>
      </c>
    </row>
    <row r="1148" spans="1:9">
      <c r="A1148" s="75">
        <v>237</v>
      </c>
      <c r="B1148" s="75">
        <v>0</v>
      </c>
      <c r="C1148" s="75">
        <v>237</v>
      </c>
      <c r="D1148" s="76">
        <v>43356.021249999998</v>
      </c>
      <c r="E1148" s="77">
        <v>43344</v>
      </c>
      <c r="F1148" s="78">
        <v>2.1250000000000002E-2</v>
      </c>
      <c r="G1148" s="75">
        <v>2</v>
      </c>
      <c r="H1148" s="75">
        <v>30</v>
      </c>
      <c r="I1148" s="75">
        <v>36</v>
      </c>
    </row>
    <row r="1149" spans="1:9">
      <c r="A1149" s="75">
        <v>226</v>
      </c>
      <c r="B1149" s="75">
        <v>3</v>
      </c>
      <c r="C1149" s="75">
        <v>229</v>
      </c>
      <c r="D1149" s="76">
        <v>43356.031655092593</v>
      </c>
      <c r="E1149" s="77">
        <v>43344</v>
      </c>
      <c r="F1149" s="78">
        <v>3.1655092592592596E-2</v>
      </c>
      <c r="G1149" s="75">
        <v>2</v>
      </c>
      <c r="H1149" s="75">
        <v>45</v>
      </c>
      <c r="I1149" s="75">
        <v>35</v>
      </c>
    </row>
    <row r="1150" spans="1:9">
      <c r="A1150" s="75">
        <v>221</v>
      </c>
      <c r="B1150" s="75">
        <v>0</v>
      </c>
      <c r="C1150" s="75">
        <v>221</v>
      </c>
      <c r="D1150" s="76">
        <v>43356.042071759257</v>
      </c>
      <c r="E1150" s="77">
        <v>43344</v>
      </c>
      <c r="F1150" s="78">
        <v>4.207175925925926E-2</v>
      </c>
      <c r="G1150" s="75">
        <v>2</v>
      </c>
      <c r="H1150" s="75">
        <v>0</v>
      </c>
      <c r="I1150" s="75">
        <v>35</v>
      </c>
    </row>
    <row r="1151" spans="1:9">
      <c r="A1151" s="75">
        <v>242</v>
      </c>
      <c r="B1151" s="75">
        <v>3</v>
      </c>
      <c r="C1151" s="75">
        <v>245</v>
      </c>
      <c r="D1151" s="76">
        <v>43356.052476851852</v>
      </c>
      <c r="E1151" s="77">
        <v>43344</v>
      </c>
      <c r="F1151" s="78">
        <v>5.2476851851851851E-2</v>
      </c>
      <c r="G1151" s="75">
        <v>2</v>
      </c>
      <c r="H1151" s="75">
        <v>15</v>
      </c>
      <c r="I1151" s="75">
        <v>34</v>
      </c>
    </row>
    <row r="1152" spans="1:9">
      <c r="A1152" s="75">
        <v>248</v>
      </c>
      <c r="B1152" s="75">
        <v>1</v>
      </c>
      <c r="C1152" s="75">
        <v>249</v>
      </c>
      <c r="D1152" s="76">
        <v>43356.062905092593</v>
      </c>
      <c r="E1152" s="77">
        <v>43344</v>
      </c>
      <c r="F1152" s="78">
        <v>6.2905092592592596E-2</v>
      </c>
      <c r="G1152" s="75">
        <v>2</v>
      </c>
      <c r="H1152" s="75">
        <v>30</v>
      </c>
      <c r="I1152" s="75">
        <v>35</v>
      </c>
    </row>
    <row r="1153" spans="1:9">
      <c r="A1153" s="75">
        <v>242</v>
      </c>
      <c r="B1153" s="75">
        <v>1</v>
      </c>
      <c r="C1153" s="75">
        <v>243</v>
      </c>
      <c r="D1153" s="76">
        <v>43356.073310185187</v>
      </c>
      <c r="E1153" s="77">
        <v>43344</v>
      </c>
      <c r="F1153" s="78">
        <v>7.3310185185185187E-2</v>
      </c>
      <c r="G1153" s="75">
        <v>2</v>
      </c>
      <c r="H1153" s="75">
        <v>45</v>
      </c>
      <c r="I1153" s="75">
        <v>34</v>
      </c>
    </row>
    <row r="1154" spans="1:9">
      <c r="A1154" s="75">
        <v>249</v>
      </c>
      <c r="B1154" s="75">
        <v>1</v>
      </c>
      <c r="C1154" s="75">
        <v>250</v>
      </c>
      <c r="D1154" s="76">
        <v>43356.083761574075</v>
      </c>
      <c r="E1154" s="77">
        <v>43344</v>
      </c>
      <c r="F1154" s="78">
        <v>8.3761574074074072E-2</v>
      </c>
      <c r="G1154" s="75">
        <v>2</v>
      </c>
      <c r="H1154" s="75">
        <v>0</v>
      </c>
      <c r="I1154" s="75">
        <v>37</v>
      </c>
    </row>
    <row r="1155" spans="1:9">
      <c r="A1155" s="75">
        <v>229</v>
      </c>
      <c r="B1155" s="75">
        <v>3</v>
      </c>
      <c r="C1155" s="75">
        <v>232</v>
      </c>
      <c r="D1155" s="76">
        <v>43356.094155092593</v>
      </c>
      <c r="E1155" s="77">
        <v>43344</v>
      </c>
      <c r="F1155" s="78">
        <v>9.4155092592592596E-2</v>
      </c>
      <c r="G1155" s="75">
        <v>2</v>
      </c>
      <c r="H1155" s="75">
        <v>15</v>
      </c>
      <c r="I1155" s="75">
        <v>35</v>
      </c>
    </row>
    <row r="1156" spans="1:9">
      <c r="A1156" s="75">
        <v>222</v>
      </c>
      <c r="B1156" s="75">
        <v>6</v>
      </c>
      <c r="C1156" s="75">
        <v>228</v>
      </c>
      <c r="D1156" s="76">
        <v>43356.104571759257</v>
      </c>
      <c r="E1156" s="77">
        <v>43344</v>
      </c>
      <c r="F1156" s="78">
        <v>0.10457175925925925</v>
      </c>
      <c r="G1156" s="75">
        <v>2</v>
      </c>
      <c r="H1156" s="75">
        <v>30</v>
      </c>
      <c r="I1156" s="75">
        <v>35</v>
      </c>
    </row>
    <row r="1157" spans="1:9">
      <c r="A1157" s="75">
        <v>197</v>
      </c>
      <c r="B1157" s="75">
        <v>2</v>
      </c>
      <c r="C1157" s="75">
        <v>191</v>
      </c>
      <c r="D1157" s="76">
        <v>43356.114976851852</v>
      </c>
      <c r="E1157" s="77">
        <v>43344</v>
      </c>
      <c r="F1157" s="78">
        <v>0.11497685185185186</v>
      </c>
      <c r="G1157" s="75">
        <v>2</v>
      </c>
      <c r="H1157" s="75">
        <v>45</v>
      </c>
      <c r="I1157" s="75">
        <v>34</v>
      </c>
    </row>
    <row r="1158" spans="1:9">
      <c r="A1158" s="75">
        <v>184</v>
      </c>
      <c r="B1158" s="75">
        <v>0</v>
      </c>
      <c r="C1158" s="75">
        <v>183</v>
      </c>
      <c r="D1158" s="76">
        <v>43356.125393518516</v>
      </c>
      <c r="E1158" s="77">
        <v>43344</v>
      </c>
      <c r="F1158" s="78">
        <v>0.12539351851851852</v>
      </c>
      <c r="G1158" s="75">
        <v>2</v>
      </c>
      <c r="H1158" s="75">
        <v>0</v>
      </c>
      <c r="I1158" s="75">
        <v>34</v>
      </c>
    </row>
    <row r="1159" spans="1:9">
      <c r="A1159" s="75">
        <v>148</v>
      </c>
      <c r="B1159" s="75">
        <v>0</v>
      </c>
      <c r="C1159" s="75">
        <v>148</v>
      </c>
      <c r="D1159" s="76">
        <v>43356.135821759257</v>
      </c>
      <c r="E1159" s="77">
        <v>43344</v>
      </c>
      <c r="F1159" s="78">
        <v>0.13582175925925927</v>
      </c>
      <c r="G1159" s="75">
        <v>2</v>
      </c>
      <c r="H1159" s="75">
        <v>15</v>
      </c>
      <c r="I1159" s="75">
        <v>35</v>
      </c>
    </row>
    <row r="1160" spans="1:9">
      <c r="A1160" s="75">
        <v>130</v>
      </c>
      <c r="B1160" s="75">
        <v>0</v>
      </c>
      <c r="C1160" s="75">
        <v>126</v>
      </c>
      <c r="D1160" s="76">
        <v>43356.146238425928</v>
      </c>
      <c r="E1160" s="77">
        <v>43344</v>
      </c>
      <c r="F1160" s="78">
        <v>0.14623842592592592</v>
      </c>
      <c r="G1160" s="75">
        <v>2</v>
      </c>
      <c r="H1160" s="75">
        <v>30</v>
      </c>
      <c r="I1160" s="75">
        <v>35</v>
      </c>
    </row>
    <row r="1161" spans="1:9">
      <c r="A1161" s="75">
        <v>94</v>
      </c>
      <c r="B1161" s="75">
        <v>0</v>
      </c>
      <c r="C1161" s="75">
        <v>91</v>
      </c>
      <c r="D1161" s="76">
        <v>43356.156643518516</v>
      </c>
      <c r="E1161" s="77">
        <v>43344</v>
      </c>
      <c r="F1161" s="78">
        <v>0.15664351851851852</v>
      </c>
      <c r="G1161" s="75">
        <v>2</v>
      </c>
      <c r="H1161" s="75">
        <v>45</v>
      </c>
      <c r="I1161" s="75">
        <v>34</v>
      </c>
    </row>
    <row r="1162" spans="1:9">
      <c r="A1162" s="75">
        <v>89</v>
      </c>
      <c r="B1162" s="75">
        <v>2</v>
      </c>
      <c r="C1162" s="75">
        <v>91</v>
      </c>
      <c r="D1162" s="76">
        <v>43356.167071759257</v>
      </c>
      <c r="E1162" s="77">
        <v>43344</v>
      </c>
      <c r="F1162" s="78">
        <v>0.16707175925925924</v>
      </c>
      <c r="G1162" s="75">
        <v>2</v>
      </c>
      <c r="H1162" s="75">
        <v>0</v>
      </c>
      <c r="I1162" s="75">
        <v>35</v>
      </c>
    </row>
    <row r="1163" spans="1:9">
      <c r="A1163" s="75">
        <v>47</v>
      </c>
      <c r="B1163" s="75">
        <v>0</v>
      </c>
      <c r="C1163" s="75">
        <v>46</v>
      </c>
      <c r="D1163" s="76">
        <v>43356.177488425928</v>
      </c>
      <c r="E1163" s="77">
        <v>43344</v>
      </c>
      <c r="F1163" s="78">
        <v>0.17748842592592592</v>
      </c>
      <c r="G1163" s="75">
        <v>2</v>
      </c>
      <c r="H1163" s="75">
        <v>15</v>
      </c>
      <c r="I1163" s="75">
        <v>35</v>
      </c>
    </row>
    <row r="1164" spans="1:9">
      <c r="A1164" s="75">
        <v>38</v>
      </c>
      <c r="B1164" s="75">
        <v>0</v>
      </c>
      <c r="C1164" s="75">
        <v>37</v>
      </c>
      <c r="D1164" s="76">
        <v>43356.187905092593</v>
      </c>
      <c r="E1164" s="77">
        <v>43344</v>
      </c>
      <c r="F1164" s="78">
        <v>0.18790509259259258</v>
      </c>
      <c r="G1164" s="75">
        <v>2</v>
      </c>
      <c r="H1164" s="75">
        <v>30</v>
      </c>
      <c r="I1164" s="75">
        <v>35</v>
      </c>
    </row>
    <row r="1165" spans="1:9">
      <c r="A1165" s="75">
        <v>34</v>
      </c>
      <c r="B1165" s="75">
        <v>0</v>
      </c>
      <c r="C1165" s="75">
        <v>33</v>
      </c>
      <c r="D1165" s="76">
        <v>43356.198310185187</v>
      </c>
      <c r="E1165" s="77">
        <v>43344</v>
      </c>
      <c r="F1165" s="78">
        <v>0.19831018518518517</v>
      </c>
      <c r="G1165" s="75">
        <v>2</v>
      </c>
      <c r="H1165" s="75">
        <v>45</v>
      </c>
      <c r="I1165" s="75">
        <v>34</v>
      </c>
    </row>
    <row r="1166" spans="1:9">
      <c r="A1166" s="75">
        <v>30</v>
      </c>
      <c r="B1166" s="75">
        <v>0</v>
      </c>
      <c r="C1166" s="75">
        <v>29</v>
      </c>
      <c r="D1166" s="76">
        <v>43356.208738425928</v>
      </c>
      <c r="E1166" s="77">
        <v>43344</v>
      </c>
      <c r="F1166" s="78">
        <v>0.20873842592592592</v>
      </c>
      <c r="G1166" s="75">
        <v>2</v>
      </c>
      <c r="H1166" s="75">
        <v>0</v>
      </c>
      <c r="I1166" s="75">
        <v>35</v>
      </c>
    </row>
    <row r="1167" spans="1:9">
      <c r="A1167" s="75">
        <v>30</v>
      </c>
      <c r="B1167" s="75">
        <v>0</v>
      </c>
      <c r="C1167" s="75">
        <v>29</v>
      </c>
      <c r="D1167" s="76">
        <v>43356.219143518516</v>
      </c>
      <c r="E1167" s="77">
        <v>43344</v>
      </c>
      <c r="F1167" s="78">
        <v>0.21914351851851852</v>
      </c>
      <c r="G1167" s="75">
        <v>2</v>
      </c>
      <c r="H1167" s="75">
        <v>15</v>
      </c>
      <c r="I1167" s="75">
        <v>34</v>
      </c>
    </row>
    <row r="1168" spans="1:9">
      <c r="A1168" s="75">
        <v>30</v>
      </c>
      <c r="B1168" s="75">
        <v>0</v>
      </c>
      <c r="C1168" s="75">
        <v>29</v>
      </c>
      <c r="D1168" s="76">
        <v>43356.229560185187</v>
      </c>
      <c r="E1168" s="77">
        <v>43344</v>
      </c>
      <c r="F1168" s="78">
        <v>0.22956018518518517</v>
      </c>
      <c r="G1168" s="75">
        <v>2</v>
      </c>
      <c r="H1168" s="75">
        <v>30</v>
      </c>
      <c r="I1168" s="75">
        <v>34</v>
      </c>
    </row>
    <row r="1169" spans="1:9">
      <c r="A1169" s="75">
        <v>27</v>
      </c>
      <c r="B1169" s="75">
        <v>0</v>
      </c>
      <c r="C1169" s="75">
        <v>26</v>
      </c>
      <c r="D1169" s="76">
        <v>43356.239976851852</v>
      </c>
      <c r="E1169" s="77">
        <v>43344</v>
      </c>
      <c r="F1169" s="78">
        <v>0.23997685185185183</v>
      </c>
      <c r="G1169" s="75">
        <v>2</v>
      </c>
      <c r="H1169" s="75">
        <v>45</v>
      </c>
      <c r="I1169" s="75">
        <v>34</v>
      </c>
    </row>
    <row r="1170" spans="1:9">
      <c r="A1170" s="75">
        <v>26</v>
      </c>
      <c r="B1170" s="75">
        <v>0</v>
      </c>
      <c r="C1170" s="75">
        <v>25</v>
      </c>
      <c r="D1170" s="76">
        <v>43356.250393518516</v>
      </c>
      <c r="E1170" s="77">
        <v>43344</v>
      </c>
      <c r="F1170" s="78">
        <v>0.25039351851851849</v>
      </c>
      <c r="G1170" s="75">
        <v>2</v>
      </c>
      <c r="H1170" s="75">
        <v>0</v>
      </c>
      <c r="I1170" s="75">
        <v>34</v>
      </c>
    </row>
    <row r="1171" spans="1:9">
      <c r="A1171" s="75">
        <v>26</v>
      </c>
      <c r="B1171" s="75">
        <v>0</v>
      </c>
      <c r="C1171" s="75">
        <v>25</v>
      </c>
      <c r="D1171" s="76">
        <v>43356.260810185187</v>
      </c>
      <c r="E1171" s="77">
        <v>43344</v>
      </c>
      <c r="F1171" s="78">
        <v>0.26081018518518517</v>
      </c>
      <c r="G1171" s="75">
        <v>2</v>
      </c>
      <c r="H1171" s="75">
        <v>15</v>
      </c>
      <c r="I1171" s="75">
        <v>34</v>
      </c>
    </row>
    <row r="1172" spans="1:9">
      <c r="A1172" s="75">
        <v>28</v>
      </c>
      <c r="B1172" s="75">
        <v>0</v>
      </c>
      <c r="C1172" s="75">
        <v>24</v>
      </c>
      <c r="D1172" s="76">
        <v>43356.273935185185</v>
      </c>
      <c r="E1172" s="77">
        <v>43344</v>
      </c>
      <c r="F1172" s="78">
        <v>0.27393518518518517</v>
      </c>
      <c r="G1172" s="75">
        <v>2</v>
      </c>
      <c r="H1172" s="75">
        <v>34</v>
      </c>
      <c r="I1172" s="75">
        <v>28</v>
      </c>
    </row>
    <row r="1173" spans="1:9">
      <c r="A1173" s="75">
        <v>23</v>
      </c>
      <c r="B1173" s="75">
        <v>0</v>
      </c>
      <c r="C1173" s="75">
        <v>22</v>
      </c>
      <c r="D1173" s="76">
        <v>43356.281643518516</v>
      </c>
      <c r="E1173" s="77">
        <v>43344</v>
      </c>
      <c r="F1173" s="78">
        <v>0.28164351851851849</v>
      </c>
      <c r="G1173" s="75">
        <v>2</v>
      </c>
      <c r="H1173" s="75">
        <v>45</v>
      </c>
      <c r="I1173" s="75">
        <v>34</v>
      </c>
    </row>
    <row r="1174" spans="1:9">
      <c r="A1174" s="75">
        <v>25</v>
      </c>
      <c r="B1174" s="75">
        <v>0</v>
      </c>
      <c r="C1174" s="75">
        <v>24</v>
      </c>
      <c r="D1174" s="76">
        <v>43356.292060185187</v>
      </c>
      <c r="E1174" s="77">
        <v>43344</v>
      </c>
      <c r="F1174" s="78">
        <v>0.29206018518518517</v>
      </c>
      <c r="G1174" s="75">
        <v>2</v>
      </c>
      <c r="H1174" s="75">
        <v>0</v>
      </c>
      <c r="I1174" s="75">
        <v>34</v>
      </c>
    </row>
    <row r="1175" spans="1:9">
      <c r="A1175" s="75">
        <v>38</v>
      </c>
      <c r="B1175" s="75">
        <v>0</v>
      </c>
      <c r="C1175" s="75">
        <v>37</v>
      </c>
      <c r="D1175" s="76">
        <v>43356.302488425928</v>
      </c>
      <c r="E1175" s="77">
        <v>43344</v>
      </c>
      <c r="F1175" s="78">
        <v>0.3024884259259259</v>
      </c>
      <c r="G1175" s="75">
        <v>2</v>
      </c>
      <c r="H1175" s="75">
        <v>15</v>
      </c>
      <c r="I1175" s="75">
        <v>35</v>
      </c>
    </row>
    <row r="1176" spans="1:9">
      <c r="A1176" s="75">
        <v>45</v>
      </c>
      <c r="B1176" s="75">
        <v>0</v>
      </c>
      <c r="C1176" s="75">
        <v>45</v>
      </c>
      <c r="D1176" s="76">
        <v>43356.312916666669</v>
      </c>
      <c r="E1176" s="77">
        <v>43344</v>
      </c>
      <c r="F1176" s="78">
        <v>0.31291666666666668</v>
      </c>
      <c r="G1176" s="75">
        <v>2</v>
      </c>
      <c r="H1176" s="75">
        <v>30</v>
      </c>
      <c r="I1176" s="75">
        <v>36</v>
      </c>
    </row>
    <row r="1177" spans="1:9">
      <c r="A1177" s="75">
        <v>61</v>
      </c>
      <c r="B1177" s="75">
        <v>0</v>
      </c>
      <c r="C1177" s="75">
        <v>56</v>
      </c>
      <c r="D1177" s="76">
        <v>43356.323333333334</v>
      </c>
      <c r="E1177" s="77">
        <v>43344</v>
      </c>
      <c r="F1177" s="78">
        <v>0.32333333333333331</v>
      </c>
      <c r="G1177" s="75">
        <v>2</v>
      </c>
      <c r="H1177" s="75">
        <v>45</v>
      </c>
      <c r="I1177" s="75">
        <v>36</v>
      </c>
    </row>
    <row r="1178" spans="1:9">
      <c r="A1178" s="75">
        <v>49</v>
      </c>
      <c r="B1178" s="75">
        <v>0</v>
      </c>
      <c r="C1178" s="75">
        <v>48</v>
      </c>
      <c r="D1178" s="76">
        <v>43356.333749999998</v>
      </c>
      <c r="E1178" s="77">
        <v>43344</v>
      </c>
      <c r="F1178" s="78">
        <v>0.33374999999999999</v>
      </c>
      <c r="G1178" s="75">
        <v>2</v>
      </c>
      <c r="H1178" s="75">
        <v>0</v>
      </c>
      <c r="I1178" s="75">
        <v>36</v>
      </c>
    </row>
    <row r="1179" spans="1:9">
      <c r="A1179" s="75">
        <v>75</v>
      </c>
      <c r="B1179" s="75">
        <v>0</v>
      </c>
      <c r="C1179" s="75">
        <v>74</v>
      </c>
      <c r="D1179" s="76">
        <v>43356.344155092593</v>
      </c>
      <c r="E1179" s="77">
        <v>43344</v>
      </c>
      <c r="F1179" s="78">
        <v>0.34415509259259264</v>
      </c>
      <c r="G1179" s="75">
        <v>2</v>
      </c>
      <c r="H1179" s="75">
        <v>15</v>
      </c>
      <c r="I1179" s="75">
        <v>35</v>
      </c>
    </row>
    <row r="1180" spans="1:9">
      <c r="A1180" s="75">
        <v>122</v>
      </c>
      <c r="B1180" s="75">
        <v>1</v>
      </c>
      <c r="C1180" s="75">
        <v>123</v>
      </c>
      <c r="D1180" s="76">
        <v>43356.354583333334</v>
      </c>
      <c r="E1180" s="77">
        <v>43344</v>
      </c>
      <c r="F1180" s="78">
        <v>0.35458333333333331</v>
      </c>
      <c r="G1180" s="75">
        <v>2</v>
      </c>
      <c r="H1180" s="75">
        <v>30</v>
      </c>
      <c r="I1180" s="75">
        <v>36</v>
      </c>
    </row>
    <row r="1181" spans="1:9">
      <c r="A1181" s="75">
        <v>214</v>
      </c>
      <c r="B1181" s="75">
        <v>0</v>
      </c>
      <c r="C1181" s="75">
        <v>213</v>
      </c>
      <c r="D1181" s="76">
        <v>43356.364999999998</v>
      </c>
      <c r="E1181" s="77">
        <v>43344</v>
      </c>
      <c r="F1181" s="78">
        <v>0.36499999999999999</v>
      </c>
      <c r="G1181" s="75">
        <v>2</v>
      </c>
      <c r="H1181" s="75">
        <v>45</v>
      </c>
      <c r="I1181" s="75">
        <v>36</v>
      </c>
    </row>
    <row r="1182" spans="1:9">
      <c r="A1182" s="75">
        <v>194</v>
      </c>
      <c r="B1182" s="75">
        <v>0</v>
      </c>
      <c r="C1182" s="75">
        <v>194</v>
      </c>
      <c r="D1182" s="76">
        <v>43356.375416666669</v>
      </c>
      <c r="E1182" s="77">
        <v>43344</v>
      </c>
      <c r="F1182" s="78">
        <v>0.37541666666666668</v>
      </c>
      <c r="G1182" s="75">
        <v>2</v>
      </c>
      <c r="H1182" s="75">
        <v>0</v>
      </c>
      <c r="I1182" s="75">
        <v>36</v>
      </c>
    </row>
    <row r="1183" spans="1:9">
      <c r="A1183" s="75">
        <v>308</v>
      </c>
      <c r="B1183" s="75">
        <v>2</v>
      </c>
      <c r="C1183" s="75">
        <v>308</v>
      </c>
      <c r="D1183" s="76">
        <v>43356.385821759257</v>
      </c>
      <c r="E1183" s="77">
        <v>43344</v>
      </c>
      <c r="F1183" s="78">
        <v>0.38582175925925927</v>
      </c>
      <c r="G1183" s="75">
        <v>2</v>
      </c>
      <c r="H1183" s="75">
        <v>15</v>
      </c>
      <c r="I1183" s="75">
        <v>35</v>
      </c>
    </row>
    <row r="1184" spans="1:9">
      <c r="A1184" s="75">
        <v>483</v>
      </c>
      <c r="B1184" s="75">
        <v>3</v>
      </c>
      <c r="C1184" s="75">
        <v>486</v>
      </c>
      <c r="D1184" s="76">
        <v>43356.396249999998</v>
      </c>
      <c r="E1184" s="77">
        <v>43344</v>
      </c>
      <c r="F1184" s="78">
        <v>0.39624999999999999</v>
      </c>
      <c r="G1184" s="75">
        <v>2</v>
      </c>
      <c r="H1184" s="75">
        <v>30</v>
      </c>
      <c r="I1184" s="75">
        <v>36</v>
      </c>
    </row>
    <row r="1185" spans="1:9">
      <c r="A1185" s="75">
        <v>796</v>
      </c>
      <c r="B1185" s="75">
        <v>4</v>
      </c>
      <c r="C1185" s="75">
        <v>800</v>
      </c>
      <c r="D1185" s="76">
        <v>43356.406666666669</v>
      </c>
      <c r="E1185" s="77">
        <v>43344</v>
      </c>
      <c r="F1185" s="78">
        <v>0.40666666666666668</v>
      </c>
      <c r="G1185" s="75">
        <v>2</v>
      </c>
      <c r="H1185" s="75">
        <v>45</v>
      </c>
      <c r="I1185" s="75">
        <v>36</v>
      </c>
    </row>
    <row r="1186" spans="1:9">
      <c r="A1186" s="75">
        <v>760</v>
      </c>
      <c r="B1186" s="75">
        <v>11</v>
      </c>
      <c r="C1186" s="75">
        <v>771</v>
      </c>
      <c r="D1186" s="76">
        <v>43356.417083333334</v>
      </c>
      <c r="E1186" s="77">
        <v>43344</v>
      </c>
      <c r="F1186" s="78">
        <v>0.41708333333333331</v>
      </c>
      <c r="G1186" s="75">
        <v>2</v>
      </c>
      <c r="H1186" s="75">
        <v>0</v>
      </c>
      <c r="I1186" s="75">
        <v>36</v>
      </c>
    </row>
    <row r="1187" spans="1:9">
      <c r="A1187" s="75">
        <v>733</v>
      </c>
      <c r="B1187" s="75">
        <v>16</v>
      </c>
      <c r="C1187" s="75">
        <v>749</v>
      </c>
      <c r="D1187" s="76">
        <v>43356.427488425928</v>
      </c>
      <c r="E1187" s="77">
        <v>43344</v>
      </c>
      <c r="F1187" s="78">
        <v>0.42748842592592595</v>
      </c>
      <c r="G1187" s="75">
        <v>2</v>
      </c>
      <c r="H1187" s="75">
        <v>15</v>
      </c>
      <c r="I1187" s="75">
        <v>35</v>
      </c>
    </row>
    <row r="1188" spans="1:9">
      <c r="A1188" s="75">
        <v>838</v>
      </c>
      <c r="B1188" s="75">
        <v>22</v>
      </c>
      <c r="C1188" s="75">
        <v>860</v>
      </c>
      <c r="D1188" s="76">
        <v>43356.437916666669</v>
      </c>
      <c r="E1188" s="77">
        <v>43344</v>
      </c>
      <c r="F1188" s="78">
        <v>0.43791666666666668</v>
      </c>
      <c r="G1188" s="75">
        <v>2</v>
      </c>
      <c r="H1188" s="75">
        <v>30</v>
      </c>
      <c r="I1188" s="75">
        <v>36</v>
      </c>
    </row>
    <row r="1189" spans="1:9">
      <c r="A1189" s="75">
        <v>1107</v>
      </c>
      <c r="B1189" s="75">
        <v>20</v>
      </c>
      <c r="C1189" s="75">
        <v>1127</v>
      </c>
      <c r="D1189" s="76">
        <v>43356.448321759257</v>
      </c>
      <c r="E1189" s="77">
        <v>43344</v>
      </c>
      <c r="F1189" s="78">
        <v>0.44832175925925927</v>
      </c>
      <c r="G1189" s="75">
        <v>2</v>
      </c>
      <c r="H1189" s="75">
        <v>45</v>
      </c>
      <c r="I1189" s="75">
        <v>35</v>
      </c>
    </row>
    <row r="1190" spans="1:9">
      <c r="A1190" s="75">
        <v>813</v>
      </c>
      <c r="B1190" s="75">
        <v>12</v>
      </c>
      <c r="C1190" s="75">
        <v>825</v>
      </c>
      <c r="D1190" s="76">
        <v>43356.458738425928</v>
      </c>
      <c r="E1190" s="77">
        <v>43344</v>
      </c>
      <c r="F1190" s="78">
        <v>0.45873842592592595</v>
      </c>
      <c r="G1190" s="75">
        <v>2</v>
      </c>
      <c r="H1190" s="75">
        <v>0</v>
      </c>
      <c r="I1190" s="75">
        <v>35</v>
      </c>
    </row>
    <row r="1191" spans="1:9">
      <c r="A1191" s="75">
        <v>716</v>
      </c>
      <c r="B1191" s="75">
        <v>20</v>
      </c>
      <c r="C1191" s="75">
        <v>736</v>
      </c>
      <c r="D1191" s="76">
        <v>43356.469166666669</v>
      </c>
      <c r="E1191" s="77">
        <v>43344</v>
      </c>
      <c r="F1191" s="78">
        <v>0.46916666666666668</v>
      </c>
      <c r="G1191" s="75">
        <v>2</v>
      </c>
      <c r="H1191" s="75">
        <v>15</v>
      </c>
      <c r="I1191" s="75">
        <v>36</v>
      </c>
    </row>
    <row r="1192" spans="1:9">
      <c r="A1192" s="75">
        <v>599</v>
      </c>
      <c r="B1192" s="75">
        <v>10</v>
      </c>
      <c r="C1192" s="75">
        <v>609</v>
      </c>
      <c r="D1192" s="76">
        <v>43356.479583333334</v>
      </c>
      <c r="E1192" s="77">
        <v>43344</v>
      </c>
      <c r="F1192" s="78">
        <v>0.47958333333333331</v>
      </c>
      <c r="G1192" s="75">
        <v>2</v>
      </c>
      <c r="H1192" s="75">
        <v>30</v>
      </c>
      <c r="I1192" s="75">
        <v>36</v>
      </c>
    </row>
    <row r="1193" spans="1:9">
      <c r="A1193" s="75">
        <v>575</v>
      </c>
      <c r="B1193" s="75">
        <v>4</v>
      </c>
      <c r="C1193" s="75">
        <v>579</v>
      </c>
      <c r="D1193" s="76">
        <v>43356.49</v>
      </c>
      <c r="E1193" s="77">
        <v>43344</v>
      </c>
      <c r="F1193" s="78">
        <v>0.49</v>
      </c>
      <c r="G1193" s="75">
        <v>2</v>
      </c>
      <c r="H1193" s="75">
        <v>45</v>
      </c>
      <c r="I1193" s="75">
        <v>36</v>
      </c>
    </row>
    <row r="1194" spans="1:9">
      <c r="A1194" s="75">
        <v>400</v>
      </c>
      <c r="B1194" s="75">
        <v>3</v>
      </c>
      <c r="C1194" s="75">
        <v>403</v>
      </c>
      <c r="D1194" s="76">
        <v>43356.500416666669</v>
      </c>
      <c r="E1194" s="77">
        <v>43344</v>
      </c>
      <c r="F1194" s="78">
        <v>0.50041666666666662</v>
      </c>
      <c r="G1194" s="75">
        <v>2</v>
      </c>
      <c r="H1194" s="75">
        <v>0</v>
      </c>
      <c r="I1194" s="75">
        <v>36</v>
      </c>
    </row>
    <row r="1195" spans="1:9">
      <c r="A1195" s="75">
        <v>371</v>
      </c>
      <c r="B1195" s="75">
        <v>5</v>
      </c>
      <c r="C1195" s="75">
        <v>376</v>
      </c>
      <c r="D1195" s="76">
        <v>43356.510821759257</v>
      </c>
      <c r="E1195" s="77">
        <v>43344</v>
      </c>
      <c r="F1195" s="78">
        <v>0.51082175925925932</v>
      </c>
      <c r="G1195" s="75">
        <v>2</v>
      </c>
      <c r="H1195" s="75">
        <v>15</v>
      </c>
      <c r="I1195" s="75">
        <v>35</v>
      </c>
    </row>
    <row r="1196" spans="1:9">
      <c r="A1196" s="75">
        <v>380</v>
      </c>
      <c r="B1196" s="75">
        <v>3</v>
      </c>
      <c r="C1196" s="75">
        <v>383</v>
      </c>
      <c r="D1196" s="76">
        <v>43356.521238425928</v>
      </c>
      <c r="E1196" s="77">
        <v>43344</v>
      </c>
      <c r="F1196" s="78">
        <v>0.52123842592592595</v>
      </c>
      <c r="G1196" s="75">
        <v>2</v>
      </c>
      <c r="H1196" s="75">
        <v>30</v>
      </c>
      <c r="I1196" s="75">
        <v>35</v>
      </c>
    </row>
    <row r="1197" spans="1:9">
      <c r="A1197" s="75">
        <v>401</v>
      </c>
      <c r="B1197" s="75">
        <v>2</v>
      </c>
      <c r="C1197" s="75">
        <v>403</v>
      </c>
      <c r="D1197" s="76">
        <v>43356.531655092593</v>
      </c>
      <c r="E1197" s="77">
        <v>43344</v>
      </c>
      <c r="F1197" s="78">
        <v>0.53165509259259258</v>
      </c>
      <c r="G1197" s="75">
        <v>2</v>
      </c>
      <c r="H1197" s="75">
        <v>45</v>
      </c>
      <c r="I1197" s="75">
        <v>35</v>
      </c>
    </row>
    <row r="1198" spans="1:9">
      <c r="A1198" s="75">
        <v>348</v>
      </c>
      <c r="B1198" s="75">
        <v>3</v>
      </c>
      <c r="C1198" s="75">
        <v>351</v>
      </c>
      <c r="D1198" s="76">
        <v>43356.542083333334</v>
      </c>
      <c r="E1198" s="77">
        <v>43344</v>
      </c>
      <c r="F1198" s="78">
        <v>0.54208333333333336</v>
      </c>
      <c r="G1198" s="75">
        <v>2</v>
      </c>
      <c r="H1198" s="75">
        <v>0</v>
      </c>
      <c r="I1198" s="75">
        <v>36</v>
      </c>
    </row>
    <row r="1199" spans="1:9">
      <c r="A1199" s="75">
        <v>420</v>
      </c>
      <c r="B1199" s="75">
        <v>3</v>
      </c>
      <c r="C1199" s="75">
        <v>423</v>
      </c>
      <c r="D1199" s="76">
        <v>43356.552499999998</v>
      </c>
      <c r="E1199" s="77">
        <v>43344</v>
      </c>
      <c r="F1199" s="78">
        <v>0.55249999999999999</v>
      </c>
      <c r="G1199" s="75">
        <v>2</v>
      </c>
      <c r="H1199" s="75">
        <v>15</v>
      </c>
      <c r="I1199" s="75">
        <v>36</v>
      </c>
    </row>
    <row r="1200" spans="1:9">
      <c r="A1200" s="75">
        <v>397</v>
      </c>
      <c r="B1200" s="75">
        <v>4</v>
      </c>
      <c r="C1200" s="75">
        <v>401</v>
      </c>
      <c r="D1200" s="76">
        <v>43356.562916666669</v>
      </c>
      <c r="E1200" s="77">
        <v>43344</v>
      </c>
      <c r="F1200" s="78">
        <v>0.56291666666666662</v>
      </c>
      <c r="G1200" s="75">
        <v>2</v>
      </c>
      <c r="H1200" s="75">
        <v>30</v>
      </c>
      <c r="I1200" s="75">
        <v>36</v>
      </c>
    </row>
    <row r="1201" spans="1:9">
      <c r="A1201" s="75">
        <v>416</v>
      </c>
      <c r="B1201" s="75">
        <v>5</v>
      </c>
      <c r="C1201" s="75">
        <v>421</v>
      </c>
      <c r="D1201" s="76">
        <v>43356.573321759257</v>
      </c>
      <c r="E1201" s="77">
        <v>43344</v>
      </c>
      <c r="F1201" s="78">
        <v>0.57332175925925932</v>
      </c>
      <c r="G1201" s="75">
        <v>2</v>
      </c>
      <c r="H1201" s="75">
        <v>45</v>
      </c>
      <c r="I1201" s="75">
        <v>35</v>
      </c>
    </row>
    <row r="1202" spans="1:9">
      <c r="A1202" s="75">
        <v>397</v>
      </c>
      <c r="B1202" s="75">
        <v>1</v>
      </c>
      <c r="C1202" s="75">
        <v>398</v>
      </c>
      <c r="D1202" s="76">
        <v>43356.583749999998</v>
      </c>
      <c r="E1202" s="77">
        <v>43344</v>
      </c>
      <c r="F1202" s="78">
        <v>0.58374999999999999</v>
      </c>
      <c r="G1202" s="75">
        <v>2</v>
      </c>
      <c r="H1202" s="75">
        <v>0</v>
      </c>
      <c r="I1202" s="75">
        <v>36</v>
      </c>
    </row>
    <row r="1203" spans="1:9">
      <c r="A1203" s="75">
        <v>473</v>
      </c>
      <c r="B1203" s="75">
        <v>0</v>
      </c>
      <c r="C1203" s="75">
        <v>473</v>
      </c>
      <c r="D1203" s="76">
        <v>43356.594155092593</v>
      </c>
      <c r="E1203" s="77">
        <v>43344</v>
      </c>
      <c r="F1203" s="78">
        <v>0.59415509259259258</v>
      </c>
      <c r="G1203" s="75">
        <v>2</v>
      </c>
      <c r="H1203" s="75">
        <v>15</v>
      </c>
      <c r="I1203" s="75">
        <v>35</v>
      </c>
    </row>
    <row r="1204" spans="1:9">
      <c r="A1204" s="75">
        <v>455</v>
      </c>
      <c r="B1204" s="75">
        <v>1</v>
      </c>
      <c r="C1204" s="75">
        <v>456</v>
      </c>
      <c r="D1204" s="76">
        <v>43356.604571759257</v>
      </c>
      <c r="E1204" s="77">
        <v>43344</v>
      </c>
      <c r="F1204" s="78">
        <v>0.60457175925925932</v>
      </c>
      <c r="G1204" s="75">
        <v>2</v>
      </c>
      <c r="H1204" s="75">
        <v>30</v>
      </c>
      <c r="I1204" s="75">
        <v>35</v>
      </c>
    </row>
    <row r="1205" spans="1:9">
      <c r="A1205" s="75">
        <v>502</v>
      </c>
      <c r="B1205" s="75">
        <v>2</v>
      </c>
      <c r="C1205" s="75">
        <v>504</v>
      </c>
      <c r="D1205" s="76">
        <v>43356.614999999998</v>
      </c>
      <c r="E1205" s="77">
        <v>43344</v>
      </c>
      <c r="F1205" s="78">
        <v>0.61499999999999999</v>
      </c>
      <c r="G1205" s="75">
        <v>2</v>
      </c>
      <c r="H1205" s="75">
        <v>45</v>
      </c>
      <c r="I1205" s="75">
        <v>36</v>
      </c>
    </row>
    <row r="1206" spans="1:9">
      <c r="A1206" s="75">
        <v>437</v>
      </c>
      <c r="B1206" s="75">
        <v>2</v>
      </c>
      <c r="C1206" s="75">
        <v>439</v>
      </c>
      <c r="D1206" s="76">
        <v>43356.625405092593</v>
      </c>
      <c r="E1206" s="77">
        <v>43344</v>
      </c>
      <c r="F1206" s="78">
        <v>0.62540509259259258</v>
      </c>
      <c r="G1206" s="75">
        <v>2</v>
      </c>
      <c r="H1206" s="75">
        <v>0</v>
      </c>
      <c r="I1206" s="75">
        <v>35</v>
      </c>
    </row>
    <row r="1207" spans="1:9">
      <c r="A1207" s="75">
        <v>584</v>
      </c>
      <c r="B1207" s="75">
        <v>3</v>
      </c>
      <c r="C1207" s="75">
        <v>587</v>
      </c>
      <c r="D1207" s="76">
        <v>43356.635833333334</v>
      </c>
      <c r="E1207" s="77">
        <v>43344</v>
      </c>
      <c r="F1207" s="78">
        <v>0.63583333333333336</v>
      </c>
      <c r="G1207" s="75">
        <v>2</v>
      </c>
      <c r="H1207" s="75">
        <v>15</v>
      </c>
      <c r="I1207" s="75">
        <v>36</v>
      </c>
    </row>
    <row r="1208" spans="1:9">
      <c r="A1208" s="75">
        <v>508</v>
      </c>
      <c r="B1208" s="75">
        <v>3</v>
      </c>
      <c r="C1208" s="75">
        <v>511</v>
      </c>
      <c r="D1208" s="76">
        <v>43356.646249999998</v>
      </c>
      <c r="E1208" s="77">
        <v>43344</v>
      </c>
      <c r="F1208" s="78">
        <v>0.64624999999999999</v>
      </c>
      <c r="G1208" s="75">
        <v>2</v>
      </c>
      <c r="H1208" s="75">
        <v>30</v>
      </c>
      <c r="I1208" s="75">
        <v>36</v>
      </c>
    </row>
    <row r="1209" spans="1:9">
      <c r="A1209" s="75">
        <v>590</v>
      </c>
      <c r="B1209" s="75">
        <v>5</v>
      </c>
      <c r="C1209" s="75">
        <v>595</v>
      </c>
      <c r="D1209" s="76">
        <v>43356.656666666669</v>
      </c>
      <c r="E1209" s="77">
        <v>43344</v>
      </c>
      <c r="F1209" s="78">
        <v>0.65666666666666662</v>
      </c>
      <c r="G1209" s="75">
        <v>2</v>
      </c>
      <c r="H1209" s="75">
        <v>45</v>
      </c>
      <c r="I1209" s="75">
        <v>36</v>
      </c>
    </row>
    <row r="1210" spans="1:9">
      <c r="A1210" s="75">
        <v>556</v>
      </c>
      <c r="B1210" s="75">
        <v>6</v>
      </c>
      <c r="C1210" s="75">
        <v>562</v>
      </c>
      <c r="D1210" s="76">
        <v>43356.667071759257</v>
      </c>
      <c r="E1210" s="77">
        <v>43344</v>
      </c>
      <c r="F1210" s="78">
        <v>0.66707175925925932</v>
      </c>
      <c r="G1210" s="75">
        <v>2</v>
      </c>
      <c r="H1210" s="75">
        <v>0</v>
      </c>
      <c r="I1210" s="75">
        <v>35</v>
      </c>
    </row>
    <row r="1211" spans="1:9">
      <c r="A1211" s="75">
        <v>653</v>
      </c>
      <c r="B1211" s="75">
        <v>6</v>
      </c>
      <c r="C1211" s="75">
        <v>659</v>
      </c>
      <c r="D1211" s="76">
        <v>43356.677488425928</v>
      </c>
      <c r="E1211" s="77">
        <v>43344</v>
      </c>
      <c r="F1211" s="78">
        <v>0.67748842592592595</v>
      </c>
      <c r="G1211" s="75">
        <v>2</v>
      </c>
      <c r="H1211" s="75">
        <v>15</v>
      </c>
      <c r="I1211" s="75">
        <v>35</v>
      </c>
    </row>
    <row r="1212" spans="1:9">
      <c r="A1212" s="75">
        <v>592</v>
      </c>
      <c r="B1212" s="75">
        <v>7</v>
      </c>
      <c r="C1212" s="75">
        <v>599</v>
      </c>
      <c r="D1212" s="76">
        <v>43356.687916666669</v>
      </c>
      <c r="E1212" s="77">
        <v>43344</v>
      </c>
      <c r="F1212" s="78">
        <v>0.68791666666666673</v>
      </c>
      <c r="G1212" s="75">
        <v>2</v>
      </c>
      <c r="H1212" s="75">
        <v>30</v>
      </c>
      <c r="I1212" s="75">
        <v>36</v>
      </c>
    </row>
    <row r="1213" spans="1:9">
      <c r="A1213" s="75">
        <v>637</v>
      </c>
      <c r="B1213" s="75">
        <v>8</v>
      </c>
      <c r="C1213" s="75">
        <v>645</v>
      </c>
      <c r="D1213" s="76">
        <v>43356.698333333334</v>
      </c>
      <c r="E1213" s="77">
        <v>43344</v>
      </c>
      <c r="F1213" s="78">
        <v>0.69833333333333336</v>
      </c>
      <c r="G1213" s="75">
        <v>2</v>
      </c>
      <c r="H1213" s="75">
        <v>45</v>
      </c>
      <c r="I1213" s="75">
        <v>36</v>
      </c>
    </row>
    <row r="1214" spans="1:9">
      <c r="A1214" s="75">
        <v>529</v>
      </c>
      <c r="B1214" s="75">
        <v>5</v>
      </c>
      <c r="C1214" s="75">
        <v>534</v>
      </c>
      <c r="D1214" s="76">
        <v>43356.708738425928</v>
      </c>
      <c r="E1214" s="77">
        <v>43344</v>
      </c>
      <c r="F1214" s="78">
        <v>0.70873842592592595</v>
      </c>
      <c r="G1214" s="75">
        <v>2</v>
      </c>
      <c r="H1214" s="75">
        <v>0</v>
      </c>
      <c r="I1214" s="75">
        <v>35</v>
      </c>
    </row>
    <row r="1215" spans="1:9">
      <c r="A1215" s="75">
        <v>639</v>
      </c>
      <c r="B1215" s="75">
        <v>7</v>
      </c>
      <c r="C1215" s="75">
        <v>646</v>
      </c>
      <c r="D1215" s="76">
        <v>43356.719155092593</v>
      </c>
      <c r="E1215" s="77">
        <v>43344</v>
      </c>
      <c r="F1215" s="78">
        <v>0.71915509259259258</v>
      </c>
      <c r="G1215" s="75">
        <v>2</v>
      </c>
      <c r="H1215" s="75">
        <v>15</v>
      </c>
      <c r="I1215" s="75">
        <v>35</v>
      </c>
    </row>
    <row r="1216" spans="1:9">
      <c r="A1216" s="75">
        <v>562</v>
      </c>
      <c r="B1216" s="75">
        <v>3</v>
      </c>
      <c r="C1216" s="75">
        <v>565</v>
      </c>
      <c r="D1216" s="76">
        <v>43356.729571759257</v>
      </c>
      <c r="E1216" s="77">
        <v>43344</v>
      </c>
      <c r="F1216" s="78">
        <v>0.72957175925925932</v>
      </c>
      <c r="G1216" s="75">
        <v>2</v>
      </c>
      <c r="H1216" s="75">
        <v>30</v>
      </c>
      <c r="I1216" s="75">
        <v>35</v>
      </c>
    </row>
    <row r="1217" spans="1:9">
      <c r="A1217" s="75">
        <v>590</v>
      </c>
      <c r="B1217" s="75">
        <v>4</v>
      </c>
      <c r="C1217" s="75">
        <v>594</v>
      </c>
      <c r="D1217" s="76">
        <v>43356.739976851852</v>
      </c>
      <c r="E1217" s="77">
        <v>43344</v>
      </c>
      <c r="F1217" s="78">
        <v>0.7399768518518518</v>
      </c>
      <c r="G1217" s="75">
        <v>2</v>
      </c>
      <c r="H1217" s="75">
        <v>45</v>
      </c>
      <c r="I1217" s="75">
        <v>34</v>
      </c>
    </row>
    <row r="1218" spans="1:9">
      <c r="A1218" s="75">
        <v>522</v>
      </c>
      <c r="B1218" s="75">
        <v>7</v>
      </c>
      <c r="C1218" s="75">
        <v>529</v>
      </c>
      <c r="D1218" s="76">
        <v>43356.750405092593</v>
      </c>
      <c r="E1218" s="77">
        <v>43344</v>
      </c>
      <c r="F1218" s="78">
        <v>0.75040509259259258</v>
      </c>
      <c r="G1218" s="75">
        <v>2</v>
      </c>
      <c r="H1218" s="75">
        <v>0</v>
      </c>
      <c r="I1218" s="75">
        <v>35</v>
      </c>
    </row>
    <row r="1219" spans="1:9">
      <c r="A1219" s="75">
        <v>618</v>
      </c>
      <c r="B1219" s="75">
        <v>8</v>
      </c>
      <c r="C1219" s="75">
        <v>626</v>
      </c>
      <c r="D1219" s="76">
        <v>43356.760821759257</v>
      </c>
      <c r="E1219" s="77">
        <v>43344</v>
      </c>
      <c r="F1219" s="78">
        <v>0.76082175925925932</v>
      </c>
      <c r="G1219" s="75">
        <v>2</v>
      </c>
      <c r="H1219" s="75">
        <v>15</v>
      </c>
      <c r="I1219" s="75">
        <v>35</v>
      </c>
    </row>
    <row r="1220" spans="1:9">
      <c r="A1220" s="75">
        <v>595</v>
      </c>
      <c r="B1220" s="75">
        <v>7</v>
      </c>
      <c r="C1220" s="75">
        <v>602</v>
      </c>
      <c r="D1220" s="76">
        <v>43356.771238425928</v>
      </c>
      <c r="E1220" s="77">
        <v>43344</v>
      </c>
      <c r="F1220" s="78">
        <v>0.77123842592592595</v>
      </c>
      <c r="G1220" s="75">
        <v>2</v>
      </c>
      <c r="H1220" s="75">
        <v>30</v>
      </c>
      <c r="I1220" s="75">
        <v>35</v>
      </c>
    </row>
    <row r="1221" spans="1:9">
      <c r="A1221" s="75">
        <v>665</v>
      </c>
      <c r="B1221" s="75">
        <v>7</v>
      </c>
      <c r="C1221" s="75">
        <v>672</v>
      </c>
      <c r="D1221" s="76">
        <v>43356.781655092593</v>
      </c>
      <c r="E1221" s="77">
        <v>43344</v>
      </c>
      <c r="F1221" s="78">
        <v>0.78165509259259258</v>
      </c>
      <c r="G1221" s="75">
        <v>2</v>
      </c>
      <c r="H1221" s="75">
        <v>45</v>
      </c>
      <c r="I1221" s="75">
        <v>35</v>
      </c>
    </row>
    <row r="1222" spans="1:9">
      <c r="A1222" s="75">
        <v>581</v>
      </c>
      <c r="B1222" s="75">
        <v>4</v>
      </c>
      <c r="C1222" s="75">
        <v>585</v>
      </c>
      <c r="D1222" s="76">
        <v>43356.792071759257</v>
      </c>
      <c r="E1222" s="77">
        <v>43344</v>
      </c>
      <c r="F1222" s="78">
        <v>0.79207175925925932</v>
      </c>
      <c r="G1222" s="75">
        <v>2</v>
      </c>
      <c r="H1222" s="75">
        <v>0</v>
      </c>
      <c r="I1222" s="75">
        <v>35</v>
      </c>
    </row>
    <row r="1223" spans="1:9">
      <c r="A1223" s="75">
        <v>748</v>
      </c>
      <c r="B1223" s="75">
        <v>9</v>
      </c>
      <c r="C1223" s="75">
        <v>757</v>
      </c>
      <c r="D1223" s="76">
        <v>43356.802476851852</v>
      </c>
      <c r="E1223" s="77">
        <v>43344</v>
      </c>
      <c r="F1223" s="78">
        <v>0.8024768518518518</v>
      </c>
      <c r="G1223" s="75">
        <v>2</v>
      </c>
      <c r="H1223" s="75">
        <v>15</v>
      </c>
      <c r="I1223" s="75">
        <v>34</v>
      </c>
    </row>
    <row r="1224" spans="1:9">
      <c r="A1224" s="75">
        <v>749</v>
      </c>
      <c r="B1224" s="75">
        <v>7</v>
      </c>
      <c r="C1224" s="75">
        <v>756</v>
      </c>
      <c r="D1224" s="76">
        <v>43356.812905092593</v>
      </c>
      <c r="E1224" s="77">
        <v>43344</v>
      </c>
      <c r="F1224" s="78">
        <v>0.81290509259259258</v>
      </c>
      <c r="G1224" s="75">
        <v>2</v>
      </c>
      <c r="H1224" s="75">
        <v>30</v>
      </c>
      <c r="I1224" s="75">
        <v>35</v>
      </c>
    </row>
    <row r="1225" spans="1:9">
      <c r="A1225" s="75">
        <v>831</v>
      </c>
      <c r="B1225" s="75">
        <v>9</v>
      </c>
      <c r="C1225" s="75">
        <v>840</v>
      </c>
      <c r="D1225" s="76">
        <v>43356.823321759257</v>
      </c>
      <c r="E1225" s="77">
        <v>43344</v>
      </c>
      <c r="F1225" s="78">
        <v>0.82332175925925932</v>
      </c>
      <c r="G1225" s="75">
        <v>2</v>
      </c>
      <c r="H1225" s="75">
        <v>45</v>
      </c>
      <c r="I1225" s="75">
        <v>35</v>
      </c>
    </row>
    <row r="1226" spans="1:9">
      <c r="A1226" s="75">
        <v>784</v>
      </c>
      <c r="B1226" s="75">
        <v>9</v>
      </c>
      <c r="C1226" s="75">
        <v>793</v>
      </c>
      <c r="D1226" s="76">
        <v>43356.833738425928</v>
      </c>
      <c r="E1226" s="77">
        <v>43344</v>
      </c>
      <c r="F1226" s="78">
        <v>0.83373842592592595</v>
      </c>
      <c r="G1226" s="75">
        <v>2</v>
      </c>
      <c r="H1226" s="75">
        <v>0</v>
      </c>
      <c r="I1226" s="75">
        <v>35</v>
      </c>
    </row>
    <row r="1227" spans="1:9">
      <c r="A1227" s="75">
        <v>1046</v>
      </c>
      <c r="B1227" s="75">
        <v>12</v>
      </c>
      <c r="C1227" s="75">
        <v>1058</v>
      </c>
      <c r="D1227" s="76">
        <v>43356.844155092593</v>
      </c>
      <c r="E1227" s="77">
        <v>43344</v>
      </c>
      <c r="F1227" s="78">
        <v>0.84415509259259258</v>
      </c>
      <c r="G1227" s="75">
        <v>2</v>
      </c>
      <c r="H1227" s="75">
        <v>15</v>
      </c>
      <c r="I1227" s="75">
        <v>35</v>
      </c>
    </row>
    <row r="1228" spans="1:9">
      <c r="A1228" s="75">
        <v>1031</v>
      </c>
      <c r="B1228" s="75">
        <v>14</v>
      </c>
      <c r="C1228" s="75">
        <v>1045</v>
      </c>
      <c r="D1228" s="76">
        <v>43356.854560185187</v>
      </c>
      <c r="E1228" s="77">
        <v>43344</v>
      </c>
      <c r="F1228" s="78">
        <v>0.85456018518518517</v>
      </c>
      <c r="G1228" s="75">
        <v>2</v>
      </c>
      <c r="H1228" s="75">
        <v>30</v>
      </c>
      <c r="I1228" s="75">
        <v>34</v>
      </c>
    </row>
    <row r="1229" spans="1:9">
      <c r="A1229" s="75">
        <v>997</v>
      </c>
      <c r="B1229" s="75">
        <v>15</v>
      </c>
      <c r="C1229" s="75">
        <v>1012</v>
      </c>
      <c r="D1229" s="76">
        <v>43356.864976851852</v>
      </c>
      <c r="E1229" s="77">
        <v>43344</v>
      </c>
      <c r="F1229" s="78">
        <v>0.8649768518518518</v>
      </c>
      <c r="G1229" s="75">
        <v>2</v>
      </c>
      <c r="H1229" s="75">
        <v>45</v>
      </c>
      <c r="I1229" s="75">
        <v>34</v>
      </c>
    </row>
    <row r="1230" spans="1:9">
      <c r="A1230" s="75">
        <v>885</v>
      </c>
      <c r="B1230" s="75">
        <v>9</v>
      </c>
      <c r="C1230" s="75">
        <v>894</v>
      </c>
      <c r="D1230" s="76">
        <v>43356.875405092593</v>
      </c>
      <c r="E1230" s="77">
        <v>43344</v>
      </c>
      <c r="F1230" s="78">
        <v>0.87540509259259258</v>
      </c>
      <c r="G1230" s="75">
        <v>2</v>
      </c>
      <c r="H1230" s="75">
        <v>0</v>
      </c>
      <c r="I1230" s="75">
        <v>35</v>
      </c>
    </row>
    <row r="1231" spans="1:9">
      <c r="A1231" s="75">
        <v>903</v>
      </c>
      <c r="B1231" s="75">
        <v>20</v>
      </c>
      <c r="C1231" s="75">
        <v>923</v>
      </c>
      <c r="D1231" s="76">
        <v>43356.885821759257</v>
      </c>
      <c r="E1231" s="77">
        <v>43344</v>
      </c>
      <c r="F1231" s="78">
        <v>0.88582175925925932</v>
      </c>
      <c r="G1231" s="75">
        <v>2</v>
      </c>
      <c r="H1231" s="75">
        <v>15</v>
      </c>
      <c r="I1231" s="75">
        <v>35</v>
      </c>
    </row>
    <row r="1232" spans="1:9">
      <c r="A1232" s="75">
        <v>857</v>
      </c>
      <c r="B1232" s="75">
        <v>15</v>
      </c>
      <c r="C1232" s="75">
        <v>872</v>
      </c>
      <c r="D1232" s="76">
        <v>43356.896226851852</v>
      </c>
      <c r="E1232" s="77">
        <v>43344</v>
      </c>
      <c r="F1232" s="78">
        <v>0.8962268518518518</v>
      </c>
      <c r="G1232" s="75">
        <v>2</v>
      </c>
      <c r="H1232" s="75">
        <v>30</v>
      </c>
      <c r="I1232" s="75">
        <v>34</v>
      </c>
    </row>
    <row r="1233" spans="1:9">
      <c r="A1233" s="75">
        <v>879</v>
      </c>
      <c r="B1233" s="75">
        <v>5</v>
      </c>
      <c r="C1233" s="75">
        <v>884</v>
      </c>
      <c r="D1233" s="76">
        <v>43356.906643518516</v>
      </c>
      <c r="E1233" s="77">
        <v>43344</v>
      </c>
      <c r="F1233" s="78">
        <v>0.90664351851851854</v>
      </c>
      <c r="G1233" s="75">
        <v>2</v>
      </c>
      <c r="H1233" s="75">
        <v>45</v>
      </c>
      <c r="I1233" s="75">
        <v>34</v>
      </c>
    </row>
    <row r="1234" spans="1:9">
      <c r="A1234" s="75">
        <v>723</v>
      </c>
      <c r="B1234" s="75">
        <v>7</v>
      </c>
      <c r="C1234" s="75">
        <v>730</v>
      </c>
      <c r="D1234" s="76">
        <v>43356.917071759257</v>
      </c>
      <c r="E1234" s="77">
        <v>43344</v>
      </c>
      <c r="F1234" s="78">
        <v>0.91707175925925932</v>
      </c>
      <c r="G1234" s="75">
        <v>2</v>
      </c>
      <c r="H1234" s="75">
        <v>0</v>
      </c>
      <c r="I1234" s="75">
        <v>35</v>
      </c>
    </row>
    <row r="1235" spans="1:9">
      <c r="A1235" s="75">
        <v>779</v>
      </c>
      <c r="B1235" s="75">
        <v>5</v>
      </c>
      <c r="C1235" s="75">
        <v>784</v>
      </c>
      <c r="D1235" s="76">
        <v>43356.927476851852</v>
      </c>
      <c r="E1235" s="77">
        <v>43344</v>
      </c>
      <c r="F1235" s="78">
        <v>0.9274768518518518</v>
      </c>
      <c r="G1235" s="75">
        <v>2</v>
      </c>
      <c r="H1235" s="75">
        <v>15</v>
      </c>
      <c r="I1235" s="75">
        <v>34</v>
      </c>
    </row>
    <row r="1236" spans="1:9">
      <c r="A1236" s="75">
        <v>724</v>
      </c>
      <c r="B1236" s="75">
        <v>3</v>
      </c>
      <c r="C1236" s="75">
        <v>727</v>
      </c>
      <c r="D1236" s="76">
        <v>43356.937905092593</v>
      </c>
      <c r="E1236" s="77">
        <v>43344</v>
      </c>
      <c r="F1236" s="78">
        <v>0.93790509259259258</v>
      </c>
      <c r="G1236" s="75">
        <v>2</v>
      </c>
      <c r="H1236" s="75">
        <v>30</v>
      </c>
      <c r="I1236" s="75">
        <v>35</v>
      </c>
    </row>
    <row r="1237" spans="1:9">
      <c r="A1237" s="75">
        <v>710</v>
      </c>
      <c r="B1237" s="75">
        <v>8</v>
      </c>
      <c r="C1237" s="75">
        <v>718</v>
      </c>
      <c r="D1237" s="76">
        <v>43356.948310185187</v>
      </c>
      <c r="E1237" s="77">
        <v>43344</v>
      </c>
      <c r="F1237" s="78">
        <v>0.94831018518518517</v>
      </c>
      <c r="G1237" s="75">
        <v>2</v>
      </c>
      <c r="H1237" s="75">
        <v>45</v>
      </c>
      <c r="I1237" s="75">
        <v>34</v>
      </c>
    </row>
    <row r="1238" spans="1:9">
      <c r="A1238" s="75">
        <v>641</v>
      </c>
      <c r="B1238" s="75">
        <v>4</v>
      </c>
      <c r="C1238" s="75">
        <v>642</v>
      </c>
      <c r="D1238" s="76">
        <v>43356.958749999998</v>
      </c>
      <c r="E1238" s="77">
        <v>43344</v>
      </c>
      <c r="F1238" s="78">
        <v>0.9587500000000001</v>
      </c>
      <c r="G1238" s="75">
        <v>2</v>
      </c>
      <c r="H1238" s="75">
        <v>0</v>
      </c>
      <c r="I1238" s="75">
        <v>36</v>
      </c>
    </row>
    <row r="1239" spans="1:9">
      <c r="A1239" s="75">
        <v>588</v>
      </c>
      <c r="B1239" s="75">
        <v>5</v>
      </c>
      <c r="C1239" s="75">
        <v>593</v>
      </c>
      <c r="D1239" s="76">
        <v>43356.969155092593</v>
      </c>
      <c r="E1239" s="77">
        <v>43344</v>
      </c>
      <c r="F1239" s="78">
        <v>0.96915509259259258</v>
      </c>
      <c r="G1239" s="75">
        <v>2</v>
      </c>
      <c r="H1239" s="75">
        <v>15</v>
      </c>
      <c r="I1239" s="75">
        <v>35</v>
      </c>
    </row>
    <row r="1240" spans="1:9">
      <c r="A1240" s="75">
        <v>531</v>
      </c>
      <c r="B1240" s="75">
        <v>2</v>
      </c>
      <c r="C1240" s="75">
        <v>533</v>
      </c>
      <c r="D1240" s="76">
        <v>43356.979571759257</v>
      </c>
      <c r="E1240" s="77">
        <v>43344</v>
      </c>
      <c r="F1240" s="78">
        <v>0.97957175925925932</v>
      </c>
      <c r="G1240" s="75">
        <v>2</v>
      </c>
      <c r="H1240" s="75">
        <v>30</v>
      </c>
      <c r="I1240" s="75">
        <v>35</v>
      </c>
    </row>
    <row r="1241" spans="1:9">
      <c r="A1241" s="75">
        <v>477</v>
      </c>
      <c r="B1241" s="75">
        <v>3</v>
      </c>
      <c r="C1241" s="75">
        <v>480</v>
      </c>
      <c r="D1241" s="76">
        <v>43356.989976851852</v>
      </c>
      <c r="E1241" s="77">
        <v>43344</v>
      </c>
      <c r="F1241" s="78">
        <v>0.9899768518518518</v>
      </c>
      <c r="G1241" s="75">
        <v>2</v>
      </c>
      <c r="H1241" s="75">
        <v>45</v>
      </c>
      <c r="I1241" s="75">
        <v>34</v>
      </c>
    </row>
    <row r="1242" spans="1:9">
      <c r="A1242" s="75">
        <v>413</v>
      </c>
      <c r="B1242" s="75">
        <v>2</v>
      </c>
      <c r="C1242" s="75">
        <v>415</v>
      </c>
      <c r="D1242" s="76">
        <v>43357.000405092593</v>
      </c>
      <c r="E1242" s="77">
        <v>43344</v>
      </c>
      <c r="F1242" s="78">
        <v>4.0509259259259258E-4</v>
      </c>
      <c r="G1242" s="75">
        <v>2</v>
      </c>
      <c r="H1242" s="75">
        <v>0</v>
      </c>
      <c r="I1242" s="75">
        <v>35</v>
      </c>
    </row>
    <row r="1243" spans="1:9">
      <c r="A1243" s="75">
        <v>443</v>
      </c>
      <c r="B1243" s="75">
        <v>2</v>
      </c>
      <c r="C1243" s="75">
        <v>445</v>
      </c>
      <c r="D1243" s="76">
        <v>43357.010810185187</v>
      </c>
      <c r="E1243" s="77">
        <v>43344</v>
      </c>
      <c r="F1243" s="78">
        <v>1.0810185185185185E-2</v>
      </c>
      <c r="G1243" s="75">
        <v>2</v>
      </c>
      <c r="H1243" s="75">
        <v>15</v>
      </c>
      <c r="I1243" s="75">
        <v>34</v>
      </c>
    </row>
    <row r="1244" spans="1:9">
      <c r="A1244" s="75">
        <v>375</v>
      </c>
      <c r="B1244" s="75">
        <v>3</v>
      </c>
      <c r="C1244" s="75">
        <v>378</v>
      </c>
      <c r="D1244" s="76">
        <v>43357.021238425928</v>
      </c>
      <c r="E1244" s="77">
        <v>43344</v>
      </c>
      <c r="F1244" s="78">
        <v>2.1238425925925924E-2</v>
      </c>
      <c r="G1244" s="75">
        <v>2</v>
      </c>
      <c r="H1244" s="75">
        <v>30</v>
      </c>
      <c r="I1244" s="75">
        <v>35</v>
      </c>
    </row>
    <row r="1245" spans="1:9">
      <c r="A1245" s="75">
        <v>335</v>
      </c>
      <c r="B1245" s="75">
        <v>4</v>
      </c>
      <c r="C1245" s="75">
        <v>339</v>
      </c>
      <c r="D1245" s="76">
        <v>43357.031643518516</v>
      </c>
      <c r="E1245" s="77">
        <v>43344</v>
      </c>
      <c r="F1245" s="78">
        <v>3.1643518518518522E-2</v>
      </c>
      <c r="G1245" s="75">
        <v>2</v>
      </c>
      <c r="H1245" s="75">
        <v>45</v>
      </c>
      <c r="I1245" s="75">
        <v>34</v>
      </c>
    </row>
    <row r="1246" spans="1:9">
      <c r="A1246" s="75">
        <v>305</v>
      </c>
      <c r="B1246" s="75">
        <v>4</v>
      </c>
      <c r="C1246" s="75">
        <v>309</v>
      </c>
      <c r="D1246" s="76">
        <v>43357.042060185187</v>
      </c>
      <c r="E1246" s="77">
        <v>43344</v>
      </c>
      <c r="F1246" s="78">
        <v>4.206018518518518E-2</v>
      </c>
      <c r="G1246" s="75">
        <v>2</v>
      </c>
      <c r="H1246" s="75">
        <v>0</v>
      </c>
      <c r="I1246" s="75">
        <v>34</v>
      </c>
    </row>
    <row r="1247" spans="1:9">
      <c r="A1247" s="75">
        <v>319</v>
      </c>
      <c r="B1247" s="75">
        <v>3</v>
      </c>
      <c r="C1247" s="75">
        <v>322</v>
      </c>
      <c r="D1247" s="76">
        <v>43357.05265046296</v>
      </c>
      <c r="E1247" s="77">
        <v>43344</v>
      </c>
      <c r="F1247" s="78">
        <v>5.2650462962962961E-2</v>
      </c>
      <c r="G1247" s="75">
        <v>2</v>
      </c>
      <c r="H1247" s="75">
        <v>15</v>
      </c>
      <c r="I1247" s="75">
        <v>49</v>
      </c>
    </row>
    <row r="1248" spans="1:9">
      <c r="A1248" s="75">
        <v>312</v>
      </c>
      <c r="B1248" s="75">
        <v>2</v>
      </c>
      <c r="C1248" s="75">
        <v>314</v>
      </c>
      <c r="D1248" s="76">
        <v>43357.062905092593</v>
      </c>
      <c r="E1248" s="77">
        <v>43344</v>
      </c>
      <c r="F1248" s="78">
        <v>6.2905092592592596E-2</v>
      </c>
      <c r="G1248" s="75">
        <v>2</v>
      </c>
      <c r="H1248" s="75">
        <v>30</v>
      </c>
      <c r="I1248" s="75">
        <v>35</v>
      </c>
    </row>
    <row r="1249" spans="1:9">
      <c r="A1249" s="75">
        <v>303</v>
      </c>
      <c r="B1249" s="75">
        <v>4</v>
      </c>
      <c r="C1249" s="75">
        <v>307</v>
      </c>
      <c r="D1249" s="76">
        <v>43357.073333333334</v>
      </c>
      <c r="E1249" s="77">
        <v>43344</v>
      </c>
      <c r="F1249" s="78">
        <v>7.3333333333333334E-2</v>
      </c>
      <c r="G1249" s="75">
        <v>2</v>
      </c>
      <c r="H1249" s="75">
        <v>45</v>
      </c>
      <c r="I1249" s="75">
        <v>36</v>
      </c>
    </row>
    <row r="1250" spans="1:9">
      <c r="A1250" s="75">
        <v>261</v>
      </c>
      <c r="B1250" s="75">
        <v>1</v>
      </c>
      <c r="C1250" s="75">
        <v>262</v>
      </c>
      <c r="D1250" s="76">
        <v>43357.083749999998</v>
      </c>
      <c r="E1250" s="77">
        <v>43344</v>
      </c>
      <c r="F1250" s="78">
        <v>8.3749999999999991E-2</v>
      </c>
      <c r="G1250" s="75">
        <v>2</v>
      </c>
      <c r="H1250" s="75">
        <v>0</v>
      </c>
      <c r="I1250" s="75">
        <v>36</v>
      </c>
    </row>
    <row r="1251" spans="1:9">
      <c r="A1251" s="75">
        <v>274</v>
      </c>
      <c r="B1251" s="75">
        <v>7</v>
      </c>
      <c r="C1251" s="75">
        <v>281</v>
      </c>
      <c r="D1251" s="76">
        <v>43357.094155092593</v>
      </c>
      <c r="E1251" s="77">
        <v>43344</v>
      </c>
      <c r="F1251" s="78">
        <v>9.4155092592592596E-2</v>
      </c>
      <c r="G1251" s="75">
        <v>2</v>
      </c>
      <c r="H1251" s="75">
        <v>15</v>
      </c>
      <c r="I1251" s="75">
        <v>35</v>
      </c>
    </row>
    <row r="1252" spans="1:9">
      <c r="A1252" s="75">
        <v>261</v>
      </c>
      <c r="B1252" s="75">
        <v>7</v>
      </c>
      <c r="C1252" s="75">
        <v>268</v>
      </c>
      <c r="D1252" s="76">
        <v>43357.104560185187</v>
      </c>
      <c r="E1252" s="77">
        <v>43344</v>
      </c>
      <c r="F1252" s="78">
        <v>0.10456018518518519</v>
      </c>
      <c r="G1252" s="75">
        <v>2</v>
      </c>
      <c r="H1252" s="75">
        <v>30</v>
      </c>
      <c r="I1252" s="75">
        <v>34</v>
      </c>
    </row>
    <row r="1253" spans="1:9">
      <c r="A1253" s="75">
        <v>227</v>
      </c>
      <c r="B1253" s="75">
        <v>6</v>
      </c>
      <c r="C1253" s="75">
        <v>233</v>
      </c>
      <c r="D1253" s="76">
        <v>43357.114965277775</v>
      </c>
      <c r="E1253" s="77">
        <v>43344</v>
      </c>
      <c r="F1253" s="78">
        <v>0.11496527777777778</v>
      </c>
      <c r="G1253" s="75">
        <v>2</v>
      </c>
      <c r="H1253" s="75">
        <v>45</v>
      </c>
      <c r="I1253" s="75">
        <v>33</v>
      </c>
    </row>
    <row r="1254" spans="1:9">
      <c r="A1254" s="75">
        <v>160</v>
      </c>
      <c r="B1254" s="75">
        <v>1</v>
      </c>
      <c r="C1254" s="75">
        <v>161</v>
      </c>
      <c r="D1254" s="76">
        <v>43357.125405092593</v>
      </c>
      <c r="E1254" s="77">
        <v>43344</v>
      </c>
      <c r="F1254" s="78">
        <v>0.12540509259259261</v>
      </c>
      <c r="G1254" s="75">
        <v>2</v>
      </c>
      <c r="H1254" s="75">
        <v>0</v>
      </c>
      <c r="I1254" s="75">
        <v>35</v>
      </c>
    </row>
    <row r="1255" spans="1:9">
      <c r="A1255" s="75">
        <v>170</v>
      </c>
      <c r="B1255" s="75">
        <v>1</v>
      </c>
      <c r="C1255" s="75">
        <v>171</v>
      </c>
      <c r="D1255" s="76">
        <v>43357.135810185187</v>
      </c>
      <c r="E1255" s="77">
        <v>43344</v>
      </c>
      <c r="F1255" s="78">
        <v>0.1358101851851852</v>
      </c>
      <c r="G1255" s="75">
        <v>2</v>
      </c>
      <c r="H1255" s="75">
        <v>15</v>
      </c>
      <c r="I1255" s="75">
        <v>34</v>
      </c>
    </row>
    <row r="1256" spans="1:9">
      <c r="A1256" s="75">
        <v>123</v>
      </c>
      <c r="B1256" s="75">
        <v>1</v>
      </c>
      <c r="C1256" s="75">
        <v>124</v>
      </c>
      <c r="D1256" s="76">
        <v>43357.146226851852</v>
      </c>
      <c r="E1256" s="77">
        <v>43344</v>
      </c>
      <c r="F1256" s="78">
        <v>0.14622685185185186</v>
      </c>
      <c r="G1256" s="75">
        <v>2</v>
      </c>
      <c r="H1256" s="75">
        <v>30</v>
      </c>
      <c r="I1256" s="75">
        <v>34</v>
      </c>
    </row>
    <row r="1257" spans="1:9">
      <c r="A1257" s="75">
        <v>129</v>
      </c>
      <c r="B1257" s="75">
        <v>0</v>
      </c>
      <c r="C1257" s="75">
        <v>129</v>
      </c>
      <c r="D1257" s="76">
        <v>43357.156643518516</v>
      </c>
      <c r="E1257" s="77">
        <v>43344</v>
      </c>
      <c r="F1257" s="78">
        <v>0.15664351851851852</v>
      </c>
      <c r="G1257" s="75">
        <v>2</v>
      </c>
      <c r="H1257" s="75">
        <v>45</v>
      </c>
      <c r="I1257" s="75">
        <v>34</v>
      </c>
    </row>
    <row r="1258" spans="1:9">
      <c r="A1258" s="75">
        <v>126</v>
      </c>
      <c r="B1258" s="75">
        <v>1</v>
      </c>
      <c r="C1258" s="75">
        <v>127</v>
      </c>
      <c r="D1258" s="76">
        <v>43357.167071759257</v>
      </c>
      <c r="E1258" s="77">
        <v>43344</v>
      </c>
      <c r="F1258" s="78">
        <v>0.16707175925925924</v>
      </c>
      <c r="G1258" s="75">
        <v>2</v>
      </c>
      <c r="H1258" s="75">
        <v>0</v>
      </c>
      <c r="I1258" s="75">
        <v>35</v>
      </c>
    </row>
    <row r="1259" spans="1:9">
      <c r="A1259" s="75">
        <v>97</v>
      </c>
      <c r="B1259" s="75">
        <v>0</v>
      </c>
      <c r="C1259" s="75">
        <v>97</v>
      </c>
      <c r="D1259" s="76">
        <v>43357.177476851852</v>
      </c>
      <c r="E1259" s="77">
        <v>43344</v>
      </c>
      <c r="F1259" s="78">
        <v>0.17747685185185183</v>
      </c>
      <c r="G1259" s="75">
        <v>2</v>
      </c>
      <c r="H1259" s="75">
        <v>15</v>
      </c>
      <c r="I1259" s="75">
        <v>34</v>
      </c>
    </row>
    <row r="1260" spans="1:9">
      <c r="A1260" s="75">
        <v>77</v>
      </c>
      <c r="B1260" s="75">
        <v>0</v>
      </c>
      <c r="C1260" s="75">
        <v>77</v>
      </c>
      <c r="D1260" s="76">
        <v>43357.187893518516</v>
      </c>
      <c r="E1260" s="77">
        <v>43344</v>
      </c>
      <c r="F1260" s="78">
        <v>0.18789351851851852</v>
      </c>
      <c r="G1260" s="75">
        <v>2</v>
      </c>
      <c r="H1260" s="75">
        <v>30</v>
      </c>
      <c r="I1260" s="75">
        <v>34</v>
      </c>
    </row>
    <row r="1261" spans="1:9">
      <c r="A1261" s="75">
        <v>63</v>
      </c>
      <c r="B1261" s="75">
        <v>0</v>
      </c>
      <c r="C1261" s="75">
        <v>63</v>
      </c>
      <c r="D1261" s="76">
        <v>43357.198310185187</v>
      </c>
      <c r="E1261" s="77">
        <v>43344</v>
      </c>
      <c r="F1261" s="78">
        <v>0.19831018518518517</v>
      </c>
      <c r="G1261" s="75">
        <v>2</v>
      </c>
      <c r="H1261" s="75">
        <v>45</v>
      </c>
      <c r="I1261" s="75">
        <v>34</v>
      </c>
    </row>
    <row r="1262" spans="1:9">
      <c r="A1262" s="75">
        <v>69</v>
      </c>
      <c r="B1262" s="75">
        <v>0</v>
      </c>
      <c r="C1262" s="75">
        <v>69</v>
      </c>
      <c r="D1262" s="76">
        <v>43357.208726851852</v>
      </c>
      <c r="E1262" s="77">
        <v>43344</v>
      </c>
      <c r="F1262" s="78">
        <v>0.20872685185185183</v>
      </c>
      <c r="G1262" s="75">
        <v>2</v>
      </c>
      <c r="H1262" s="75">
        <v>0</v>
      </c>
      <c r="I1262" s="75">
        <v>34</v>
      </c>
    </row>
    <row r="1263" spans="1:9">
      <c r="A1263" s="75">
        <v>41</v>
      </c>
      <c r="B1263" s="75">
        <v>0</v>
      </c>
      <c r="C1263" s="75">
        <v>41</v>
      </c>
      <c r="D1263" s="76">
        <v>43357.219143518516</v>
      </c>
      <c r="E1263" s="77">
        <v>43344</v>
      </c>
      <c r="F1263" s="78">
        <v>0.21914351851851852</v>
      </c>
      <c r="G1263" s="75">
        <v>2</v>
      </c>
      <c r="H1263" s="75">
        <v>15</v>
      </c>
      <c r="I1263" s="75">
        <v>34</v>
      </c>
    </row>
    <row r="1264" spans="1:9">
      <c r="A1264" s="75">
        <v>32</v>
      </c>
      <c r="B1264" s="75">
        <v>0</v>
      </c>
      <c r="C1264" s="75">
        <v>32</v>
      </c>
      <c r="D1264" s="76">
        <v>43357.229560185187</v>
      </c>
      <c r="E1264" s="77">
        <v>43344</v>
      </c>
      <c r="F1264" s="78">
        <v>0.22956018518518517</v>
      </c>
      <c r="G1264" s="75">
        <v>2</v>
      </c>
      <c r="H1264" s="75">
        <v>30</v>
      </c>
      <c r="I1264" s="75">
        <v>34</v>
      </c>
    </row>
    <row r="1265" spans="1:9">
      <c r="A1265" s="75">
        <v>30</v>
      </c>
      <c r="B1265" s="75">
        <v>0</v>
      </c>
      <c r="C1265" s="75">
        <v>29</v>
      </c>
      <c r="D1265" s="76">
        <v>43357.239976851852</v>
      </c>
      <c r="E1265" s="77">
        <v>43344</v>
      </c>
      <c r="F1265" s="78">
        <v>0.23997685185185183</v>
      </c>
      <c r="G1265" s="75">
        <v>2</v>
      </c>
      <c r="H1265" s="75">
        <v>45</v>
      </c>
      <c r="I1265" s="75">
        <v>34</v>
      </c>
    </row>
    <row r="1266" spans="1:9">
      <c r="A1266" s="75">
        <v>27</v>
      </c>
      <c r="B1266" s="75">
        <v>0</v>
      </c>
      <c r="C1266" s="75">
        <v>26</v>
      </c>
      <c r="D1266" s="76">
        <v>43357.250393518516</v>
      </c>
      <c r="E1266" s="77">
        <v>43344</v>
      </c>
      <c r="F1266" s="78">
        <v>0.25039351851851849</v>
      </c>
      <c r="G1266" s="75">
        <v>2</v>
      </c>
      <c r="H1266" s="75">
        <v>0</v>
      </c>
      <c r="I1266" s="75">
        <v>34</v>
      </c>
    </row>
    <row r="1267" spans="1:9">
      <c r="A1267" s="75">
        <v>25</v>
      </c>
      <c r="B1267" s="75">
        <v>0</v>
      </c>
      <c r="C1267" s="75">
        <v>24</v>
      </c>
      <c r="D1267" s="76">
        <v>43357.260798611111</v>
      </c>
      <c r="E1267" s="77">
        <v>43344</v>
      </c>
      <c r="F1267" s="78">
        <v>0.26079861111111108</v>
      </c>
      <c r="G1267" s="75">
        <v>2</v>
      </c>
      <c r="H1267" s="75">
        <v>15</v>
      </c>
      <c r="I1267" s="75">
        <v>33</v>
      </c>
    </row>
    <row r="1268" spans="1:9">
      <c r="A1268" s="75">
        <v>20</v>
      </c>
      <c r="B1268" s="75">
        <v>0</v>
      </c>
      <c r="C1268" s="75">
        <v>19</v>
      </c>
      <c r="D1268" s="76">
        <v>43357.273969907408</v>
      </c>
      <c r="E1268" s="77">
        <v>43344</v>
      </c>
      <c r="F1268" s="78">
        <v>0.2739699074074074</v>
      </c>
      <c r="G1268" s="75">
        <v>2</v>
      </c>
      <c r="H1268" s="75">
        <v>34</v>
      </c>
      <c r="I1268" s="75">
        <v>31</v>
      </c>
    </row>
    <row r="1269" spans="1:9">
      <c r="A1269" s="75">
        <v>20</v>
      </c>
      <c r="B1269" s="75">
        <v>0</v>
      </c>
      <c r="C1269" s="75">
        <v>19</v>
      </c>
      <c r="D1269" s="76">
        <v>43357.281643518516</v>
      </c>
      <c r="E1269" s="77">
        <v>43344</v>
      </c>
      <c r="F1269" s="78">
        <v>0.28164351851851849</v>
      </c>
      <c r="G1269" s="75">
        <v>2</v>
      </c>
      <c r="H1269" s="75">
        <v>45</v>
      </c>
      <c r="I1269" s="75">
        <v>34</v>
      </c>
    </row>
    <row r="1270" spans="1:9">
      <c r="A1270" s="75">
        <v>27</v>
      </c>
      <c r="B1270" s="75">
        <v>0</v>
      </c>
      <c r="C1270" s="75">
        <v>26</v>
      </c>
      <c r="D1270" s="76">
        <v>43357.292060185187</v>
      </c>
      <c r="E1270" s="77">
        <v>43344</v>
      </c>
      <c r="F1270" s="78">
        <v>0.29206018518518517</v>
      </c>
      <c r="G1270" s="75">
        <v>2</v>
      </c>
      <c r="H1270" s="75">
        <v>0</v>
      </c>
      <c r="I1270" s="75">
        <v>34</v>
      </c>
    </row>
    <row r="1271" spans="1:9">
      <c r="A1271" s="75">
        <v>65</v>
      </c>
      <c r="B1271" s="75">
        <v>0</v>
      </c>
      <c r="C1271" s="75">
        <v>64</v>
      </c>
      <c r="D1271" s="76">
        <v>43357.302488425928</v>
      </c>
      <c r="E1271" s="77">
        <v>43344</v>
      </c>
      <c r="F1271" s="78">
        <v>0.3024884259259259</v>
      </c>
      <c r="G1271" s="75">
        <v>2</v>
      </c>
      <c r="H1271" s="75">
        <v>15</v>
      </c>
      <c r="I1271" s="75">
        <v>35</v>
      </c>
    </row>
    <row r="1272" spans="1:9">
      <c r="A1272" s="75">
        <v>51</v>
      </c>
      <c r="B1272" s="75">
        <v>0</v>
      </c>
      <c r="C1272" s="75">
        <v>50</v>
      </c>
      <c r="D1272" s="76">
        <v>43357.312916666669</v>
      </c>
      <c r="E1272" s="77">
        <v>43344</v>
      </c>
      <c r="F1272" s="78">
        <v>0.31291666666666668</v>
      </c>
      <c r="G1272" s="75">
        <v>2</v>
      </c>
      <c r="H1272" s="75">
        <v>30</v>
      </c>
      <c r="I1272" s="75">
        <v>36</v>
      </c>
    </row>
    <row r="1273" spans="1:9">
      <c r="A1273" s="75">
        <v>68</v>
      </c>
      <c r="B1273" s="75">
        <v>0</v>
      </c>
      <c r="C1273" s="75">
        <v>67</v>
      </c>
      <c r="D1273" s="76">
        <v>43357.323321759257</v>
      </c>
      <c r="E1273" s="77">
        <v>43344</v>
      </c>
      <c r="F1273" s="78">
        <v>0.32332175925925927</v>
      </c>
      <c r="G1273" s="75">
        <v>2</v>
      </c>
      <c r="H1273" s="75">
        <v>45</v>
      </c>
      <c r="I1273" s="75">
        <v>35</v>
      </c>
    </row>
    <row r="1274" spans="1:9">
      <c r="A1274" s="75">
        <v>56</v>
      </c>
      <c r="B1274" s="75">
        <v>0</v>
      </c>
      <c r="C1274" s="75">
        <v>56</v>
      </c>
      <c r="D1274" s="76">
        <v>43357.333738425928</v>
      </c>
      <c r="E1274" s="77">
        <v>43344</v>
      </c>
      <c r="F1274" s="78">
        <v>0.33373842592592595</v>
      </c>
      <c r="G1274" s="75">
        <v>2</v>
      </c>
      <c r="H1274" s="75">
        <v>0</v>
      </c>
      <c r="I1274" s="75">
        <v>35</v>
      </c>
    </row>
    <row r="1275" spans="1:9">
      <c r="A1275" s="75">
        <v>78</v>
      </c>
      <c r="B1275" s="75">
        <v>0</v>
      </c>
      <c r="C1275" s="75">
        <v>68</v>
      </c>
      <c r="D1275" s="76">
        <v>43357.344155092593</v>
      </c>
      <c r="E1275" s="77">
        <v>43344</v>
      </c>
      <c r="F1275" s="78">
        <v>0.34415509259259264</v>
      </c>
      <c r="G1275" s="75">
        <v>2</v>
      </c>
      <c r="H1275" s="75">
        <v>15</v>
      </c>
      <c r="I1275" s="75">
        <v>35</v>
      </c>
    </row>
    <row r="1276" spans="1:9">
      <c r="A1276" s="75">
        <v>116</v>
      </c>
      <c r="B1276" s="75">
        <v>0</v>
      </c>
      <c r="C1276" s="75">
        <v>115</v>
      </c>
      <c r="D1276" s="76">
        <v>43357.354583333334</v>
      </c>
      <c r="E1276" s="77">
        <v>43344</v>
      </c>
      <c r="F1276" s="78">
        <v>0.35458333333333331</v>
      </c>
      <c r="G1276" s="75">
        <v>2</v>
      </c>
      <c r="H1276" s="75">
        <v>30</v>
      </c>
      <c r="I1276" s="75">
        <v>36</v>
      </c>
    </row>
    <row r="1277" spans="1:9">
      <c r="A1277" s="75">
        <v>185</v>
      </c>
      <c r="B1277" s="75">
        <v>0</v>
      </c>
      <c r="C1277" s="75">
        <v>184</v>
      </c>
      <c r="D1277" s="76">
        <v>43357.364988425928</v>
      </c>
      <c r="E1277" s="77">
        <v>43344</v>
      </c>
      <c r="F1277" s="78">
        <v>0.36498842592592595</v>
      </c>
      <c r="G1277" s="75">
        <v>2</v>
      </c>
      <c r="H1277" s="75">
        <v>45</v>
      </c>
      <c r="I1277" s="75">
        <v>35</v>
      </c>
    </row>
    <row r="1278" spans="1:9">
      <c r="A1278" s="75">
        <v>181</v>
      </c>
      <c r="B1278" s="75">
        <v>0</v>
      </c>
      <c r="C1278" s="75">
        <v>181</v>
      </c>
      <c r="D1278" s="76">
        <v>43357.375405092593</v>
      </c>
      <c r="E1278" s="77">
        <v>43344</v>
      </c>
      <c r="F1278" s="78">
        <v>0.37540509259259264</v>
      </c>
      <c r="G1278" s="75">
        <v>2</v>
      </c>
      <c r="H1278" s="75">
        <v>0</v>
      </c>
      <c r="I1278" s="75">
        <v>35</v>
      </c>
    </row>
    <row r="1279" spans="1:9">
      <c r="A1279" s="75">
        <v>307</v>
      </c>
      <c r="B1279" s="75">
        <v>3</v>
      </c>
      <c r="C1279" s="75">
        <v>310</v>
      </c>
      <c r="D1279" s="76">
        <v>43357.385821759257</v>
      </c>
      <c r="E1279" s="77">
        <v>43344</v>
      </c>
      <c r="F1279" s="78">
        <v>0.38582175925925927</v>
      </c>
      <c r="G1279" s="75">
        <v>2</v>
      </c>
      <c r="H1279" s="75">
        <v>15</v>
      </c>
      <c r="I1279" s="75">
        <v>35</v>
      </c>
    </row>
    <row r="1280" spans="1:9">
      <c r="A1280" s="75">
        <v>494</v>
      </c>
      <c r="B1280" s="75">
        <v>5</v>
      </c>
      <c r="C1280" s="75">
        <v>499</v>
      </c>
      <c r="D1280" s="76">
        <v>43357.396249999998</v>
      </c>
      <c r="E1280" s="77">
        <v>43344</v>
      </c>
      <c r="F1280" s="78">
        <v>0.39624999999999999</v>
      </c>
      <c r="G1280" s="75">
        <v>2</v>
      </c>
      <c r="H1280" s="75">
        <v>30</v>
      </c>
      <c r="I1280" s="75">
        <v>36</v>
      </c>
    </row>
    <row r="1281" spans="1:9">
      <c r="A1281" s="75">
        <v>793</v>
      </c>
      <c r="B1281" s="75">
        <v>9</v>
      </c>
      <c r="C1281" s="75">
        <v>802</v>
      </c>
      <c r="D1281" s="76">
        <v>43357.406655092593</v>
      </c>
      <c r="E1281" s="77">
        <v>43344</v>
      </c>
      <c r="F1281" s="78">
        <v>0.40665509259259264</v>
      </c>
      <c r="G1281" s="75">
        <v>2</v>
      </c>
      <c r="H1281" s="75">
        <v>45</v>
      </c>
      <c r="I1281" s="75">
        <v>35</v>
      </c>
    </row>
    <row r="1282" spans="1:9">
      <c r="A1282" s="75">
        <v>791</v>
      </c>
      <c r="B1282" s="75">
        <v>5</v>
      </c>
      <c r="C1282" s="75">
        <v>796</v>
      </c>
      <c r="D1282" s="76">
        <v>43357.417071759257</v>
      </c>
      <c r="E1282" s="77">
        <v>43344</v>
      </c>
      <c r="F1282" s="78">
        <v>0.41707175925925927</v>
      </c>
      <c r="G1282" s="75">
        <v>2</v>
      </c>
      <c r="H1282" s="75">
        <v>0</v>
      </c>
      <c r="I1282" s="75">
        <v>35</v>
      </c>
    </row>
    <row r="1283" spans="1:9">
      <c r="A1283" s="75">
        <v>713</v>
      </c>
      <c r="B1283" s="75">
        <v>11</v>
      </c>
      <c r="C1283" s="75">
        <v>724</v>
      </c>
      <c r="D1283" s="76">
        <v>43357.427488425928</v>
      </c>
      <c r="E1283" s="77">
        <v>43344</v>
      </c>
      <c r="F1283" s="78">
        <v>0.42748842592592595</v>
      </c>
      <c r="G1283" s="75">
        <v>2</v>
      </c>
      <c r="H1283" s="75">
        <v>15</v>
      </c>
      <c r="I1283" s="75">
        <v>35</v>
      </c>
    </row>
    <row r="1284" spans="1:9">
      <c r="A1284" s="75">
        <v>768</v>
      </c>
      <c r="B1284" s="75">
        <v>18</v>
      </c>
      <c r="C1284" s="75">
        <v>786</v>
      </c>
      <c r="D1284" s="76">
        <v>43357.437916666669</v>
      </c>
      <c r="E1284" s="77">
        <v>43344</v>
      </c>
      <c r="F1284" s="78">
        <v>0.43791666666666668</v>
      </c>
      <c r="G1284" s="75">
        <v>2</v>
      </c>
      <c r="H1284" s="75">
        <v>30</v>
      </c>
      <c r="I1284" s="75">
        <v>36</v>
      </c>
    </row>
    <row r="1285" spans="1:9">
      <c r="A1285" s="75">
        <v>962</v>
      </c>
      <c r="B1285" s="75">
        <v>25</v>
      </c>
      <c r="C1285" s="75">
        <v>987</v>
      </c>
      <c r="D1285" s="76">
        <v>43357.448333333334</v>
      </c>
      <c r="E1285" s="77">
        <v>43344</v>
      </c>
      <c r="F1285" s="78">
        <v>0.44833333333333331</v>
      </c>
      <c r="G1285" s="75">
        <v>2</v>
      </c>
      <c r="H1285" s="75">
        <v>45</v>
      </c>
      <c r="I1285" s="75">
        <v>36</v>
      </c>
    </row>
    <row r="1286" spans="1:9">
      <c r="A1286" s="75">
        <v>808</v>
      </c>
      <c r="B1286" s="75">
        <v>19</v>
      </c>
      <c r="C1286" s="75">
        <v>827</v>
      </c>
      <c r="D1286" s="76">
        <v>43357.458738425928</v>
      </c>
      <c r="E1286" s="77">
        <v>43344</v>
      </c>
      <c r="F1286" s="78">
        <v>0.45873842592592595</v>
      </c>
      <c r="G1286" s="75">
        <v>2</v>
      </c>
      <c r="H1286" s="75">
        <v>0</v>
      </c>
      <c r="I1286" s="75">
        <v>35</v>
      </c>
    </row>
    <row r="1287" spans="1:9">
      <c r="A1287" s="75">
        <v>657</v>
      </c>
      <c r="B1287" s="75">
        <v>14</v>
      </c>
      <c r="C1287" s="75">
        <v>671</v>
      </c>
      <c r="D1287" s="76">
        <v>43357.469155092593</v>
      </c>
      <c r="E1287" s="77">
        <v>43344</v>
      </c>
      <c r="F1287" s="78">
        <v>0.46915509259259264</v>
      </c>
      <c r="G1287" s="75">
        <v>2</v>
      </c>
      <c r="H1287" s="75">
        <v>15</v>
      </c>
      <c r="I1287" s="75">
        <v>35</v>
      </c>
    </row>
    <row r="1288" spans="1:9">
      <c r="A1288" s="75">
        <v>523</v>
      </c>
      <c r="B1288" s="75">
        <v>6</v>
      </c>
      <c r="C1288" s="75">
        <v>529</v>
      </c>
      <c r="D1288" s="76">
        <v>43357.479583333334</v>
      </c>
      <c r="E1288" s="77">
        <v>43344</v>
      </c>
      <c r="F1288" s="78">
        <v>0.47958333333333331</v>
      </c>
      <c r="G1288" s="75">
        <v>2</v>
      </c>
      <c r="H1288" s="75">
        <v>30</v>
      </c>
      <c r="I1288" s="75">
        <v>36</v>
      </c>
    </row>
    <row r="1289" spans="1:9">
      <c r="A1289" s="75">
        <v>552</v>
      </c>
      <c r="B1289" s="75">
        <v>5</v>
      </c>
      <c r="C1289" s="75">
        <v>557</v>
      </c>
      <c r="D1289" s="76">
        <v>43357.489976851852</v>
      </c>
      <c r="E1289" s="77">
        <v>43344</v>
      </c>
      <c r="F1289" s="78">
        <v>0.48997685185185186</v>
      </c>
      <c r="G1289" s="75">
        <v>2</v>
      </c>
      <c r="H1289" s="75">
        <v>45</v>
      </c>
      <c r="I1289" s="75">
        <v>34</v>
      </c>
    </row>
    <row r="1290" spans="1:9">
      <c r="A1290" s="75">
        <v>457</v>
      </c>
      <c r="B1290" s="75">
        <v>5</v>
      </c>
      <c r="C1290" s="75">
        <v>462</v>
      </c>
      <c r="D1290" s="76">
        <v>43357.500416666669</v>
      </c>
      <c r="E1290" s="77">
        <v>43344</v>
      </c>
      <c r="F1290" s="78">
        <v>0.50041666666666662</v>
      </c>
      <c r="G1290" s="75">
        <v>2</v>
      </c>
      <c r="H1290" s="75">
        <v>0</v>
      </c>
      <c r="I1290" s="75">
        <v>36</v>
      </c>
    </row>
    <row r="1291" spans="1:9">
      <c r="A1291" s="75">
        <v>398</v>
      </c>
      <c r="B1291" s="75">
        <v>1</v>
      </c>
      <c r="C1291" s="75">
        <v>391</v>
      </c>
      <c r="D1291" s="76">
        <v>43357.510821759257</v>
      </c>
      <c r="E1291" s="77">
        <v>43344</v>
      </c>
      <c r="F1291" s="78">
        <v>0.51082175925925932</v>
      </c>
      <c r="G1291" s="75">
        <v>2</v>
      </c>
      <c r="H1291" s="75">
        <v>15</v>
      </c>
      <c r="I1291" s="75">
        <v>35</v>
      </c>
    </row>
    <row r="1292" spans="1:9">
      <c r="A1292" s="75">
        <v>401</v>
      </c>
      <c r="B1292" s="75">
        <v>2</v>
      </c>
      <c r="C1292" s="75">
        <v>403</v>
      </c>
      <c r="D1292" s="76">
        <v>43357.521238425928</v>
      </c>
      <c r="E1292" s="77">
        <v>43344</v>
      </c>
      <c r="F1292" s="78">
        <v>0.52123842592592595</v>
      </c>
      <c r="G1292" s="75">
        <v>2</v>
      </c>
      <c r="H1292" s="75">
        <v>30</v>
      </c>
      <c r="I1292" s="75">
        <v>35</v>
      </c>
    </row>
    <row r="1293" spans="1:9">
      <c r="A1293" s="75">
        <v>458</v>
      </c>
      <c r="B1293" s="75">
        <v>0</v>
      </c>
      <c r="C1293" s="75">
        <v>458</v>
      </c>
      <c r="D1293" s="76">
        <v>43357.531655092593</v>
      </c>
      <c r="E1293" s="77">
        <v>43344</v>
      </c>
      <c r="F1293" s="78">
        <v>0.53165509259259258</v>
      </c>
      <c r="G1293" s="75">
        <v>2</v>
      </c>
      <c r="H1293" s="75">
        <v>45</v>
      </c>
      <c r="I1293" s="75">
        <v>35</v>
      </c>
    </row>
    <row r="1294" spans="1:9">
      <c r="A1294" s="75">
        <v>389</v>
      </c>
      <c r="B1294" s="75">
        <v>4</v>
      </c>
      <c r="C1294" s="75">
        <v>393</v>
      </c>
      <c r="D1294" s="76">
        <v>43357.542071759257</v>
      </c>
      <c r="E1294" s="77">
        <v>43344</v>
      </c>
      <c r="F1294" s="78">
        <v>0.54207175925925932</v>
      </c>
      <c r="G1294" s="75">
        <v>2</v>
      </c>
      <c r="H1294" s="75">
        <v>0</v>
      </c>
      <c r="I1294" s="75">
        <v>35</v>
      </c>
    </row>
    <row r="1295" spans="1:9">
      <c r="A1295" s="75">
        <v>392</v>
      </c>
      <c r="B1295" s="75">
        <v>4</v>
      </c>
      <c r="C1295" s="75">
        <v>396</v>
      </c>
      <c r="D1295" s="76">
        <v>43357.552488425928</v>
      </c>
      <c r="E1295" s="77">
        <v>43344</v>
      </c>
      <c r="F1295" s="78">
        <v>0.55248842592592595</v>
      </c>
      <c r="G1295" s="75">
        <v>2</v>
      </c>
      <c r="H1295" s="75">
        <v>15</v>
      </c>
      <c r="I1295" s="75">
        <v>35</v>
      </c>
    </row>
    <row r="1296" spans="1:9">
      <c r="A1296" s="75">
        <v>388</v>
      </c>
      <c r="B1296" s="75">
        <v>5</v>
      </c>
      <c r="C1296" s="75">
        <v>393</v>
      </c>
      <c r="D1296" s="76">
        <v>43357.562916666669</v>
      </c>
      <c r="E1296" s="77">
        <v>43344</v>
      </c>
      <c r="F1296" s="78">
        <v>0.56291666666666662</v>
      </c>
      <c r="G1296" s="75">
        <v>2</v>
      </c>
      <c r="H1296" s="75">
        <v>30</v>
      </c>
      <c r="I1296" s="75">
        <v>36</v>
      </c>
    </row>
    <row r="1297" spans="1:9">
      <c r="A1297" s="75">
        <v>457</v>
      </c>
      <c r="B1297" s="75">
        <v>2</v>
      </c>
      <c r="C1297" s="75">
        <v>459</v>
      </c>
      <c r="D1297" s="76">
        <v>43357.573321759257</v>
      </c>
      <c r="E1297" s="77">
        <v>43344</v>
      </c>
      <c r="F1297" s="78">
        <v>0.57332175925925932</v>
      </c>
      <c r="G1297" s="75">
        <v>2</v>
      </c>
      <c r="H1297" s="75">
        <v>45</v>
      </c>
      <c r="I1297" s="75">
        <v>35</v>
      </c>
    </row>
    <row r="1298" spans="1:9">
      <c r="A1298" s="75">
        <v>460</v>
      </c>
      <c r="B1298" s="75">
        <v>4</v>
      </c>
      <c r="C1298" s="75">
        <v>464</v>
      </c>
      <c r="D1298" s="76">
        <v>43357.594155092593</v>
      </c>
      <c r="E1298" s="77">
        <v>43344</v>
      </c>
      <c r="F1298" s="78">
        <v>0.59415509259259258</v>
      </c>
      <c r="G1298" s="75">
        <v>2</v>
      </c>
      <c r="H1298" s="75">
        <v>15</v>
      </c>
      <c r="I1298" s="75">
        <v>35</v>
      </c>
    </row>
    <row r="1299" spans="1:9">
      <c r="A1299" s="75">
        <v>433</v>
      </c>
      <c r="B1299" s="75">
        <v>7</v>
      </c>
      <c r="C1299" s="75">
        <v>440</v>
      </c>
      <c r="D1299" s="76">
        <v>43357.604571759257</v>
      </c>
      <c r="E1299" s="77">
        <v>43344</v>
      </c>
      <c r="F1299" s="78">
        <v>0.60457175925925932</v>
      </c>
      <c r="G1299" s="75">
        <v>2</v>
      </c>
      <c r="H1299" s="75">
        <v>30</v>
      </c>
      <c r="I1299" s="75">
        <v>35</v>
      </c>
    </row>
    <row r="1300" spans="1:9">
      <c r="A1300" s="75">
        <v>481</v>
      </c>
      <c r="B1300" s="75">
        <v>9</v>
      </c>
      <c r="C1300" s="75">
        <v>490</v>
      </c>
      <c r="D1300" s="76">
        <v>43357.614988425928</v>
      </c>
      <c r="E1300" s="77">
        <v>43344</v>
      </c>
      <c r="F1300" s="78">
        <v>0.61498842592592595</v>
      </c>
      <c r="G1300" s="75">
        <v>2</v>
      </c>
      <c r="H1300" s="75">
        <v>45</v>
      </c>
      <c r="I1300" s="75">
        <v>35</v>
      </c>
    </row>
    <row r="1301" spans="1:9">
      <c r="A1301" s="75">
        <v>425</v>
      </c>
      <c r="B1301" s="75">
        <v>2</v>
      </c>
      <c r="C1301" s="75">
        <v>427</v>
      </c>
      <c r="D1301" s="76">
        <v>43357.625405092593</v>
      </c>
      <c r="E1301" s="77">
        <v>43344</v>
      </c>
      <c r="F1301" s="78">
        <v>0.62540509259259258</v>
      </c>
      <c r="G1301" s="75">
        <v>2</v>
      </c>
      <c r="H1301" s="75">
        <v>0</v>
      </c>
      <c r="I1301" s="75">
        <v>35</v>
      </c>
    </row>
    <row r="1302" spans="1:9">
      <c r="A1302" s="75">
        <v>496</v>
      </c>
      <c r="B1302" s="75">
        <v>2</v>
      </c>
      <c r="C1302" s="75">
        <v>498</v>
      </c>
      <c r="D1302" s="76">
        <v>43357.635821759257</v>
      </c>
      <c r="E1302" s="77">
        <v>43344</v>
      </c>
      <c r="F1302" s="78">
        <v>0.63582175925925932</v>
      </c>
      <c r="G1302" s="75">
        <v>2</v>
      </c>
      <c r="H1302" s="75">
        <v>15</v>
      </c>
      <c r="I1302" s="75">
        <v>35</v>
      </c>
    </row>
    <row r="1303" spans="1:9">
      <c r="A1303" s="75">
        <v>496</v>
      </c>
      <c r="B1303" s="75">
        <v>2</v>
      </c>
      <c r="C1303" s="75">
        <v>498</v>
      </c>
      <c r="D1303" s="76">
        <v>43357.646238425928</v>
      </c>
      <c r="E1303" s="77">
        <v>43344</v>
      </c>
      <c r="F1303" s="78">
        <v>0.64623842592592595</v>
      </c>
      <c r="G1303" s="75">
        <v>2</v>
      </c>
      <c r="H1303" s="75">
        <v>30</v>
      </c>
      <c r="I1303" s="75">
        <v>35</v>
      </c>
    </row>
    <row r="1304" spans="1:9">
      <c r="A1304" s="75">
        <v>576</v>
      </c>
      <c r="B1304" s="75">
        <v>2</v>
      </c>
      <c r="C1304" s="75">
        <v>578</v>
      </c>
      <c r="D1304" s="76">
        <v>43357.656643518516</v>
      </c>
      <c r="E1304" s="77">
        <v>43344</v>
      </c>
      <c r="F1304" s="78">
        <v>0.65664351851851854</v>
      </c>
      <c r="G1304" s="75">
        <v>2</v>
      </c>
      <c r="H1304" s="75">
        <v>45</v>
      </c>
      <c r="I1304" s="75">
        <v>34</v>
      </c>
    </row>
    <row r="1305" spans="1:9">
      <c r="A1305" s="75">
        <v>544</v>
      </c>
      <c r="B1305" s="75">
        <v>2</v>
      </c>
      <c r="C1305" s="75">
        <v>546</v>
      </c>
      <c r="D1305" s="76">
        <v>43357.667071759257</v>
      </c>
      <c r="E1305" s="77">
        <v>43344</v>
      </c>
      <c r="F1305" s="78">
        <v>0.66707175925925932</v>
      </c>
      <c r="G1305" s="75">
        <v>2</v>
      </c>
      <c r="H1305" s="75">
        <v>0</v>
      </c>
      <c r="I1305" s="75">
        <v>35</v>
      </c>
    </row>
    <row r="1306" spans="1:9">
      <c r="A1306" s="75">
        <v>724</v>
      </c>
      <c r="B1306" s="75">
        <v>5</v>
      </c>
      <c r="C1306" s="75">
        <v>729</v>
      </c>
      <c r="D1306" s="76">
        <v>43357.677476851852</v>
      </c>
      <c r="E1306" s="77">
        <v>43344</v>
      </c>
      <c r="F1306" s="78">
        <v>0.6774768518518518</v>
      </c>
      <c r="G1306" s="75">
        <v>2</v>
      </c>
      <c r="H1306" s="75">
        <v>15</v>
      </c>
      <c r="I1306" s="75">
        <v>34</v>
      </c>
    </row>
    <row r="1307" spans="1:9">
      <c r="A1307" s="75">
        <v>695</v>
      </c>
      <c r="B1307" s="75">
        <v>5</v>
      </c>
      <c r="C1307" s="75">
        <v>700</v>
      </c>
      <c r="D1307" s="76">
        <v>43357.687905092593</v>
      </c>
      <c r="E1307" s="77">
        <v>43344</v>
      </c>
      <c r="F1307" s="78">
        <v>0.68790509259259258</v>
      </c>
      <c r="G1307" s="75">
        <v>2</v>
      </c>
      <c r="H1307" s="75">
        <v>30</v>
      </c>
      <c r="I1307" s="75">
        <v>35</v>
      </c>
    </row>
    <row r="1308" spans="1:9">
      <c r="A1308" s="75">
        <v>725</v>
      </c>
      <c r="B1308" s="75">
        <v>7</v>
      </c>
      <c r="C1308" s="75">
        <v>732</v>
      </c>
      <c r="D1308" s="76">
        <v>43357.698321759257</v>
      </c>
      <c r="E1308" s="77">
        <v>43344</v>
      </c>
      <c r="F1308" s="78">
        <v>0.69832175925925932</v>
      </c>
      <c r="G1308" s="75">
        <v>2</v>
      </c>
      <c r="H1308" s="75">
        <v>45</v>
      </c>
      <c r="I1308" s="75">
        <v>35</v>
      </c>
    </row>
    <row r="1309" spans="1:9">
      <c r="A1309" s="75">
        <v>624</v>
      </c>
      <c r="B1309" s="75">
        <v>7</v>
      </c>
      <c r="C1309" s="75">
        <v>631</v>
      </c>
      <c r="D1309" s="76">
        <v>43357.708738425928</v>
      </c>
      <c r="E1309" s="77">
        <v>43344</v>
      </c>
      <c r="F1309" s="78">
        <v>0.70873842592592595</v>
      </c>
      <c r="G1309" s="75">
        <v>2</v>
      </c>
      <c r="H1309" s="75">
        <v>0</v>
      </c>
      <c r="I1309" s="75">
        <v>35</v>
      </c>
    </row>
    <row r="1310" spans="1:9">
      <c r="A1310" s="75">
        <v>766</v>
      </c>
      <c r="B1310" s="75">
        <v>10</v>
      </c>
      <c r="C1310" s="75">
        <v>776</v>
      </c>
      <c r="D1310" s="76">
        <v>43357.719155092593</v>
      </c>
      <c r="E1310" s="77">
        <v>43344</v>
      </c>
      <c r="F1310" s="78">
        <v>0.71915509259259258</v>
      </c>
      <c r="G1310" s="75">
        <v>2</v>
      </c>
      <c r="H1310" s="75">
        <v>15</v>
      </c>
      <c r="I1310" s="75">
        <v>35</v>
      </c>
    </row>
    <row r="1311" spans="1:9">
      <c r="A1311" s="75">
        <v>677</v>
      </c>
      <c r="B1311" s="75">
        <v>12</v>
      </c>
      <c r="C1311" s="75">
        <v>689</v>
      </c>
      <c r="D1311" s="76">
        <v>43357.729583333334</v>
      </c>
      <c r="E1311" s="77">
        <v>43344</v>
      </c>
      <c r="F1311" s="78">
        <v>0.72958333333333336</v>
      </c>
      <c r="G1311" s="75">
        <v>2</v>
      </c>
      <c r="H1311" s="75">
        <v>30</v>
      </c>
      <c r="I1311" s="75">
        <v>36</v>
      </c>
    </row>
    <row r="1312" spans="1:9">
      <c r="A1312" s="75">
        <v>702</v>
      </c>
      <c r="B1312" s="75">
        <v>8</v>
      </c>
      <c r="C1312" s="75">
        <v>708</v>
      </c>
      <c r="D1312" s="76">
        <v>43357.739988425928</v>
      </c>
      <c r="E1312" s="77">
        <v>43344</v>
      </c>
      <c r="F1312" s="78">
        <v>0.73998842592592595</v>
      </c>
      <c r="G1312" s="75">
        <v>2</v>
      </c>
      <c r="H1312" s="75">
        <v>45</v>
      </c>
      <c r="I1312" s="75">
        <v>35</v>
      </c>
    </row>
    <row r="1313" spans="1:9">
      <c r="A1313" s="75">
        <v>565</v>
      </c>
      <c r="B1313" s="75">
        <v>7</v>
      </c>
      <c r="C1313" s="75">
        <v>572</v>
      </c>
      <c r="D1313" s="76">
        <v>43357.750405092593</v>
      </c>
      <c r="E1313" s="77">
        <v>43344</v>
      </c>
      <c r="F1313" s="78">
        <v>0.75040509259259258</v>
      </c>
      <c r="G1313" s="75">
        <v>2</v>
      </c>
      <c r="H1313" s="75">
        <v>0</v>
      </c>
      <c r="I1313" s="75">
        <v>35</v>
      </c>
    </row>
    <row r="1314" spans="1:9">
      <c r="A1314" s="75">
        <v>638</v>
      </c>
      <c r="B1314" s="75">
        <v>11</v>
      </c>
      <c r="C1314" s="75">
        <v>649</v>
      </c>
      <c r="D1314" s="76">
        <v>43357.760810185187</v>
      </c>
      <c r="E1314" s="77">
        <v>43344</v>
      </c>
      <c r="F1314" s="78">
        <v>0.76081018518518517</v>
      </c>
      <c r="G1314" s="75">
        <v>2</v>
      </c>
      <c r="H1314" s="75">
        <v>15</v>
      </c>
      <c r="I1314" s="75">
        <v>34</v>
      </c>
    </row>
    <row r="1315" spans="1:9">
      <c r="A1315" s="75">
        <v>617</v>
      </c>
      <c r="B1315" s="75">
        <v>7</v>
      </c>
      <c r="C1315" s="75">
        <v>624</v>
      </c>
      <c r="D1315" s="76">
        <v>43357.771238425928</v>
      </c>
      <c r="E1315" s="77">
        <v>43344</v>
      </c>
      <c r="F1315" s="78">
        <v>0.77123842592592595</v>
      </c>
      <c r="G1315" s="75">
        <v>2</v>
      </c>
      <c r="H1315" s="75">
        <v>30</v>
      </c>
      <c r="I1315" s="75">
        <v>35</v>
      </c>
    </row>
    <row r="1316" spans="1:9">
      <c r="A1316" s="75">
        <v>675</v>
      </c>
      <c r="B1316" s="75">
        <v>10</v>
      </c>
      <c r="C1316" s="75">
        <v>683</v>
      </c>
      <c r="D1316" s="76">
        <v>43357.781643518516</v>
      </c>
      <c r="E1316" s="77">
        <v>43344</v>
      </c>
      <c r="F1316" s="78">
        <v>0.78164351851851854</v>
      </c>
      <c r="G1316" s="75">
        <v>2</v>
      </c>
      <c r="H1316" s="75">
        <v>45</v>
      </c>
      <c r="I1316" s="75">
        <v>34</v>
      </c>
    </row>
    <row r="1317" spans="1:9">
      <c r="A1317" s="75">
        <v>639</v>
      </c>
      <c r="B1317" s="75">
        <v>4</v>
      </c>
      <c r="C1317" s="75">
        <v>643</v>
      </c>
      <c r="D1317" s="76">
        <v>43357.792071759257</v>
      </c>
      <c r="E1317" s="77">
        <v>43344</v>
      </c>
      <c r="F1317" s="78">
        <v>0.79207175925925932</v>
      </c>
      <c r="G1317" s="75">
        <v>2</v>
      </c>
      <c r="H1317" s="75">
        <v>0</v>
      </c>
      <c r="I1317" s="75">
        <v>35</v>
      </c>
    </row>
    <row r="1318" spans="1:9">
      <c r="A1318" s="75">
        <v>714</v>
      </c>
      <c r="B1318" s="75">
        <v>10</v>
      </c>
      <c r="C1318" s="75">
        <v>724</v>
      </c>
      <c r="D1318" s="76">
        <v>43357.802488425928</v>
      </c>
      <c r="E1318" s="77">
        <v>43344</v>
      </c>
      <c r="F1318" s="78">
        <v>0.80248842592592595</v>
      </c>
      <c r="G1318" s="75">
        <v>2</v>
      </c>
      <c r="H1318" s="75">
        <v>15</v>
      </c>
      <c r="I1318" s="75">
        <v>35</v>
      </c>
    </row>
    <row r="1319" spans="1:9">
      <c r="A1319" s="75">
        <v>736</v>
      </c>
      <c r="B1319" s="75">
        <v>13</v>
      </c>
      <c r="C1319" s="75">
        <v>749</v>
      </c>
      <c r="D1319" s="76">
        <v>43357.812893518516</v>
      </c>
      <c r="E1319" s="77">
        <v>43344</v>
      </c>
      <c r="F1319" s="78">
        <v>0.81289351851851854</v>
      </c>
      <c r="G1319" s="75">
        <v>2</v>
      </c>
      <c r="H1319" s="75">
        <v>30</v>
      </c>
      <c r="I1319" s="75">
        <v>34</v>
      </c>
    </row>
    <row r="1320" spans="1:9">
      <c r="A1320" s="75">
        <v>711</v>
      </c>
      <c r="B1320" s="75">
        <v>4</v>
      </c>
      <c r="C1320" s="75">
        <v>715</v>
      </c>
      <c r="D1320" s="76">
        <v>43357.823310185187</v>
      </c>
      <c r="E1320" s="77">
        <v>43344</v>
      </c>
      <c r="F1320" s="78">
        <v>0.82331018518518517</v>
      </c>
      <c r="G1320" s="75">
        <v>2</v>
      </c>
      <c r="H1320" s="75">
        <v>45</v>
      </c>
      <c r="I1320" s="75">
        <v>34</v>
      </c>
    </row>
    <row r="1321" spans="1:9">
      <c r="A1321" s="75">
        <v>694</v>
      </c>
      <c r="B1321" s="75">
        <v>6</v>
      </c>
      <c r="C1321" s="75">
        <v>700</v>
      </c>
      <c r="D1321" s="76">
        <v>43357.833738425928</v>
      </c>
      <c r="E1321" s="77">
        <v>43344</v>
      </c>
      <c r="F1321" s="78">
        <v>0.83373842592592595</v>
      </c>
      <c r="G1321" s="75">
        <v>2</v>
      </c>
      <c r="H1321" s="75">
        <v>0</v>
      </c>
      <c r="I1321" s="75">
        <v>35</v>
      </c>
    </row>
    <row r="1322" spans="1:9">
      <c r="A1322" s="75">
        <v>804</v>
      </c>
      <c r="B1322" s="75">
        <v>5</v>
      </c>
      <c r="C1322" s="75">
        <v>809</v>
      </c>
      <c r="D1322" s="76">
        <v>43357.844143518516</v>
      </c>
      <c r="E1322" s="77">
        <v>43344</v>
      </c>
      <c r="F1322" s="78">
        <v>0.84414351851851854</v>
      </c>
      <c r="G1322" s="75">
        <v>2</v>
      </c>
      <c r="H1322" s="75">
        <v>15</v>
      </c>
      <c r="I1322" s="75">
        <v>34</v>
      </c>
    </row>
    <row r="1323" spans="1:9">
      <c r="A1323" s="75">
        <v>790</v>
      </c>
      <c r="B1323" s="75">
        <v>5</v>
      </c>
      <c r="C1323" s="75">
        <v>795</v>
      </c>
      <c r="D1323" s="76">
        <v>43357.854571759257</v>
      </c>
      <c r="E1323" s="77">
        <v>43344</v>
      </c>
      <c r="F1323" s="78">
        <v>0.85457175925925932</v>
      </c>
      <c r="G1323" s="75">
        <v>2</v>
      </c>
      <c r="H1323" s="75">
        <v>30</v>
      </c>
      <c r="I1323" s="75">
        <v>35</v>
      </c>
    </row>
    <row r="1324" spans="1:9">
      <c r="A1324" s="75">
        <v>776</v>
      </c>
      <c r="B1324" s="75">
        <v>6</v>
      </c>
      <c r="C1324" s="75">
        <v>782</v>
      </c>
      <c r="D1324" s="76">
        <v>43357.864976851852</v>
      </c>
      <c r="E1324" s="77">
        <v>43344</v>
      </c>
      <c r="F1324" s="78">
        <v>0.8649768518518518</v>
      </c>
      <c r="G1324" s="75">
        <v>2</v>
      </c>
      <c r="H1324" s="75">
        <v>45</v>
      </c>
      <c r="I1324" s="75">
        <v>34</v>
      </c>
    </row>
    <row r="1325" spans="1:9">
      <c r="A1325" s="75">
        <v>735</v>
      </c>
      <c r="B1325" s="75">
        <v>7</v>
      </c>
      <c r="C1325" s="75">
        <v>742</v>
      </c>
      <c r="D1325" s="76">
        <v>43357.875405092593</v>
      </c>
      <c r="E1325" s="77">
        <v>43344</v>
      </c>
      <c r="F1325" s="78">
        <v>0.87540509259259258</v>
      </c>
      <c r="G1325" s="75">
        <v>2</v>
      </c>
      <c r="H1325" s="75">
        <v>0</v>
      </c>
      <c r="I1325" s="75">
        <v>35</v>
      </c>
    </row>
    <row r="1326" spans="1:9">
      <c r="A1326" s="75">
        <v>756</v>
      </c>
      <c r="B1326" s="75">
        <v>5</v>
      </c>
      <c r="C1326" s="75">
        <v>761</v>
      </c>
      <c r="D1326" s="76">
        <v>43357.885810185187</v>
      </c>
      <c r="E1326" s="77">
        <v>43344</v>
      </c>
      <c r="F1326" s="78">
        <v>0.88581018518518517</v>
      </c>
      <c r="G1326" s="75">
        <v>2</v>
      </c>
      <c r="H1326" s="75">
        <v>15</v>
      </c>
      <c r="I1326" s="75">
        <v>34</v>
      </c>
    </row>
    <row r="1327" spans="1:9">
      <c r="A1327" s="75">
        <v>745</v>
      </c>
      <c r="B1327" s="75">
        <v>8</v>
      </c>
      <c r="C1327" s="75">
        <v>753</v>
      </c>
      <c r="D1327" s="76">
        <v>43357.896226851852</v>
      </c>
      <c r="E1327" s="77">
        <v>43344</v>
      </c>
      <c r="F1327" s="78">
        <v>0.8962268518518518</v>
      </c>
      <c r="G1327" s="75">
        <v>2</v>
      </c>
      <c r="H1327" s="75">
        <v>30</v>
      </c>
      <c r="I1327" s="75">
        <v>34</v>
      </c>
    </row>
    <row r="1328" spans="1:9">
      <c r="A1328" s="75">
        <v>718</v>
      </c>
      <c r="B1328" s="75">
        <v>5</v>
      </c>
      <c r="C1328" s="75">
        <v>723</v>
      </c>
      <c r="D1328" s="76">
        <v>43357.906643518516</v>
      </c>
      <c r="E1328" s="77">
        <v>43344</v>
      </c>
      <c r="F1328" s="78">
        <v>0.90664351851851854</v>
      </c>
      <c r="G1328" s="75">
        <v>2</v>
      </c>
      <c r="H1328" s="75">
        <v>45</v>
      </c>
      <c r="I1328" s="75">
        <v>34</v>
      </c>
    </row>
    <row r="1329" spans="1:9">
      <c r="A1329" s="75">
        <v>652</v>
      </c>
      <c r="B1329" s="75">
        <v>2</v>
      </c>
      <c r="C1329" s="75">
        <v>654</v>
      </c>
      <c r="D1329" s="76">
        <v>43357.917071759257</v>
      </c>
      <c r="E1329" s="77">
        <v>43344</v>
      </c>
      <c r="F1329" s="78">
        <v>0.91707175925925932</v>
      </c>
      <c r="G1329" s="75">
        <v>2</v>
      </c>
      <c r="H1329" s="75">
        <v>0</v>
      </c>
      <c r="I1329" s="75">
        <v>35</v>
      </c>
    </row>
    <row r="1330" spans="1:9">
      <c r="A1330" s="75">
        <v>704</v>
      </c>
      <c r="B1330" s="75">
        <v>3</v>
      </c>
      <c r="C1330" s="75">
        <v>707</v>
      </c>
      <c r="D1330" s="76">
        <v>43357.927476851852</v>
      </c>
      <c r="E1330" s="77">
        <v>43344</v>
      </c>
      <c r="F1330" s="78">
        <v>0.9274768518518518</v>
      </c>
      <c r="G1330" s="75">
        <v>2</v>
      </c>
      <c r="H1330" s="75">
        <v>15</v>
      </c>
      <c r="I1330" s="75">
        <v>34</v>
      </c>
    </row>
    <row r="1331" spans="1:9">
      <c r="A1331" s="75">
        <v>700</v>
      </c>
      <c r="B1331" s="75">
        <v>4</v>
      </c>
      <c r="C1331" s="75">
        <v>704</v>
      </c>
      <c r="D1331" s="76">
        <v>43357.937893518516</v>
      </c>
      <c r="E1331" s="77">
        <v>43344</v>
      </c>
      <c r="F1331" s="78">
        <v>0.93789351851851854</v>
      </c>
      <c r="G1331" s="75">
        <v>2</v>
      </c>
      <c r="H1331" s="75">
        <v>30</v>
      </c>
      <c r="I1331" s="75">
        <v>34</v>
      </c>
    </row>
    <row r="1332" spans="1:9">
      <c r="A1332" s="75">
        <v>693</v>
      </c>
      <c r="B1332" s="75">
        <v>3</v>
      </c>
      <c r="C1332" s="75">
        <v>696</v>
      </c>
      <c r="D1332" s="76">
        <v>43357.948310185187</v>
      </c>
      <c r="E1332" s="77">
        <v>43344</v>
      </c>
      <c r="F1332" s="78">
        <v>0.94831018518518517</v>
      </c>
      <c r="G1332" s="75">
        <v>2</v>
      </c>
      <c r="H1332" s="75">
        <v>45</v>
      </c>
      <c r="I1332" s="75">
        <v>34</v>
      </c>
    </row>
    <row r="1333" spans="1:9">
      <c r="A1333" s="75">
        <v>597</v>
      </c>
      <c r="B1333" s="75">
        <v>0</v>
      </c>
      <c r="C1333" s="75">
        <v>597</v>
      </c>
      <c r="D1333" s="76">
        <v>43357.958726851852</v>
      </c>
      <c r="E1333" s="77">
        <v>43344</v>
      </c>
      <c r="F1333" s="78">
        <v>0.9587268518518518</v>
      </c>
      <c r="G1333" s="75">
        <v>2</v>
      </c>
      <c r="H1333" s="75">
        <v>0</v>
      </c>
      <c r="I1333" s="75">
        <v>34</v>
      </c>
    </row>
    <row r="1334" spans="1:9">
      <c r="A1334" s="75">
        <v>568</v>
      </c>
      <c r="B1334" s="75">
        <v>0</v>
      </c>
      <c r="C1334" s="75">
        <v>568</v>
      </c>
      <c r="D1334" s="76">
        <v>43357.969143518516</v>
      </c>
      <c r="E1334" s="77">
        <v>43344</v>
      </c>
      <c r="F1334" s="78">
        <v>0.96914351851851854</v>
      </c>
      <c r="G1334" s="75">
        <v>2</v>
      </c>
      <c r="H1334" s="75">
        <v>15</v>
      </c>
      <c r="I1334" s="75">
        <v>34</v>
      </c>
    </row>
    <row r="1335" spans="1:9">
      <c r="A1335" s="75">
        <v>506</v>
      </c>
      <c r="B1335" s="75">
        <v>2</v>
      </c>
      <c r="C1335" s="75">
        <v>508</v>
      </c>
      <c r="D1335" s="76">
        <v>43357.979560185187</v>
      </c>
      <c r="E1335" s="77">
        <v>43344</v>
      </c>
      <c r="F1335" s="78">
        <v>0.97956018518518517</v>
      </c>
      <c r="G1335" s="75">
        <v>2</v>
      </c>
      <c r="H1335" s="75">
        <v>30</v>
      </c>
      <c r="I1335" s="75">
        <v>34</v>
      </c>
    </row>
    <row r="1336" spans="1:9">
      <c r="A1336" s="75">
        <v>436</v>
      </c>
      <c r="B1336" s="75">
        <v>1</v>
      </c>
      <c r="C1336" s="75">
        <v>437</v>
      </c>
      <c r="D1336" s="76">
        <v>43357.989976851852</v>
      </c>
      <c r="E1336" s="77">
        <v>43344</v>
      </c>
      <c r="F1336" s="78">
        <v>0.9899768518518518</v>
      </c>
      <c r="G1336" s="75">
        <v>2</v>
      </c>
      <c r="H1336" s="75">
        <v>45</v>
      </c>
      <c r="I1336" s="75">
        <v>34</v>
      </c>
    </row>
    <row r="1337" spans="1:9">
      <c r="A1337" s="75">
        <v>385</v>
      </c>
      <c r="B1337" s="75">
        <v>0</v>
      </c>
      <c r="C1337" s="75">
        <v>384</v>
      </c>
      <c r="D1337" s="76">
        <v>43358.000393518516</v>
      </c>
      <c r="E1337" s="77">
        <v>43344</v>
      </c>
      <c r="F1337" s="78">
        <v>3.9351851851851852E-4</v>
      </c>
      <c r="G1337" s="75">
        <v>2</v>
      </c>
      <c r="H1337" s="75">
        <v>0</v>
      </c>
      <c r="I1337" s="75">
        <v>34</v>
      </c>
    </row>
    <row r="1338" spans="1:9">
      <c r="A1338" s="75">
        <v>392</v>
      </c>
      <c r="B1338" s="75">
        <v>0</v>
      </c>
      <c r="C1338" s="75">
        <v>391</v>
      </c>
      <c r="D1338" s="76">
        <v>43358.010810185187</v>
      </c>
      <c r="E1338" s="77">
        <v>43344</v>
      </c>
      <c r="F1338" s="78">
        <v>1.0810185185185185E-2</v>
      </c>
      <c r="G1338" s="75">
        <v>2</v>
      </c>
      <c r="H1338" s="75">
        <v>15</v>
      </c>
      <c r="I1338" s="75">
        <v>34</v>
      </c>
    </row>
    <row r="1339" spans="1:9">
      <c r="A1339" s="75">
        <v>332</v>
      </c>
      <c r="B1339" s="75">
        <v>2</v>
      </c>
      <c r="C1339" s="75">
        <v>334</v>
      </c>
      <c r="D1339" s="76">
        <v>43358.021226851852</v>
      </c>
      <c r="E1339" s="77">
        <v>43344</v>
      </c>
      <c r="F1339" s="78">
        <v>2.1226851851851854E-2</v>
      </c>
      <c r="G1339" s="75">
        <v>2</v>
      </c>
      <c r="H1339" s="75">
        <v>30</v>
      </c>
      <c r="I1339" s="75">
        <v>34</v>
      </c>
    </row>
    <row r="1340" spans="1:9">
      <c r="A1340" s="75">
        <v>316</v>
      </c>
      <c r="B1340" s="75">
        <v>1</v>
      </c>
      <c r="C1340" s="75">
        <v>317</v>
      </c>
      <c r="D1340" s="76">
        <v>43358.031631944446</v>
      </c>
      <c r="E1340" s="77">
        <v>43344</v>
      </c>
      <c r="F1340" s="78">
        <v>3.1631944444444442E-2</v>
      </c>
      <c r="G1340" s="75">
        <v>2</v>
      </c>
      <c r="H1340" s="75">
        <v>45</v>
      </c>
      <c r="I1340" s="75">
        <v>33</v>
      </c>
    </row>
    <row r="1341" spans="1:9">
      <c r="A1341" s="75">
        <v>295</v>
      </c>
      <c r="B1341" s="75">
        <v>0</v>
      </c>
      <c r="C1341" s="75">
        <v>295</v>
      </c>
      <c r="D1341" s="76">
        <v>43358.042060185187</v>
      </c>
      <c r="E1341" s="77">
        <v>43344</v>
      </c>
      <c r="F1341" s="78">
        <v>4.206018518518518E-2</v>
      </c>
      <c r="G1341" s="75">
        <v>2</v>
      </c>
      <c r="H1341" s="75">
        <v>0</v>
      </c>
      <c r="I1341" s="75">
        <v>34</v>
      </c>
    </row>
    <row r="1342" spans="1:9">
      <c r="A1342" s="75">
        <v>308</v>
      </c>
      <c r="B1342" s="75">
        <v>2</v>
      </c>
      <c r="C1342" s="75">
        <v>310</v>
      </c>
      <c r="D1342" s="76">
        <v>43358.052476851852</v>
      </c>
      <c r="E1342" s="77">
        <v>43344</v>
      </c>
      <c r="F1342" s="78">
        <v>5.2476851851851851E-2</v>
      </c>
      <c r="G1342" s="75">
        <v>2</v>
      </c>
      <c r="H1342" s="75">
        <v>15</v>
      </c>
      <c r="I1342" s="75">
        <v>34</v>
      </c>
    </row>
    <row r="1343" spans="1:9">
      <c r="A1343" s="75">
        <v>284</v>
      </c>
      <c r="B1343" s="75">
        <v>1</v>
      </c>
      <c r="C1343" s="75">
        <v>285</v>
      </c>
      <c r="D1343" s="76">
        <v>43358.062893518516</v>
      </c>
      <c r="E1343" s="77">
        <v>43344</v>
      </c>
      <c r="F1343" s="78">
        <v>6.2893518518518529E-2</v>
      </c>
      <c r="G1343" s="75">
        <v>2</v>
      </c>
      <c r="H1343" s="75">
        <v>30</v>
      </c>
      <c r="I1343" s="75">
        <v>34</v>
      </c>
    </row>
    <row r="1344" spans="1:9">
      <c r="A1344" s="75">
        <v>302</v>
      </c>
      <c r="B1344" s="75">
        <v>2</v>
      </c>
      <c r="C1344" s="75">
        <v>304</v>
      </c>
      <c r="D1344" s="76">
        <v>43358.073310185187</v>
      </c>
      <c r="E1344" s="77">
        <v>43344</v>
      </c>
      <c r="F1344" s="78">
        <v>7.3310185185185187E-2</v>
      </c>
      <c r="G1344" s="75">
        <v>2</v>
      </c>
      <c r="H1344" s="75">
        <v>45</v>
      </c>
      <c r="I1344" s="75">
        <v>34</v>
      </c>
    </row>
    <row r="1345" spans="1:9">
      <c r="A1345" s="75">
        <v>323</v>
      </c>
      <c r="B1345" s="75">
        <v>2</v>
      </c>
      <c r="C1345" s="75">
        <v>325</v>
      </c>
      <c r="D1345" s="76">
        <v>43358.083749999998</v>
      </c>
      <c r="E1345" s="77">
        <v>43344</v>
      </c>
      <c r="F1345" s="78">
        <v>8.3749999999999991E-2</v>
      </c>
      <c r="G1345" s="75">
        <v>2</v>
      </c>
      <c r="H1345" s="75">
        <v>0</v>
      </c>
      <c r="I1345" s="75">
        <v>36</v>
      </c>
    </row>
    <row r="1346" spans="1:9">
      <c r="A1346" s="75">
        <v>345</v>
      </c>
      <c r="B1346" s="75">
        <v>3</v>
      </c>
      <c r="C1346" s="75">
        <v>348</v>
      </c>
      <c r="D1346" s="76">
        <v>43358.094143518516</v>
      </c>
      <c r="E1346" s="77">
        <v>43344</v>
      </c>
      <c r="F1346" s="78">
        <v>9.4143518518518529E-2</v>
      </c>
      <c r="G1346" s="75">
        <v>2</v>
      </c>
      <c r="H1346" s="75">
        <v>15</v>
      </c>
      <c r="I1346" s="75">
        <v>34</v>
      </c>
    </row>
    <row r="1347" spans="1:9">
      <c r="A1347" s="75">
        <v>314</v>
      </c>
      <c r="B1347" s="75">
        <v>1</v>
      </c>
      <c r="C1347" s="75">
        <v>315</v>
      </c>
      <c r="D1347" s="76">
        <v>43358.104548611111</v>
      </c>
      <c r="E1347" s="77">
        <v>43344</v>
      </c>
      <c r="F1347" s="78">
        <v>0.10454861111111112</v>
      </c>
      <c r="G1347" s="75">
        <v>2</v>
      </c>
      <c r="H1347" s="75">
        <v>30</v>
      </c>
      <c r="I1347" s="75">
        <v>33</v>
      </c>
    </row>
    <row r="1348" spans="1:9">
      <c r="A1348" s="75">
        <v>306</v>
      </c>
      <c r="B1348" s="75">
        <v>3</v>
      </c>
      <c r="C1348" s="75">
        <v>309</v>
      </c>
      <c r="D1348" s="76">
        <v>43358.114976851852</v>
      </c>
      <c r="E1348" s="77">
        <v>43344</v>
      </c>
      <c r="F1348" s="78">
        <v>0.11497685185185186</v>
      </c>
      <c r="G1348" s="75">
        <v>2</v>
      </c>
      <c r="H1348" s="75">
        <v>45</v>
      </c>
      <c r="I1348" s="75">
        <v>34</v>
      </c>
    </row>
    <row r="1349" spans="1:9">
      <c r="A1349" s="75">
        <v>257</v>
      </c>
      <c r="B1349" s="75">
        <v>4</v>
      </c>
      <c r="C1349" s="75">
        <v>261</v>
      </c>
      <c r="D1349" s="76">
        <v>43358.125393518516</v>
      </c>
      <c r="E1349" s="77">
        <v>43344</v>
      </c>
      <c r="F1349" s="78">
        <v>0.12539351851851852</v>
      </c>
      <c r="G1349" s="75">
        <v>2</v>
      </c>
      <c r="H1349" s="75">
        <v>0</v>
      </c>
      <c r="I1349" s="75">
        <v>34</v>
      </c>
    </row>
    <row r="1350" spans="1:9">
      <c r="A1350" s="75">
        <v>234</v>
      </c>
      <c r="B1350" s="75">
        <v>2</v>
      </c>
      <c r="C1350" s="75">
        <v>236</v>
      </c>
      <c r="D1350" s="76">
        <v>43358.135810185187</v>
      </c>
      <c r="E1350" s="77">
        <v>43344</v>
      </c>
      <c r="F1350" s="78">
        <v>0.1358101851851852</v>
      </c>
      <c r="G1350" s="75">
        <v>2</v>
      </c>
      <c r="H1350" s="75">
        <v>15</v>
      </c>
      <c r="I1350" s="75">
        <v>34</v>
      </c>
    </row>
    <row r="1351" spans="1:9">
      <c r="A1351" s="75">
        <v>221</v>
      </c>
      <c r="B1351" s="75">
        <v>3</v>
      </c>
      <c r="C1351" s="75">
        <v>224</v>
      </c>
      <c r="D1351" s="76">
        <v>43358.146226851852</v>
      </c>
      <c r="E1351" s="77">
        <v>43344</v>
      </c>
      <c r="F1351" s="78">
        <v>0.14622685185185186</v>
      </c>
      <c r="G1351" s="75">
        <v>2</v>
      </c>
      <c r="H1351" s="75">
        <v>30</v>
      </c>
      <c r="I1351" s="75">
        <v>34</v>
      </c>
    </row>
    <row r="1352" spans="1:9">
      <c r="A1352" s="75">
        <v>212</v>
      </c>
      <c r="B1352" s="75">
        <v>0</v>
      </c>
      <c r="C1352" s="75">
        <v>211</v>
      </c>
      <c r="D1352" s="76">
        <v>43358.156631944446</v>
      </c>
      <c r="E1352" s="77">
        <v>43344</v>
      </c>
      <c r="F1352" s="78">
        <v>0.15663194444444445</v>
      </c>
      <c r="G1352" s="75">
        <v>2</v>
      </c>
      <c r="H1352" s="75">
        <v>45</v>
      </c>
      <c r="I1352" s="75">
        <v>33</v>
      </c>
    </row>
    <row r="1353" spans="1:9">
      <c r="A1353" s="75">
        <v>211</v>
      </c>
      <c r="B1353" s="75">
        <v>0</v>
      </c>
      <c r="C1353" s="75">
        <v>210</v>
      </c>
      <c r="D1353" s="76">
        <v>43358.167060185187</v>
      </c>
      <c r="E1353" s="77">
        <v>43344</v>
      </c>
      <c r="F1353" s="78">
        <v>0.16706018518518517</v>
      </c>
      <c r="G1353" s="75">
        <v>2</v>
      </c>
      <c r="H1353" s="75">
        <v>0</v>
      </c>
      <c r="I1353" s="75">
        <v>34</v>
      </c>
    </row>
    <row r="1354" spans="1:9">
      <c r="A1354" s="75">
        <v>189</v>
      </c>
      <c r="B1354" s="75">
        <v>3</v>
      </c>
      <c r="C1354" s="75">
        <v>192</v>
      </c>
      <c r="D1354" s="76">
        <v>43358.177476851852</v>
      </c>
      <c r="E1354" s="77">
        <v>43344</v>
      </c>
      <c r="F1354" s="78">
        <v>0.17747685185185183</v>
      </c>
      <c r="G1354" s="75">
        <v>2</v>
      </c>
      <c r="H1354" s="75">
        <v>15</v>
      </c>
      <c r="I1354" s="75">
        <v>34</v>
      </c>
    </row>
    <row r="1355" spans="1:9">
      <c r="A1355" s="75">
        <v>194</v>
      </c>
      <c r="B1355" s="75">
        <v>3</v>
      </c>
      <c r="C1355" s="75">
        <v>197</v>
      </c>
      <c r="D1355" s="76">
        <v>43358.187893518516</v>
      </c>
      <c r="E1355" s="77">
        <v>43344</v>
      </c>
      <c r="F1355" s="78">
        <v>0.18789351851851852</v>
      </c>
      <c r="G1355" s="75">
        <v>2</v>
      </c>
      <c r="H1355" s="75">
        <v>30</v>
      </c>
      <c r="I1355" s="75">
        <v>34</v>
      </c>
    </row>
    <row r="1356" spans="1:9">
      <c r="A1356" s="75">
        <v>202</v>
      </c>
      <c r="B1356" s="75">
        <v>0</v>
      </c>
      <c r="C1356" s="75">
        <v>202</v>
      </c>
      <c r="D1356" s="76">
        <v>43358.198298611111</v>
      </c>
      <c r="E1356" s="77">
        <v>43344</v>
      </c>
      <c r="F1356" s="78">
        <v>0.19829861111111111</v>
      </c>
      <c r="G1356" s="75">
        <v>2</v>
      </c>
      <c r="H1356" s="75">
        <v>45</v>
      </c>
      <c r="I1356" s="75">
        <v>33</v>
      </c>
    </row>
    <row r="1357" spans="1:9">
      <c r="A1357" s="75">
        <v>189</v>
      </c>
      <c r="B1357" s="75">
        <v>0</v>
      </c>
      <c r="C1357" s="75">
        <v>189</v>
      </c>
      <c r="D1357" s="76">
        <v>43358.208726851852</v>
      </c>
      <c r="E1357" s="77">
        <v>43344</v>
      </c>
      <c r="F1357" s="78">
        <v>0.20872685185185183</v>
      </c>
      <c r="G1357" s="75">
        <v>2</v>
      </c>
      <c r="H1357" s="75">
        <v>0</v>
      </c>
      <c r="I1357" s="75">
        <v>34</v>
      </c>
    </row>
    <row r="1358" spans="1:9">
      <c r="A1358" s="75">
        <v>166</v>
      </c>
      <c r="B1358" s="75">
        <v>0</v>
      </c>
      <c r="C1358" s="75">
        <v>166</v>
      </c>
      <c r="D1358" s="76">
        <v>43358.219143518516</v>
      </c>
      <c r="E1358" s="77">
        <v>43344</v>
      </c>
      <c r="F1358" s="78">
        <v>0.21914351851851852</v>
      </c>
      <c r="G1358" s="75">
        <v>2</v>
      </c>
      <c r="H1358" s="75">
        <v>15</v>
      </c>
      <c r="I1358" s="75">
        <v>34</v>
      </c>
    </row>
    <row r="1359" spans="1:9">
      <c r="A1359" s="75">
        <v>162</v>
      </c>
      <c r="B1359" s="75">
        <v>0</v>
      </c>
      <c r="C1359" s="75">
        <v>161</v>
      </c>
      <c r="D1359" s="76">
        <v>43358.229560185187</v>
      </c>
      <c r="E1359" s="77">
        <v>43344</v>
      </c>
      <c r="F1359" s="78">
        <v>0.22956018518518517</v>
      </c>
      <c r="G1359" s="75">
        <v>2</v>
      </c>
      <c r="H1359" s="75">
        <v>30</v>
      </c>
      <c r="I1359" s="75">
        <v>34</v>
      </c>
    </row>
    <row r="1360" spans="1:9">
      <c r="A1360" s="75">
        <v>156</v>
      </c>
      <c r="B1360" s="75">
        <v>0</v>
      </c>
      <c r="C1360" s="75">
        <v>155</v>
      </c>
      <c r="D1360" s="76">
        <v>43358.239965277775</v>
      </c>
      <c r="E1360" s="77">
        <v>43344</v>
      </c>
      <c r="F1360" s="78">
        <v>0.23996527777777776</v>
      </c>
      <c r="G1360" s="75">
        <v>2</v>
      </c>
      <c r="H1360" s="75">
        <v>45</v>
      </c>
      <c r="I1360" s="75">
        <v>33</v>
      </c>
    </row>
    <row r="1361" spans="1:9">
      <c r="A1361" s="75">
        <v>148</v>
      </c>
      <c r="B1361" s="75">
        <v>0</v>
      </c>
      <c r="C1361" s="75">
        <v>148</v>
      </c>
      <c r="D1361" s="76">
        <v>43358.250393518516</v>
      </c>
      <c r="E1361" s="77">
        <v>43344</v>
      </c>
      <c r="F1361" s="78">
        <v>0.25039351851851849</v>
      </c>
      <c r="G1361" s="75">
        <v>2</v>
      </c>
      <c r="H1361" s="75">
        <v>0</v>
      </c>
      <c r="I1361" s="75">
        <v>34</v>
      </c>
    </row>
    <row r="1362" spans="1:9">
      <c r="A1362" s="75">
        <v>114</v>
      </c>
      <c r="B1362" s="75">
        <v>0</v>
      </c>
      <c r="C1362" s="75">
        <v>113</v>
      </c>
      <c r="D1362" s="76">
        <v>43358.260810185187</v>
      </c>
      <c r="E1362" s="77">
        <v>43344</v>
      </c>
      <c r="F1362" s="78">
        <v>0.26081018518518517</v>
      </c>
      <c r="G1362" s="75">
        <v>2</v>
      </c>
      <c r="H1362" s="75">
        <v>15</v>
      </c>
      <c r="I1362" s="75">
        <v>34</v>
      </c>
    </row>
    <row r="1363" spans="1:9">
      <c r="A1363" s="75">
        <v>120</v>
      </c>
      <c r="B1363" s="75">
        <v>0</v>
      </c>
      <c r="C1363" s="75">
        <v>119</v>
      </c>
      <c r="D1363" s="76">
        <v>43358.273865740739</v>
      </c>
      <c r="E1363" s="77">
        <v>43344</v>
      </c>
      <c r="F1363" s="78">
        <v>0.27386574074074072</v>
      </c>
      <c r="G1363" s="75">
        <v>2</v>
      </c>
      <c r="H1363" s="75">
        <v>34</v>
      </c>
      <c r="I1363" s="75">
        <v>22</v>
      </c>
    </row>
    <row r="1364" spans="1:9">
      <c r="A1364" s="75">
        <v>105</v>
      </c>
      <c r="B1364" s="75">
        <v>0</v>
      </c>
      <c r="C1364" s="75">
        <v>99</v>
      </c>
      <c r="D1364" s="76">
        <v>43358.281631944446</v>
      </c>
      <c r="E1364" s="77">
        <v>43344</v>
      </c>
      <c r="F1364" s="78">
        <v>0.28163194444444445</v>
      </c>
      <c r="G1364" s="75">
        <v>2</v>
      </c>
      <c r="H1364" s="75">
        <v>45</v>
      </c>
      <c r="I1364" s="75">
        <v>33</v>
      </c>
    </row>
    <row r="1365" spans="1:9">
      <c r="A1365" s="75">
        <v>84</v>
      </c>
      <c r="B1365" s="75">
        <v>0</v>
      </c>
      <c r="C1365" s="75">
        <v>84</v>
      </c>
      <c r="D1365" s="76">
        <v>43358.292060185187</v>
      </c>
      <c r="E1365" s="77">
        <v>43344</v>
      </c>
      <c r="F1365" s="78">
        <v>0.29206018518518517</v>
      </c>
      <c r="G1365" s="75">
        <v>2</v>
      </c>
      <c r="H1365" s="75">
        <v>0</v>
      </c>
      <c r="I1365" s="75">
        <v>34</v>
      </c>
    </row>
    <row r="1366" spans="1:9">
      <c r="A1366" s="75">
        <v>87</v>
      </c>
      <c r="B1366" s="75">
        <v>0</v>
      </c>
      <c r="C1366" s="75">
        <v>87</v>
      </c>
      <c r="D1366" s="76">
        <v>43358.302488425928</v>
      </c>
      <c r="E1366" s="77">
        <v>43344</v>
      </c>
      <c r="F1366" s="78">
        <v>0.3024884259259259</v>
      </c>
      <c r="G1366" s="75">
        <v>2</v>
      </c>
      <c r="H1366" s="75">
        <v>15</v>
      </c>
      <c r="I1366" s="75">
        <v>35</v>
      </c>
    </row>
    <row r="1367" spans="1:9">
      <c r="A1367" s="75">
        <v>80</v>
      </c>
      <c r="B1367" s="75">
        <v>0</v>
      </c>
      <c r="C1367" s="75">
        <v>79</v>
      </c>
      <c r="D1367" s="76">
        <v>43358.312905092593</v>
      </c>
      <c r="E1367" s="77">
        <v>43344</v>
      </c>
      <c r="F1367" s="78">
        <v>0.31290509259259258</v>
      </c>
      <c r="G1367" s="75">
        <v>2</v>
      </c>
      <c r="H1367" s="75">
        <v>30</v>
      </c>
      <c r="I1367" s="75">
        <v>35</v>
      </c>
    </row>
    <row r="1368" spans="1:9">
      <c r="A1368" s="75">
        <v>80</v>
      </c>
      <c r="B1368" s="75">
        <v>0</v>
      </c>
      <c r="C1368" s="75">
        <v>79</v>
      </c>
      <c r="D1368" s="76">
        <v>43358.323321759257</v>
      </c>
      <c r="E1368" s="77">
        <v>43344</v>
      </c>
      <c r="F1368" s="78">
        <v>0.32332175925925927</v>
      </c>
      <c r="G1368" s="75">
        <v>2</v>
      </c>
      <c r="H1368" s="75">
        <v>45</v>
      </c>
      <c r="I1368" s="75">
        <v>35</v>
      </c>
    </row>
    <row r="1369" spans="1:9">
      <c r="A1369" s="75">
        <v>70</v>
      </c>
      <c r="B1369" s="75">
        <v>0</v>
      </c>
      <c r="C1369" s="75">
        <v>69</v>
      </c>
      <c r="D1369" s="76">
        <v>43358.333738425928</v>
      </c>
      <c r="E1369" s="77">
        <v>43344</v>
      </c>
      <c r="F1369" s="78">
        <v>0.33373842592592595</v>
      </c>
      <c r="G1369" s="75">
        <v>2</v>
      </c>
      <c r="H1369" s="75">
        <v>0</v>
      </c>
      <c r="I1369" s="75">
        <v>35</v>
      </c>
    </row>
    <row r="1370" spans="1:9">
      <c r="A1370" s="75">
        <v>80</v>
      </c>
      <c r="B1370" s="75">
        <v>0</v>
      </c>
      <c r="C1370" s="75">
        <v>79</v>
      </c>
      <c r="D1370" s="76">
        <v>43358.344155092593</v>
      </c>
      <c r="E1370" s="77">
        <v>43344</v>
      </c>
      <c r="F1370" s="78">
        <v>0.34415509259259264</v>
      </c>
      <c r="G1370" s="75">
        <v>2</v>
      </c>
      <c r="H1370" s="75">
        <v>15</v>
      </c>
      <c r="I1370" s="75">
        <v>35</v>
      </c>
    </row>
    <row r="1371" spans="1:9">
      <c r="A1371" s="75">
        <v>120</v>
      </c>
      <c r="B1371" s="75">
        <v>0</v>
      </c>
      <c r="C1371" s="75">
        <v>119</v>
      </c>
      <c r="D1371" s="76">
        <v>43358.354571759257</v>
      </c>
      <c r="E1371" s="77">
        <v>43344</v>
      </c>
      <c r="F1371" s="78">
        <v>0.35457175925925927</v>
      </c>
      <c r="G1371" s="75">
        <v>2</v>
      </c>
      <c r="H1371" s="75">
        <v>30</v>
      </c>
      <c r="I1371" s="75">
        <v>35</v>
      </c>
    </row>
    <row r="1372" spans="1:9">
      <c r="A1372" s="75">
        <v>115</v>
      </c>
      <c r="B1372" s="75">
        <v>0</v>
      </c>
      <c r="C1372" s="75">
        <v>115</v>
      </c>
      <c r="D1372" s="76">
        <v>43358.364988425928</v>
      </c>
      <c r="E1372" s="77">
        <v>43344</v>
      </c>
      <c r="F1372" s="78">
        <v>0.36498842592592595</v>
      </c>
      <c r="G1372" s="75">
        <v>2</v>
      </c>
      <c r="H1372" s="75">
        <v>45</v>
      </c>
      <c r="I1372" s="75">
        <v>35</v>
      </c>
    </row>
    <row r="1373" spans="1:9">
      <c r="A1373" s="75">
        <v>68</v>
      </c>
      <c r="B1373" s="75">
        <v>0</v>
      </c>
      <c r="C1373" s="75">
        <v>67</v>
      </c>
      <c r="D1373" s="76">
        <v>43358.375405092593</v>
      </c>
      <c r="E1373" s="77">
        <v>43344</v>
      </c>
      <c r="F1373" s="78">
        <v>0.37540509259259264</v>
      </c>
      <c r="G1373" s="75">
        <v>2</v>
      </c>
      <c r="H1373" s="75">
        <v>0</v>
      </c>
      <c r="I1373" s="75">
        <v>35</v>
      </c>
    </row>
    <row r="1374" spans="1:9">
      <c r="A1374" s="75">
        <v>104</v>
      </c>
      <c r="B1374" s="75">
        <v>0</v>
      </c>
      <c r="C1374" s="75">
        <v>104</v>
      </c>
      <c r="D1374" s="76">
        <v>43358.385810185187</v>
      </c>
      <c r="E1374" s="77">
        <v>43344</v>
      </c>
      <c r="F1374" s="78">
        <v>0.38581018518518517</v>
      </c>
      <c r="G1374" s="75">
        <v>2</v>
      </c>
      <c r="H1374" s="75">
        <v>15</v>
      </c>
      <c r="I1374" s="75">
        <v>34</v>
      </c>
    </row>
    <row r="1375" spans="1:9">
      <c r="A1375" s="75">
        <v>128</v>
      </c>
      <c r="B1375" s="75">
        <v>0</v>
      </c>
      <c r="C1375" s="75">
        <v>127</v>
      </c>
      <c r="D1375" s="76">
        <v>43358.396238425928</v>
      </c>
      <c r="E1375" s="77">
        <v>43344</v>
      </c>
      <c r="F1375" s="78">
        <v>0.39623842592592595</v>
      </c>
      <c r="G1375" s="75">
        <v>2</v>
      </c>
      <c r="H1375" s="75">
        <v>30</v>
      </c>
      <c r="I1375" s="75">
        <v>35</v>
      </c>
    </row>
    <row r="1376" spans="1:9">
      <c r="A1376" s="75">
        <v>159</v>
      </c>
      <c r="B1376" s="75">
        <v>0</v>
      </c>
      <c r="C1376" s="75">
        <v>159</v>
      </c>
      <c r="D1376" s="76">
        <v>43358.406655092593</v>
      </c>
      <c r="E1376" s="77">
        <v>43344</v>
      </c>
      <c r="F1376" s="78">
        <v>0.40665509259259264</v>
      </c>
      <c r="G1376" s="75">
        <v>2</v>
      </c>
      <c r="H1376" s="75">
        <v>45</v>
      </c>
      <c r="I1376" s="75">
        <v>35</v>
      </c>
    </row>
    <row r="1377" spans="1:9">
      <c r="A1377" s="75">
        <v>110</v>
      </c>
      <c r="B1377" s="75">
        <v>0</v>
      </c>
      <c r="C1377" s="75">
        <v>109</v>
      </c>
      <c r="D1377" s="76">
        <v>43358.417071759257</v>
      </c>
      <c r="E1377" s="77">
        <v>43344</v>
      </c>
      <c r="F1377" s="78">
        <v>0.41707175925925927</v>
      </c>
      <c r="G1377" s="75">
        <v>2</v>
      </c>
      <c r="H1377" s="75">
        <v>0</v>
      </c>
      <c r="I1377" s="75">
        <v>35</v>
      </c>
    </row>
    <row r="1378" spans="1:9">
      <c r="A1378" s="75">
        <v>136</v>
      </c>
      <c r="B1378" s="75">
        <v>0</v>
      </c>
      <c r="C1378" s="75">
        <v>135</v>
      </c>
      <c r="D1378" s="76">
        <v>43358.427488425928</v>
      </c>
      <c r="E1378" s="77">
        <v>43344</v>
      </c>
      <c r="F1378" s="78">
        <v>0.42748842592592595</v>
      </c>
      <c r="G1378" s="75">
        <v>2</v>
      </c>
      <c r="H1378" s="75">
        <v>15</v>
      </c>
      <c r="I1378" s="75">
        <v>35</v>
      </c>
    </row>
    <row r="1379" spans="1:9">
      <c r="A1379" s="75">
        <v>174</v>
      </c>
      <c r="B1379" s="75">
        <v>2</v>
      </c>
      <c r="C1379" s="75">
        <v>176</v>
      </c>
      <c r="D1379" s="76">
        <v>43358.437905092593</v>
      </c>
      <c r="E1379" s="77">
        <v>43344</v>
      </c>
      <c r="F1379" s="78">
        <v>0.43790509259259264</v>
      </c>
      <c r="G1379" s="75">
        <v>2</v>
      </c>
      <c r="H1379" s="75">
        <v>30</v>
      </c>
      <c r="I1379" s="75">
        <v>35</v>
      </c>
    </row>
    <row r="1380" spans="1:9">
      <c r="A1380" s="75">
        <v>244</v>
      </c>
      <c r="B1380" s="75">
        <v>0</v>
      </c>
      <c r="C1380" s="75">
        <v>244</v>
      </c>
      <c r="D1380" s="76">
        <v>43358.448310185187</v>
      </c>
      <c r="E1380" s="77">
        <v>43344</v>
      </c>
      <c r="F1380" s="78">
        <v>0.44831018518518517</v>
      </c>
      <c r="G1380" s="75">
        <v>2</v>
      </c>
      <c r="H1380" s="75">
        <v>45</v>
      </c>
      <c r="I1380" s="75">
        <v>34</v>
      </c>
    </row>
    <row r="1381" spans="1:9">
      <c r="A1381" s="75">
        <v>189</v>
      </c>
      <c r="B1381" s="75">
        <v>0</v>
      </c>
      <c r="C1381" s="75">
        <v>189</v>
      </c>
      <c r="D1381" s="76">
        <v>43358.458738425928</v>
      </c>
      <c r="E1381" s="77">
        <v>43344</v>
      </c>
      <c r="F1381" s="78">
        <v>0.45873842592592595</v>
      </c>
      <c r="G1381" s="75">
        <v>2</v>
      </c>
      <c r="H1381" s="75">
        <v>0</v>
      </c>
      <c r="I1381" s="75">
        <v>35</v>
      </c>
    </row>
    <row r="1382" spans="1:9">
      <c r="A1382" s="75">
        <v>212</v>
      </c>
      <c r="B1382" s="75">
        <v>0</v>
      </c>
      <c r="C1382" s="75">
        <v>203</v>
      </c>
      <c r="D1382" s="76">
        <v>43358.469155092593</v>
      </c>
      <c r="E1382" s="77">
        <v>43344</v>
      </c>
      <c r="F1382" s="78">
        <v>0.46915509259259264</v>
      </c>
      <c r="G1382" s="75">
        <v>2</v>
      </c>
      <c r="H1382" s="75">
        <v>15</v>
      </c>
      <c r="I1382" s="75">
        <v>35</v>
      </c>
    </row>
    <row r="1383" spans="1:9">
      <c r="A1383" s="75">
        <v>222</v>
      </c>
      <c r="B1383" s="75">
        <v>0</v>
      </c>
      <c r="C1383" s="75">
        <v>222</v>
      </c>
      <c r="D1383" s="76">
        <v>43358.479571759257</v>
      </c>
      <c r="E1383" s="77">
        <v>43344</v>
      </c>
      <c r="F1383" s="78">
        <v>0.47957175925925927</v>
      </c>
      <c r="G1383" s="75">
        <v>2</v>
      </c>
      <c r="H1383" s="75">
        <v>30</v>
      </c>
      <c r="I1383" s="75">
        <v>35</v>
      </c>
    </row>
    <row r="1384" spans="1:9">
      <c r="A1384" s="75">
        <v>323</v>
      </c>
      <c r="B1384" s="75">
        <v>4</v>
      </c>
      <c r="C1384" s="75">
        <v>327</v>
      </c>
      <c r="D1384" s="76">
        <v>43358.489976851852</v>
      </c>
      <c r="E1384" s="77">
        <v>43344</v>
      </c>
      <c r="F1384" s="78">
        <v>0.48997685185185186</v>
      </c>
      <c r="G1384" s="75">
        <v>2</v>
      </c>
      <c r="H1384" s="75">
        <v>45</v>
      </c>
      <c r="I1384" s="75">
        <v>34</v>
      </c>
    </row>
    <row r="1385" spans="1:9">
      <c r="A1385" s="75">
        <v>274</v>
      </c>
      <c r="B1385" s="75">
        <v>0</v>
      </c>
      <c r="C1385" s="75">
        <v>271</v>
      </c>
      <c r="D1385" s="76">
        <v>43358.500405092593</v>
      </c>
      <c r="E1385" s="77">
        <v>43344</v>
      </c>
      <c r="F1385" s="78">
        <v>0.50040509259259258</v>
      </c>
      <c r="G1385" s="75">
        <v>2</v>
      </c>
      <c r="H1385" s="75">
        <v>0</v>
      </c>
      <c r="I1385" s="75">
        <v>35</v>
      </c>
    </row>
    <row r="1386" spans="1:9">
      <c r="A1386" s="75">
        <v>247</v>
      </c>
      <c r="B1386" s="75">
        <v>0</v>
      </c>
      <c r="C1386" s="75">
        <v>247</v>
      </c>
      <c r="D1386" s="76">
        <v>43358.510810185187</v>
      </c>
      <c r="E1386" s="77">
        <v>43344</v>
      </c>
      <c r="F1386" s="78">
        <v>0.51081018518518517</v>
      </c>
      <c r="G1386" s="75">
        <v>2</v>
      </c>
      <c r="H1386" s="75">
        <v>15</v>
      </c>
      <c r="I1386" s="75">
        <v>34</v>
      </c>
    </row>
    <row r="1387" spans="1:9">
      <c r="A1387" s="75">
        <v>311</v>
      </c>
      <c r="B1387" s="75">
        <v>1</v>
      </c>
      <c r="C1387" s="75">
        <v>312</v>
      </c>
      <c r="D1387" s="76">
        <v>43358.521238425928</v>
      </c>
      <c r="E1387" s="77">
        <v>43344</v>
      </c>
      <c r="F1387" s="78">
        <v>0.52123842592592595</v>
      </c>
      <c r="G1387" s="75">
        <v>2</v>
      </c>
      <c r="H1387" s="75">
        <v>30</v>
      </c>
      <c r="I1387" s="75">
        <v>35</v>
      </c>
    </row>
    <row r="1388" spans="1:9">
      <c r="A1388" s="75">
        <v>329</v>
      </c>
      <c r="B1388" s="75">
        <v>2</v>
      </c>
      <c r="C1388" s="75">
        <v>331</v>
      </c>
      <c r="D1388" s="76">
        <v>43358.531655092593</v>
      </c>
      <c r="E1388" s="77">
        <v>43344</v>
      </c>
      <c r="F1388" s="78">
        <v>0.53165509259259258</v>
      </c>
      <c r="G1388" s="75">
        <v>2</v>
      </c>
      <c r="H1388" s="75">
        <v>45</v>
      </c>
      <c r="I1388" s="75">
        <v>35</v>
      </c>
    </row>
    <row r="1389" spans="1:9">
      <c r="A1389" s="75">
        <v>322</v>
      </c>
      <c r="B1389" s="75">
        <v>2</v>
      </c>
      <c r="C1389" s="75">
        <v>314</v>
      </c>
      <c r="D1389" s="76">
        <v>43358.542071759257</v>
      </c>
      <c r="E1389" s="77">
        <v>43344</v>
      </c>
      <c r="F1389" s="78">
        <v>0.54207175925925932</v>
      </c>
      <c r="G1389" s="75">
        <v>2</v>
      </c>
      <c r="H1389" s="75">
        <v>0</v>
      </c>
      <c r="I1389" s="75">
        <v>35</v>
      </c>
    </row>
    <row r="1390" spans="1:9">
      <c r="A1390" s="75">
        <v>343</v>
      </c>
      <c r="B1390" s="75">
        <v>4</v>
      </c>
      <c r="C1390" s="75">
        <v>347</v>
      </c>
      <c r="D1390" s="76">
        <v>43358.552488425928</v>
      </c>
      <c r="E1390" s="77">
        <v>43344</v>
      </c>
      <c r="F1390" s="78">
        <v>0.55248842592592595</v>
      </c>
      <c r="G1390" s="75">
        <v>2</v>
      </c>
      <c r="H1390" s="75">
        <v>15</v>
      </c>
      <c r="I1390" s="75">
        <v>35</v>
      </c>
    </row>
    <row r="1391" spans="1:9">
      <c r="A1391" s="75">
        <v>332</v>
      </c>
      <c r="B1391" s="75">
        <v>2</v>
      </c>
      <c r="C1391" s="75">
        <v>334</v>
      </c>
      <c r="D1391" s="76">
        <v>43358.562905092593</v>
      </c>
      <c r="E1391" s="77">
        <v>43344</v>
      </c>
      <c r="F1391" s="78">
        <v>0.56290509259259258</v>
      </c>
      <c r="G1391" s="75">
        <v>2</v>
      </c>
      <c r="H1391" s="75">
        <v>30</v>
      </c>
      <c r="I1391" s="75">
        <v>35</v>
      </c>
    </row>
    <row r="1392" spans="1:9">
      <c r="A1392" s="75">
        <v>358</v>
      </c>
      <c r="B1392" s="75">
        <v>3</v>
      </c>
      <c r="C1392" s="75">
        <v>361</v>
      </c>
      <c r="D1392" s="76">
        <v>43358.573310185187</v>
      </c>
      <c r="E1392" s="77">
        <v>43344</v>
      </c>
      <c r="F1392" s="78">
        <v>0.57331018518518517</v>
      </c>
      <c r="G1392" s="75">
        <v>2</v>
      </c>
      <c r="H1392" s="75">
        <v>45</v>
      </c>
      <c r="I1392" s="75">
        <v>34</v>
      </c>
    </row>
    <row r="1393" spans="1:9">
      <c r="A1393" s="75">
        <v>360</v>
      </c>
      <c r="B1393" s="75">
        <v>8</v>
      </c>
      <c r="C1393" s="75">
        <v>368</v>
      </c>
      <c r="D1393" s="76">
        <v>43358.583738425928</v>
      </c>
      <c r="E1393" s="77">
        <v>43344</v>
      </c>
      <c r="F1393" s="78">
        <v>0.58373842592592595</v>
      </c>
      <c r="G1393" s="75">
        <v>2</v>
      </c>
      <c r="H1393" s="75">
        <v>0</v>
      </c>
      <c r="I1393" s="75">
        <v>35</v>
      </c>
    </row>
    <row r="1394" spans="1:9">
      <c r="A1394" s="75">
        <v>379</v>
      </c>
      <c r="B1394" s="75">
        <v>5</v>
      </c>
      <c r="C1394" s="75">
        <v>384</v>
      </c>
      <c r="D1394" s="76">
        <v>43358.594155092593</v>
      </c>
      <c r="E1394" s="77">
        <v>43344</v>
      </c>
      <c r="F1394" s="78">
        <v>0.59415509259259258</v>
      </c>
      <c r="G1394" s="75">
        <v>2</v>
      </c>
      <c r="H1394" s="75">
        <v>15</v>
      </c>
      <c r="I1394" s="75">
        <v>35</v>
      </c>
    </row>
    <row r="1395" spans="1:9">
      <c r="A1395" s="75">
        <v>381</v>
      </c>
      <c r="B1395" s="75">
        <v>5</v>
      </c>
      <c r="C1395" s="75">
        <v>386</v>
      </c>
      <c r="D1395" s="76">
        <v>43358.604560185187</v>
      </c>
      <c r="E1395" s="77">
        <v>43344</v>
      </c>
      <c r="F1395" s="78">
        <v>0.60456018518518517</v>
      </c>
      <c r="G1395" s="75">
        <v>2</v>
      </c>
      <c r="H1395" s="75">
        <v>30</v>
      </c>
      <c r="I1395" s="75">
        <v>34</v>
      </c>
    </row>
    <row r="1396" spans="1:9">
      <c r="A1396" s="75">
        <v>402</v>
      </c>
      <c r="B1396" s="75">
        <v>8</v>
      </c>
      <c r="C1396" s="75">
        <v>410</v>
      </c>
      <c r="D1396" s="76">
        <v>43358.614976851852</v>
      </c>
      <c r="E1396" s="77">
        <v>43344</v>
      </c>
      <c r="F1396" s="78">
        <v>0.6149768518518518</v>
      </c>
      <c r="G1396" s="75">
        <v>2</v>
      </c>
      <c r="H1396" s="75">
        <v>45</v>
      </c>
      <c r="I1396" s="75">
        <v>34</v>
      </c>
    </row>
    <row r="1397" spans="1:9">
      <c r="A1397" s="75">
        <v>410</v>
      </c>
      <c r="B1397" s="75">
        <v>2</v>
      </c>
      <c r="C1397" s="75">
        <v>412</v>
      </c>
      <c r="D1397" s="76">
        <v>43358.625405092593</v>
      </c>
      <c r="E1397" s="77">
        <v>43344</v>
      </c>
      <c r="F1397" s="78">
        <v>0.62540509259259258</v>
      </c>
      <c r="G1397" s="75">
        <v>2</v>
      </c>
      <c r="H1397" s="75">
        <v>0</v>
      </c>
      <c r="I1397" s="75">
        <v>35</v>
      </c>
    </row>
    <row r="1398" spans="1:9">
      <c r="A1398" s="75">
        <v>446</v>
      </c>
      <c r="B1398" s="75">
        <v>4</v>
      </c>
      <c r="C1398" s="75">
        <v>450</v>
      </c>
      <c r="D1398" s="76">
        <v>43358.635810185187</v>
      </c>
      <c r="E1398" s="77">
        <v>43344</v>
      </c>
      <c r="F1398" s="78">
        <v>0.63581018518518517</v>
      </c>
      <c r="G1398" s="75">
        <v>2</v>
      </c>
      <c r="H1398" s="75">
        <v>15</v>
      </c>
      <c r="I1398" s="75">
        <v>34</v>
      </c>
    </row>
    <row r="1399" spans="1:9">
      <c r="A1399" s="75">
        <v>448</v>
      </c>
      <c r="B1399" s="75">
        <v>4</v>
      </c>
      <c r="C1399" s="75">
        <v>452</v>
      </c>
      <c r="D1399" s="76">
        <v>43358.646226851852</v>
      </c>
      <c r="E1399" s="77">
        <v>43344</v>
      </c>
      <c r="F1399" s="78">
        <v>0.6462268518518518</v>
      </c>
      <c r="G1399" s="75">
        <v>2</v>
      </c>
      <c r="H1399" s="75">
        <v>30</v>
      </c>
      <c r="I1399" s="75">
        <v>34</v>
      </c>
    </row>
    <row r="1400" spans="1:9">
      <c r="A1400" s="75">
        <v>470</v>
      </c>
      <c r="B1400" s="75">
        <v>4</v>
      </c>
      <c r="C1400" s="75">
        <v>467</v>
      </c>
      <c r="D1400" s="76">
        <v>43358.656643518516</v>
      </c>
      <c r="E1400" s="77">
        <v>43344</v>
      </c>
      <c r="F1400" s="78">
        <v>0.65664351851851854</v>
      </c>
      <c r="G1400" s="75">
        <v>2</v>
      </c>
      <c r="H1400" s="75">
        <v>45</v>
      </c>
      <c r="I1400" s="75">
        <v>34</v>
      </c>
    </row>
    <row r="1401" spans="1:9">
      <c r="A1401" s="75">
        <v>418</v>
      </c>
      <c r="B1401" s="75">
        <v>1</v>
      </c>
      <c r="C1401" s="75">
        <v>419</v>
      </c>
      <c r="D1401" s="76">
        <v>43358.667071759257</v>
      </c>
      <c r="E1401" s="77">
        <v>43344</v>
      </c>
      <c r="F1401" s="78">
        <v>0.66707175925925932</v>
      </c>
      <c r="G1401" s="75">
        <v>2</v>
      </c>
      <c r="H1401" s="75">
        <v>0</v>
      </c>
      <c r="I1401" s="75">
        <v>35</v>
      </c>
    </row>
    <row r="1402" spans="1:9">
      <c r="A1402" s="75">
        <v>448</v>
      </c>
      <c r="B1402" s="75">
        <v>5</v>
      </c>
      <c r="C1402" s="75">
        <v>453</v>
      </c>
      <c r="D1402" s="76">
        <v>43358.677476851852</v>
      </c>
      <c r="E1402" s="77">
        <v>43344</v>
      </c>
      <c r="F1402" s="78">
        <v>0.6774768518518518</v>
      </c>
      <c r="G1402" s="75">
        <v>2</v>
      </c>
      <c r="H1402" s="75">
        <v>15</v>
      </c>
      <c r="I1402" s="75">
        <v>34</v>
      </c>
    </row>
    <row r="1403" spans="1:9">
      <c r="A1403" s="75">
        <v>390</v>
      </c>
      <c r="B1403" s="75">
        <v>4</v>
      </c>
      <c r="C1403" s="75">
        <v>394</v>
      </c>
      <c r="D1403" s="76">
        <v>43358.687893518516</v>
      </c>
      <c r="E1403" s="77">
        <v>43344</v>
      </c>
      <c r="F1403" s="78">
        <v>0.68789351851851854</v>
      </c>
      <c r="G1403" s="75">
        <v>2</v>
      </c>
      <c r="H1403" s="75">
        <v>30</v>
      </c>
      <c r="I1403" s="75">
        <v>34</v>
      </c>
    </row>
    <row r="1404" spans="1:9">
      <c r="A1404" s="75">
        <v>430</v>
      </c>
      <c r="B1404" s="75">
        <v>6</v>
      </c>
      <c r="C1404" s="75">
        <v>436</v>
      </c>
      <c r="D1404" s="76">
        <v>43358.698310185187</v>
      </c>
      <c r="E1404" s="77">
        <v>43344</v>
      </c>
      <c r="F1404" s="78">
        <v>0.69831018518518517</v>
      </c>
      <c r="G1404" s="75">
        <v>2</v>
      </c>
      <c r="H1404" s="75">
        <v>45</v>
      </c>
      <c r="I1404" s="75">
        <v>34</v>
      </c>
    </row>
    <row r="1405" spans="1:9">
      <c r="A1405" s="75">
        <v>301</v>
      </c>
      <c r="B1405" s="75">
        <v>1</v>
      </c>
      <c r="C1405" s="75">
        <v>302</v>
      </c>
      <c r="D1405" s="76">
        <v>43358.708738425928</v>
      </c>
      <c r="E1405" s="77">
        <v>43344</v>
      </c>
      <c r="F1405" s="78">
        <v>0.70873842592592595</v>
      </c>
      <c r="G1405" s="75">
        <v>2</v>
      </c>
      <c r="H1405" s="75">
        <v>0</v>
      </c>
      <c r="I1405" s="75">
        <v>35</v>
      </c>
    </row>
    <row r="1406" spans="1:9">
      <c r="A1406" s="75">
        <v>356</v>
      </c>
      <c r="B1406" s="75">
        <v>5</v>
      </c>
      <c r="C1406" s="75">
        <v>361</v>
      </c>
      <c r="D1406" s="76">
        <v>43358.719143518516</v>
      </c>
      <c r="E1406" s="77">
        <v>43344</v>
      </c>
      <c r="F1406" s="78">
        <v>0.71914351851851854</v>
      </c>
      <c r="G1406" s="75">
        <v>2</v>
      </c>
      <c r="H1406" s="75">
        <v>15</v>
      </c>
      <c r="I1406" s="75">
        <v>34</v>
      </c>
    </row>
    <row r="1407" spans="1:9">
      <c r="A1407" s="75">
        <v>346</v>
      </c>
      <c r="B1407" s="75">
        <v>5</v>
      </c>
      <c r="C1407" s="75">
        <v>351</v>
      </c>
      <c r="D1407" s="76">
        <v>43358.729560185187</v>
      </c>
      <c r="E1407" s="77">
        <v>43344</v>
      </c>
      <c r="F1407" s="78">
        <v>0.72956018518518517</v>
      </c>
      <c r="G1407" s="75">
        <v>2</v>
      </c>
      <c r="H1407" s="75">
        <v>30</v>
      </c>
      <c r="I1407" s="75">
        <v>34</v>
      </c>
    </row>
    <row r="1408" spans="1:9">
      <c r="A1408" s="75">
        <v>338</v>
      </c>
      <c r="B1408" s="75">
        <v>7</v>
      </c>
      <c r="C1408" s="75">
        <v>345</v>
      </c>
      <c r="D1408" s="76">
        <v>43358.739976851852</v>
      </c>
      <c r="E1408" s="77">
        <v>43344</v>
      </c>
      <c r="F1408" s="78">
        <v>0.7399768518518518</v>
      </c>
      <c r="G1408" s="75">
        <v>2</v>
      </c>
      <c r="H1408" s="75">
        <v>45</v>
      </c>
      <c r="I1408" s="75">
        <v>34</v>
      </c>
    </row>
    <row r="1409" spans="1:9">
      <c r="A1409" s="75">
        <v>351</v>
      </c>
      <c r="B1409" s="75">
        <v>2</v>
      </c>
      <c r="C1409" s="75">
        <v>353</v>
      </c>
      <c r="D1409" s="76">
        <v>43358.750405092593</v>
      </c>
      <c r="E1409" s="77">
        <v>43344</v>
      </c>
      <c r="F1409" s="78">
        <v>0.75040509259259258</v>
      </c>
      <c r="G1409" s="75">
        <v>2</v>
      </c>
      <c r="H1409" s="75">
        <v>0</v>
      </c>
      <c r="I1409" s="75">
        <v>35</v>
      </c>
    </row>
    <row r="1410" spans="1:9">
      <c r="A1410" s="75">
        <v>437</v>
      </c>
      <c r="B1410" s="75">
        <v>1</v>
      </c>
      <c r="C1410" s="75">
        <v>438</v>
      </c>
      <c r="D1410" s="76">
        <v>43358.760810185187</v>
      </c>
      <c r="E1410" s="77">
        <v>43344</v>
      </c>
      <c r="F1410" s="78">
        <v>0.76081018518518517</v>
      </c>
      <c r="G1410" s="75">
        <v>2</v>
      </c>
      <c r="H1410" s="75">
        <v>15</v>
      </c>
      <c r="I1410" s="75">
        <v>34</v>
      </c>
    </row>
    <row r="1411" spans="1:9">
      <c r="A1411" s="75">
        <v>464</v>
      </c>
      <c r="B1411" s="75">
        <v>4</v>
      </c>
      <c r="C1411" s="75">
        <v>468</v>
      </c>
      <c r="D1411" s="76">
        <v>43358.771226851852</v>
      </c>
      <c r="E1411" s="77">
        <v>43344</v>
      </c>
      <c r="F1411" s="78">
        <v>0.7712268518518518</v>
      </c>
      <c r="G1411" s="75">
        <v>2</v>
      </c>
      <c r="H1411" s="75">
        <v>30</v>
      </c>
      <c r="I1411" s="75">
        <v>34</v>
      </c>
    </row>
    <row r="1412" spans="1:9">
      <c r="A1412" s="75">
        <v>454</v>
      </c>
      <c r="B1412" s="75">
        <v>2</v>
      </c>
      <c r="C1412" s="75">
        <v>456</v>
      </c>
      <c r="D1412" s="76">
        <v>43358.781643518516</v>
      </c>
      <c r="E1412" s="77">
        <v>43344</v>
      </c>
      <c r="F1412" s="78">
        <v>0.78164351851851854</v>
      </c>
      <c r="G1412" s="75">
        <v>2</v>
      </c>
      <c r="H1412" s="75">
        <v>45</v>
      </c>
      <c r="I1412" s="75">
        <v>34</v>
      </c>
    </row>
    <row r="1413" spans="1:9">
      <c r="A1413" s="75">
        <v>376</v>
      </c>
      <c r="B1413" s="75">
        <v>9</v>
      </c>
      <c r="C1413" s="75">
        <v>385</v>
      </c>
      <c r="D1413" s="76">
        <v>43358.792060185187</v>
      </c>
      <c r="E1413" s="77">
        <v>43344</v>
      </c>
      <c r="F1413" s="78">
        <v>0.79206018518518517</v>
      </c>
      <c r="G1413" s="75">
        <v>2</v>
      </c>
      <c r="H1413" s="75">
        <v>0</v>
      </c>
      <c r="I1413" s="75">
        <v>34</v>
      </c>
    </row>
    <row r="1414" spans="1:9">
      <c r="A1414" s="75">
        <v>409</v>
      </c>
      <c r="B1414" s="75">
        <v>6</v>
      </c>
      <c r="C1414" s="75">
        <v>415</v>
      </c>
      <c r="D1414" s="76">
        <v>43358.802476851852</v>
      </c>
      <c r="E1414" s="77">
        <v>43344</v>
      </c>
      <c r="F1414" s="78">
        <v>0.8024768518518518</v>
      </c>
      <c r="G1414" s="75">
        <v>2</v>
      </c>
      <c r="H1414" s="75">
        <v>15</v>
      </c>
      <c r="I1414" s="75">
        <v>34</v>
      </c>
    </row>
    <row r="1415" spans="1:9">
      <c r="A1415" s="75">
        <v>404</v>
      </c>
      <c r="B1415" s="75">
        <v>3</v>
      </c>
      <c r="C1415" s="75">
        <v>407</v>
      </c>
      <c r="D1415" s="76">
        <v>43358.812893518516</v>
      </c>
      <c r="E1415" s="77">
        <v>43344</v>
      </c>
      <c r="F1415" s="78">
        <v>0.81289351851851854</v>
      </c>
      <c r="G1415" s="75">
        <v>2</v>
      </c>
      <c r="H1415" s="75">
        <v>30</v>
      </c>
      <c r="I1415" s="75">
        <v>34</v>
      </c>
    </row>
    <row r="1416" spans="1:9">
      <c r="A1416" s="75">
        <v>436</v>
      </c>
      <c r="B1416" s="75">
        <v>1</v>
      </c>
      <c r="C1416" s="75">
        <v>437</v>
      </c>
      <c r="D1416" s="76">
        <v>43358.823310185187</v>
      </c>
      <c r="E1416" s="77">
        <v>43344</v>
      </c>
      <c r="F1416" s="78">
        <v>0.82331018518518517</v>
      </c>
      <c r="G1416" s="75">
        <v>2</v>
      </c>
      <c r="H1416" s="75">
        <v>45</v>
      </c>
      <c r="I1416" s="75">
        <v>34</v>
      </c>
    </row>
    <row r="1417" spans="1:9">
      <c r="A1417" s="75">
        <v>399</v>
      </c>
      <c r="B1417" s="75">
        <v>1</v>
      </c>
      <c r="C1417" s="75">
        <v>400</v>
      </c>
      <c r="D1417" s="76">
        <v>43358.833726851852</v>
      </c>
      <c r="E1417" s="77">
        <v>43344</v>
      </c>
      <c r="F1417" s="78">
        <v>0.8337268518518518</v>
      </c>
      <c r="G1417" s="75">
        <v>2</v>
      </c>
      <c r="H1417" s="75">
        <v>0</v>
      </c>
      <c r="I1417" s="75">
        <v>34</v>
      </c>
    </row>
    <row r="1418" spans="1:9">
      <c r="A1418" s="75">
        <v>421</v>
      </c>
      <c r="B1418" s="75">
        <v>1</v>
      </c>
      <c r="C1418" s="75">
        <v>421</v>
      </c>
      <c r="D1418" s="76">
        <v>43358.844143518516</v>
      </c>
      <c r="E1418" s="77">
        <v>43344</v>
      </c>
      <c r="F1418" s="78">
        <v>0.84414351851851854</v>
      </c>
      <c r="G1418" s="75">
        <v>2</v>
      </c>
      <c r="H1418" s="75">
        <v>15</v>
      </c>
      <c r="I1418" s="75">
        <v>34</v>
      </c>
    </row>
    <row r="1419" spans="1:9">
      <c r="A1419" s="75">
        <v>477</v>
      </c>
      <c r="B1419" s="75">
        <v>3</v>
      </c>
      <c r="C1419" s="75">
        <v>480</v>
      </c>
      <c r="D1419" s="76">
        <v>43358.854560185187</v>
      </c>
      <c r="E1419" s="77">
        <v>43344</v>
      </c>
      <c r="F1419" s="78">
        <v>0.85456018518518517</v>
      </c>
      <c r="G1419" s="75">
        <v>2</v>
      </c>
      <c r="H1419" s="75">
        <v>30</v>
      </c>
      <c r="I1419" s="75">
        <v>34</v>
      </c>
    </row>
    <row r="1420" spans="1:9">
      <c r="A1420" s="75">
        <v>468</v>
      </c>
      <c r="B1420" s="75">
        <v>2</v>
      </c>
      <c r="C1420" s="75">
        <v>470</v>
      </c>
      <c r="D1420" s="76">
        <v>43358.864965277775</v>
      </c>
      <c r="E1420" s="77">
        <v>43344</v>
      </c>
      <c r="F1420" s="78">
        <v>0.86496527777777776</v>
      </c>
      <c r="G1420" s="75">
        <v>2</v>
      </c>
      <c r="H1420" s="75">
        <v>45</v>
      </c>
      <c r="I1420" s="75">
        <v>33</v>
      </c>
    </row>
    <row r="1421" spans="1:9">
      <c r="A1421" s="75">
        <v>464</v>
      </c>
      <c r="B1421" s="75">
        <v>2</v>
      </c>
      <c r="C1421" s="75">
        <v>466</v>
      </c>
      <c r="D1421" s="76">
        <v>43358.875393518516</v>
      </c>
      <c r="E1421" s="77">
        <v>43344</v>
      </c>
      <c r="F1421" s="78">
        <v>0.87539351851851854</v>
      </c>
      <c r="G1421" s="75">
        <v>2</v>
      </c>
      <c r="H1421" s="75">
        <v>0</v>
      </c>
      <c r="I1421" s="75">
        <v>34</v>
      </c>
    </row>
    <row r="1422" spans="1:9">
      <c r="A1422" s="75">
        <v>443</v>
      </c>
      <c r="B1422" s="75">
        <v>4</v>
      </c>
      <c r="C1422" s="75">
        <v>447</v>
      </c>
      <c r="D1422" s="76">
        <v>43358.885810185187</v>
      </c>
      <c r="E1422" s="77">
        <v>43344</v>
      </c>
      <c r="F1422" s="78">
        <v>0.88581018518518517</v>
      </c>
      <c r="G1422" s="75">
        <v>2</v>
      </c>
      <c r="H1422" s="75">
        <v>15</v>
      </c>
      <c r="I1422" s="75">
        <v>34</v>
      </c>
    </row>
    <row r="1423" spans="1:9">
      <c r="A1423" s="75">
        <v>433</v>
      </c>
      <c r="B1423" s="75">
        <v>5</v>
      </c>
      <c r="C1423" s="75">
        <v>438</v>
      </c>
      <c r="D1423" s="76">
        <v>43358.896226851852</v>
      </c>
      <c r="E1423" s="77">
        <v>43344</v>
      </c>
      <c r="F1423" s="78">
        <v>0.8962268518518518</v>
      </c>
      <c r="G1423" s="75">
        <v>2</v>
      </c>
      <c r="H1423" s="75">
        <v>30</v>
      </c>
      <c r="I1423" s="75">
        <v>34</v>
      </c>
    </row>
    <row r="1424" spans="1:9">
      <c r="A1424" s="75">
        <v>475</v>
      </c>
      <c r="B1424" s="75">
        <v>1</v>
      </c>
      <c r="C1424" s="75">
        <v>476</v>
      </c>
      <c r="D1424" s="76">
        <v>43358.906631944446</v>
      </c>
      <c r="E1424" s="77">
        <v>43344</v>
      </c>
      <c r="F1424" s="78">
        <v>0.90663194444444439</v>
      </c>
      <c r="G1424" s="75">
        <v>2</v>
      </c>
      <c r="H1424" s="75">
        <v>45</v>
      </c>
      <c r="I1424" s="75">
        <v>33</v>
      </c>
    </row>
    <row r="1425" spans="1:9">
      <c r="A1425" s="75">
        <v>458</v>
      </c>
      <c r="B1425" s="75">
        <v>3</v>
      </c>
      <c r="C1425" s="75">
        <v>453</v>
      </c>
      <c r="D1425" s="76">
        <v>43358.917060185187</v>
      </c>
      <c r="E1425" s="77">
        <v>43344</v>
      </c>
      <c r="F1425" s="78">
        <v>0.91706018518518517</v>
      </c>
      <c r="G1425" s="75">
        <v>2</v>
      </c>
      <c r="H1425" s="75">
        <v>0</v>
      </c>
      <c r="I1425" s="75">
        <v>34</v>
      </c>
    </row>
    <row r="1426" spans="1:9">
      <c r="A1426" s="75">
        <v>498</v>
      </c>
      <c r="B1426" s="75">
        <v>2</v>
      </c>
      <c r="C1426" s="75">
        <v>500</v>
      </c>
      <c r="D1426" s="76">
        <v>43358.927476851852</v>
      </c>
      <c r="E1426" s="77">
        <v>43344</v>
      </c>
      <c r="F1426" s="78">
        <v>0.9274768518518518</v>
      </c>
      <c r="G1426" s="75">
        <v>2</v>
      </c>
      <c r="H1426" s="75">
        <v>15</v>
      </c>
      <c r="I1426" s="75">
        <v>34</v>
      </c>
    </row>
    <row r="1427" spans="1:9">
      <c r="A1427" s="75">
        <v>488</v>
      </c>
      <c r="B1427" s="75">
        <v>5</v>
      </c>
      <c r="C1427" s="75">
        <v>493</v>
      </c>
      <c r="D1427" s="76">
        <v>43358.937893518516</v>
      </c>
      <c r="E1427" s="77">
        <v>43344</v>
      </c>
      <c r="F1427" s="78">
        <v>0.93789351851851854</v>
      </c>
      <c r="G1427" s="75">
        <v>2</v>
      </c>
      <c r="H1427" s="75">
        <v>30</v>
      </c>
      <c r="I1427" s="75">
        <v>34</v>
      </c>
    </row>
    <row r="1428" spans="1:9">
      <c r="A1428" s="75">
        <v>476</v>
      </c>
      <c r="B1428" s="75">
        <v>2</v>
      </c>
      <c r="C1428" s="75">
        <v>478</v>
      </c>
      <c r="D1428" s="76">
        <v>43358.948298611111</v>
      </c>
      <c r="E1428" s="77">
        <v>43344</v>
      </c>
      <c r="F1428" s="78">
        <v>0.94829861111111102</v>
      </c>
      <c r="G1428" s="75">
        <v>2</v>
      </c>
      <c r="H1428" s="75">
        <v>45</v>
      </c>
      <c r="I1428" s="75">
        <v>33</v>
      </c>
    </row>
    <row r="1429" spans="1:9">
      <c r="A1429" s="75">
        <v>458</v>
      </c>
      <c r="B1429" s="75">
        <v>3</v>
      </c>
      <c r="C1429" s="75">
        <v>451</v>
      </c>
      <c r="D1429" s="76">
        <v>43358.958726851852</v>
      </c>
      <c r="E1429" s="77">
        <v>43344</v>
      </c>
      <c r="F1429" s="78">
        <v>0.9587268518518518</v>
      </c>
      <c r="G1429" s="75">
        <v>2</v>
      </c>
      <c r="H1429" s="75">
        <v>0</v>
      </c>
      <c r="I1429" s="75">
        <v>34</v>
      </c>
    </row>
    <row r="1430" spans="1:9">
      <c r="A1430" s="75">
        <v>415</v>
      </c>
      <c r="B1430" s="75">
        <v>3</v>
      </c>
      <c r="C1430" s="75">
        <v>418</v>
      </c>
      <c r="D1430" s="76">
        <v>43358.969143518516</v>
      </c>
      <c r="E1430" s="77">
        <v>43344</v>
      </c>
      <c r="F1430" s="78">
        <v>0.96914351851851854</v>
      </c>
      <c r="G1430" s="75">
        <v>2</v>
      </c>
      <c r="H1430" s="75">
        <v>15</v>
      </c>
      <c r="I1430" s="75">
        <v>34</v>
      </c>
    </row>
    <row r="1431" spans="1:9">
      <c r="A1431" s="75">
        <v>391</v>
      </c>
      <c r="B1431" s="75">
        <v>0</v>
      </c>
      <c r="C1431" s="75">
        <v>391</v>
      </c>
      <c r="D1431" s="76">
        <v>43358.979560185187</v>
      </c>
      <c r="E1431" s="77">
        <v>43344</v>
      </c>
      <c r="F1431" s="78">
        <v>0.97956018518518517</v>
      </c>
      <c r="G1431" s="75">
        <v>2</v>
      </c>
      <c r="H1431" s="75">
        <v>30</v>
      </c>
      <c r="I1431" s="75">
        <v>34</v>
      </c>
    </row>
    <row r="1432" spans="1:9">
      <c r="A1432" s="75">
        <v>349</v>
      </c>
      <c r="B1432" s="75">
        <v>0</v>
      </c>
      <c r="C1432" s="75">
        <v>349</v>
      </c>
      <c r="D1432" s="76">
        <v>43358.989965277775</v>
      </c>
      <c r="E1432" s="77">
        <v>43344</v>
      </c>
      <c r="F1432" s="78">
        <v>0.98996527777777776</v>
      </c>
      <c r="G1432" s="75">
        <v>2</v>
      </c>
      <c r="H1432" s="75">
        <v>45</v>
      </c>
      <c r="I1432" s="75">
        <v>33</v>
      </c>
    </row>
    <row r="1433" spans="1:9">
      <c r="A1433" s="75">
        <v>292</v>
      </c>
      <c r="B1433" s="75">
        <v>0</v>
      </c>
      <c r="C1433" s="75">
        <v>289</v>
      </c>
      <c r="D1433" s="76">
        <v>43359.000393518516</v>
      </c>
      <c r="E1433" s="77">
        <v>43344</v>
      </c>
      <c r="F1433" s="78">
        <v>3.9351851851851852E-4</v>
      </c>
      <c r="G1433" s="75">
        <v>2</v>
      </c>
      <c r="H1433" s="75">
        <v>0</v>
      </c>
      <c r="I1433" s="75">
        <v>34</v>
      </c>
    </row>
    <row r="1434" spans="1:9">
      <c r="A1434" s="75">
        <v>302</v>
      </c>
      <c r="B1434" s="75">
        <v>0</v>
      </c>
      <c r="C1434" s="75">
        <v>302</v>
      </c>
      <c r="D1434" s="76">
        <v>43359.010810185187</v>
      </c>
      <c r="E1434" s="77">
        <v>43344</v>
      </c>
      <c r="F1434" s="78">
        <v>1.0810185185185185E-2</v>
      </c>
      <c r="G1434" s="75">
        <v>2</v>
      </c>
      <c r="H1434" s="75">
        <v>15</v>
      </c>
      <c r="I1434" s="75">
        <v>34</v>
      </c>
    </row>
    <row r="1435" spans="1:9">
      <c r="A1435" s="75">
        <v>301</v>
      </c>
      <c r="B1435" s="75">
        <v>1</v>
      </c>
      <c r="C1435" s="75">
        <v>302</v>
      </c>
      <c r="D1435" s="76">
        <v>43359.021215277775</v>
      </c>
      <c r="E1435" s="77">
        <v>43344</v>
      </c>
      <c r="F1435" s="78">
        <v>2.1215277777777777E-2</v>
      </c>
      <c r="G1435" s="75">
        <v>2</v>
      </c>
      <c r="H1435" s="75">
        <v>30</v>
      </c>
      <c r="I1435" s="75">
        <v>33</v>
      </c>
    </row>
    <row r="1436" spans="1:9">
      <c r="A1436" s="75">
        <v>276</v>
      </c>
      <c r="B1436" s="75">
        <v>2</v>
      </c>
      <c r="C1436" s="75">
        <v>278</v>
      </c>
      <c r="D1436" s="76">
        <v>43359.031643518516</v>
      </c>
      <c r="E1436" s="77">
        <v>43344</v>
      </c>
      <c r="F1436" s="78">
        <v>3.1643518518518522E-2</v>
      </c>
      <c r="G1436" s="75">
        <v>2</v>
      </c>
      <c r="H1436" s="75">
        <v>45</v>
      </c>
      <c r="I1436" s="75">
        <v>34</v>
      </c>
    </row>
    <row r="1437" spans="1:9">
      <c r="A1437" s="75">
        <v>241</v>
      </c>
      <c r="B1437" s="75">
        <v>0</v>
      </c>
      <c r="C1437" s="75">
        <v>241</v>
      </c>
      <c r="D1437" s="76">
        <v>43359.042060185187</v>
      </c>
      <c r="E1437" s="77">
        <v>43344</v>
      </c>
      <c r="F1437" s="78">
        <v>4.206018518518518E-2</v>
      </c>
      <c r="G1437" s="75">
        <v>2</v>
      </c>
      <c r="H1437" s="75">
        <v>0</v>
      </c>
      <c r="I1437" s="75">
        <v>34</v>
      </c>
    </row>
    <row r="1438" spans="1:9">
      <c r="A1438" s="75">
        <v>274</v>
      </c>
      <c r="B1438" s="75">
        <v>0</v>
      </c>
      <c r="C1438" s="75">
        <v>274</v>
      </c>
      <c r="D1438" s="76">
        <v>43359.052465277775</v>
      </c>
      <c r="E1438" s="77">
        <v>43344</v>
      </c>
      <c r="F1438" s="78">
        <v>5.2465277777777784E-2</v>
      </c>
      <c r="G1438" s="75">
        <v>2</v>
      </c>
      <c r="H1438" s="75">
        <v>15</v>
      </c>
      <c r="I1438" s="75">
        <v>33</v>
      </c>
    </row>
    <row r="1439" spans="1:9">
      <c r="A1439" s="75">
        <v>290</v>
      </c>
      <c r="B1439" s="75">
        <v>0</v>
      </c>
      <c r="C1439" s="75">
        <v>290</v>
      </c>
      <c r="D1439" s="76">
        <v>43359.062881944446</v>
      </c>
      <c r="E1439" s="77">
        <v>43344</v>
      </c>
      <c r="F1439" s="78">
        <v>6.2881944444444449E-2</v>
      </c>
      <c r="G1439" s="75">
        <v>2</v>
      </c>
      <c r="H1439" s="75">
        <v>30</v>
      </c>
      <c r="I1439" s="75">
        <v>33</v>
      </c>
    </row>
    <row r="1440" spans="1:9">
      <c r="A1440" s="75">
        <v>263</v>
      </c>
      <c r="B1440" s="75">
        <v>2</v>
      </c>
      <c r="C1440" s="75">
        <v>265</v>
      </c>
      <c r="D1440" s="76">
        <v>43359.073298611111</v>
      </c>
      <c r="E1440" s="77">
        <v>43344</v>
      </c>
      <c r="F1440" s="78">
        <v>7.329861111111112E-2</v>
      </c>
      <c r="G1440" s="75">
        <v>2</v>
      </c>
      <c r="H1440" s="75">
        <v>45</v>
      </c>
      <c r="I1440" s="75">
        <v>33</v>
      </c>
    </row>
    <row r="1441" spans="1:9">
      <c r="A1441" s="75">
        <v>218</v>
      </c>
      <c r="B1441" s="75">
        <v>2</v>
      </c>
      <c r="C1441" s="75">
        <v>220</v>
      </c>
      <c r="D1441" s="76">
        <v>43359.083749999998</v>
      </c>
      <c r="E1441" s="77">
        <v>43344</v>
      </c>
      <c r="F1441" s="78">
        <v>8.3749999999999991E-2</v>
      </c>
      <c r="G1441" s="75">
        <v>2</v>
      </c>
      <c r="H1441" s="75">
        <v>0</v>
      </c>
      <c r="I1441" s="75">
        <v>36</v>
      </c>
    </row>
    <row r="1442" spans="1:9">
      <c r="A1442" s="75">
        <v>174</v>
      </c>
      <c r="B1442" s="75">
        <v>2</v>
      </c>
      <c r="C1442" s="75">
        <v>176</v>
      </c>
      <c r="D1442" s="76">
        <v>43359.094131944446</v>
      </c>
      <c r="E1442" s="77">
        <v>43344</v>
      </c>
      <c r="F1442" s="78">
        <v>9.4131944444444449E-2</v>
      </c>
      <c r="G1442" s="75">
        <v>2</v>
      </c>
      <c r="H1442" s="75">
        <v>15</v>
      </c>
      <c r="I1442" s="75">
        <v>33</v>
      </c>
    </row>
    <row r="1443" spans="1:9">
      <c r="A1443" s="75">
        <v>153</v>
      </c>
      <c r="B1443" s="75">
        <v>0</v>
      </c>
      <c r="C1443" s="75">
        <v>153</v>
      </c>
      <c r="D1443" s="76">
        <v>43359.104560185187</v>
      </c>
      <c r="E1443" s="77">
        <v>43344</v>
      </c>
      <c r="F1443" s="78">
        <v>0.10456018518518519</v>
      </c>
      <c r="G1443" s="75">
        <v>2</v>
      </c>
      <c r="H1443" s="75">
        <v>30</v>
      </c>
      <c r="I1443" s="75">
        <v>34</v>
      </c>
    </row>
    <row r="1444" spans="1:9">
      <c r="A1444" s="75">
        <v>118</v>
      </c>
      <c r="B1444" s="75">
        <v>0</v>
      </c>
      <c r="C1444" s="75">
        <v>118</v>
      </c>
      <c r="D1444" s="76">
        <v>43359.114976851852</v>
      </c>
      <c r="E1444" s="77">
        <v>43344</v>
      </c>
      <c r="F1444" s="78">
        <v>0.11497685185185186</v>
      </c>
      <c r="G1444" s="75">
        <v>2</v>
      </c>
      <c r="H1444" s="75">
        <v>45</v>
      </c>
      <c r="I1444" s="75">
        <v>34</v>
      </c>
    </row>
    <row r="1445" spans="1:9">
      <c r="A1445" s="75">
        <v>115</v>
      </c>
      <c r="B1445" s="75">
        <v>0</v>
      </c>
      <c r="C1445" s="75">
        <v>114</v>
      </c>
      <c r="D1445" s="76">
        <v>43359.125381944446</v>
      </c>
      <c r="E1445" s="77">
        <v>43344</v>
      </c>
      <c r="F1445" s="78">
        <v>0.12538194444444445</v>
      </c>
      <c r="G1445" s="75">
        <v>2</v>
      </c>
      <c r="H1445" s="75">
        <v>0</v>
      </c>
      <c r="I1445" s="75">
        <v>33</v>
      </c>
    </row>
    <row r="1446" spans="1:9">
      <c r="A1446" s="75">
        <v>143</v>
      </c>
      <c r="B1446" s="75">
        <v>0</v>
      </c>
      <c r="C1446" s="75">
        <v>143</v>
      </c>
      <c r="D1446" s="76">
        <v>43359.135798611111</v>
      </c>
      <c r="E1446" s="77">
        <v>43344</v>
      </c>
      <c r="F1446" s="78">
        <v>0.13579861111111111</v>
      </c>
      <c r="G1446" s="75">
        <v>2</v>
      </c>
      <c r="H1446" s="75">
        <v>15</v>
      </c>
      <c r="I1446" s="75">
        <v>33</v>
      </c>
    </row>
    <row r="1447" spans="1:9">
      <c r="A1447" s="75">
        <v>165</v>
      </c>
      <c r="B1447" s="75">
        <v>3</v>
      </c>
      <c r="C1447" s="75">
        <v>168</v>
      </c>
      <c r="D1447" s="76">
        <v>43359.146226851852</v>
      </c>
      <c r="E1447" s="77">
        <v>43344</v>
      </c>
      <c r="F1447" s="78">
        <v>0.14622685185185186</v>
      </c>
      <c r="G1447" s="75">
        <v>2</v>
      </c>
      <c r="H1447" s="75">
        <v>30</v>
      </c>
      <c r="I1447" s="75">
        <v>34</v>
      </c>
    </row>
    <row r="1448" spans="1:9">
      <c r="A1448" s="75">
        <v>156</v>
      </c>
      <c r="B1448" s="75">
        <v>0</v>
      </c>
      <c r="C1448" s="75">
        <v>156</v>
      </c>
      <c r="D1448" s="76">
        <v>43359.156631944446</v>
      </c>
      <c r="E1448" s="77">
        <v>43344</v>
      </c>
      <c r="F1448" s="78">
        <v>0.15663194444444445</v>
      </c>
      <c r="G1448" s="75">
        <v>2</v>
      </c>
      <c r="H1448" s="75">
        <v>45</v>
      </c>
      <c r="I1448" s="75">
        <v>33</v>
      </c>
    </row>
    <row r="1449" spans="1:9">
      <c r="A1449" s="75">
        <v>167</v>
      </c>
      <c r="B1449" s="75">
        <v>1</v>
      </c>
      <c r="C1449" s="75">
        <v>168</v>
      </c>
      <c r="D1449" s="76">
        <v>43359.167048611111</v>
      </c>
      <c r="E1449" s="77">
        <v>43344</v>
      </c>
      <c r="F1449" s="78">
        <v>0.16704861111111111</v>
      </c>
      <c r="G1449" s="75">
        <v>2</v>
      </c>
      <c r="H1449" s="75">
        <v>0</v>
      </c>
      <c r="I1449" s="75">
        <v>33</v>
      </c>
    </row>
    <row r="1450" spans="1:9">
      <c r="A1450" s="75">
        <v>145</v>
      </c>
      <c r="B1450" s="75">
        <v>1</v>
      </c>
      <c r="C1450" s="75">
        <v>146</v>
      </c>
      <c r="D1450" s="76">
        <v>43359.177465277775</v>
      </c>
      <c r="E1450" s="77">
        <v>43344</v>
      </c>
      <c r="F1450" s="78">
        <v>0.17746527777777776</v>
      </c>
      <c r="G1450" s="75">
        <v>2</v>
      </c>
      <c r="H1450" s="75">
        <v>15</v>
      </c>
      <c r="I1450" s="75">
        <v>33</v>
      </c>
    </row>
    <row r="1451" spans="1:9">
      <c r="A1451" s="75">
        <v>143</v>
      </c>
      <c r="B1451" s="75">
        <v>1</v>
      </c>
      <c r="C1451" s="75">
        <v>144</v>
      </c>
      <c r="D1451" s="76">
        <v>43359.187893518516</v>
      </c>
      <c r="E1451" s="77">
        <v>43344</v>
      </c>
      <c r="F1451" s="78">
        <v>0.18789351851851852</v>
      </c>
      <c r="G1451" s="75">
        <v>2</v>
      </c>
      <c r="H1451" s="75">
        <v>30</v>
      </c>
      <c r="I1451" s="75">
        <v>34</v>
      </c>
    </row>
    <row r="1452" spans="1:9">
      <c r="A1452" s="75">
        <v>124</v>
      </c>
      <c r="B1452" s="75">
        <v>0</v>
      </c>
      <c r="C1452" s="75">
        <v>124</v>
      </c>
      <c r="D1452" s="76">
        <v>43359.198310185187</v>
      </c>
      <c r="E1452" s="77">
        <v>43344</v>
      </c>
      <c r="F1452" s="78">
        <v>0.19831018518518517</v>
      </c>
      <c r="G1452" s="75">
        <v>2</v>
      </c>
      <c r="H1452" s="75">
        <v>45</v>
      </c>
      <c r="I1452" s="75">
        <v>34</v>
      </c>
    </row>
    <row r="1453" spans="1:9">
      <c r="A1453" s="75">
        <v>126</v>
      </c>
      <c r="B1453" s="75">
        <v>1</v>
      </c>
      <c r="C1453" s="75">
        <v>127</v>
      </c>
      <c r="D1453" s="76">
        <v>43359.208715277775</v>
      </c>
      <c r="E1453" s="77">
        <v>43344</v>
      </c>
      <c r="F1453" s="78">
        <v>0.20871527777777776</v>
      </c>
      <c r="G1453" s="75">
        <v>2</v>
      </c>
      <c r="H1453" s="75">
        <v>0</v>
      </c>
      <c r="I1453" s="75">
        <v>33</v>
      </c>
    </row>
    <row r="1454" spans="1:9">
      <c r="A1454" s="75">
        <v>148</v>
      </c>
      <c r="B1454" s="75">
        <v>1</v>
      </c>
      <c r="C1454" s="75">
        <v>149</v>
      </c>
      <c r="D1454" s="76">
        <v>43359.219131944446</v>
      </c>
      <c r="E1454" s="77">
        <v>43344</v>
      </c>
      <c r="F1454" s="78">
        <v>0.21913194444444442</v>
      </c>
      <c r="G1454" s="75">
        <v>2</v>
      </c>
      <c r="H1454" s="75">
        <v>15</v>
      </c>
      <c r="I1454" s="75">
        <v>33</v>
      </c>
    </row>
    <row r="1455" spans="1:9">
      <c r="A1455" s="75">
        <v>160</v>
      </c>
      <c r="B1455" s="75">
        <v>2</v>
      </c>
      <c r="C1455" s="75">
        <v>162</v>
      </c>
      <c r="D1455" s="76">
        <v>43359.229548611111</v>
      </c>
      <c r="E1455" s="77">
        <v>43344</v>
      </c>
      <c r="F1455" s="78">
        <v>0.22954861111111111</v>
      </c>
      <c r="G1455" s="75">
        <v>2</v>
      </c>
      <c r="H1455" s="75">
        <v>30</v>
      </c>
      <c r="I1455" s="75">
        <v>33</v>
      </c>
    </row>
    <row r="1456" spans="1:9">
      <c r="A1456" s="75">
        <v>120</v>
      </c>
      <c r="B1456" s="75">
        <v>2</v>
      </c>
      <c r="C1456" s="75">
        <v>122</v>
      </c>
      <c r="D1456" s="76">
        <v>43359.239965277775</v>
      </c>
      <c r="E1456" s="77">
        <v>43344</v>
      </c>
      <c r="F1456" s="78">
        <v>0.23996527777777776</v>
      </c>
      <c r="G1456" s="75">
        <v>2</v>
      </c>
      <c r="H1456" s="75">
        <v>45</v>
      </c>
      <c r="I1456" s="75">
        <v>33</v>
      </c>
    </row>
    <row r="1457" spans="1:9">
      <c r="A1457" s="75">
        <v>113</v>
      </c>
      <c r="B1457" s="75">
        <v>1</v>
      </c>
      <c r="C1457" s="75">
        <v>114</v>
      </c>
      <c r="D1457" s="76">
        <v>43359.250381944446</v>
      </c>
      <c r="E1457" s="77">
        <v>43344</v>
      </c>
      <c r="F1457" s="78">
        <v>0.25038194444444445</v>
      </c>
      <c r="G1457" s="75">
        <v>2</v>
      </c>
      <c r="H1457" s="75">
        <v>0</v>
      </c>
      <c r="I1457" s="75">
        <v>33</v>
      </c>
    </row>
    <row r="1458" spans="1:9">
      <c r="A1458" s="75">
        <v>90</v>
      </c>
      <c r="B1458" s="75">
        <v>0</v>
      </c>
      <c r="C1458" s="75">
        <v>89</v>
      </c>
      <c r="D1458" s="76">
        <v>43359.260798611111</v>
      </c>
      <c r="E1458" s="77">
        <v>43344</v>
      </c>
      <c r="F1458" s="78">
        <v>0.26079861111111108</v>
      </c>
      <c r="G1458" s="75">
        <v>2</v>
      </c>
      <c r="H1458" s="75">
        <v>15</v>
      </c>
      <c r="I1458" s="75">
        <v>33</v>
      </c>
    </row>
    <row r="1459" spans="1:9">
      <c r="A1459" s="75">
        <v>97</v>
      </c>
      <c r="B1459" s="75">
        <v>0</v>
      </c>
      <c r="C1459" s="75">
        <v>96</v>
      </c>
      <c r="D1459" s="76">
        <v>43359.27380787037</v>
      </c>
      <c r="E1459" s="77">
        <v>43344</v>
      </c>
      <c r="F1459" s="78">
        <v>0.27380787037037035</v>
      </c>
      <c r="G1459" s="75">
        <v>2</v>
      </c>
      <c r="H1459" s="75">
        <v>34</v>
      </c>
      <c r="I1459" s="75">
        <v>17</v>
      </c>
    </row>
    <row r="1460" spans="1:9">
      <c r="A1460" s="75">
        <v>92</v>
      </c>
      <c r="B1460" s="75">
        <v>0</v>
      </c>
      <c r="C1460" s="75">
        <v>92</v>
      </c>
      <c r="D1460" s="76">
        <v>43359.281631944446</v>
      </c>
      <c r="E1460" s="77">
        <v>43344</v>
      </c>
      <c r="F1460" s="78">
        <v>0.28163194444444445</v>
      </c>
      <c r="G1460" s="75">
        <v>2</v>
      </c>
      <c r="H1460" s="75">
        <v>45</v>
      </c>
      <c r="I1460" s="75">
        <v>33</v>
      </c>
    </row>
    <row r="1461" spans="1:9">
      <c r="A1461" s="75">
        <v>64</v>
      </c>
      <c r="B1461" s="75">
        <v>0</v>
      </c>
      <c r="C1461" s="75">
        <v>63</v>
      </c>
      <c r="D1461" s="76">
        <v>43359.292048611111</v>
      </c>
      <c r="E1461" s="77">
        <v>43344</v>
      </c>
      <c r="F1461" s="78">
        <v>0.29204861111111108</v>
      </c>
      <c r="G1461" s="75">
        <v>2</v>
      </c>
      <c r="H1461" s="75">
        <v>0</v>
      </c>
      <c r="I1461" s="75">
        <v>33</v>
      </c>
    </row>
    <row r="1462" spans="1:9">
      <c r="A1462" s="75">
        <v>70</v>
      </c>
      <c r="B1462" s="75">
        <v>0</v>
      </c>
      <c r="C1462" s="75">
        <v>70</v>
      </c>
      <c r="D1462" s="76">
        <v>43359.302476851852</v>
      </c>
      <c r="E1462" s="77">
        <v>43344</v>
      </c>
      <c r="F1462" s="78">
        <v>0.30247685185185186</v>
      </c>
      <c r="G1462" s="75">
        <v>2</v>
      </c>
      <c r="H1462" s="75">
        <v>15</v>
      </c>
      <c r="I1462" s="75">
        <v>34</v>
      </c>
    </row>
    <row r="1463" spans="1:9">
      <c r="A1463" s="75">
        <v>89</v>
      </c>
      <c r="B1463" s="75">
        <v>0</v>
      </c>
      <c r="C1463" s="75">
        <v>84</v>
      </c>
      <c r="D1463" s="76">
        <v>43359.312905092593</v>
      </c>
      <c r="E1463" s="77">
        <v>43344</v>
      </c>
      <c r="F1463" s="78">
        <v>0.31290509259259258</v>
      </c>
      <c r="G1463" s="75">
        <v>2</v>
      </c>
      <c r="H1463" s="75">
        <v>30</v>
      </c>
      <c r="I1463" s="75">
        <v>35</v>
      </c>
    </row>
    <row r="1464" spans="1:9">
      <c r="A1464" s="75">
        <v>79</v>
      </c>
      <c r="B1464" s="75">
        <v>0</v>
      </c>
      <c r="C1464" s="75">
        <v>78</v>
      </c>
      <c r="D1464" s="76">
        <v>43359.323310185187</v>
      </c>
      <c r="E1464" s="77">
        <v>43344</v>
      </c>
      <c r="F1464" s="78">
        <v>0.32331018518518517</v>
      </c>
      <c r="G1464" s="75">
        <v>2</v>
      </c>
      <c r="H1464" s="75">
        <v>45</v>
      </c>
      <c r="I1464" s="75">
        <v>34</v>
      </c>
    </row>
    <row r="1465" spans="1:9">
      <c r="A1465" s="75">
        <v>65</v>
      </c>
      <c r="B1465" s="75">
        <v>0</v>
      </c>
      <c r="C1465" s="75">
        <v>64</v>
      </c>
      <c r="D1465" s="76">
        <v>43359.333738425928</v>
      </c>
      <c r="E1465" s="77">
        <v>43344</v>
      </c>
      <c r="F1465" s="78">
        <v>0.33373842592592595</v>
      </c>
      <c r="G1465" s="75">
        <v>2</v>
      </c>
      <c r="H1465" s="75">
        <v>0</v>
      </c>
      <c r="I1465" s="75">
        <v>35</v>
      </c>
    </row>
    <row r="1466" spans="1:9">
      <c r="A1466" s="75">
        <v>68</v>
      </c>
      <c r="B1466" s="75">
        <v>0</v>
      </c>
      <c r="C1466" s="75">
        <v>67</v>
      </c>
      <c r="D1466" s="76">
        <v>43359.344143518516</v>
      </c>
      <c r="E1466" s="77">
        <v>43344</v>
      </c>
      <c r="F1466" s="78">
        <v>0.34414351851851849</v>
      </c>
      <c r="G1466" s="75">
        <v>2</v>
      </c>
      <c r="H1466" s="75">
        <v>15</v>
      </c>
      <c r="I1466" s="75">
        <v>34</v>
      </c>
    </row>
    <row r="1467" spans="1:9">
      <c r="A1467" s="75">
        <v>99</v>
      </c>
      <c r="B1467" s="75">
        <v>0</v>
      </c>
      <c r="C1467" s="75">
        <v>97</v>
      </c>
      <c r="D1467" s="76">
        <v>43359.354571759257</v>
      </c>
      <c r="E1467" s="77">
        <v>43344</v>
      </c>
      <c r="F1467" s="78">
        <v>0.35457175925925927</v>
      </c>
      <c r="G1467" s="75">
        <v>2</v>
      </c>
      <c r="H1467" s="75">
        <v>30</v>
      </c>
      <c r="I1467" s="75">
        <v>35</v>
      </c>
    </row>
    <row r="1468" spans="1:9">
      <c r="A1468" s="75">
        <v>95</v>
      </c>
      <c r="B1468" s="75">
        <v>0</v>
      </c>
      <c r="C1468" s="75">
        <v>94</v>
      </c>
      <c r="D1468" s="76">
        <v>43359.364976851852</v>
      </c>
      <c r="E1468" s="77">
        <v>43344</v>
      </c>
      <c r="F1468" s="78">
        <v>0.36497685185185186</v>
      </c>
      <c r="G1468" s="75">
        <v>2</v>
      </c>
      <c r="H1468" s="75">
        <v>45</v>
      </c>
      <c r="I1468" s="75">
        <v>34</v>
      </c>
    </row>
    <row r="1469" spans="1:9">
      <c r="A1469" s="75">
        <v>68</v>
      </c>
      <c r="B1469" s="75">
        <v>0</v>
      </c>
      <c r="C1469" s="75">
        <v>67</v>
      </c>
      <c r="D1469" s="76">
        <v>43359.375405092593</v>
      </c>
      <c r="E1469" s="77">
        <v>43344</v>
      </c>
      <c r="F1469" s="78">
        <v>0.37540509259259264</v>
      </c>
      <c r="G1469" s="75">
        <v>2</v>
      </c>
      <c r="H1469" s="75">
        <v>0</v>
      </c>
      <c r="I1469" s="75">
        <v>35</v>
      </c>
    </row>
    <row r="1470" spans="1:9">
      <c r="A1470" s="75">
        <v>76</v>
      </c>
      <c r="B1470" s="75">
        <v>0</v>
      </c>
      <c r="C1470" s="75">
        <v>76</v>
      </c>
      <c r="D1470" s="76">
        <v>43359.385821759257</v>
      </c>
      <c r="E1470" s="77">
        <v>43344</v>
      </c>
      <c r="F1470" s="78">
        <v>0.38582175925925927</v>
      </c>
      <c r="G1470" s="75">
        <v>2</v>
      </c>
      <c r="H1470" s="75">
        <v>15</v>
      </c>
      <c r="I1470" s="75">
        <v>35</v>
      </c>
    </row>
    <row r="1471" spans="1:9">
      <c r="A1471" s="75">
        <v>73</v>
      </c>
      <c r="B1471" s="75">
        <v>0</v>
      </c>
      <c r="C1471" s="75">
        <v>72</v>
      </c>
      <c r="D1471" s="76">
        <v>43359.396238425928</v>
      </c>
      <c r="E1471" s="77">
        <v>43344</v>
      </c>
      <c r="F1471" s="78">
        <v>0.39623842592592595</v>
      </c>
      <c r="G1471" s="75">
        <v>2</v>
      </c>
      <c r="H1471" s="75">
        <v>30</v>
      </c>
      <c r="I1471" s="75">
        <v>35</v>
      </c>
    </row>
    <row r="1472" spans="1:9">
      <c r="A1472" s="75">
        <v>110</v>
      </c>
      <c r="B1472" s="75">
        <v>0</v>
      </c>
      <c r="C1472" s="75">
        <v>109</v>
      </c>
      <c r="D1472" s="76">
        <v>43359.406643518516</v>
      </c>
      <c r="E1472" s="77">
        <v>43344</v>
      </c>
      <c r="F1472" s="78">
        <v>0.40664351851851849</v>
      </c>
      <c r="G1472" s="75">
        <v>2</v>
      </c>
      <c r="H1472" s="75">
        <v>45</v>
      </c>
      <c r="I1472" s="75">
        <v>34</v>
      </c>
    </row>
    <row r="1473" spans="1:9">
      <c r="A1473" s="75">
        <v>85</v>
      </c>
      <c r="B1473" s="75">
        <v>0</v>
      </c>
      <c r="C1473" s="75">
        <v>84</v>
      </c>
      <c r="D1473" s="76">
        <v>43359.417071759257</v>
      </c>
      <c r="E1473" s="77">
        <v>43344</v>
      </c>
      <c r="F1473" s="78">
        <v>0.41707175925925927</v>
      </c>
      <c r="G1473" s="75">
        <v>2</v>
      </c>
      <c r="H1473" s="75">
        <v>0</v>
      </c>
      <c r="I1473" s="75">
        <v>35</v>
      </c>
    </row>
    <row r="1474" spans="1:9">
      <c r="A1474" s="75">
        <v>130</v>
      </c>
      <c r="B1474" s="75">
        <v>0</v>
      </c>
      <c r="C1474" s="75">
        <v>129</v>
      </c>
      <c r="D1474" s="76">
        <v>43359.427476851852</v>
      </c>
      <c r="E1474" s="77">
        <v>43344</v>
      </c>
      <c r="F1474" s="78">
        <v>0.42747685185185186</v>
      </c>
      <c r="G1474" s="75">
        <v>2</v>
      </c>
      <c r="H1474" s="75">
        <v>15</v>
      </c>
      <c r="I1474" s="75">
        <v>34</v>
      </c>
    </row>
    <row r="1475" spans="1:9">
      <c r="A1475" s="75">
        <v>134</v>
      </c>
      <c r="B1475" s="75">
        <v>0</v>
      </c>
      <c r="C1475" s="75">
        <v>133</v>
      </c>
      <c r="D1475" s="76">
        <v>43359.437893518516</v>
      </c>
      <c r="E1475" s="77">
        <v>43344</v>
      </c>
      <c r="F1475" s="78">
        <v>0.43789351851851849</v>
      </c>
      <c r="G1475" s="75">
        <v>2</v>
      </c>
      <c r="H1475" s="75">
        <v>30</v>
      </c>
      <c r="I1475" s="75">
        <v>34</v>
      </c>
    </row>
    <row r="1476" spans="1:9">
      <c r="A1476" s="75">
        <v>136</v>
      </c>
      <c r="B1476" s="75">
        <v>0</v>
      </c>
      <c r="C1476" s="75">
        <v>135</v>
      </c>
      <c r="D1476" s="76">
        <v>43359.448310185187</v>
      </c>
      <c r="E1476" s="77">
        <v>43344</v>
      </c>
      <c r="F1476" s="78">
        <v>0.44831018518518517</v>
      </c>
      <c r="G1476" s="75">
        <v>2</v>
      </c>
      <c r="H1476" s="75">
        <v>45</v>
      </c>
      <c r="I1476" s="75">
        <v>34</v>
      </c>
    </row>
    <row r="1477" spans="1:9">
      <c r="A1477" s="75">
        <v>113</v>
      </c>
      <c r="B1477" s="75">
        <v>0</v>
      </c>
      <c r="C1477" s="75">
        <v>113</v>
      </c>
      <c r="D1477" s="76">
        <v>43359.458738425928</v>
      </c>
      <c r="E1477" s="77">
        <v>43344</v>
      </c>
      <c r="F1477" s="78">
        <v>0.45873842592592595</v>
      </c>
      <c r="G1477" s="75">
        <v>2</v>
      </c>
      <c r="H1477" s="75">
        <v>0</v>
      </c>
      <c r="I1477" s="75">
        <v>35</v>
      </c>
    </row>
    <row r="1478" spans="1:9">
      <c r="A1478" s="75">
        <v>116</v>
      </c>
      <c r="B1478" s="75">
        <v>0</v>
      </c>
      <c r="C1478" s="75">
        <v>115</v>
      </c>
      <c r="D1478" s="76">
        <v>43359.469143518516</v>
      </c>
      <c r="E1478" s="77">
        <v>43344</v>
      </c>
      <c r="F1478" s="78">
        <v>0.46914351851851849</v>
      </c>
      <c r="G1478" s="75">
        <v>2</v>
      </c>
      <c r="H1478" s="75">
        <v>15</v>
      </c>
      <c r="I1478" s="75">
        <v>34</v>
      </c>
    </row>
    <row r="1479" spans="1:9">
      <c r="A1479" s="75">
        <v>155</v>
      </c>
      <c r="B1479" s="75">
        <v>2</v>
      </c>
      <c r="C1479" s="75">
        <v>157</v>
      </c>
      <c r="D1479" s="76">
        <v>43359.479560185187</v>
      </c>
      <c r="E1479" s="77">
        <v>43344</v>
      </c>
      <c r="F1479" s="78">
        <v>0.47956018518518517</v>
      </c>
      <c r="G1479" s="75">
        <v>2</v>
      </c>
      <c r="H1479" s="75">
        <v>30</v>
      </c>
      <c r="I1479" s="75">
        <v>34</v>
      </c>
    </row>
    <row r="1480" spans="1:9">
      <c r="A1480" s="75">
        <v>223</v>
      </c>
      <c r="B1480" s="75">
        <v>1</v>
      </c>
      <c r="C1480" s="75">
        <v>224</v>
      </c>
      <c r="D1480" s="76">
        <v>43359.489976851852</v>
      </c>
      <c r="E1480" s="77">
        <v>43344</v>
      </c>
      <c r="F1480" s="78">
        <v>0.48997685185185186</v>
      </c>
      <c r="G1480" s="75">
        <v>2</v>
      </c>
      <c r="H1480" s="75">
        <v>45</v>
      </c>
      <c r="I1480" s="75">
        <v>34</v>
      </c>
    </row>
    <row r="1481" spans="1:9">
      <c r="A1481" s="75">
        <v>209</v>
      </c>
      <c r="B1481" s="75">
        <v>0</v>
      </c>
      <c r="C1481" s="75">
        <v>199</v>
      </c>
      <c r="D1481" s="76">
        <v>43359.500405092593</v>
      </c>
      <c r="E1481" s="77">
        <v>43344</v>
      </c>
      <c r="F1481" s="78">
        <v>0.50040509259259258</v>
      </c>
      <c r="G1481" s="75">
        <v>2</v>
      </c>
      <c r="H1481" s="75">
        <v>0</v>
      </c>
      <c r="I1481" s="75">
        <v>35</v>
      </c>
    </row>
    <row r="1482" spans="1:9">
      <c r="A1482" s="75">
        <v>211</v>
      </c>
      <c r="B1482" s="75">
        <v>0</v>
      </c>
      <c r="C1482" s="75">
        <v>210</v>
      </c>
      <c r="D1482" s="76">
        <v>43359.510821759257</v>
      </c>
      <c r="E1482" s="77">
        <v>43344</v>
      </c>
      <c r="F1482" s="78">
        <v>0.51082175925925932</v>
      </c>
      <c r="G1482" s="75">
        <v>2</v>
      </c>
      <c r="H1482" s="75">
        <v>15</v>
      </c>
      <c r="I1482" s="75">
        <v>35</v>
      </c>
    </row>
    <row r="1483" spans="1:9">
      <c r="A1483" s="75">
        <v>253</v>
      </c>
      <c r="B1483" s="75">
        <v>2</v>
      </c>
      <c r="C1483" s="75">
        <v>255</v>
      </c>
      <c r="D1483" s="76">
        <v>43359.521226851852</v>
      </c>
      <c r="E1483" s="77">
        <v>43344</v>
      </c>
      <c r="F1483" s="78">
        <v>0.5212268518518518</v>
      </c>
      <c r="G1483" s="75">
        <v>2</v>
      </c>
      <c r="H1483" s="75">
        <v>30</v>
      </c>
      <c r="I1483" s="75">
        <v>34</v>
      </c>
    </row>
    <row r="1484" spans="1:9">
      <c r="A1484" s="75">
        <v>285</v>
      </c>
      <c r="B1484" s="75">
        <v>4</v>
      </c>
      <c r="C1484" s="75">
        <v>284</v>
      </c>
      <c r="D1484" s="76">
        <v>43359.531643518516</v>
      </c>
      <c r="E1484" s="77">
        <v>43344</v>
      </c>
      <c r="F1484" s="78">
        <v>0.53164351851851854</v>
      </c>
      <c r="G1484" s="75">
        <v>2</v>
      </c>
      <c r="H1484" s="75">
        <v>45</v>
      </c>
      <c r="I1484" s="75">
        <v>34</v>
      </c>
    </row>
    <row r="1485" spans="1:9">
      <c r="A1485" s="75">
        <v>263</v>
      </c>
      <c r="B1485" s="75">
        <v>3</v>
      </c>
      <c r="C1485" s="75">
        <v>266</v>
      </c>
      <c r="D1485" s="76">
        <v>43359.542071759257</v>
      </c>
      <c r="E1485" s="77">
        <v>43344</v>
      </c>
      <c r="F1485" s="78">
        <v>0.54207175925925932</v>
      </c>
      <c r="G1485" s="75">
        <v>2</v>
      </c>
      <c r="H1485" s="75">
        <v>0</v>
      </c>
      <c r="I1485" s="75">
        <v>35</v>
      </c>
    </row>
    <row r="1486" spans="1:9">
      <c r="A1486" s="75">
        <v>273</v>
      </c>
      <c r="B1486" s="75">
        <v>5</v>
      </c>
      <c r="C1486" s="75">
        <v>278</v>
      </c>
      <c r="D1486" s="76">
        <v>43359.552476851852</v>
      </c>
      <c r="E1486" s="77">
        <v>43344</v>
      </c>
      <c r="F1486" s="78">
        <v>0.5524768518518518</v>
      </c>
      <c r="G1486" s="75">
        <v>2</v>
      </c>
      <c r="H1486" s="75">
        <v>15</v>
      </c>
      <c r="I1486" s="75">
        <v>34</v>
      </c>
    </row>
    <row r="1487" spans="1:9">
      <c r="A1487" s="75">
        <v>267</v>
      </c>
      <c r="B1487" s="75">
        <v>3</v>
      </c>
      <c r="C1487" s="75">
        <v>270</v>
      </c>
      <c r="D1487" s="76">
        <v>43359.562893518516</v>
      </c>
      <c r="E1487" s="77">
        <v>43344</v>
      </c>
      <c r="F1487" s="78">
        <v>0.56289351851851854</v>
      </c>
      <c r="G1487" s="75">
        <v>2</v>
      </c>
      <c r="H1487" s="75">
        <v>30</v>
      </c>
      <c r="I1487" s="75">
        <v>34</v>
      </c>
    </row>
    <row r="1488" spans="1:9">
      <c r="A1488" s="75">
        <v>336</v>
      </c>
      <c r="B1488" s="75">
        <v>1</v>
      </c>
      <c r="C1488" s="75">
        <v>337</v>
      </c>
      <c r="D1488" s="76">
        <v>43359.573310185187</v>
      </c>
      <c r="E1488" s="77">
        <v>43344</v>
      </c>
      <c r="F1488" s="78">
        <v>0.57331018518518517</v>
      </c>
      <c r="G1488" s="75">
        <v>2</v>
      </c>
      <c r="H1488" s="75">
        <v>45</v>
      </c>
      <c r="I1488" s="75">
        <v>34</v>
      </c>
    </row>
    <row r="1489" spans="1:9">
      <c r="A1489" s="75">
        <v>333</v>
      </c>
      <c r="B1489" s="75">
        <v>1</v>
      </c>
      <c r="C1489" s="75">
        <v>334</v>
      </c>
      <c r="D1489" s="76">
        <v>43359.583738425928</v>
      </c>
      <c r="E1489" s="77">
        <v>43344</v>
      </c>
      <c r="F1489" s="78">
        <v>0.58373842592592595</v>
      </c>
      <c r="G1489" s="75">
        <v>2</v>
      </c>
      <c r="H1489" s="75">
        <v>0</v>
      </c>
      <c r="I1489" s="75">
        <v>35</v>
      </c>
    </row>
    <row r="1490" spans="1:9">
      <c r="A1490" s="75">
        <v>306</v>
      </c>
      <c r="B1490" s="75">
        <v>0</v>
      </c>
      <c r="C1490" s="75">
        <v>306</v>
      </c>
      <c r="D1490" s="76">
        <v>43359.594143518516</v>
      </c>
      <c r="E1490" s="77">
        <v>43344</v>
      </c>
      <c r="F1490" s="78">
        <v>0.59414351851851854</v>
      </c>
      <c r="G1490" s="75">
        <v>2</v>
      </c>
      <c r="H1490" s="75">
        <v>15</v>
      </c>
      <c r="I1490" s="75">
        <v>34</v>
      </c>
    </row>
    <row r="1491" spans="1:9">
      <c r="A1491" s="75">
        <v>258</v>
      </c>
      <c r="B1491" s="75">
        <v>3</v>
      </c>
      <c r="C1491" s="75">
        <v>261</v>
      </c>
      <c r="D1491" s="76">
        <v>43359.604560185187</v>
      </c>
      <c r="E1491" s="77">
        <v>43344</v>
      </c>
      <c r="F1491" s="78">
        <v>0.60456018518518517</v>
      </c>
      <c r="G1491" s="75">
        <v>2</v>
      </c>
      <c r="H1491" s="75">
        <v>30</v>
      </c>
      <c r="I1491" s="75">
        <v>34</v>
      </c>
    </row>
    <row r="1492" spans="1:9">
      <c r="A1492" s="75">
        <v>283</v>
      </c>
      <c r="B1492" s="75">
        <v>0</v>
      </c>
      <c r="C1492" s="75">
        <v>283</v>
      </c>
      <c r="D1492" s="76">
        <v>43359.614976851852</v>
      </c>
      <c r="E1492" s="77">
        <v>43344</v>
      </c>
      <c r="F1492" s="78">
        <v>0.6149768518518518</v>
      </c>
      <c r="G1492" s="75">
        <v>2</v>
      </c>
      <c r="H1492" s="75">
        <v>45</v>
      </c>
      <c r="I1492" s="75">
        <v>34</v>
      </c>
    </row>
    <row r="1493" spans="1:9">
      <c r="A1493" s="75">
        <v>307</v>
      </c>
      <c r="B1493" s="75">
        <v>2</v>
      </c>
      <c r="C1493" s="75">
        <v>309</v>
      </c>
      <c r="D1493" s="76">
        <v>43359.625393518516</v>
      </c>
      <c r="E1493" s="77">
        <v>43344</v>
      </c>
      <c r="F1493" s="78">
        <v>0.62539351851851854</v>
      </c>
      <c r="G1493" s="75">
        <v>2</v>
      </c>
      <c r="H1493" s="75">
        <v>0</v>
      </c>
      <c r="I1493" s="75">
        <v>34</v>
      </c>
    </row>
    <row r="1494" spans="1:9">
      <c r="A1494" s="75">
        <v>316</v>
      </c>
      <c r="B1494" s="75">
        <v>5</v>
      </c>
      <c r="C1494" s="75">
        <v>321</v>
      </c>
      <c r="D1494" s="76">
        <v>43359.635810185187</v>
      </c>
      <c r="E1494" s="77">
        <v>43344</v>
      </c>
      <c r="F1494" s="78">
        <v>0.63581018518518517</v>
      </c>
      <c r="G1494" s="75">
        <v>2</v>
      </c>
      <c r="H1494" s="75">
        <v>15</v>
      </c>
      <c r="I1494" s="75">
        <v>34</v>
      </c>
    </row>
    <row r="1495" spans="1:9">
      <c r="A1495" s="75">
        <v>376</v>
      </c>
      <c r="B1495" s="75">
        <v>2</v>
      </c>
      <c r="C1495" s="75">
        <v>378</v>
      </c>
      <c r="D1495" s="76">
        <v>43359.646226851852</v>
      </c>
      <c r="E1495" s="77">
        <v>43344</v>
      </c>
      <c r="F1495" s="78">
        <v>0.6462268518518518</v>
      </c>
      <c r="G1495" s="75">
        <v>2</v>
      </c>
      <c r="H1495" s="75">
        <v>30</v>
      </c>
      <c r="I1495" s="75">
        <v>34</v>
      </c>
    </row>
    <row r="1496" spans="1:9">
      <c r="A1496" s="75">
        <v>375</v>
      </c>
      <c r="B1496" s="75">
        <v>4</v>
      </c>
      <c r="C1496" s="75">
        <v>379</v>
      </c>
      <c r="D1496" s="76">
        <v>43359.656655092593</v>
      </c>
      <c r="E1496" s="77">
        <v>43344</v>
      </c>
      <c r="F1496" s="78">
        <v>0.65665509259259258</v>
      </c>
      <c r="G1496" s="75">
        <v>2</v>
      </c>
      <c r="H1496" s="75">
        <v>45</v>
      </c>
      <c r="I1496" s="75">
        <v>35</v>
      </c>
    </row>
    <row r="1497" spans="1:9">
      <c r="A1497" s="75">
        <v>383</v>
      </c>
      <c r="B1497" s="75">
        <v>5</v>
      </c>
      <c r="C1497" s="75">
        <v>388</v>
      </c>
      <c r="D1497" s="76">
        <v>43359.667060185187</v>
      </c>
      <c r="E1497" s="77">
        <v>43344</v>
      </c>
      <c r="F1497" s="78">
        <v>0.66706018518518517</v>
      </c>
      <c r="G1497" s="75">
        <v>2</v>
      </c>
      <c r="H1497" s="75">
        <v>0</v>
      </c>
      <c r="I1497" s="75">
        <v>34</v>
      </c>
    </row>
    <row r="1498" spans="1:9">
      <c r="A1498" s="75">
        <v>397</v>
      </c>
      <c r="B1498" s="75">
        <v>1</v>
      </c>
      <c r="C1498" s="75">
        <v>398</v>
      </c>
      <c r="D1498" s="76">
        <v>43359.677476851852</v>
      </c>
      <c r="E1498" s="77">
        <v>43344</v>
      </c>
      <c r="F1498" s="78">
        <v>0.6774768518518518</v>
      </c>
      <c r="G1498" s="75">
        <v>2</v>
      </c>
      <c r="H1498" s="75">
        <v>15</v>
      </c>
      <c r="I1498" s="75">
        <v>34</v>
      </c>
    </row>
    <row r="1499" spans="1:9">
      <c r="A1499" s="75">
        <v>377</v>
      </c>
      <c r="B1499" s="75">
        <v>1</v>
      </c>
      <c r="C1499" s="75">
        <v>378</v>
      </c>
      <c r="D1499" s="76">
        <v>43359.687881944446</v>
      </c>
      <c r="E1499" s="77">
        <v>43344</v>
      </c>
      <c r="F1499" s="78">
        <v>0.68788194444444439</v>
      </c>
      <c r="G1499" s="75">
        <v>2</v>
      </c>
      <c r="H1499" s="75">
        <v>30</v>
      </c>
      <c r="I1499" s="75">
        <v>33</v>
      </c>
    </row>
    <row r="1500" spans="1:9">
      <c r="A1500" s="75">
        <v>368</v>
      </c>
      <c r="B1500" s="75">
        <v>4</v>
      </c>
      <c r="C1500" s="75">
        <v>372</v>
      </c>
      <c r="D1500" s="76">
        <v>43359.698310185187</v>
      </c>
      <c r="E1500" s="77">
        <v>43344</v>
      </c>
      <c r="F1500" s="78">
        <v>0.69831018518518517</v>
      </c>
      <c r="G1500" s="75">
        <v>2</v>
      </c>
      <c r="H1500" s="75">
        <v>45</v>
      </c>
      <c r="I1500" s="75">
        <v>34</v>
      </c>
    </row>
    <row r="1501" spans="1:9">
      <c r="A1501" s="75">
        <v>325</v>
      </c>
      <c r="B1501" s="75">
        <v>0</v>
      </c>
      <c r="C1501" s="75">
        <v>325</v>
      </c>
      <c r="D1501" s="76">
        <v>43359.708726851852</v>
      </c>
      <c r="E1501" s="77">
        <v>43344</v>
      </c>
      <c r="F1501" s="78">
        <v>0.7087268518518518</v>
      </c>
      <c r="G1501" s="75">
        <v>2</v>
      </c>
      <c r="H1501" s="75">
        <v>0</v>
      </c>
      <c r="I1501" s="75">
        <v>34</v>
      </c>
    </row>
    <row r="1502" spans="1:9">
      <c r="A1502" s="75">
        <v>321</v>
      </c>
      <c r="B1502" s="75">
        <v>1</v>
      </c>
      <c r="C1502" s="75">
        <v>322</v>
      </c>
      <c r="D1502" s="76">
        <v>43359.719131944446</v>
      </c>
      <c r="E1502" s="77">
        <v>43344</v>
      </c>
      <c r="F1502" s="78">
        <v>0.71913194444444439</v>
      </c>
      <c r="G1502" s="75">
        <v>2</v>
      </c>
      <c r="H1502" s="75">
        <v>15</v>
      </c>
      <c r="I1502" s="75">
        <v>33</v>
      </c>
    </row>
    <row r="1503" spans="1:9">
      <c r="A1503" s="75">
        <v>345</v>
      </c>
      <c r="B1503" s="75">
        <v>2</v>
      </c>
      <c r="C1503" s="75">
        <v>347</v>
      </c>
      <c r="D1503" s="76">
        <v>43359.729560185187</v>
      </c>
      <c r="E1503" s="77">
        <v>43344</v>
      </c>
      <c r="F1503" s="78">
        <v>0.72956018518518517</v>
      </c>
      <c r="G1503" s="75">
        <v>2</v>
      </c>
      <c r="H1503" s="75">
        <v>30</v>
      </c>
      <c r="I1503" s="75">
        <v>34</v>
      </c>
    </row>
    <row r="1504" spans="1:9">
      <c r="A1504" s="75">
        <v>337</v>
      </c>
      <c r="B1504" s="75">
        <v>2</v>
      </c>
      <c r="C1504" s="75">
        <v>338</v>
      </c>
      <c r="D1504" s="76">
        <v>43359.739976851852</v>
      </c>
      <c r="E1504" s="77">
        <v>43344</v>
      </c>
      <c r="F1504" s="78">
        <v>0.7399768518518518</v>
      </c>
      <c r="G1504" s="75">
        <v>2</v>
      </c>
      <c r="H1504" s="75">
        <v>45</v>
      </c>
      <c r="I1504" s="75">
        <v>34</v>
      </c>
    </row>
    <row r="1505" spans="1:9">
      <c r="A1505" s="75">
        <v>347</v>
      </c>
      <c r="B1505" s="75">
        <v>2</v>
      </c>
      <c r="C1505" s="75">
        <v>349</v>
      </c>
      <c r="D1505" s="76">
        <v>43359.750393518516</v>
      </c>
      <c r="E1505" s="77">
        <v>43344</v>
      </c>
      <c r="F1505" s="78">
        <v>0.75039351851851854</v>
      </c>
      <c r="G1505" s="75">
        <v>2</v>
      </c>
      <c r="H1505" s="75">
        <v>0</v>
      </c>
      <c r="I1505" s="75">
        <v>34</v>
      </c>
    </row>
    <row r="1506" spans="1:9">
      <c r="A1506" s="75">
        <v>428</v>
      </c>
      <c r="B1506" s="75">
        <v>2</v>
      </c>
      <c r="C1506" s="75">
        <v>430</v>
      </c>
      <c r="D1506" s="76">
        <v>43359.760798611111</v>
      </c>
      <c r="E1506" s="77">
        <v>43344</v>
      </c>
      <c r="F1506" s="78">
        <v>0.76079861111111102</v>
      </c>
      <c r="G1506" s="75">
        <v>2</v>
      </c>
      <c r="H1506" s="75">
        <v>15</v>
      </c>
      <c r="I1506" s="75">
        <v>33</v>
      </c>
    </row>
    <row r="1507" spans="1:9">
      <c r="A1507" s="75">
        <v>468</v>
      </c>
      <c r="B1507" s="75">
        <v>3</v>
      </c>
      <c r="C1507" s="75">
        <v>471</v>
      </c>
      <c r="D1507" s="76">
        <v>43359.771226851852</v>
      </c>
      <c r="E1507" s="77">
        <v>43344</v>
      </c>
      <c r="F1507" s="78">
        <v>0.7712268518518518</v>
      </c>
      <c r="G1507" s="75">
        <v>2</v>
      </c>
      <c r="H1507" s="75">
        <v>30</v>
      </c>
      <c r="I1507" s="75">
        <v>34</v>
      </c>
    </row>
    <row r="1508" spans="1:9">
      <c r="A1508" s="75">
        <v>443</v>
      </c>
      <c r="B1508" s="75">
        <v>1</v>
      </c>
      <c r="C1508" s="75">
        <v>444</v>
      </c>
      <c r="D1508" s="76">
        <v>43359.781631944446</v>
      </c>
      <c r="E1508" s="77">
        <v>43344</v>
      </c>
      <c r="F1508" s="78">
        <v>0.78163194444444439</v>
      </c>
      <c r="G1508" s="75">
        <v>2</v>
      </c>
      <c r="H1508" s="75">
        <v>45</v>
      </c>
      <c r="I1508" s="75">
        <v>33</v>
      </c>
    </row>
    <row r="1509" spans="1:9">
      <c r="A1509" s="75">
        <v>454</v>
      </c>
      <c r="B1509" s="75">
        <v>2</v>
      </c>
      <c r="C1509" s="75">
        <v>456</v>
      </c>
      <c r="D1509" s="76">
        <v>43359.792060185187</v>
      </c>
      <c r="E1509" s="77">
        <v>43344</v>
      </c>
      <c r="F1509" s="78">
        <v>0.79206018518518517</v>
      </c>
      <c r="G1509" s="75">
        <v>2</v>
      </c>
      <c r="H1509" s="75">
        <v>0</v>
      </c>
      <c r="I1509" s="75">
        <v>34</v>
      </c>
    </row>
    <row r="1510" spans="1:9">
      <c r="A1510" s="75">
        <v>478</v>
      </c>
      <c r="B1510" s="75">
        <v>6</v>
      </c>
      <c r="C1510" s="75">
        <v>484</v>
      </c>
      <c r="D1510" s="76">
        <v>43359.802476851852</v>
      </c>
      <c r="E1510" s="77">
        <v>43344</v>
      </c>
      <c r="F1510" s="78">
        <v>0.8024768518518518</v>
      </c>
      <c r="G1510" s="75">
        <v>2</v>
      </c>
      <c r="H1510" s="75">
        <v>15</v>
      </c>
      <c r="I1510" s="75">
        <v>34</v>
      </c>
    </row>
    <row r="1511" spans="1:9">
      <c r="A1511" s="75">
        <v>447</v>
      </c>
      <c r="B1511" s="75">
        <v>5</v>
      </c>
      <c r="C1511" s="75">
        <v>452</v>
      </c>
      <c r="D1511" s="76">
        <v>43359.812881944446</v>
      </c>
      <c r="E1511" s="77">
        <v>43344</v>
      </c>
      <c r="F1511" s="78">
        <v>0.81288194444444439</v>
      </c>
      <c r="G1511" s="75">
        <v>2</v>
      </c>
      <c r="H1511" s="75">
        <v>30</v>
      </c>
      <c r="I1511" s="75">
        <v>33</v>
      </c>
    </row>
    <row r="1512" spans="1:9">
      <c r="A1512" s="75">
        <v>501</v>
      </c>
      <c r="B1512" s="75">
        <v>4</v>
      </c>
      <c r="C1512" s="75">
        <v>505</v>
      </c>
      <c r="D1512" s="76">
        <v>43359.823298611111</v>
      </c>
      <c r="E1512" s="77">
        <v>43344</v>
      </c>
      <c r="F1512" s="78">
        <v>0.82329861111111102</v>
      </c>
      <c r="G1512" s="75">
        <v>2</v>
      </c>
      <c r="H1512" s="75">
        <v>45</v>
      </c>
      <c r="I1512" s="75">
        <v>33</v>
      </c>
    </row>
    <row r="1513" spans="1:9">
      <c r="A1513" s="75">
        <v>480</v>
      </c>
      <c r="B1513" s="75">
        <v>4</v>
      </c>
      <c r="C1513" s="75">
        <v>484</v>
      </c>
      <c r="D1513" s="76">
        <v>43359.833726851852</v>
      </c>
      <c r="E1513" s="77">
        <v>43344</v>
      </c>
      <c r="F1513" s="78">
        <v>0.8337268518518518</v>
      </c>
      <c r="G1513" s="75">
        <v>2</v>
      </c>
      <c r="H1513" s="75">
        <v>0</v>
      </c>
      <c r="I1513" s="75">
        <v>34</v>
      </c>
    </row>
    <row r="1514" spans="1:9">
      <c r="A1514" s="75">
        <v>486</v>
      </c>
      <c r="B1514" s="75">
        <v>6</v>
      </c>
      <c r="C1514" s="75">
        <v>492</v>
      </c>
      <c r="D1514" s="76">
        <v>43359.844143518516</v>
      </c>
      <c r="E1514" s="77">
        <v>43344</v>
      </c>
      <c r="F1514" s="78">
        <v>0.84414351851851854</v>
      </c>
      <c r="G1514" s="75">
        <v>2</v>
      </c>
      <c r="H1514" s="75">
        <v>15</v>
      </c>
      <c r="I1514" s="75">
        <v>34</v>
      </c>
    </row>
    <row r="1515" spans="1:9">
      <c r="A1515" s="75">
        <v>540</v>
      </c>
      <c r="B1515" s="75">
        <v>9</v>
      </c>
      <c r="C1515" s="75">
        <v>549</v>
      </c>
      <c r="D1515" s="76">
        <v>43359.854560185187</v>
      </c>
      <c r="E1515" s="77">
        <v>43344</v>
      </c>
      <c r="F1515" s="78">
        <v>0.85456018518518517</v>
      </c>
      <c r="G1515" s="75">
        <v>2</v>
      </c>
      <c r="H1515" s="75">
        <v>30</v>
      </c>
      <c r="I1515" s="75">
        <v>34</v>
      </c>
    </row>
    <row r="1516" spans="1:9">
      <c r="A1516" s="75">
        <v>533</v>
      </c>
      <c r="B1516" s="75">
        <v>8</v>
      </c>
      <c r="C1516" s="75">
        <v>541</v>
      </c>
      <c r="D1516" s="76">
        <v>43359.864976851852</v>
      </c>
      <c r="E1516" s="77">
        <v>43344</v>
      </c>
      <c r="F1516" s="78">
        <v>0.8649768518518518</v>
      </c>
      <c r="G1516" s="75">
        <v>2</v>
      </c>
      <c r="H1516" s="75">
        <v>45</v>
      </c>
      <c r="I1516" s="75">
        <v>34</v>
      </c>
    </row>
    <row r="1517" spans="1:9">
      <c r="A1517" s="75">
        <v>553</v>
      </c>
      <c r="B1517" s="75">
        <v>6</v>
      </c>
      <c r="C1517" s="75">
        <v>559</v>
      </c>
      <c r="D1517" s="76">
        <v>43359.875381944446</v>
      </c>
      <c r="E1517" s="77">
        <v>43344</v>
      </c>
      <c r="F1517" s="78">
        <v>0.87538194444444439</v>
      </c>
      <c r="G1517" s="75">
        <v>2</v>
      </c>
      <c r="H1517" s="75">
        <v>0</v>
      </c>
      <c r="I1517" s="75">
        <v>33</v>
      </c>
    </row>
    <row r="1518" spans="1:9">
      <c r="A1518" s="75">
        <v>549</v>
      </c>
      <c r="B1518" s="75">
        <v>4</v>
      </c>
      <c r="C1518" s="75">
        <v>553</v>
      </c>
      <c r="D1518" s="76">
        <v>43359.885810185187</v>
      </c>
      <c r="E1518" s="77">
        <v>43344</v>
      </c>
      <c r="F1518" s="78">
        <v>0.88581018518518517</v>
      </c>
      <c r="G1518" s="75">
        <v>2</v>
      </c>
      <c r="H1518" s="75">
        <v>15</v>
      </c>
      <c r="I1518" s="75">
        <v>34</v>
      </c>
    </row>
    <row r="1519" spans="1:9">
      <c r="A1519" s="75">
        <v>513</v>
      </c>
      <c r="B1519" s="75">
        <v>2</v>
      </c>
      <c r="C1519" s="75">
        <v>515</v>
      </c>
      <c r="D1519" s="76">
        <v>43359.896226851852</v>
      </c>
      <c r="E1519" s="77">
        <v>43344</v>
      </c>
      <c r="F1519" s="78">
        <v>0.8962268518518518</v>
      </c>
      <c r="G1519" s="75">
        <v>2</v>
      </c>
      <c r="H1519" s="75">
        <v>30</v>
      </c>
      <c r="I1519" s="75">
        <v>34</v>
      </c>
    </row>
    <row r="1520" spans="1:9">
      <c r="A1520" s="75">
        <v>563</v>
      </c>
      <c r="B1520" s="75">
        <v>1</v>
      </c>
      <c r="C1520" s="75">
        <v>564</v>
      </c>
      <c r="D1520" s="76">
        <v>43359.906631944446</v>
      </c>
      <c r="E1520" s="77">
        <v>43344</v>
      </c>
      <c r="F1520" s="78">
        <v>0.90663194444444439</v>
      </c>
      <c r="G1520" s="75">
        <v>2</v>
      </c>
      <c r="H1520" s="75">
        <v>45</v>
      </c>
      <c r="I1520" s="75">
        <v>33</v>
      </c>
    </row>
    <row r="1521" spans="1:9">
      <c r="A1521" s="75">
        <v>518</v>
      </c>
      <c r="B1521" s="75">
        <v>0</v>
      </c>
      <c r="C1521" s="75">
        <v>518</v>
      </c>
      <c r="D1521" s="76">
        <v>43359.917048611111</v>
      </c>
      <c r="E1521" s="77">
        <v>43344</v>
      </c>
      <c r="F1521" s="78">
        <v>0.91704861111111102</v>
      </c>
      <c r="G1521" s="75">
        <v>2</v>
      </c>
      <c r="H1521" s="75">
        <v>0</v>
      </c>
      <c r="I1521" s="75">
        <v>33</v>
      </c>
    </row>
    <row r="1522" spans="1:9">
      <c r="A1522" s="75">
        <v>548</v>
      </c>
      <c r="B1522" s="75">
        <v>5</v>
      </c>
      <c r="C1522" s="75">
        <v>553</v>
      </c>
      <c r="D1522" s="76">
        <v>43359.927465277775</v>
      </c>
      <c r="E1522" s="77">
        <v>43344</v>
      </c>
      <c r="F1522" s="78">
        <v>0.92746527777777776</v>
      </c>
      <c r="G1522" s="75">
        <v>2</v>
      </c>
      <c r="H1522" s="75">
        <v>15</v>
      </c>
      <c r="I1522" s="75">
        <v>33</v>
      </c>
    </row>
    <row r="1523" spans="1:9">
      <c r="A1523" s="75">
        <v>538</v>
      </c>
      <c r="B1523" s="75">
        <v>8</v>
      </c>
      <c r="C1523" s="75">
        <v>546</v>
      </c>
      <c r="D1523" s="76">
        <v>43359.937881944446</v>
      </c>
      <c r="E1523" s="77">
        <v>43344</v>
      </c>
      <c r="F1523" s="78">
        <v>0.93788194444444439</v>
      </c>
      <c r="G1523" s="75">
        <v>2</v>
      </c>
      <c r="H1523" s="75">
        <v>30</v>
      </c>
      <c r="I1523" s="75">
        <v>33</v>
      </c>
    </row>
    <row r="1524" spans="1:9">
      <c r="A1524" s="75">
        <v>520</v>
      </c>
      <c r="B1524" s="75">
        <v>4</v>
      </c>
      <c r="C1524" s="75">
        <v>524</v>
      </c>
      <c r="D1524" s="76">
        <v>43359.948298611111</v>
      </c>
      <c r="E1524" s="77">
        <v>43344</v>
      </c>
      <c r="F1524" s="78">
        <v>0.94829861111111102</v>
      </c>
      <c r="G1524" s="75">
        <v>2</v>
      </c>
      <c r="H1524" s="75">
        <v>45</v>
      </c>
      <c r="I1524" s="75">
        <v>33</v>
      </c>
    </row>
    <row r="1525" spans="1:9">
      <c r="A1525" s="75">
        <v>428</v>
      </c>
      <c r="B1525" s="75">
        <v>1</v>
      </c>
      <c r="C1525" s="75">
        <v>429</v>
      </c>
      <c r="D1525" s="76">
        <v>43359.958726851852</v>
      </c>
      <c r="E1525" s="77">
        <v>43344</v>
      </c>
      <c r="F1525" s="78">
        <v>0.9587268518518518</v>
      </c>
      <c r="G1525" s="75">
        <v>2</v>
      </c>
      <c r="H1525" s="75">
        <v>0</v>
      </c>
      <c r="I1525" s="75">
        <v>34</v>
      </c>
    </row>
    <row r="1526" spans="1:9">
      <c r="A1526" s="75">
        <v>438</v>
      </c>
      <c r="B1526" s="75">
        <v>2</v>
      </c>
      <c r="C1526" s="75">
        <v>440</v>
      </c>
      <c r="D1526" s="76">
        <v>43359.969131944446</v>
      </c>
      <c r="E1526" s="77">
        <v>43344</v>
      </c>
      <c r="F1526" s="78">
        <v>0.96913194444444439</v>
      </c>
      <c r="G1526" s="75">
        <v>2</v>
      </c>
      <c r="H1526" s="75">
        <v>15</v>
      </c>
      <c r="I1526" s="75">
        <v>33</v>
      </c>
    </row>
    <row r="1527" spans="1:9">
      <c r="A1527" s="75">
        <v>336</v>
      </c>
      <c r="B1527" s="75">
        <v>1</v>
      </c>
      <c r="C1527" s="75">
        <v>337</v>
      </c>
      <c r="D1527" s="76">
        <v>43359.979548611111</v>
      </c>
      <c r="E1527" s="77">
        <v>43344</v>
      </c>
      <c r="F1527" s="78">
        <v>0.97954861111111102</v>
      </c>
      <c r="G1527" s="75">
        <v>2</v>
      </c>
      <c r="H1527" s="75">
        <v>30</v>
      </c>
      <c r="I1527" s="75">
        <v>33</v>
      </c>
    </row>
    <row r="1528" spans="1:9">
      <c r="A1528" s="75">
        <v>313</v>
      </c>
      <c r="B1528" s="75">
        <v>1</v>
      </c>
      <c r="C1528" s="75">
        <v>314</v>
      </c>
      <c r="D1528" s="76">
        <v>43359.989976851852</v>
      </c>
      <c r="E1528" s="77">
        <v>43344</v>
      </c>
      <c r="F1528" s="78">
        <v>0.9899768518518518</v>
      </c>
      <c r="G1528" s="75">
        <v>2</v>
      </c>
      <c r="H1528" s="75">
        <v>45</v>
      </c>
      <c r="I1528" s="75">
        <v>34</v>
      </c>
    </row>
    <row r="1529" spans="1:9">
      <c r="A1529" s="75">
        <v>261</v>
      </c>
      <c r="B1529" s="75">
        <v>2</v>
      </c>
      <c r="C1529" s="75">
        <v>263</v>
      </c>
      <c r="D1529" s="76">
        <v>43360.000381944446</v>
      </c>
      <c r="E1529" s="77">
        <v>43344</v>
      </c>
      <c r="F1529" s="78">
        <v>3.8194444444444446E-4</v>
      </c>
      <c r="G1529" s="75">
        <v>2</v>
      </c>
      <c r="H1529" s="75">
        <v>0</v>
      </c>
      <c r="I1529" s="75">
        <v>33</v>
      </c>
    </row>
    <row r="1530" spans="1:9">
      <c r="A1530" s="75">
        <v>286</v>
      </c>
      <c r="B1530" s="75">
        <v>4</v>
      </c>
      <c r="C1530" s="75">
        <v>290</v>
      </c>
      <c r="D1530" s="76">
        <v>43360.010798611111</v>
      </c>
      <c r="E1530" s="77">
        <v>43344</v>
      </c>
      <c r="F1530" s="78">
        <v>1.0798611111111111E-2</v>
      </c>
      <c r="G1530" s="75">
        <v>2</v>
      </c>
      <c r="H1530" s="75">
        <v>15</v>
      </c>
      <c r="I1530" s="75">
        <v>33</v>
      </c>
    </row>
    <row r="1531" spans="1:9">
      <c r="A1531" s="75">
        <v>278</v>
      </c>
      <c r="B1531" s="75">
        <v>1</v>
      </c>
      <c r="C1531" s="75">
        <v>279</v>
      </c>
      <c r="D1531" s="76">
        <v>43360.021226851852</v>
      </c>
      <c r="E1531" s="77">
        <v>43344</v>
      </c>
      <c r="F1531" s="78">
        <v>2.1226851851851854E-2</v>
      </c>
      <c r="G1531" s="75">
        <v>2</v>
      </c>
      <c r="H1531" s="75">
        <v>30</v>
      </c>
      <c r="I1531" s="75">
        <v>34</v>
      </c>
    </row>
    <row r="1532" spans="1:9">
      <c r="A1532" s="75">
        <v>255</v>
      </c>
      <c r="B1532" s="75">
        <v>2</v>
      </c>
      <c r="C1532" s="75">
        <v>257</v>
      </c>
      <c r="D1532" s="76">
        <v>43360.031631944446</v>
      </c>
      <c r="E1532" s="77">
        <v>43344</v>
      </c>
      <c r="F1532" s="78">
        <v>3.1631944444444442E-2</v>
      </c>
      <c r="G1532" s="75">
        <v>2</v>
      </c>
      <c r="H1532" s="75">
        <v>45</v>
      </c>
      <c r="I1532" s="75">
        <v>33</v>
      </c>
    </row>
    <row r="1533" spans="1:9">
      <c r="A1533" s="75">
        <v>227</v>
      </c>
      <c r="B1533" s="75">
        <v>0</v>
      </c>
      <c r="C1533" s="75">
        <v>227</v>
      </c>
      <c r="D1533" s="76">
        <v>43360.042048611111</v>
      </c>
      <c r="E1533" s="77">
        <v>43344</v>
      </c>
      <c r="F1533" s="78">
        <v>4.2048611111111113E-2</v>
      </c>
      <c r="G1533" s="75">
        <v>2</v>
      </c>
      <c r="H1533" s="75">
        <v>0</v>
      </c>
      <c r="I1533" s="75">
        <v>33</v>
      </c>
    </row>
    <row r="1534" spans="1:9">
      <c r="A1534" s="75">
        <v>266</v>
      </c>
      <c r="B1534" s="75">
        <v>4</v>
      </c>
      <c r="C1534" s="75">
        <v>270</v>
      </c>
      <c r="D1534" s="76">
        <v>43360.052453703705</v>
      </c>
      <c r="E1534" s="77">
        <v>43344</v>
      </c>
      <c r="F1534" s="78">
        <v>5.2453703703703704E-2</v>
      </c>
      <c r="G1534" s="75">
        <v>2</v>
      </c>
      <c r="H1534" s="75">
        <v>15</v>
      </c>
      <c r="I1534" s="75">
        <v>32</v>
      </c>
    </row>
    <row r="1535" spans="1:9">
      <c r="A1535" s="75">
        <v>223</v>
      </c>
      <c r="B1535" s="75">
        <v>2</v>
      </c>
      <c r="C1535" s="75">
        <v>225</v>
      </c>
      <c r="D1535" s="76">
        <v>43360.062893518516</v>
      </c>
      <c r="E1535" s="77">
        <v>43344</v>
      </c>
      <c r="F1535" s="78">
        <v>6.2893518518518529E-2</v>
      </c>
      <c r="G1535" s="75">
        <v>2</v>
      </c>
      <c r="H1535" s="75">
        <v>30</v>
      </c>
      <c r="I1535" s="75">
        <v>34</v>
      </c>
    </row>
    <row r="1536" spans="1:9">
      <c r="A1536" s="75">
        <v>210</v>
      </c>
      <c r="B1536" s="75">
        <v>1</v>
      </c>
      <c r="C1536" s="75">
        <v>211</v>
      </c>
      <c r="D1536" s="76">
        <v>43360.073298611111</v>
      </c>
      <c r="E1536" s="77">
        <v>43344</v>
      </c>
      <c r="F1536" s="78">
        <v>7.329861111111112E-2</v>
      </c>
      <c r="G1536" s="75">
        <v>2</v>
      </c>
      <c r="H1536" s="75">
        <v>45</v>
      </c>
      <c r="I1536" s="75">
        <v>33</v>
      </c>
    </row>
    <row r="1537" spans="1:9">
      <c r="A1537" s="75">
        <v>192</v>
      </c>
      <c r="B1537" s="75">
        <v>2</v>
      </c>
      <c r="C1537" s="75">
        <v>194</v>
      </c>
      <c r="D1537" s="76">
        <v>43360.083738425928</v>
      </c>
      <c r="E1537" s="77">
        <v>43344</v>
      </c>
      <c r="F1537" s="78">
        <v>8.3738425925925938E-2</v>
      </c>
      <c r="G1537" s="75">
        <v>2</v>
      </c>
      <c r="H1537" s="75">
        <v>0</v>
      </c>
      <c r="I1537" s="75">
        <v>35</v>
      </c>
    </row>
    <row r="1538" spans="1:9">
      <c r="A1538" s="75">
        <v>197</v>
      </c>
      <c r="B1538" s="75">
        <v>3</v>
      </c>
      <c r="C1538" s="75">
        <v>200</v>
      </c>
      <c r="D1538" s="76">
        <v>43360.094143518516</v>
      </c>
      <c r="E1538" s="77">
        <v>43344</v>
      </c>
      <c r="F1538" s="78">
        <v>9.4143518518518529E-2</v>
      </c>
      <c r="G1538" s="75">
        <v>2</v>
      </c>
      <c r="H1538" s="75">
        <v>15</v>
      </c>
      <c r="I1538" s="75">
        <v>34</v>
      </c>
    </row>
    <row r="1539" spans="1:9">
      <c r="A1539" s="75">
        <v>164</v>
      </c>
      <c r="B1539" s="75">
        <v>2</v>
      </c>
      <c r="C1539" s="75">
        <v>166</v>
      </c>
      <c r="D1539" s="76">
        <v>43360.104548611111</v>
      </c>
      <c r="E1539" s="77">
        <v>43344</v>
      </c>
      <c r="F1539" s="78">
        <v>0.10454861111111112</v>
      </c>
      <c r="G1539" s="75">
        <v>2</v>
      </c>
      <c r="H1539" s="75">
        <v>30</v>
      </c>
      <c r="I1539" s="75">
        <v>33</v>
      </c>
    </row>
    <row r="1540" spans="1:9">
      <c r="A1540" s="75">
        <v>128</v>
      </c>
      <c r="B1540" s="75">
        <v>0</v>
      </c>
      <c r="C1540" s="75">
        <v>128</v>
      </c>
      <c r="D1540" s="76">
        <v>43360.114953703705</v>
      </c>
      <c r="E1540" s="77">
        <v>43344</v>
      </c>
      <c r="F1540" s="78">
        <v>0.11495370370370371</v>
      </c>
      <c r="G1540" s="75">
        <v>2</v>
      </c>
      <c r="H1540" s="75">
        <v>45</v>
      </c>
      <c r="I1540" s="75">
        <v>32</v>
      </c>
    </row>
    <row r="1541" spans="1:9">
      <c r="A1541" s="75">
        <v>103</v>
      </c>
      <c r="B1541" s="75">
        <v>0</v>
      </c>
      <c r="C1541" s="75">
        <v>102</v>
      </c>
      <c r="D1541" s="76">
        <v>43360.125381944446</v>
      </c>
      <c r="E1541" s="77">
        <v>43344</v>
      </c>
      <c r="F1541" s="78">
        <v>0.12538194444444445</v>
      </c>
      <c r="G1541" s="75">
        <v>2</v>
      </c>
      <c r="H1541" s="75">
        <v>0</v>
      </c>
      <c r="I1541" s="75">
        <v>33</v>
      </c>
    </row>
    <row r="1542" spans="1:9">
      <c r="A1542" s="75">
        <v>119</v>
      </c>
      <c r="B1542" s="75">
        <v>0</v>
      </c>
      <c r="C1542" s="75">
        <v>119</v>
      </c>
      <c r="D1542" s="76">
        <v>43360.135798611111</v>
      </c>
      <c r="E1542" s="77">
        <v>43344</v>
      </c>
      <c r="F1542" s="78">
        <v>0.13579861111111111</v>
      </c>
      <c r="G1542" s="75">
        <v>2</v>
      </c>
      <c r="H1542" s="75">
        <v>15</v>
      </c>
      <c r="I1542" s="75">
        <v>33</v>
      </c>
    </row>
    <row r="1543" spans="1:9">
      <c r="A1543" s="75">
        <v>105</v>
      </c>
      <c r="B1543" s="75">
        <v>0</v>
      </c>
      <c r="C1543" s="75">
        <v>97</v>
      </c>
      <c r="D1543" s="76">
        <v>43360.146215277775</v>
      </c>
      <c r="E1543" s="77">
        <v>43344</v>
      </c>
      <c r="F1543" s="78">
        <v>0.14621527777777779</v>
      </c>
      <c r="G1543" s="75">
        <v>2</v>
      </c>
      <c r="H1543" s="75">
        <v>30</v>
      </c>
      <c r="I1543" s="75">
        <v>33</v>
      </c>
    </row>
    <row r="1544" spans="1:9">
      <c r="A1544" s="75">
        <v>88</v>
      </c>
      <c r="B1544" s="75">
        <v>1</v>
      </c>
      <c r="C1544" s="75">
        <v>89</v>
      </c>
      <c r="D1544" s="76">
        <v>43360.156631944446</v>
      </c>
      <c r="E1544" s="77">
        <v>43344</v>
      </c>
      <c r="F1544" s="78">
        <v>0.15663194444444445</v>
      </c>
      <c r="G1544" s="75">
        <v>2</v>
      </c>
      <c r="H1544" s="75">
        <v>45</v>
      </c>
      <c r="I1544" s="75">
        <v>33</v>
      </c>
    </row>
    <row r="1545" spans="1:9">
      <c r="A1545" s="75">
        <v>76</v>
      </c>
      <c r="B1545" s="75">
        <v>1</v>
      </c>
      <c r="C1545" s="75">
        <v>77</v>
      </c>
      <c r="D1545" s="76">
        <v>43360.167048611111</v>
      </c>
      <c r="E1545" s="77">
        <v>43344</v>
      </c>
      <c r="F1545" s="78">
        <v>0.16704861111111111</v>
      </c>
      <c r="G1545" s="75">
        <v>2</v>
      </c>
      <c r="H1545" s="75">
        <v>0</v>
      </c>
      <c r="I1545" s="75">
        <v>33</v>
      </c>
    </row>
    <row r="1546" spans="1:9">
      <c r="A1546" s="75">
        <v>29</v>
      </c>
      <c r="B1546" s="75">
        <v>1</v>
      </c>
      <c r="C1546" s="75">
        <v>30</v>
      </c>
      <c r="D1546" s="76">
        <v>43360.177453703705</v>
      </c>
      <c r="E1546" s="77">
        <v>43344</v>
      </c>
      <c r="F1546" s="78">
        <v>0.1774537037037037</v>
      </c>
      <c r="G1546" s="75">
        <v>2</v>
      </c>
      <c r="H1546" s="75">
        <v>15</v>
      </c>
      <c r="I1546" s="75">
        <v>32</v>
      </c>
    </row>
    <row r="1547" spans="1:9">
      <c r="A1547" s="75">
        <v>18</v>
      </c>
      <c r="B1547" s="75">
        <v>0</v>
      </c>
      <c r="C1547" s="75">
        <v>18</v>
      </c>
      <c r="D1547" s="76">
        <v>43360.187881944446</v>
      </c>
      <c r="E1547" s="77">
        <v>43344</v>
      </c>
      <c r="F1547" s="78">
        <v>0.18788194444444442</v>
      </c>
      <c r="G1547" s="75">
        <v>2</v>
      </c>
      <c r="H1547" s="75">
        <v>30</v>
      </c>
      <c r="I1547" s="75">
        <v>33</v>
      </c>
    </row>
    <row r="1548" spans="1:9">
      <c r="A1548" s="75">
        <v>15</v>
      </c>
      <c r="B1548" s="75">
        <v>0</v>
      </c>
      <c r="C1548" s="75">
        <v>14</v>
      </c>
      <c r="D1548" s="76">
        <v>43360.198287037034</v>
      </c>
      <c r="E1548" s="77">
        <v>43344</v>
      </c>
      <c r="F1548" s="78">
        <v>0.19828703703703701</v>
      </c>
      <c r="G1548" s="75">
        <v>2</v>
      </c>
      <c r="H1548" s="75">
        <v>45</v>
      </c>
      <c r="I1548" s="75">
        <v>32</v>
      </c>
    </row>
    <row r="1549" spans="1:9">
      <c r="A1549" s="75">
        <v>14</v>
      </c>
      <c r="B1549" s="75">
        <v>0</v>
      </c>
      <c r="C1549" s="75">
        <v>13</v>
      </c>
      <c r="D1549" s="76">
        <v>43360.208715277775</v>
      </c>
      <c r="E1549" s="77">
        <v>43344</v>
      </c>
      <c r="F1549" s="78">
        <v>0.20871527777777776</v>
      </c>
      <c r="G1549" s="75">
        <v>2</v>
      </c>
      <c r="H1549" s="75">
        <v>0</v>
      </c>
      <c r="I1549" s="75">
        <v>33</v>
      </c>
    </row>
    <row r="1550" spans="1:9">
      <c r="A1550" s="75">
        <v>14</v>
      </c>
      <c r="B1550" s="75">
        <v>0</v>
      </c>
      <c r="C1550" s="75">
        <v>13</v>
      </c>
      <c r="D1550" s="76">
        <v>43360.219131944446</v>
      </c>
      <c r="E1550" s="77">
        <v>43344</v>
      </c>
      <c r="F1550" s="78">
        <v>0.21913194444444442</v>
      </c>
      <c r="G1550" s="75">
        <v>2</v>
      </c>
      <c r="H1550" s="75">
        <v>15</v>
      </c>
      <c r="I1550" s="75">
        <v>33</v>
      </c>
    </row>
    <row r="1551" spans="1:9">
      <c r="A1551" s="75">
        <v>14</v>
      </c>
      <c r="B1551" s="75">
        <v>0</v>
      </c>
      <c r="C1551" s="75">
        <v>13</v>
      </c>
      <c r="D1551" s="76">
        <v>43360.229537037034</v>
      </c>
      <c r="E1551" s="77">
        <v>43344</v>
      </c>
      <c r="F1551" s="78">
        <v>0.22953703703703701</v>
      </c>
      <c r="G1551" s="75">
        <v>2</v>
      </c>
      <c r="H1551" s="75">
        <v>30</v>
      </c>
      <c r="I1551" s="75">
        <v>32</v>
      </c>
    </row>
    <row r="1552" spans="1:9">
      <c r="A1552" s="75">
        <v>13</v>
      </c>
      <c r="B1552" s="75">
        <v>0</v>
      </c>
      <c r="C1552" s="75">
        <v>12</v>
      </c>
      <c r="D1552" s="76">
        <v>43360.239965277775</v>
      </c>
      <c r="E1552" s="77">
        <v>43344</v>
      </c>
      <c r="F1552" s="78">
        <v>0.23996527777777776</v>
      </c>
      <c r="G1552" s="75">
        <v>2</v>
      </c>
      <c r="H1552" s="75">
        <v>45</v>
      </c>
      <c r="I1552" s="75">
        <v>33</v>
      </c>
    </row>
    <row r="1553" spans="1:9">
      <c r="A1553" s="75">
        <v>18</v>
      </c>
      <c r="B1553" s="75">
        <v>0</v>
      </c>
      <c r="C1553" s="75">
        <v>10</v>
      </c>
      <c r="D1553" s="76">
        <v>43360.250381944446</v>
      </c>
      <c r="E1553" s="77">
        <v>43344</v>
      </c>
      <c r="F1553" s="78">
        <v>0.25038194444444445</v>
      </c>
      <c r="G1553" s="75">
        <v>2</v>
      </c>
      <c r="H1553" s="75">
        <v>0</v>
      </c>
      <c r="I1553" s="75">
        <v>33</v>
      </c>
    </row>
    <row r="1554" spans="1:9">
      <c r="A1554" s="75">
        <v>10</v>
      </c>
      <c r="B1554" s="75">
        <v>0</v>
      </c>
      <c r="C1554" s="75">
        <v>9</v>
      </c>
      <c r="D1554" s="76">
        <v>43360.260798611111</v>
      </c>
      <c r="E1554" s="77">
        <v>43344</v>
      </c>
      <c r="F1554" s="78">
        <v>0.26079861111111108</v>
      </c>
      <c r="G1554" s="75">
        <v>2</v>
      </c>
      <c r="H1554" s="75">
        <v>15</v>
      </c>
      <c r="I1554" s="75">
        <v>33</v>
      </c>
    </row>
    <row r="1555" spans="1:9">
      <c r="A1555" s="75">
        <v>10</v>
      </c>
      <c r="B1555" s="75">
        <v>0</v>
      </c>
      <c r="C1555" s="75">
        <v>9</v>
      </c>
      <c r="D1555" s="76">
        <v>43360.273888888885</v>
      </c>
      <c r="E1555" s="77">
        <v>43344</v>
      </c>
      <c r="F1555" s="78">
        <v>0.2738888888888889</v>
      </c>
      <c r="G1555" s="75">
        <v>2</v>
      </c>
      <c r="H1555" s="75">
        <v>34</v>
      </c>
      <c r="I1555" s="75">
        <v>24</v>
      </c>
    </row>
    <row r="1556" spans="1:9">
      <c r="A1556" s="75">
        <v>10</v>
      </c>
      <c r="B1556" s="75">
        <v>0</v>
      </c>
      <c r="C1556" s="75">
        <v>9</v>
      </c>
      <c r="D1556" s="76">
        <v>43360.28162037037</v>
      </c>
      <c r="E1556" s="77">
        <v>43344</v>
      </c>
      <c r="F1556" s="78">
        <v>0.28162037037037035</v>
      </c>
      <c r="G1556" s="75">
        <v>2</v>
      </c>
      <c r="H1556" s="75">
        <v>45</v>
      </c>
      <c r="I1556" s="75">
        <v>32</v>
      </c>
    </row>
    <row r="1557" spans="1:9">
      <c r="A1557" s="75">
        <v>15</v>
      </c>
      <c r="B1557" s="75">
        <v>0</v>
      </c>
      <c r="C1557" s="75">
        <v>14</v>
      </c>
      <c r="D1557" s="76">
        <v>43360.292048611111</v>
      </c>
      <c r="E1557" s="77">
        <v>43344</v>
      </c>
      <c r="F1557" s="78">
        <v>0.29204861111111108</v>
      </c>
      <c r="G1557" s="75">
        <v>2</v>
      </c>
      <c r="H1557" s="75">
        <v>0</v>
      </c>
      <c r="I1557" s="75">
        <v>33</v>
      </c>
    </row>
    <row r="1558" spans="1:9">
      <c r="A1558" s="75">
        <v>34</v>
      </c>
      <c r="B1558" s="75">
        <v>0</v>
      </c>
      <c r="C1558" s="75">
        <v>33</v>
      </c>
      <c r="D1558" s="76">
        <v>43360.302476851852</v>
      </c>
      <c r="E1558" s="77">
        <v>43344</v>
      </c>
      <c r="F1558" s="78">
        <v>0.30247685185185186</v>
      </c>
      <c r="G1558" s="75">
        <v>2</v>
      </c>
      <c r="H1558" s="75">
        <v>15</v>
      </c>
      <c r="I1558" s="75">
        <v>34</v>
      </c>
    </row>
    <row r="1559" spans="1:9">
      <c r="A1559" s="75">
        <v>40</v>
      </c>
      <c r="B1559" s="75">
        <v>0</v>
      </c>
      <c r="C1559" s="75">
        <v>39</v>
      </c>
      <c r="D1559" s="76">
        <v>43360.312893518516</v>
      </c>
      <c r="E1559" s="77">
        <v>43344</v>
      </c>
      <c r="F1559" s="78">
        <v>0.31289351851851849</v>
      </c>
      <c r="G1559" s="75">
        <v>2</v>
      </c>
      <c r="H1559" s="75">
        <v>30</v>
      </c>
      <c r="I1559" s="75">
        <v>34</v>
      </c>
    </row>
    <row r="1560" spans="1:9">
      <c r="A1560" s="75">
        <v>42</v>
      </c>
      <c r="B1560" s="75">
        <v>0</v>
      </c>
      <c r="C1560" s="75">
        <v>41</v>
      </c>
      <c r="D1560" s="76">
        <v>43360.323310185187</v>
      </c>
      <c r="E1560" s="77">
        <v>43344</v>
      </c>
      <c r="F1560" s="78">
        <v>0.32331018518518517</v>
      </c>
      <c r="G1560" s="75">
        <v>2</v>
      </c>
      <c r="H1560" s="75">
        <v>45</v>
      </c>
      <c r="I1560" s="75">
        <v>34</v>
      </c>
    </row>
    <row r="1561" spans="1:9">
      <c r="A1561" s="75">
        <v>51</v>
      </c>
      <c r="B1561" s="75">
        <v>0</v>
      </c>
      <c r="C1561" s="75">
        <v>50</v>
      </c>
      <c r="D1561" s="76">
        <v>43360.333726851852</v>
      </c>
      <c r="E1561" s="77">
        <v>43344</v>
      </c>
      <c r="F1561" s="78">
        <v>0.33372685185185186</v>
      </c>
      <c r="G1561" s="75">
        <v>2</v>
      </c>
      <c r="H1561" s="75">
        <v>0</v>
      </c>
      <c r="I1561" s="75">
        <v>34</v>
      </c>
    </row>
    <row r="1562" spans="1:9">
      <c r="A1562" s="75">
        <v>56</v>
      </c>
      <c r="B1562" s="75">
        <v>0</v>
      </c>
      <c r="C1562" s="75">
        <v>55</v>
      </c>
      <c r="D1562" s="76">
        <v>43360.344143518516</v>
      </c>
      <c r="E1562" s="77">
        <v>43344</v>
      </c>
      <c r="F1562" s="78">
        <v>0.34414351851851849</v>
      </c>
      <c r="G1562" s="75">
        <v>2</v>
      </c>
      <c r="H1562" s="75">
        <v>15</v>
      </c>
      <c r="I1562" s="75">
        <v>34</v>
      </c>
    </row>
    <row r="1563" spans="1:9">
      <c r="A1563" s="75">
        <v>126</v>
      </c>
      <c r="B1563" s="75">
        <v>0</v>
      </c>
      <c r="C1563" s="75">
        <v>125</v>
      </c>
      <c r="D1563" s="76">
        <v>43360.354560185187</v>
      </c>
      <c r="E1563" s="77">
        <v>43344</v>
      </c>
      <c r="F1563" s="78">
        <v>0.35456018518518517</v>
      </c>
      <c r="G1563" s="75">
        <v>2</v>
      </c>
      <c r="H1563" s="75">
        <v>30</v>
      </c>
      <c r="I1563" s="75">
        <v>34</v>
      </c>
    </row>
    <row r="1564" spans="1:9">
      <c r="A1564" s="75">
        <v>190</v>
      </c>
      <c r="B1564" s="75">
        <v>0</v>
      </c>
      <c r="C1564" s="75">
        <v>189</v>
      </c>
      <c r="D1564" s="76">
        <v>43360.364976851852</v>
      </c>
      <c r="E1564" s="77">
        <v>43344</v>
      </c>
      <c r="F1564" s="78">
        <v>0.36497685185185186</v>
      </c>
      <c r="G1564" s="75">
        <v>2</v>
      </c>
      <c r="H1564" s="75">
        <v>45</v>
      </c>
      <c r="I1564" s="75">
        <v>34</v>
      </c>
    </row>
    <row r="1565" spans="1:9">
      <c r="A1565" s="75">
        <v>179</v>
      </c>
      <c r="B1565" s="75">
        <v>0</v>
      </c>
      <c r="C1565" s="75">
        <v>179</v>
      </c>
      <c r="D1565" s="76">
        <v>43360.375428240739</v>
      </c>
      <c r="E1565" s="77">
        <v>43344</v>
      </c>
      <c r="F1565" s="78">
        <v>0.37542824074074077</v>
      </c>
      <c r="G1565" s="75">
        <v>2</v>
      </c>
      <c r="H1565" s="75">
        <v>0</v>
      </c>
      <c r="I1565" s="75">
        <v>37</v>
      </c>
    </row>
    <row r="1566" spans="1:9">
      <c r="A1566" s="75">
        <v>310</v>
      </c>
      <c r="B1566" s="75">
        <v>2</v>
      </c>
      <c r="C1566" s="75">
        <v>312</v>
      </c>
      <c r="D1566" s="76">
        <v>43360.385810185187</v>
      </c>
      <c r="E1566" s="77">
        <v>43344</v>
      </c>
      <c r="F1566" s="78">
        <v>0.38581018518518517</v>
      </c>
      <c r="G1566" s="75">
        <v>2</v>
      </c>
      <c r="H1566" s="75">
        <v>15</v>
      </c>
      <c r="I1566" s="75">
        <v>34</v>
      </c>
    </row>
    <row r="1567" spans="1:9">
      <c r="A1567" s="75">
        <v>507</v>
      </c>
      <c r="B1567" s="75">
        <v>4</v>
      </c>
      <c r="C1567" s="75">
        <v>511</v>
      </c>
      <c r="D1567" s="76">
        <v>43360.396226851852</v>
      </c>
      <c r="E1567" s="77">
        <v>43344</v>
      </c>
      <c r="F1567" s="78">
        <v>0.39622685185185186</v>
      </c>
      <c r="G1567" s="75">
        <v>2</v>
      </c>
      <c r="H1567" s="75">
        <v>30</v>
      </c>
      <c r="I1567" s="75">
        <v>34</v>
      </c>
    </row>
    <row r="1568" spans="1:9">
      <c r="A1568" s="75">
        <v>900</v>
      </c>
      <c r="B1568" s="75">
        <v>6</v>
      </c>
      <c r="C1568" s="75">
        <v>906</v>
      </c>
      <c r="D1568" s="76">
        <v>43360.406643518516</v>
      </c>
      <c r="E1568" s="77">
        <v>43344</v>
      </c>
      <c r="F1568" s="78">
        <v>0.40664351851851849</v>
      </c>
      <c r="G1568" s="75">
        <v>2</v>
      </c>
      <c r="H1568" s="75">
        <v>45</v>
      </c>
      <c r="I1568" s="75">
        <v>34</v>
      </c>
    </row>
    <row r="1569" spans="1:9">
      <c r="A1569" s="75">
        <v>725</v>
      </c>
      <c r="B1569" s="75">
        <v>16</v>
      </c>
      <c r="C1569" s="75">
        <v>741</v>
      </c>
      <c r="D1569" s="76">
        <v>43360.417060185187</v>
      </c>
      <c r="E1569" s="77">
        <v>43344</v>
      </c>
      <c r="F1569" s="78">
        <v>0.41706018518518517</v>
      </c>
      <c r="G1569" s="75">
        <v>2</v>
      </c>
      <c r="H1569" s="75">
        <v>0</v>
      </c>
      <c r="I1569" s="75">
        <v>34</v>
      </c>
    </row>
    <row r="1570" spans="1:9">
      <c r="A1570" s="75">
        <v>689</v>
      </c>
      <c r="B1570" s="75">
        <v>15</v>
      </c>
      <c r="C1570" s="75">
        <v>704</v>
      </c>
      <c r="D1570" s="76">
        <v>43360.427465277775</v>
      </c>
      <c r="E1570" s="77">
        <v>43344</v>
      </c>
      <c r="F1570" s="78">
        <v>0.42746527777777782</v>
      </c>
      <c r="G1570" s="75">
        <v>2</v>
      </c>
      <c r="H1570" s="75">
        <v>15</v>
      </c>
      <c r="I1570" s="75">
        <v>33</v>
      </c>
    </row>
    <row r="1571" spans="1:9">
      <c r="A1571" s="75">
        <v>808</v>
      </c>
      <c r="B1571" s="75">
        <v>16</v>
      </c>
      <c r="C1571" s="75">
        <v>824</v>
      </c>
      <c r="D1571" s="76">
        <v>43360.437893518516</v>
      </c>
      <c r="E1571" s="77">
        <v>43344</v>
      </c>
      <c r="F1571" s="78">
        <v>0.43789351851851849</v>
      </c>
      <c r="G1571" s="75">
        <v>2</v>
      </c>
      <c r="H1571" s="75">
        <v>30</v>
      </c>
      <c r="I1571" s="75">
        <v>34</v>
      </c>
    </row>
    <row r="1572" spans="1:9">
      <c r="A1572" s="75">
        <v>1092</v>
      </c>
      <c r="B1572" s="75">
        <v>28</v>
      </c>
      <c r="C1572" s="75">
        <v>1120</v>
      </c>
      <c r="D1572" s="76">
        <v>43360.448310185187</v>
      </c>
      <c r="E1572" s="77">
        <v>43344</v>
      </c>
      <c r="F1572" s="78">
        <v>0.44831018518518517</v>
      </c>
      <c r="G1572" s="75">
        <v>2</v>
      </c>
      <c r="H1572" s="75">
        <v>45</v>
      </c>
      <c r="I1572" s="75">
        <v>34</v>
      </c>
    </row>
    <row r="1573" spans="1:9">
      <c r="A1573" s="75">
        <v>827</v>
      </c>
      <c r="B1573" s="75">
        <v>17</v>
      </c>
      <c r="C1573" s="75">
        <v>844</v>
      </c>
      <c r="D1573" s="76">
        <v>43360.458726851852</v>
      </c>
      <c r="E1573" s="77">
        <v>43344</v>
      </c>
      <c r="F1573" s="78">
        <v>0.45872685185185186</v>
      </c>
      <c r="G1573" s="75">
        <v>2</v>
      </c>
      <c r="H1573" s="75">
        <v>0</v>
      </c>
      <c r="I1573" s="75">
        <v>34</v>
      </c>
    </row>
    <row r="1574" spans="1:9">
      <c r="A1574" s="75">
        <v>698</v>
      </c>
      <c r="B1574" s="75">
        <v>14</v>
      </c>
      <c r="C1574" s="75">
        <v>712</v>
      </c>
      <c r="D1574" s="76">
        <v>43360.469143518516</v>
      </c>
      <c r="E1574" s="77">
        <v>43344</v>
      </c>
      <c r="F1574" s="78">
        <v>0.46914351851851849</v>
      </c>
      <c r="G1574" s="75">
        <v>2</v>
      </c>
      <c r="H1574" s="75">
        <v>15</v>
      </c>
      <c r="I1574" s="75">
        <v>34</v>
      </c>
    </row>
    <row r="1575" spans="1:9">
      <c r="A1575" s="75">
        <v>555</v>
      </c>
      <c r="B1575" s="75">
        <v>15</v>
      </c>
      <c r="C1575" s="75">
        <v>570</v>
      </c>
      <c r="D1575" s="76">
        <v>43360.479560185187</v>
      </c>
      <c r="E1575" s="77">
        <v>43344</v>
      </c>
      <c r="F1575" s="78">
        <v>0.47956018518518517</v>
      </c>
      <c r="G1575" s="75">
        <v>2</v>
      </c>
      <c r="H1575" s="75">
        <v>30</v>
      </c>
      <c r="I1575" s="75">
        <v>34</v>
      </c>
    </row>
    <row r="1576" spans="1:9">
      <c r="A1576" s="75">
        <v>502</v>
      </c>
      <c r="B1576" s="75">
        <v>6</v>
      </c>
      <c r="C1576" s="75">
        <v>508</v>
      </c>
      <c r="D1576" s="76">
        <v>43360.489976851852</v>
      </c>
      <c r="E1576" s="77">
        <v>43344</v>
      </c>
      <c r="F1576" s="78">
        <v>0.48997685185185186</v>
      </c>
      <c r="G1576" s="75">
        <v>2</v>
      </c>
      <c r="H1576" s="75">
        <v>45</v>
      </c>
      <c r="I1576" s="75">
        <v>34</v>
      </c>
    </row>
    <row r="1577" spans="1:9">
      <c r="A1577" s="75">
        <v>384</v>
      </c>
      <c r="B1577" s="75">
        <v>5</v>
      </c>
      <c r="C1577" s="75">
        <v>389</v>
      </c>
      <c r="D1577" s="76">
        <v>43360.500393518516</v>
      </c>
      <c r="E1577" s="77">
        <v>43344</v>
      </c>
      <c r="F1577" s="78">
        <v>0.50039351851851854</v>
      </c>
      <c r="G1577" s="75">
        <v>2</v>
      </c>
      <c r="H1577" s="75">
        <v>0</v>
      </c>
      <c r="I1577" s="75">
        <v>34</v>
      </c>
    </row>
    <row r="1578" spans="1:9">
      <c r="A1578" s="75">
        <v>379</v>
      </c>
      <c r="B1578" s="75">
        <v>0</v>
      </c>
      <c r="C1578" s="75">
        <v>378</v>
      </c>
      <c r="D1578" s="76">
        <v>43360.510810185187</v>
      </c>
      <c r="E1578" s="77">
        <v>43344</v>
      </c>
      <c r="F1578" s="78">
        <v>0.51081018518518517</v>
      </c>
      <c r="G1578" s="75">
        <v>2</v>
      </c>
      <c r="H1578" s="75">
        <v>15</v>
      </c>
      <c r="I1578" s="75">
        <v>34</v>
      </c>
    </row>
    <row r="1579" spans="1:9">
      <c r="A1579" s="75">
        <v>363</v>
      </c>
      <c r="B1579" s="75">
        <v>2</v>
      </c>
      <c r="C1579" s="75">
        <v>365</v>
      </c>
      <c r="D1579" s="76">
        <v>43360.521226851852</v>
      </c>
      <c r="E1579" s="77">
        <v>43344</v>
      </c>
      <c r="F1579" s="78">
        <v>0.5212268518518518</v>
      </c>
      <c r="G1579" s="75">
        <v>2</v>
      </c>
      <c r="H1579" s="75">
        <v>30</v>
      </c>
      <c r="I1579" s="75">
        <v>34</v>
      </c>
    </row>
    <row r="1580" spans="1:9">
      <c r="A1580" s="75">
        <v>345</v>
      </c>
      <c r="B1580" s="75">
        <v>2</v>
      </c>
      <c r="C1580" s="75">
        <v>347</v>
      </c>
      <c r="D1580" s="76">
        <v>43360.531631944446</v>
      </c>
      <c r="E1580" s="77">
        <v>43344</v>
      </c>
      <c r="F1580" s="78">
        <v>0.5316319444444445</v>
      </c>
      <c r="G1580" s="75">
        <v>2</v>
      </c>
      <c r="H1580" s="75">
        <v>45</v>
      </c>
      <c r="I1580" s="75">
        <v>33</v>
      </c>
    </row>
    <row r="1581" spans="1:9">
      <c r="A1581" s="75">
        <v>322</v>
      </c>
      <c r="B1581" s="75">
        <v>0</v>
      </c>
      <c r="C1581" s="75">
        <v>322</v>
      </c>
      <c r="D1581" s="76">
        <v>43360.542060185187</v>
      </c>
      <c r="E1581" s="77">
        <v>43344</v>
      </c>
      <c r="F1581" s="78">
        <v>0.54206018518518517</v>
      </c>
      <c r="G1581" s="75">
        <v>2</v>
      </c>
      <c r="H1581" s="75">
        <v>0</v>
      </c>
      <c r="I1581" s="75">
        <v>34</v>
      </c>
    </row>
    <row r="1582" spans="1:9">
      <c r="A1582" s="75">
        <v>328</v>
      </c>
      <c r="B1582" s="75">
        <v>0</v>
      </c>
      <c r="C1582" s="75">
        <v>328</v>
      </c>
      <c r="D1582" s="76">
        <v>43360.552476851852</v>
      </c>
      <c r="E1582" s="77">
        <v>43344</v>
      </c>
      <c r="F1582" s="78">
        <v>0.5524768518518518</v>
      </c>
      <c r="G1582" s="75">
        <v>2</v>
      </c>
      <c r="H1582" s="75">
        <v>15</v>
      </c>
      <c r="I1582" s="75">
        <v>34</v>
      </c>
    </row>
    <row r="1583" spans="1:9">
      <c r="A1583" s="75">
        <v>330</v>
      </c>
      <c r="B1583" s="75">
        <v>5</v>
      </c>
      <c r="C1583" s="75">
        <v>326</v>
      </c>
      <c r="D1583" s="76">
        <v>43360.562893518516</v>
      </c>
      <c r="E1583" s="77">
        <v>43344</v>
      </c>
      <c r="F1583" s="78">
        <v>0.56289351851851854</v>
      </c>
      <c r="G1583" s="75">
        <v>2</v>
      </c>
      <c r="H1583" s="75">
        <v>30</v>
      </c>
      <c r="I1583" s="75">
        <v>34</v>
      </c>
    </row>
    <row r="1584" spans="1:9">
      <c r="A1584" s="75">
        <v>371</v>
      </c>
      <c r="B1584" s="75">
        <v>4</v>
      </c>
      <c r="C1584" s="75">
        <v>375</v>
      </c>
      <c r="D1584" s="76">
        <v>43360.573298611111</v>
      </c>
      <c r="E1584" s="77">
        <v>43344</v>
      </c>
      <c r="F1584" s="78">
        <v>0.57329861111111113</v>
      </c>
      <c r="G1584" s="75">
        <v>2</v>
      </c>
      <c r="H1584" s="75">
        <v>45</v>
      </c>
      <c r="I1584" s="75">
        <v>33</v>
      </c>
    </row>
    <row r="1585" spans="1:9">
      <c r="A1585" s="75">
        <v>337</v>
      </c>
      <c r="B1585" s="75">
        <v>6</v>
      </c>
      <c r="C1585" s="75">
        <v>343</v>
      </c>
      <c r="D1585" s="76">
        <v>43360.583726851852</v>
      </c>
      <c r="E1585" s="77">
        <v>43344</v>
      </c>
      <c r="F1585" s="78">
        <v>0.5837268518518518</v>
      </c>
      <c r="G1585" s="75">
        <v>2</v>
      </c>
      <c r="H1585" s="75">
        <v>0</v>
      </c>
      <c r="I1585" s="75">
        <v>34</v>
      </c>
    </row>
    <row r="1586" spans="1:9">
      <c r="A1586" s="75">
        <v>390</v>
      </c>
      <c r="B1586" s="75">
        <v>4</v>
      </c>
      <c r="C1586" s="75">
        <v>394</v>
      </c>
      <c r="D1586" s="76">
        <v>43360.594143518516</v>
      </c>
      <c r="E1586" s="77">
        <v>43344</v>
      </c>
      <c r="F1586" s="78">
        <v>0.59414351851851854</v>
      </c>
      <c r="G1586" s="75">
        <v>2</v>
      </c>
      <c r="H1586" s="75">
        <v>15</v>
      </c>
      <c r="I1586" s="75">
        <v>34</v>
      </c>
    </row>
    <row r="1587" spans="1:9">
      <c r="A1587" s="75">
        <v>371</v>
      </c>
      <c r="B1587" s="75">
        <v>6</v>
      </c>
      <c r="C1587" s="75">
        <v>377</v>
      </c>
      <c r="D1587" s="76">
        <v>43360.604548611111</v>
      </c>
      <c r="E1587" s="77">
        <v>43344</v>
      </c>
      <c r="F1587" s="78">
        <v>0.60454861111111113</v>
      </c>
      <c r="G1587" s="75">
        <v>2</v>
      </c>
      <c r="H1587" s="75">
        <v>30</v>
      </c>
      <c r="I1587" s="75">
        <v>33</v>
      </c>
    </row>
    <row r="1588" spans="1:9">
      <c r="A1588" s="75">
        <v>416</v>
      </c>
      <c r="B1588" s="75">
        <v>4</v>
      </c>
      <c r="C1588" s="75">
        <v>420</v>
      </c>
      <c r="D1588" s="76">
        <v>43360.614965277775</v>
      </c>
      <c r="E1588" s="77">
        <v>43344</v>
      </c>
      <c r="F1588" s="78">
        <v>0.61496527777777776</v>
      </c>
      <c r="G1588" s="75">
        <v>2</v>
      </c>
      <c r="H1588" s="75">
        <v>45</v>
      </c>
      <c r="I1588" s="75">
        <v>33</v>
      </c>
    </row>
    <row r="1589" spans="1:9">
      <c r="A1589" s="75">
        <v>410</v>
      </c>
      <c r="B1589" s="75">
        <v>2</v>
      </c>
      <c r="C1589" s="75">
        <v>412</v>
      </c>
      <c r="D1589" s="76">
        <v>43360.625393518516</v>
      </c>
      <c r="E1589" s="77">
        <v>43344</v>
      </c>
      <c r="F1589" s="78">
        <v>0.62539351851851854</v>
      </c>
      <c r="G1589" s="75">
        <v>2</v>
      </c>
      <c r="H1589" s="75">
        <v>0</v>
      </c>
      <c r="I1589" s="75">
        <v>34</v>
      </c>
    </row>
    <row r="1590" spans="1:9">
      <c r="A1590" s="75">
        <v>449</v>
      </c>
      <c r="B1590" s="75">
        <v>2</v>
      </c>
      <c r="C1590" s="75">
        <v>451</v>
      </c>
      <c r="D1590" s="76">
        <v>43360.635798611111</v>
      </c>
      <c r="E1590" s="77">
        <v>43344</v>
      </c>
      <c r="F1590" s="78">
        <v>0.63579861111111113</v>
      </c>
      <c r="G1590" s="75">
        <v>2</v>
      </c>
      <c r="H1590" s="75">
        <v>15</v>
      </c>
      <c r="I1590" s="75">
        <v>33</v>
      </c>
    </row>
    <row r="1591" spans="1:9">
      <c r="A1591" s="75">
        <v>420</v>
      </c>
      <c r="B1591" s="75">
        <v>4</v>
      </c>
      <c r="C1591" s="75">
        <v>424</v>
      </c>
      <c r="D1591" s="76">
        <v>43360.646226851852</v>
      </c>
      <c r="E1591" s="77">
        <v>43344</v>
      </c>
      <c r="F1591" s="78">
        <v>0.6462268518518518</v>
      </c>
      <c r="G1591" s="75">
        <v>2</v>
      </c>
      <c r="H1591" s="75">
        <v>30</v>
      </c>
      <c r="I1591" s="75">
        <v>34</v>
      </c>
    </row>
    <row r="1592" spans="1:9">
      <c r="A1592" s="75">
        <v>561</v>
      </c>
      <c r="B1592" s="75">
        <v>4</v>
      </c>
      <c r="C1592" s="75">
        <v>565</v>
      </c>
      <c r="D1592" s="76">
        <v>43360.656643518516</v>
      </c>
      <c r="E1592" s="77">
        <v>43344</v>
      </c>
      <c r="F1592" s="78">
        <v>0.65664351851851854</v>
      </c>
      <c r="G1592" s="75">
        <v>2</v>
      </c>
      <c r="H1592" s="75">
        <v>45</v>
      </c>
      <c r="I1592" s="75">
        <v>34</v>
      </c>
    </row>
    <row r="1593" spans="1:9">
      <c r="A1593" s="75">
        <v>578</v>
      </c>
      <c r="B1593" s="75">
        <v>3</v>
      </c>
      <c r="C1593" s="75">
        <v>581</v>
      </c>
      <c r="D1593" s="76">
        <v>43360.667060185187</v>
      </c>
      <c r="E1593" s="77">
        <v>43344</v>
      </c>
      <c r="F1593" s="78">
        <v>0.66706018518518517</v>
      </c>
      <c r="G1593" s="75">
        <v>2</v>
      </c>
      <c r="H1593" s="75">
        <v>0</v>
      </c>
      <c r="I1593" s="75">
        <v>34</v>
      </c>
    </row>
    <row r="1594" spans="1:9">
      <c r="A1594" s="75">
        <v>621</v>
      </c>
      <c r="B1594" s="75">
        <v>3</v>
      </c>
      <c r="C1594" s="75">
        <v>614</v>
      </c>
      <c r="D1594" s="76">
        <v>43360.677465277775</v>
      </c>
      <c r="E1594" s="77">
        <v>43344</v>
      </c>
      <c r="F1594" s="78">
        <v>0.67746527777777776</v>
      </c>
      <c r="G1594" s="75">
        <v>2</v>
      </c>
      <c r="H1594" s="75">
        <v>15</v>
      </c>
      <c r="I1594" s="75">
        <v>33</v>
      </c>
    </row>
    <row r="1595" spans="1:9">
      <c r="A1595" s="75">
        <v>701</v>
      </c>
      <c r="B1595" s="75">
        <v>5</v>
      </c>
      <c r="C1595" s="75">
        <v>706</v>
      </c>
      <c r="D1595" s="76">
        <v>43360.687881944446</v>
      </c>
      <c r="E1595" s="77">
        <v>43344</v>
      </c>
      <c r="F1595" s="78">
        <v>0.68788194444444439</v>
      </c>
      <c r="G1595" s="75">
        <v>2</v>
      </c>
      <c r="H1595" s="75">
        <v>30</v>
      </c>
      <c r="I1595" s="75">
        <v>33</v>
      </c>
    </row>
    <row r="1596" spans="1:9">
      <c r="A1596" s="75">
        <v>555</v>
      </c>
      <c r="B1596" s="75">
        <v>6</v>
      </c>
      <c r="C1596" s="75">
        <v>561</v>
      </c>
      <c r="D1596" s="76">
        <v>43360.698298611111</v>
      </c>
      <c r="E1596" s="77">
        <v>43344</v>
      </c>
      <c r="F1596" s="78">
        <v>0.69829861111111102</v>
      </c>
      <c r="G1596" s="75">
        <v>2</v>
      </c>
      <c r="H1596" s="75">
        <v>45</v>
      </c>
      <c r="I1596" s="75">
        <v>33</v>
      </c>
    </row>
    <row r="1597" spans="1:9">
      <c r="A1597" s="75">
        <v>491</v>
      </c>
      <c r="B1597" s="75">
        <v>5</v>
      </c>
      <c r="C1597" s="75">
        <v>496</v>
      </c>
      <c r="D1597" s="76">
        <v>43360.708726851852</v>
      </c>
      <c r="E1597" s="77">
        <v>43344</v>
      </c>
      <c r="F1597" s="78">
        <v>0.7087268518518518</v>
      </c>
      <c r="G1597" s="75">
        <v>2</v>
      </c>
      <c r="H1597" s="75">
        <v>0</v>
      </c>
      <c r="I1597" s="75">
        <v>34</v>
      </c>
    </row>
    <row r="1598" spans="1:9">
      <c r="A1598" s="75">
        <v>630</v>
      </c>
      <c r="B1598" s="75">
        <v>5</v>
      </c>
      <c r="C1598" s="75">
        <v>635</v>
      </c>
      <c r="D1598" s="76">
        <v>43360.729560185187</v>
      </c>
      <c r="E1598" s="77">
        <v>43344</v>
      </c>
      <c r="F1598" s="78">
        <v>0.72956018518518517</v>
      </c>
      <c r="G1598" s="75">
        <v>2</v>
      </c>
      <c r="H1598" s="75">
        <v>30</v>
      </c>
      <c r="I1598" s="75">
        <v>34</v>
      </c>
    </row>
    <row r="1599" spans="1:9">
      <c r="A1599" s="75">
        <v>637</v>
      </c>
      <c r="B1599" s="75">
        <v>10</v>
      </c>
      <c r="C1599" s="75">
        <v>647</v>
      </c>
      <c r="D1599" s="76">
        <v>43360.739976851852</v>
      </c>
      <c r="E1599" s="77">
        <v>43344</v>
      </c>
      <c r="F1599" s="78">
        <v>0.7399768518518518</v>
      </c>
      <c r="G1599" s="75">
        <v>2</v>
      </c>
      <c r="H1599" s="75">
        <v>45</v>
      </c>
      <c r="I1599" s="75">
        <v>34</v>
      </c>
    </row>
    <row r="1600" spans="1:9">
      <c r="A1600" s="75">
        <v>564</v>
      </c>
      <c r="B1600" s="75">
        <v>6</v>
      </c>
      <c r="C1600" s="75">
        <v>570</v>
      </c>
      <c r="D1600" s="76">
        <v>43360.750381944446</v>
      </c>
      <c r="E1600" s="77">
        <v>43344</v>
      </c>
      <c r="F1600" s="78">
        <v>0.75038194444444439</v>
      </c>
      <c r="G1600" s="75">
        <v>2</v>
      </c>
      <c r="H1600" s="75">
        <v>0</v>
      </c>
      <c r="I1600" s="75">
        <v>33</v>
      </c>
    </row>
    <row r="1601" spans="1:9">
      <c r="A1601" s="75">
        <v>598</v>
      </c>
      <c r="B1601" s="75">
        <v>7</v>
      </c>
      <c r="C1601" s="75">
        <v>605</v>
      </c>
      <c r="D1601" s="76">
        <v>43360.760798611111</v>
      </c>
      <c r="E1601" s="77">
        <v>43344</v>
      </c>
      <c r="F1601" s="78">
        <v>0.76079861111111102</v>
      </c>
      <c r="G1601" s="75">
        <v>2</v>
      </c>
      <c r="H1601" s="75">
        <v>15</v>
      </c>
      <c r="I1601" s="75">
        <v>33</v>
      </c>
    </row>
    <row r="1602" spans="1:9">
      <c r="A1602" s="75">
        <v>592</v>
      </c>
      <c r="B1602" s="75">
        <v>5</v>
      </c>
      <c r="C1602" s="75">
        <v>597</v>
      </c>
      <c r="D1602" s="76">
        <v>43360.771215277775</v>
      </c>
      <c r="E1602" s="77">
        <v>43344</v>
      </c>
      <c r="F1602" s="78">
        <v>0.77121527777777776</v>
      </c>
      <c r="G1602" s="75">
        <v>2</v>
      </c>
      <c r="H1602" s="75">
        <v>30</v>
      </c>
      <c r="I1602" s="75">
        <v>33</v>
      </c>
    </row>
    <row r="1603" spans="1:9">
      <c r="A1603" s="75">
        <v>597</v>
      </c>
      <c r="B1603" s="75">
        <v>3</v>
      </c>
      <c r="C1603" s="75">
        <v>600</v>
      </c>
      <c r="D1603" s="76">
        <v>43360.781643518516</v>
      </c>
      <c r="E1603" s="77">
        <v>43344</v>
      </c>
      <c r="F1603" s="78">
        <v>0.78164351851851854</v>
      </c>
      <c r="G1603" s="75">
        <v>2</v>
      </c>
      <c r="H1603" s="75">
        <v>45</v>
      </c>
      <c r="I1603" s="75">
        <v>34</v>
      </c>
    </row>
    <row r="1604" spans="1:9">
      <c r="A1604" s="75">
        <v>584</v>
      </c>
      <c r="B1604" s="75">
        <v>2</v>
      </c>
      <c r="C1604" s="75">
        <v>586</v>
      </c>
      <c r="D1604" s="76">
        <v>43360.792060185187</v>
      </c>
      <c r="E1604" s="77">
        <v>43344</v>
      </c>
      <c r="F1604" s="78">
        <v>0.79206018518518517</v>
      </c>
      <c r="G1604" s="75">
        <v>2</v>
      </c>
      <c r="H1604" s="75">
        <v>0</v>
      </c>
      <c r="I1604" s="75">
        <v>34</v>
      </c>
    </row>
    <row r="1605" spans="1:9">
      <c r="A1605" s="75">
        <v>769</v>
      </c>
      <c r="B1605" s="75">
        <v>9</v>
      </c>
      <c r="C1605" s="75">
        <v>778</v>
      </c>
      <c r="D1605" s="76">
        <v>43360.802465277775</v>
      </c>
      <c r="E1605" s="77">
        <v>43344</v>
      </c>
      <c r="F1605" s="78">
        <v>0.80246527777777776</v>
      </c>
      <c r="G1605" s="75">
        <v>2</v>
      </c>
      <c r="H1605" s="75">
        <v>15</v>
      </c>
      <c r="I1605" s="75">
        <v>33</v>
      </c>
    </row>
    <row r="1606" spans="1:9">
      <c r="A1606" s="75">
        <v>706</v>
      </c>
      <c r="B1606" s="75">
        <v>1</v>
      </c>
      <c r="C1606" s="75">
        <v>707</v>
      </c>
      <c r="D1606" s="76">
        <v>43360.812881944446</v>
      </c>
      <c r="E1606" s="77">
        <v>43344</v>
      </c>
      <c r="F1606" s="78">
        <v>0.81288194444444439</v>
      </c>
      <c r="G1606" s="75">
        <v>2</v>
      </c>
      <c r="H1606" s="75">
        <v>30</v>
      </c>
      <c r="I1606" s="75">
        <v>33</v>
      </c>
    </row>
    <row r="1607" spans="1:9">
      <c r="A1607" s="75">
        <v>853</v>
      </c>
      <c r="B1607" s="75">
        <v>4</v>
      </c>
      <c r="C1607" s="75">
        <v>857</v>
      </c>
      <c r="D1607" s="76">
        <v>43360.823310185187</v>
      </c>
      <c r="E1607" s="77">
        <v>43344</v>
      </c>
      <c r="F1607" s="78">
        <v>0.82331018518518517</v>
      </c>
      <c r="G1607" s="75">
        <v>2</v>
      </c>
      <c r="H1607" s="75">
        <v>45</v>
      </c>
      <c r="I1607" s="75">
        <v>34</v>
      </c>
    </row>
    <row r="1608" spans="1:9">
      <c r="A1608" s="75">
        <v>818</v>
      </c>
      <c r="B1608" s="75">
        <v>5</v>
      </c>
      <c r="C1608" s="75">
        <v>823</v>
      </c>
      <c r="D1608" s="76">
        <v>43360.833715277775</v>
      </c>
      <c r="E1608" s="77">
        <v>43344</v>
      </c>
      <c r="F1608" s="78">
        <v>0.83371527777777776</v>
      </c>
      <c r="G1608" s="75">
        <v>2</v>
      </c>
      <c r="H1608" s="75">
        <v>0</v>
      </c>
      <c r="I1608" s="75">
        <v>33</v>
      </c>
    </row>
    <row r="1609" spans="1:9">
      <c r="A1609" s="75">
        <v>1147</v>
      </c>
      <c r="B1609" s="75">
        <v>10</v>
      </c>
      <c r="C1609" s="75">
        <v>1157</v>
      </c>
      <c r="D1609" s="76">
        <v>43360.844131944446</v>
      </c>
      <c r="E1609" s="77">
        <v>43344</v>
      </c>
      <c r="F1609" s="78">
        <v>0.84413194444444439</v>
      </c>
      <c r="G1609" s="75">
        <v>2</v>
      </c>
      <c r="H1609" s="75">
        <v>15</v>
      </c>
      <c r="I1609" s="75">
        <v>33</v>
      </c>
    </row>
    <row r="1610" spans="1:9">
      <c r="A1610" s="75">
        <v>1145</v>
      </c>
      <c r="B1610" s="75">
        <v>14</v>
      </c>
      <c r="C1610" s="75">
        <v>1159</v>
      </c>
      <c r="D1610" s="76">
        <v>43360.854548611111</v>
      </c>
      <c r="E1610" s="77">
        <v>43344</v>
      </c>
      <c r="F1610" s="78">
        <v>0.85454861111111102</v>
      </c>
      <c r="G1610" s="75">
        <v>2</v>
      </c>
      <c r="H1610" s="75">
        <v>30</v>
      </c>
      <c r="I1610" s="75">
        <v>33</v>
      </c>
    </row>
    <row r="1611" spans="1:9">
      <c r="A1611" s="75">
        <v>1131</v>
      </c>
      <c r="B1611" s="75">
        <v>14</v>
      </c>
      <c r="C1611" s="75">
        <v>1145</v>
      </c>
      <c r="D1611" s="76">
        <v>43360.864976851852</v>
      </c>
      <c r="E1611" s="77">
        <v>43344</v>
      </c>
      <c r="F1611" s="78">
        <v>0.8649768518518518</v>
      </c>
      <c r="G1611" s="75">
        <v>2</v>
      </c>
      <c r="H1611" s="75">
        <v>45</v>
      </c>
      <c r="I1611" s="75">
        <v>34</v>
      </c>
    </row>
    <row r="1612" spans="1:9">
      <c r="A1612" s="75">
        <v>1026</v>
      </c>
      <c r="B1612" s="75">
        <v>4</v>
      </c>
      <c r="C1612" s="75">
        <v>1020</v>
      </c>
      <c r="D1612" s="76">
        <v>43360.875381944446</v>
      </c>
      <c r="E1612" s="77">
        <v>43344</v>
      </c>
      <c r="F1612" s="78">
        <v>0.87538194444444439</v>
      </c>
      <c r="G1612" s="75">
        <v>2</v>
      </c>
      <c r="H1612" s="75">
        <v>0</v>
      </c>
      <c r="I1612" s="75">
        <v>33</v>
      </c>
    </row>
    <row r="1613" spans="1:9">
      <c r="A1613" s="75">
        <v>999</v>
      </c>
      <c r="B1613" s="75">
        <v>10</v>
      </c>
      <c r="C1613" s="75">
        <v>1009</v>
      </c>
      <c r="D1613" s="76">
        <v>43360.885798611111</v>
      </c>
      <c r="E1613" s="77">
        <v>43344</v>
      </c>
      <c r="F1613" s="78">
        <v>0.88579861111111102</v>
      </c>
      <c r="G1613" s="75">
        <v>2</v>
      </c>
      <c r="H1613" s="75">
        <v>15</v>
      </c>
      <c r="I1613" s="75">
        <v>33</v>
      </c>
    </row>
    <row r="1614" spans="1:9">
      <c r="A1614" s="75">
        <v>930</v>
      </c>
      <c r="B1614" s="75">
        <v>12</v>
      </c>
      <c r="C1614" s="75">
        <v>942</v>
      </c>
      <c r="D1614" s="76">
        <v>43360.896215277775</v>
      </c>
      <c r="E1614" s="77">
        <v>43344</v>
      </c>
      <c r="F1614" s="78">
        <v>0.89621527777777776</v>
      </c>
      <c r="G1614" s="75">
        <v>2</v>
      </c>
      <c r="H1614" s="75">
        <v>30</v>
      </c>
      <c r="I1614" s="75">
        <v>33</v>
      </c>
    </row>
    <row r="1615" spans="1:9">
      <c r="A1615" s="75">
        <v>955</v>
      </c>
      <c r="B1615" s="75">
        <v>14</v>
      </c>
      <c r="C1615" s="75">
        <v>969</v>
      </c>
      <c r="D1615" s="76">
        <v>43360.90662037037</v>
      </c>
      <c r="E1615" s="77">
        <v>43344</v>
      </c>
      <c r="F1615" s="78">
        <v>0.90662037037037047</v>
      </c>
      <c r="G1615" s="75">
        <v>2</v>
      </c>
      <c r="H1615" s="75">
        <v>45</v>
      </c>
      <c r="I1615" s="75">
        <v>32</v>
      </c>
    </row>
    <row r="1616" spans="1:9">
      <c r="A1616" s="75">
        <v>795</v>
      </c>
      <c r="B1616" s="75">
        <v>10</v>
      </c>
      <c r="C1616" s="75">
        <v>805</v>
      </c>
      <c r="D1616" s="76">
        <v>43360.917048611111</v>
      </c>
      <c r="E1616" s="77">
        <v>43344</v>
      </c>
      <c r="F1616" s="78">
        <v>0.91704861111111102</v>
      </c>
      <c r="G1616" s="75">
        <v>2</v>
      </c>
      <c r="H1616" s="75">
        <v>0</v>
      </c>
      <c r="I1616" s="75">
        <v>33</v>
      </c>
    </row>
    <row r="1617" spans="1:9">
      <c r="A1617" s="75">
        <v>854</v>
      </c>
      <c r="B1617" s="75">
        <v>5</v>
      </c>
      <c r="C1617" s="75">
        <v>859</v>
      </c>
      <c r="D1617" s="76">
        <v>43360.927465277775</v>
      </c>
      <c r="E1617" s="77">
        <v>43344</v>
      </c>
      <c r="F1617" s="78">
        <v>0.92746527777777776</v>
      </c>
      <c r="G1617" s="75">
        <v>2</v>
      </c>
      <c r="H1617" s="75">
        <v>15</v>
      </c>
      <c r="I1617" s="75">
        <v>33</v>
      </c>
    </row>
    <row r="1618" spans="1:9">
      <c r="A1618" s="75">
        <v>775</v>
      </c>
      <c r="B1618" s="75">
        <v>1</v>
      </c>
      <c r="C1618" s="75">
        <v>776</v>
      </c>
      <c r="D1618" s="76">
        <v>43360.937881944446</v>
      </c>
      <c r="E1618" s="77">
        <v>43344</v>
      </c>
      <c r="F1618" s="78">
        <v>0.93788194444444439</v>
      </c>
      <c r="G1618" s="75">
        <v>2</v>
      </c>
      <c r="H1618" s="75">
        <v>30</v>
      </c>
      <c r="I1618" s="75">
        <v>33</v>
      </c>
    </row>
    <row r="1619" spans="1:9">
      <c r="A1619" s="75">
        <v>671</v>
      </c>
      <c r="B1619" s="75">
        <v>3</v>
      </c>
      <c r="C1619" s="75">
        <v>674</v>
      </c>
      <c r="D1619" s="76">
        <v>43360.948287037034</v>
      </c>
      <c r="E1619" s="77">
        <v>43344</v>
      </c>
      <c r="F1619" s="78">
        <v>0.94828703703703709</v>
      </c>
      <c r="G1619" s="75">
        <v>2</v>
      </c>
      <c r="H1619" s="75">
        <v>45</v>
      </c>
      <c r="I1619" s="75">
        <v>32</v>
      </c>
    </row>
    <row r="1620" spans="1:9">
      <c r="A1620" s="75">
        <v>580</v>
      </c>
      <c r="B1620" s="75">
        <v>4</v>
      </c>
      <c r="C1620" s="75">
        <v>577</v>
      </c>
      <c r="D1620" s="76">
        <v>43360.958715277775</v>
      </c>
      <c r="E1620" s="77">
        <v>43344</v>
      </c>
      <c r="F1620" s="78">
        <v>0.95871527777777776</v>
      </c>
      <c r="G1620" s="75">
        <v>2</v>
      </c>
      <c r="H1620" s="75">
        <v>0</v>
      </c>
      <c r="I1620" s="75">
        <v>33</v>
      </c>
    </row>
    <row r="1621" spans="1:9">
      <c r="A1621" s="75">
        <v>582</v>
      </c>
      <c r="B1621" s="75">
        <v>3</v>
      </c>
      <c r="C1621" s="75">
        <v>585</v>
      </c>
      <c r="D1621" s="76">
        <v>43360.969131944446</v>
      </c>
      <c r="E1621" s="77">
        <v>43344</v>
      </c>
      <c r="F1621" s="78">
        <v>0.96913194444444439</v>
      </c>
      <c r="G1621" s="75">
        <v>2</v>
      </c>
      <c r="H1621" s="75">
        <v>15</v>
      </c>
      <c r="I1621" s="75">
        <v>33</v>
      </c>
    </row>
    <row r="1622" spans="1:9">
      <c r="A1622" s="75">
        <v>514</v>
      </c>
      <c r="B1622" s="75">
        <v>4</v>
      </c>
      <c r="C1622" s="75">
        <v>512</v>
      </c>
      <c r="D1622" s="76">
        <v>43360.979548611111</v>
      </c>
      <c r="E1622" s="77">
        <v>43344</v>
      </c>
      <c r="F1622" s="78">
        <v>0.97954861111111102</v>
      </c>
      <c r="G1622" s="75">
        <v>2</v>
      </c>
      <c r="H1622" s="75">
        <v>30</v>
      </c>
      <c r="I1622" s="75">
        <v>33</v>
      </c>
    </row>
    <row r="1623" spans="1:9">
      <c r="A1623" s="75">
        <v>426</v>
      </c>
      <c r="B1623" s="75">
        <v>5</v>
      </c>
      <c r="C1623" s="75">
        <v>431</v>
      </c>
      <c r="D1623" s="76">
        <v>43360.989953703705</v>
      </c>
      <c r="E1623" s="77">
        <v>43344</v>
      </c>
      <c r="F1623" s="78">
        <v>0.98995370370370372</v>
      </c>
      <c r="G1623" s="75">
        <v>2</v>
      </c>
      <c r="H1623" s="75">
        <v>45</v>
      </c>
      <c r="I1623" s="75">
        <v>32</v>
      </c>
    </row>
    <row r="1624" spans="1:9">
      <c r="A1624" s="75">
        <v>372</v>
      </c>
      <c r="B1624" s="75">
        <v>2</v>
      </c>
      <c r="C1624" s="75">
        <v>374</v>
      </c>
      <c r="D1624" s="76">
        <v>43361.000381944446</v>
      </c>
      <c r="E1624" s="77">
        <v>43344</v>
      </c>
      <c r="F1624" s="78">
        <v>3.8194444444444446E-4</v>
      </c>
      <c r="G1624" s="75">
        <v>2</v>
      </c>
      <c r="H1624" s="75">
        <v>0</v>
      </c>
      <c r="I1624" s="75">
        <v>33</v>
      </c>
    </row>
    <row r="1625" spans="1:9">
      <c r="A1625" s="75">
        <v>423</v>
      </c>
      <c r="B1625" s="75">
        <v>4</v>
      </c>
      <c r="C1625" s="75">
        <v>427</v>
      </c>
      <c r="D1625" s="76">
        <v>43361.010798611111</v>
      </c>
      <c r="E1625" s="77">
        <v>43344</v>
      </c>
      <c r="F1625" s="78">
        <v>1.0798611111111111E-2</v>
      </c>
      <c r="G1625" s="75">
        <v>2</v>
      </c>
      <c r="H1625" s="75">
        <v>15</v>
      </c>
      <c r="I1625" s="75">
        <v>33</v>
      </c>
    </row>
    <row r="1626" spans="1:9">
      <c r="A1626" s="75">
        <v>352</v>
      </c>
      <c r="B1626" s="75">
        <v>6</v>
      </c>
      <c r="C1626" s="75">
        <v>358</v>
      </c>
      <c r="D1626" s="76">
        <v>43361.021203703705</v>
      </c>
      <c r="E1626" s="77">
        <v>43344</v>
      </c>
      <c r="F1626" s="78">
        <v>2.1203703703703707E-2</v>
      </c>
      <c r="G1626" s="75">
        <v>2</v>
      </c>
      <c r="H1626" s="75">
        <v>30</v>
      </c>
      <c r="I1626" s="75">
        <v>32</v>
      </c>
    </row>
    <row r="1627" spans="1:9">
      <c r="A1627" s="75">
        <v>260</v>
      </c>
      <c r="B1627" s="75">
        <v>3</v>
      </c>
      <c r="C1627" s="75">
        <v>263</v>
      </c>
      <c r="D1627" s="76">
        <v>43361.03162037037</v>
      </c>
      <c r="E1627" s="77">
        <v>43344</v>
      </c>
      <c r="F1627" s="78">
        <v>3.1620370370370368E-2</v>
      </c>
      <c r="G1627" s="75">
        <v>2</v>
      </c>
      <c r="H1627" s="75">
        <v>45</v>
      </c>
      <c r="I1627" s="75">
        <v>32</v>
      </c>
    </row>
    <row r="1628" spans="1:9">
      <c r="A1628" s="75">
        <v>244</v>
      </c>
      <c r="B1628" s="75">
        <v>3</v>
      </c>
      <c r="C1628" s="75">
        <v>247</v>
      </c>
      <c r="D1628" s="76">
        <v>43361.042048611111</v>
      </c>
      <c r="E1628" s="77">
        <v>43344</v>
      </c>
      <c r="F1628" s="78">
        <v>4.2048611111111113E-2</v>
      </c>
      <c r="G1628" s="75">
        <v>2</v>
      </c>
      <c r="H1628" s="75">
        <v>0</v>
      </c>
      <c r="I1628" s="75">
        <v>33</v>
      </c>
    </row>
    <row r="1629" spans="1:9">
      <c r="A1629" s="75">
        <v>268</v>
      </c>
      <c r="B1629" s="75">
        <v>4</v>
      </c>
      <c r="C1629" s="75">
        <v>272</v>
      </c>
      <c r="D1629" s="76">
        <v>43361.052465277775</v>
      </c>
      <c r="E1629" s="77">
        <v>43344</v>
      </c>
      <c r="F1629" s="78">
        <v>5.2465277777777784E-2</v>
      </c>
      <c r="G1629" s="75">
        <v>2</v>
      </c>
      <c r="H1629" s="75">
        <v>15</v>
      </c>
      <c r="I1629" s="75">
        <v>33</v>
      </c>
    </row>
    <row r="1630" spans="1:9">
      <c r="A1630" s="75">
        <v>268</v>
      </c>
      <c r="B1630" s="75">
        <v>5</v>
      </c>
      <c r="C1630" s="75">
        <v>273</v>
      </c>
      <c r="D1630" s="76">
        <v>43361.062881944446</v>
      </c>
      <c r="E1630" s="77">
        <v>43344</v>
      </c>
      <c r="F1630" s="78">
        <v>6.2881944444444449E-2</v>
      </c>
      <c r="G1630" s="75">
        <v>2</v>
      </c>
      <c r="H1630" s="75">
        <v>30</v>
      </c>
      <c r="I1630" s="75">
        <v>33</v>
      </c>
    </row>
    <row r="1631" spans="1:9">
      <c r="A1631" s="75">
        <v>213</v>
      </c>
      <c r="B1631" s="75">
        <v>0</v>
      </c>
      <c r="C1631" s="75">
        <v>213</v>
      </c>
      <c r="D1631" s="76">
        <v>43361.073287037034</v>
      </c>
      <c r="E1631" s="77">
        <v>43344</v>
      </c>
      <c r="F1631" s="78">
        <v>7.3287037037037039E-2</v>
      </c>
      <c r="G1631" s="75">
        <v>2</v>
      </c>
      <c r="H1631" s="75">
        <v>45</v>
      </c>
      <c r="I1631" s="75">
        <v>32</v>
      </c>
    </row>
    <row r="1632" spans="1:9">
      <c r="A1632" s="75">
        <v>235</v>
      </c>
      <c r="B1632" s="75">
        <v>2</v>
      </c>
      <c r="C1632" s="75">
        <v>237</v>
      </c>
      <c r="D1632" s="76">
        <v>43361.083738425928</v>
      </c>
      <c r="E1632" s="77">
        <v>43344</v>
      </c>
      <c r="F1632" s="78">
        <v>8.3738425925925938E-2</v>
      </c>
      <c r="G1632" s="75">
        <v>2</v>
      </c>
      <c r="H1632" s="75">
        <v>0</v>
      </c>
      <c r="I1632" s="75">
        <v>35</v>
      </c>
    </row>
    <row r="1633" spans="1:9">
      <c r="A1633" s="75">
        <v>228</v>
      </c>
      <c r="B1633" s="75">
        <v>3</v>
      </c>
      <c r="C1633" s="75">
        <v>231</v>
      </c>
      <c r="D1633" s="76">
        <v>43361.094131944446</v>
      </c>
      <c r="E1633" s="77">
        <v>43344</v>
      </c>
      <c r="F1633" s="78">
        <v>9.4131944444444449E-2</v>
      </c>
      <c r="G1633" s="75">
        <v>2</v>
      </c>
      <c r="H1633" s="75">
        <v>15</v>
      </c>
      <c r="I1633" s="75">
        <v>33</v>
      </c>
    </row>
    <row r="1634" spans="1:9">
      <c r="A1634" s="75">
        <v>191</v>
      </c>
      <c r="B1634" s="75">
        <v>4</v>
      </c>
      <c r="C1634" s="75">
        <v>195</v>
      </c>
      <c r="D1634" s="76">
        <v>43361.104537037034</v>
      </c>
      <c r="E1634" s="77">
        <v>43344</v>
      </c>
      <c r="F1634" s="78">
        <v>0.10453703703703704</v>
      </c>
      <c r="G1634" s="75">
        <v>2</v>
      </c>
      <c r="H1634" s="75">
        <v>30</v>
      </c>
      <c r="I1634" s="75">
        <v>32</v>
      </c>
    </row>
    <row r="1635" spans="1:9">
      <c r="A1635" s="75">
        <v>161</v>
      </c>
      <c r="B1635" s="75">
        <v>3</v>
      </c>
      <c r="C1635" s="75">
        <v>164</v>
      </c>
      <c r="D1635" s="76">
        <v>43361.114953703705</v>
      </c>
      <c r="E1635" s="77">
        <v>43344</v>
      </c>
      <c r="F1635" s="78">
        <v>0.11495370370370371</v>
      </c>
      <c r="G1635" s="75">
        <v>2</v>
      </c>
      <c r="H1635" s="75">
        <v>45</v>
      </c>
      <c r="I1635" s="75">
        <v>32</v>
      </c>
    </row>
    <row r="1636" spans="1:9">
      <c r="A1636" s="75">
        <v>135</v>
      </c>
      <c r="B1636" s="75">
        <v>1</v>
      </c>
      <c r="C1636" s="75">
        <v>136</v>
      </c>
      <c r="D1636" s="76">
        <v>43361.125381944446</v>
      </c>
      <c r="E1636" s="77">
        <v>43344</v>
      </c>
      <c r="F1636" s="78">
        <v>0.12538194444444445</v>
      </c>
      <c r="G1636" s="75">
        <v>2</v>
      </c>
      <c r="H1636" s="75">
        <v>0</v>
      </c>
      <c r="I1636" s="75">
        <v>33</v>
      </c>
    </row>
    <row r="1637" spans="1:9">
      <c r="A1637" s="75">
        <v>117</v>
      </c>
      <c r="B1637" s="75">
        <v>0</v>
      </c>
      <c r="C1637" s="75">
        <v>116</v>
      </c>
      <c r="D1637" s="76">
        <v>43361.135787037034</v>
      </c>
      <c r="E1637" s="77">
        <v>43344</v>
      </c>
      <c r="F1637" s="78">
        <v>0.13578703703703704</v>
      </c>
      <c r="G1637" s="75">
        <v>2</v>
      </c>
      <c r="H1637" s="75">
        <v>15</v>
      </c>
      <c r="I1637" s="75">
        <v>32</v>
      </c>
    </row>
    <row r="1638" spans="1:9">
      <c r="A1638" s="75">
        <v>88</v>
      </c>
      <c r="B1638" s="75">
        <v>0</v>
      </c>
      <c r="C1638" s="75">
        <v>88</v>
      </c>
      <c r="D1638" s="76">
        <v>43361.146203703705</v>
      </c>
      <c r="E1638" s="77">
        <v>43344</v>
      </c>
      <c r="F1638" s="78">
        <v>0.1462037037037037</v>
      </c>
      <c r="G1638" s="75">
        <v>2</v>
      </c>
      <c r="H1638" s="75">
        <v>30</v>
      </c>
      <c r="I1638" s="75">
        <v>32</v>
      </c>
    </row>
    <row r="1639" spans="1:9">
      <c r="A1639" s="75">
        <v>93</v>
      </c>
      <c r="B1639" s="75">
        <v>0</v>
      </c>
      <c r="C1639" s="75">
        <v>93</v>
      </c>
      <c r="D1639" s="76">
        <v>43361.156631944446</v>
      </c>
      <c r="E1639" s="77">
        <v>43344</v>
      </c>
      <c r="F1639" s="78">
        <v>0.15663194444444445</v>
      </c>
      <c r="G1639" s="75">
        <v>2</v>
      </c>
      <c r="H1639" s="75">
        <v>45</v>
      </c>
      <c r="I1639" s="75">
        <v>33</v>
      </c>
    </row>
    <row r="1640" spans="1:9">
      <c r="A1640" s="75">
        <v>96</v>
      </c>
      <c r="B1640" s="75">
        <v>0</v>
      </c>
      <c r="C1640" s="75">
        <v>96</v>
      </c>
      <c r="D1640" s="76">
        <v>43361.167037037034</v>
      </c>
      <c r="E1640" s="77">
        <v>43344</v>
      </c>
      <c r="F1640" s="78">
        <v>0.16703703703703701</v>
      </c>
      <c r="G1640" s="75">
        <v>2</v>
      </c>
      <c r="H1640" s="75">
        <v>0</v>
      </c>
      <c r="I1640" s="75">
        <v>32</v>
      </c>
    </row>
    <row r="1641" spans="1:9">
      <c r="A1641" s="75">
        <v>49</v>
      </c>
      <c r="B1641" s="75">
        <v>0</v>
      </c>
      <c r="C1641" s="75">
        <v>49</v>
      </c>
      <c r="D1641" s="76">
        <v>43361.177453703705</v>
      </c>
      <c r="E1641" s="77">
        <v>43344</v>
      </c>
      <c r="F1641" s="78">
        <v>0.1774537037037037</v>
      </c>
      <c r="G1641" s="75">
        <v>2</v>
      </c>
      <c r="H1641" s="75">
        <v>15</v>
      </c>
      <c r="I1641" s="75">
        <v>32</v>
      </c>
    </row>
    <row r="1642" spans="1:9">
      <c r="A1642" s="75">
        <v>41</v>
      </c>
      <c r="B1642" s="75">
        <v>0</v>
      </c>
      <c r="C1642" s="75">
        <v>40</v>
      </c>
      <c r="D1642" s="76">
        <v>43361.18787037037</v>
      </c>
      <c r="E1642" s="77">
        <v>43344</v>
      </c>
      <c r="F1642" s="78">
        <v>0.18787037037037035</v>
      </c>
      <c r="G1642" s="75">
        <v>2</v>
      </c>
      <c r="H1642" s="75">
        <v>30</v>
      </c>
      <c r="I1642" s="75">
        <v>32</v>
      </c>
    </row>
    <row r="1643" spans="1:9">
      <c r="A1643" s="75">
        <v>39</v>
      </c>
      <c r="B1643" s="75">
        <v>0</v>
      </c>
      <c r="C1643" s="75">
        <v>38</v>
      </c>
      <c r="D1643" s="76">
        <v>43361.198287037034</v>
      </c>
      <c r="E1643" s="77">
        <v>43344</v>
      </c>
      <c r="F1643" s="78">
        <v>0.19828703703703701</v>
      </c>
      <c r="G1643" s="75">
        <v>2</v>
      </c>
      <c r="H1643" s="75">
        <v>45</v>
      </c>
      <c r="I1643" s="75">
        <v>32</v>
      </c>
    </row>
    <row r="1644" spans="1:9">
      <c r="A1644" s="75">
        <v>37</v>
      </c>
      <c r="B1644" s="75">
        <v>0</v>
      </c>
      <c r="C1644" s="75">
        <v>36</v>
      </c>
      <c r="D1644" s="76">
        <v>43361.208715277775</v>
      </c>
      <c r="E1644" s="77">
        <v>43344</v>
      </c>
      <c r="F1644" s="78">
        <v>0.20871527777777776</v>
      </c>
      <c r="G1644" s="75">
        <v>2</v>
      </c>
      <c r="H1644" s="75">
        <v>0</v>
      </c>
      <c r="I1644" s="75">
        <v>33</v>
      </c>
    </row>
    <row r="1645" spans="1:9">
      <c r="A1645" s="75">
        <v>36</v>
      </c>
      <c r="B1645" s="75">
        <v>0</v>
      </c>
      <c r="C1645" s="75">
        <v>35</v>
      </c>
      <c r="D1645" s="76">
        <v>43361.21912037037</v>
      </c>
      <c r="E1645" s="77">
        <v>43344</v>
      </c>
      <c r="F1645" s="78">
        <v>0.21912037037037035</v>
      </c>
      <c r="G1645" s="75">
        <v>2</v>
      </c>
      <c r="H1645" s="75">
        <v>15</v>
      </c>
      <c r="I1645" s="75">
        <v>32</v>
      </c>
    </row>
    <row r="1646" spans="1:9">
      <c r="A1646" s="75">
        <v>36</v>
      </c>
      <c r="B1646" s="75">
        <v>0</v>
      </c>
      <c r="C1646" s="75">
        <v>35</v>
      </c>
      <c r="D1646" s="76">
        <v>43361.229537037034</v>
      </c>
      <c r="E1646" s="77">
        <v>43344</v>
      </c>
      <c r="F1646" s="78">
        <v>0.22953703703703701</v>
      </c>
      <c r="G1646" s="75">
        <v>2</v>
      </c>
      <c r="H1646" s="75">
        <v>30</v>
      </c>
      <c r="I1646" s="75">
        <v>32</v>
      </c>
    </row>
    <row r="1647" spans="1:9">
      <c r="A1647" s="75">
        <v>35</v>
      </c>
      <c r="B1647" s="75">
        <v>0</v>
      </c>
      <c r="C1647" s="75">
        <v>34</v>
      </c>
      <c r="D1647" s="76">
        <v>43361.239965277775</v>
      </c>
      <c r="E1647" s="77">
        <v>43344</v>
      </c>
      <c r="F1647" s="78">
        <v>0.23996527777777776</v>
      </c>
      <c r="G1647" s="75">
        <v>2</v>
      </c>
      <c r="H1647" s="75">
        <v>45</v>
      </c>
      <c r="I1647" s="75">
        <v>33</v>
      </c>
    </row>
    <row r="1648" spans="1:9">
      <c r="A1648" s="75">
        <v>35</v>
      </c>
      <c r="B1648" s="75">
        <v>0</v>
      </c>
      <c r="C1648" s="75">
        <v>34</v>
      </c>
      <c r="D1648" s="76">
        <v>43361.25037037037</v>
      </c>
      <c r="E1648" s="77">
        <v>43344</v>
      </c>
      <c r="F1648" s="78">
        <v>0.25037037037037035</v>
      </c>
      <c r="G1648" s="75">
        <v>2</v>
      </c>
      <c r="H1648" s="75">
        <v>0</v>
      </c>
      <c r="I1648" s="75">
        <v>32</v>
      </c>
    </row>
    <row r="1649" spans="1:9">
      <c r="A1649" s="75">
        <v>34</v>
      </c>
      <c r="B1649" s="75">
        <v>0</v>
      </c>
      <c r="C1649" s="75">
        <v>33</v>
      </c>
      <c r="D1649" s="76">
        <v>43361.260787037034</v>
      </c>
      <c r="E1649" s="77">
        <v>43344</v>
      </c>
      <c r="F1649" s="78">
        <v>0.26078703703703704</v>
      </c>
      <c r="G1649" s="75">
        <v>2</v>
      </c>
      <c r="H1649" s="75">
        <v>15</v>
      </c>
      <c r="I1649" s="75">
        <v>32</v>
      </c>
    </row>
    <row r="1650" spans="1:9">
      <c r="A1650" s="75">
        <v>19</v>
      </c>
      <c r="B1650" s="75">
        <v>0</v>
      </c>
      <c r="C1650" s="75">
        <v>18</v>
      </c>
      <c r="D1650" s="76">
        <v>43361.273738425924</v>
      </c>
      <c r="E1650" s="77">
        <v>43344</v>
      </c>
      <c r="F1650" s="78">
        <v>0.27373842592592595</v>
      </c>
      <c r="G1650" s="75">
        <v>2</v>
      </c>
      <c r="H1650" s="75">
        <v>34</v>
      </c>
      <c r="I1650" s="75">
        <v>11</v>
      </c>
    </row>
    <row r="1651" spans="1:9">
      <c r="A1651" s="75">
        <v>19</v>
      </c>
      <c r="B1651" s="75">
        <v>0</v>
      </c>
      <c r="C1651" s="75">
        <v>18</v>
      </c>
      <c r="D1651" s="76">
        <v>43361.28162037037</v>
      </c>
      <c r="E1651" s="77">
        <v>43344</v>
      </c>
      <c r="F1651" s="78">
        <v>0.28162037037037035</v>
      </c>
      <c r="G1651" s="75">
        <v>2</v>
      </c>
      <c r="H1651" s="75">
        <v>45</v>
      </c>
      <c r="I1651" s="75">
        <v>32</v>
      </c>
    </row>
    <row r="1652" spans="1:9">
      <c r="A1652" s="75">
        <v>26</v>
      </c>
      <c r="B1652" s="75">
        <v>0</v>
      </c>
      <c r="C1652" s="75">
        <v>25</v>
      </c>
      <c r="D1652" s="76">
        <v>43361.292037037034</v>
      </c>
      <c r="E1652" s="77">
        <v>43344</v>
      </c>
      <c r="F1652" s="78">
        <v>0.29203703703703704</v>
      </c>
      <c r="G1652" s="75">
        <v>2</v>
      </c>
      <c r="H1652" s="75">
        <v>0</v>
      </c>
      <c r="I1652" s="75">
        <v>32</v>
      </c>
    </row>
    <row r="1653" spans="1:9">
      <c r="A1653" s="75">
        <v>38</v>
      </c>
      <c r="B1653" s="75">
        <v>0</v>
      </c>
      <c r="C1653" s="75">
        <v>37</v>
      </c>
      <c r="D1653" s="76">
        <v>43361.302476851852</v>
      </c>
      <c r="E1653" s="77">
        <v>43344</v>
      </c>
      <c r="F1653" s="78">
        <v>0.30247685185185186</v>
      </c>
      <c r="G1653" s="75">
        <v>2</v>
      </c>
      <c r="H1653" s="75">
        <v>15</v>
      </c>
      <c r="I1653" s="75">
        <v>34</v>
      </c>
    </row>
    <row r="1654" spans="1:9">
      <c r="A1654" s="75">
        <v>43</v>
      </c>
      <c r="B1654" s="75">
        <v>0</v>
      </c>
      <c r="C1654" s="75">
        <v>42</v>
      </c>
      <c r="D1654" s="76">
        <v>43361.312893518516</v>
      </c>
      <c r="E1654" s="77">
        <v>43344</v>
      </c>
      <c r="F1654" s="78">
        <v>0.31289351851851849</v>
      </c>
      <c r="G1654" s="75">
        <v>2</v>
      </c>
      <c r="H1654" s="75">
        <v>30</v>
      </c>
      <c r="I1654" s="75">
        <v>34</v>
      </c>
    </row>
    <row r="1655" spans="1:9">
      <c r="A1655" s="75">
        <v>56</v>
      </c>
      <c r="B1655" s="75">
        <v>0</v>
      </c>
      <c r="C1655" s="75">
        <v>55</v>
      </c>
      <c r="D1655" s="76">
        <v>43361.323298611111</v>
      </c>
      <c r="E1655" s="77">
        <v>43344</v>
      </c>
      <c r="F1655" s="78">
        <v>0.32329861111111108</v>
      </c>
      <c r="G1655" s="75">
        <v>2</v>
      </c>
      <c r="H1655" s="75">
        <v>45</v>
      </c>
      <c r="I1655" s="75">
        <v>33</v>
      </c>
    </row>
    <row r="1656" spans="1:9">
      <c r="A1656" s="75">
        <v>55</v>
      </c>
      <c r="B1656" s="75">
        <v>0</v>
      </c>
      <c r="C1656" s="75">
        <v>54</v>
      </c>
      <c r="D1656" s="76">
        <v>43361.333726851852</v>
      </c>
      <c r="E1656" s="77">
        <v>43344</v>
      </c>
      <c r="F1656" s="78">
        <v>0.33372685185185186</v>
      </c>
      <c r="G1656" s="75">
        <v>2</v>
      </c>
      <c r="H1656" s="75">
        <v>0</v>
      </c>
      <c r="I1656" s="75">
        <v>34</v>
      </c>
    </row>
    <row r="1657" spans="1:9">
      <c r="A1657" s="75">
        <v>70</v>
      </c>
      <c r="B1657" s="75">
        <v>0</v>
      </c>
      <c r="C1657" s="75">
        <v>66</v>
      </c>
      <c r="D1657" s="76">
        <v>43361.344143518516</v>
      </c>
      <c r="E1657" s="77">
        <v>43344</v>
      </c>
      <c r="F1657" s="78">
        <v>0.34414351851851849</v>
      </c>
      <c r="G1657" s="75">
        <v>2</v>
      </c>
      <c r="H1657" s="75">
        <v>15</v>
      </c>
      <c r="I1657" s="75">
        <v>34</v>
      </c>
    </row>
    <row r="1658" spans="1:9">
      <c r="A1658" s="75">
        <v>134</v>
      </c>
      <c r="B1658" s="75">
        <v>0</v>
      </c>
      <c r="C1658" s="75">
        <v>126</v>
      </c>
      <c r="D1658" s="76">
        <v>43361.354560185187</v>
      </c>
      <c r="E1658" s="77">
        <v>43344</v>
      </c>
      <c r="F1658" s="78">
        <v>0.35456018518518517</v>
      </c>
      <c r="G1658" s="75">
        <v>2</v>
      </c>
      <c r="H1658" s="75">
        <v>30</v>
      </c>
      <c r="I1658" s="75">
        <v>34</v>
      </c>
    </row>
    <row r="1659" spans="1:9">
      <c r="A1659" s="75">
        <v>200</v>
      </c>
      <c r="B1659" s="75">
        <v>0</v>
      </c>
      <c r="C1659" s="75">
        <v>199</v>
      </c>
      <c r="D1659" s="76">
        <v>43361.364965277775</v>
      </c>
      <c r="E1659" s="77">
        <v>43344</v>
      </c>
      <c r="F1659" s="78">
        <v>0.36496527777777782</v>
      </c>
      <c r="G1659" s="75">
        <v>2</v>
      </c>
      <c r="H1659" s="75">
        <v>45</v>
      </c>
      <c r="I1659" s="75">
        <v>33</v>
      </c>
    </row>
    <row r="1660" spans="1:9">
      <c r="A1660" s="75">
        <v>125</v>
      </c>
      <c r="B1660" s="75">
        <v>0</v>
      </c>
      <c r="C1660" s="75">
        <v>118</v>
      </c>
      <c r="D1660" s="76">
        <v>43361.375393518516</v>
      </c>
      <c r="E1660" s="77">
        <v>43344</v>
      </c>
      <c r="F1660" s="78">
        <v>0.37539351851851849</v>
      </c>
      <c r="G1660" s="75">
        <v>2</v>
      </c>
      <c r="H1660" s="75">
        <v>0</v>
      </c>
      <c r="I1660" s="75">
        <v>34</v>
      </c>
    </row>
    <row r="1661" spans="1:9">
      <c r="A1661" s="75">
        <v>61</v>
      </c>
      <c r="B1661" s="75">
        <v>0</v>
      </c>
      <c r="C1661" s="75">
        <v>60</v>
      </c>
      <c r="D1661" s="76">
        <v>43361.385798611111</v>
      </c>
      <c r="E1661" s="77">
        <v>43344</v>
      </c>
      <c r="F1661" s="78">
        <v>0.38579861111111113</v>
      </c>
      <c r="G1661" s="75">
        <v>2</v>
      </c>
      <c r="H1661" s="75">
        <v>15</v>
      </c>
      <c r="I1661" s="75">
        <v>33</v>
      </c>
    </row>
    <row r="1662" spans="1:9">
      <c r="A1662" s="75">
        <v>146</v>
      </c>
      <c r="B1662" s="75">
        <v>0</v>
      </c>
      <c r="C1662" s="75">
        <v>145</v>
      </c>
      <c r="D1662" s="76">
        <v>43361.396226851852</v>
      </c>
      <c r="E1662" s="77">
        <v>43344</v>
      </c>
      <c r="F1662" s="78">
        <v>0.39622685185185186</v>
      </c>
      <c r="G1662" s="75">
        <v>2</v>
      </c>
      <c r="H1662" s="75">
        <v>30</v>
      </c>
      <c r="I1662" s="75">
        <v>34</v>
      </c>
    </row>
    <row r="1663" spans="1:9">
      <c r="A1663" s="75">
        <v>320</v>
      </c>
      <c r="B1663" s="75">
        <v>2</v>
      </c>
      <c r="C1663" s="75">
        <v>322</v>
      </c>
      <c r="D1663" s="76">
        <v>43361.406643518516</v>
      </c>
      <c r="E1663" s="77">
        <v>43344</v>
      </c>
      <c r="F1663" s="78">
        <v>0.40664351851851849</v>
      </c>
      <c r="G1663" s="75">
        <v>2</v>
      </c>
      <c r="H1663" s="75">
        <v>45</v>
      </c>
      <c r="I1663" s="75">
        <v>34</v>
      </c>
    </row>
    <row r="1664" spans="1:9">
      <c r="A1664" s="75">
        <v>278</v>
      </c>
      <c r="B1664" s="75">
        <v>2</v>
      </c>
      <c r="C1664" s="75">
        <v>280</v>
      </c>
      <c r="D1664" s="76">
        <v>43361.417060185187</v>
      </c>
      <c r="E1664" s="77">
        <v>43344</v>
      </c>
      <c r="F1664" s="78">
        <v>0.41706018518518517</v>
      </c>
      <c r="G1664" s="75">
        <v>2</v>
      </c>
      <c r="H1664" s="75">
        <v>0</v>
      </c>
      <c r="I1664" s="75">
        <v>34</v>
      </c>
    </row>
    <row r="1665" spans="1:9">
      <c r="A1665" s="75">
        <v>168</v>
      </c>
      <c r="B1665" s="75">
        <v>3</v>
      </c>
      <c r="C1665" s="75">
        <v>171</v>
      </c>
      <c r="D1665" s="76">
        <v>43361.427465277775</v>
      </c>
      <c r="E1665" s="77">
        <v>43344</v>
      </c>
      <c r="F1665" s="78">
        <v>0.42746527777777782</v>
      </c>
      <c r="G1665" s="75">
        <v>2</v>
      </c>
      <c r="H1665" s="75">
        <v>15</v>
      </c>
      <c r="I1665" s="75">
        <v>33</v>
      </c>
    </row>
    <row r="1666" spans="1:9">
      <c r="A1666" s="75">
        <v>82</v>
      </c>
      <c r="B1666" s="75">
        <v>2</v>
      </c>
      <c r="C1666" s="75">
        <v>84</v>
      </c>
      <c r="D1666" s="76">
        <v>43361.437893518516</v>
      </c>
      <c r="E1666" s="77">
        <v>43344</v>
      </c>
      <c r="F1666" s="78">
        <v>0.43789351851851849</v>
      </c>
      <c r="G1666" s="75">
        <v>2</v>
      </c>
      <c r="H1666" s="75">
        <v>30</v>
      </c>
      <c r="I1666" s="75">
        <v>34</v>
      </c>
    </row>
    <row r="1667" spans="1:9">
      <c r="A1667" s="75">
        <v>78</v>
      </c>
      <c r="B1667" s="75">
        <v>0</v>
      </c>
      <c r="C1667" s="75">
        <v>78</v>
      </c>
      <c r="D1667" s="76">
        <v>43361.448310185187</v>
      </c>
      <c r="E1667" s="77">
        <v>43344</v>
      </c>
      <c r="F1667" s="78">
        <v>0.44831018518518517</v>
      </c>
      <c r="G1667" s="75">
        <v>2</v>
      </c>
      <c r="H1667" s="75">
        <v>45</v>
      </c>
      <c r="I1667" s="75">
        <v>34</v>
      </c>
    </row>
    <row r="1668" spans="1:9">
      <c r="A1668" s="75">
        <v>93</v>
      </c>
      <c r="B1668" s="75">
        <v>0</v>
      </c>
      <c r="C1668" s="75">
        <v>92</v>
      </c>
      <c r="D1668" s="76">
        <v>43361.458726851852</v>
      </c>
      <c r="E1668" s="77">
        <v>43344</v>
      </c>
      <c r="F1668" s="78">
        <v>0.45872685185185186</v>
      </c>
      <c r="G1668" s="75">
        <v>2</v>
      </c>
      <c r="H1668" s="75">
        <v>0</v>
      </c>
      <c r="I1668" s="75">
        <v>34</v>
      </c>
    </row>
    <row r="1669" spans="1:9">
      <c r="A1669" s="75">
        <v>152</v>
      </c>
      <c r="B1669" s="75">
        <v>0</v>
      </c>
      <c r="C1669" s="75">
        <v>152</v>
      </c>
      <c r="D1669" s="76">
        <v>43361.469131944446</v>
      </c>
      <c r="E1669" s="77">
        <v>43344</v>
      </c>
      <c r="F1669" s="78">
        <v>0.46913194444444445</v>
      </c>
      <c r="G1669" s="75">
        <v>2</v>
      </c>
      <c r="H1669" s="75">
        <v>15</v>
      </c>
      <c r="I1669" s="75">
        <v>33</v>
      </c>
    </row>
    <row r="1670" spans="1:9">
      <c r="A1670" s="75">
        <v>125</v>
      </c>
      <c r="B1670" s="75">
        <v>1</v>
      </c>
      <c r="C1670" s="75">
        <v>126</v>
      </c>
      <c r="D1670" s="76">
        <v>43361.479548611111</v>
      </c>
      <c r="E1670" s="77">
        <v>43344</v>
      </c>
      <c r="F1670" s="78">
        <v>0.47954861111111113</v>
      </c>
      <c r="G1670" s="75">
        <v>2</v>
      </c>
      <c r="H1670" s="75">
        <v>30</v>
      </c>
      <c r="I1670" s="75">
        <v>33</v>
      </c>
    </row>
    <row r="1671" spans="1:9">
      <c r="A1671" s="75">
        <v>113</v>
      </c>
      <c r="B1671" s="75">
        <v>1</v>
      </c>
      <c r="C1671" s="75">
        <v>114</v>
      </c>
      <c r="D1671" s="76">
        <v>43361.489976851852</v>
      </c>
      <c r="E1671" s="77">
        <v>43344</v>
      </c>
      <c r="F1671" s="78">
        <v>0.48997685185185186</v>
      </c>
      <c r="G1671" s="75">
        <v>2</v>
      </c>
      <c r="H1671" s="75">
        <v>45</v>
      </c>
      <c r="I1671" s="75">
        <v>34</v>
      </c>
    </row>
    <row r="1672" spans="1:9">
      <c r="A1672" s="75">
        <v>109</v>
      </c>
      <c r="B1672" s="75">
        <v>0</v>
      </c>
      <c r="C1672" s="75">
        <v>99</v>
      </c>
      <c r="D1672" s="76">
        <v>43361.500393518516</v>
      </c>
      <c r="E1672" s="77">
        <v>43344</v>
      </c>
      <c r="F1672" s="78">
        <v>0.50039351851851854</v>
      </c>
      <c r="G1672" s="75">
        <v>2</v>
      </c>
      <c r="H1672" s="75">
        <v>0</v>
      </c>
      <c r="I1672" s="75">
        <v>34</v>
      </c>
    </row>
    <row r="1673" spans="1:9">
      <c r="A1673" s="75">
        <v>133</v>
      </c>
      <c r="B1673" s="75">
        <v>0</v>
      </c>
      <c r="C1673" s="75">
        <v>129</v>
      </c>
      <c r="D1673" s="76">
        <v>43361.510810185187</v>
      </c>
      <c r="E1673" s="77">
        <v>43344</v>
      </c>
      <c r="F1673" s="78">
        <v>0.51081018518518517</v>
      </c>
      <c r="G1673" s="75">
        <v>2</v>
      </c>
      <c r="H1673" s="75">
        <v>15</v>
      </c>
      <c r="I1673" s="75">
        <v>34</v>
      </c>
    </row>
    <row r="1674" spans="1:9">
      <c r="A1674" s="75">
        <v>149</v>
      </c>
      <c r="B1674" s="75">
        <v>0</v>
      </c>
      <c r="C1674" s="75">
        <v>148</v>
      </c>
      <c r="D1674" s="76">
        <v>43361.521226851852</v>
      </c>
      <c r="E1674" s="77">
        <v>43344</v>
      </c>
      <c r="F1674" s="78">
        <v>0.5212268518518518</v>
      </c>
      <c r="G1674" s="75">
        <v>2</v>
      </c>
      <c r="H1674" s="75">
        <v>30</v>
      </c>
      <c r="I1674" s="75">
        <v>34</v>
      </c>
    </row>
    <row r="1675" spans="1:9">
      <c r="A1675" s="75">
        <v>196</v>
      </c>
      <c r="B1675" s="75">
        <v>1</v>
      </c>
      <c r="C1675" s="75">
        <v>197</v>
      </c>
      <c r="D1675" s="76">
        <v>43361.531643518516</v>
      </c>
      <c r="E1675" s="77">
        <v>43344</v>
      </c>
      <c r="F1675" s="78">
        <v>0.53164351851851854</v>
      </c>
      <c r="G1675" s="75">
        <v>2</v>
      </c>
      <c r="H1675" s="75">
        <v>45</v>
      </c>
      <c r="I1675" s="75">
        <v>34</v>
      </c>
    </row>
    <row r="1676" spans="1:9">
      <c r="A1676" s="75">
        <v>207</v>
      </c>
      <c r="B1676" s="75">
        <v>1</v>
      </c>
      <c r="C1676" s="75">
        <v>208</v>
      </c>
      <c r="D1676" s="76">
        <v>43361.542048611111</v>
      </c>
      <c r="E1676" s="77">
        <v>43344</v>
      </c>
      <c r="F1676" s="78">
        <v>0.54204861111111113</v>
      </c>
      <c r="G1676" s="75">
        <v>2</v>
      </c>
      <c r="H1676" s="75">
        <v>0</v>
      </c>
      <c r="I1676" s="75">
        <v>33</v>
      </c>
    </row>
    <row r="1677" spans="1:9">
      <c r="A1677" s="75">
        <v>260</v>
      </c>
      <c r="B1677" s="75">
        <v>0</v>
      </c>
      <c r="C1677" s="75">
        <v>260</v>
      </c>
      <c r="D1677" s="76">
        <v>43361.552476851852</v>
      </c>
      <c r="E1677" s="77">
        <v>43344</v>
      </c>
      <c r="F1677" s="78">
        <v>0.5524768518518518</v>
      </c>
      <c r="G1677" s="75">
        <v>2</v>
      </c>
      <c r="H1677" s="75">
        <v>15</v>
      </c>
      <c r="I1677" s="75">
        <v>34</v>
      </c>
    </row>
    <row r="1678" spans="1:9">
      <c r="A1678" s="75">
        <v>275</v>
      </c>
      <c r="B1678" s="75">
        <v>0</v>
      </c>
      <c r="C1678" s="75">
        <v>275</v>
      </c>
      <c r="D1678" s="76">
        <v>43361.562881944446</v>
      </c>
      <c r="E1678" s="77">
        <v>43344</v>
      </c>
      <c r="F1678" s="78">
        <v>0.5628819444444445</v>
      </c>
      <c r="G1678" s="75">
        <v>2</v>
      </c>
      <c r="H1678" s="75">
        <v>30</v>
      </c>
      <c r="I1678" s="75">
        <v>33</v>
      </c>
    </row>
    <row r="1679" spans="1:9">
      <c r="A1679" s="75">
        <v>317</v>
      </c>
      <c r="B1679" s="75">
        <v>0</v>
      </c>
      <c r="C1679" s="75">
        <v>317</v>
      </c>
      <c r="D1679" s="76">
        <v>43361.573298611111</v>
      </c>
      <c r="E1679" s="77">
        <v>43344</v>
      </c>
      <c r="F1679" s="78">
        <v>0.57329861111111113</v>
      </c>
      <c r="G1679" s="75">
        <v>2</v>
      </c>
      <c r="H1679" s="75">
        <v>45</v>
      </c>
      <c r="I1679" s="75">
        <v>33</v>
      </c>
    </row>
    <row r="1680" spans="1:9">
      <c r="A1680" s="75">
        <v>305</v>
      </c>
      <c r="B1680" s="75">
        <v>1</v>
      </c>
      <c r="C1680" s="75">
        <v>306</v>
      </c>
      <c r="D1680" s="76">
        <v>43361.583715277775</v>
      </c>
      <c r="E1680" s="77">
        <v>43344</v>
      </c>
      <c r="F1680" s="78">
        <v>0.58371527777777776</v>
      </c>
      <c r="G1680" s="75">
        <v>2</v>
      </c>
      <c r="H1680" s="75">
        <v>0</v>
      </c>
      <c r="I1680" s="75">
        <v>33</v>
      </c>
    </row>
    <row r="1681" spans="1:9">
      <c r="A1681" s="75">
        <v>338</v>
      </c>
      <c r="B1681" s="75">
        <v>2</v>
      </c>
      <c r="C1681" s="75">
        <v>334</v>
      </c>
      <c r="D1681" s="76">
        <v>43361.594131944446</v>
      </c>
      <c r="E1681" s="77">
        <v>43344</v>
      </c>
      <c r="F1681" s="78">
        <v>0.5941319444444445</v>
      </c>
      <c r="G1681" s="75">
        <v>2</v>
      </c>
      <c r="H1681" s="75">
        <v>15</v>
      </c>
      <c r="I1681" s="75">
        <v>33</v>
      </c>
    </row>
    <row r="1682" spans="1:9">
      <c r="A1682" s="75">
        <v>329</v>
      </c>
      <c r="B1682" s="75">
        <v>2</v>
      </c>
      <c r="C1682" s="75">
        <v>331</v>
      </c>
      <c r="D1682" s="76">
        <v>43361.604548611111</v>
      </c>
      <c r="E1682" s="77">
        <v>43344</v>
      </c>
      <c r="F1682" s="78">
        <v>0.60454861111111113</v>
      </c>
      <c r="G1682" s="75">
        <v>2</v>
      </c>
      <c r="H1682" s="75">
        <v>30</v>
      </c>
      <c r="I1682" s="75">
        <v>33</v>
      </c>
    </row>
    <row r="1683" spans="1:9">
      <c r="A1683" s="75">
        <v>410</v>
      </c>
      <c r="B1683" s="75">
        <v>0</v>
      </c>
      <c r="C1683" s="75">
        <v>410</v>
      </c>
      <c r="D1683" s="76">
        <v>43361.614965277775</v>
      </c>
      <c r="E1683" s="77">
        <v>43344</v>
      </c>
      <c r="F1683" s="78">
        <v>0.61496527777777776</v>
      </c>
      <c r="G1683" s="75">
        <v>2</v>
      </c>
      <c r="H1683" s="75">
        <v>45</v>
      </c>
      <c r="I1683" s="75">
        <v>33</v>
      </c>
    </row>
    <row r="1684" spans="1:9">
      <c r="A1684" s="75">
        <v>379</v>
      </c>
      <c r="B1684" s="75">
        <v>0</v>
      </c>
      <c r="C1684" s="75">
        <v>379</v>
      </c>
      <c r="D1684" s="76">
        <v>43361.625381944446</v>
      </c>
      <c r="E1684" s="77">
        <v>43344</v>
      </c>
      <c r="F1684" s="78">
        <v>0.6253819444444445</v>
      </c>
      <c r="G1684" s="75">
        <v>2</v>
      </c>
      <c r="H1684" s="75">
        <v>0</v>
      </c>
      <c r="I1684" s="75">
        <v>33</v>
      </c>
    </row>
    <row r="1685" spans="1:9">
      <c r="A1685" s="75">
        <v>455</v>
      </c>
      <c r="B1685" s="75">
        <v>3</v>
      </c>
      <c r="C1685" s="75">
        <v>458</v>
      </c>
      <c r="D1685" s="76">
        <v>43361.635798611111</v>
      </c>
      <c r="E1685" s="77">
        <v>43344</v>
      </c>
      <c r="F1685" s="78">
        <v>0.63579861111111113</v>
      </c>
      <c r="G1685" s="75">
        <v>2</v>
      </c>
      <c r="H1685" s="75">
        <v>15</v>
      </c>
      <c r="I1685" s="75">
        <v>33</v>
      </c>
    </row>
    <row r="1686" spans="1:9">
      <c r="A1686" s="75">
        <v>473</v>
      </c>
      <c r="B1686" s="75">
        <v>5</v>
      </c>
      <c r="C1686" s="75">
        <v>478</v>
      </c>
      <c r="D1686" s="76">
        <v>43361.646226851852</v>
      </c>
      <c r="E1686" s="77">
        <v>43344</v>
      </c>
      <c r="F1686" s="78">
        <v>0.6462268518518518</v>
      </c>
      <c r="G1686" s="75">
        <v>2</v>
      </c>
      <c r="H1686" s="75">
        <v>30</v>
      </c>
      <c r="I1686" s="75">
        <v>34</v>
      </c>
    </row>
    <row r="1687" spans="1:9">
      <c r="A1687" s="75">
        <v>519</v>
      </c>
      <c r="B1687" s="75">
        <v>4</v>
      </c>
      <c r="C1687" s="75">
        <v>523</v>
      </c>
      <c r="D1687" s="76">
        <v>43361.65662037037</v>
      </c>
      <c r="E1687" s="77">
        <v>43344</v>
      </c>
      <c r="F1687" s="78">
        <v>0.65662037037037035</v>
      </c>
      <c r="G1687" s="75">
        <v>2</v>
      </c>
      <c r="H1687" s="75">
        <v>45</v>
      </c>
      <c r="I1687" s="75">
        <v>32</v>
      </c>
    </row>
    <row r="1688" spans="1:9">
      <c r="A1688" s="75">
        <v>529</v>
      </c>
      <c r="B1688" s="75">
        <v>5</v>
      </c>
      <c r="C1688" s="75">
        <v>534</v>
      </c>
      <c r="D1688" s="76">
        <v>43361.667060185187</v>
      </c>
      <c r="E1688" s="77">
        <v>43344</v>
      </c>
      <c r="F1688" s="78">
        <v>0.66706018518518517</v>
      </c>
      <c r="G1688" s="75">
        <v>2</v>
      </c>
      <c r="H1688" s="75">
        <v>0</v>
      </c>
      <c r="I1688" s="75">
        <v>34</v>
      </c>
    </row>
    <row r="1689" spans="1:9">
      <c r="A1689" s="75">
        <v>656</v>
      </c>
      <c r="B1689" s="75">
        <v>1</v>
      </c>
      <c r="C1689" s="75">
        <v>657</v>
      </c>
      <c r="D1689" s="76">
        <v>43361.677465277775</v>
      </c>
      <c r="E1689" s="77">
        <v>43344</v>
      </c>
      <c r="F1689" s="78">
        <v>0.67746527777777776</v>
      </c>
      <c r="G1689" s="75">
        <v>2</v>
      </c>
      <c r="H1689" s="75">
        <v>15</v>
      </c>
      <c r="I1689" s="75">
        <v>33</v>
      </c>
    </row>
    <row r="1690" spans="1:9">
      <c r="A1690" s="75">
        <v>603</v>
      </c>
      <c r="B1690" s="75">
        <v>9</v>
      </c>
      <c r="C1690" s="75">
        <v>612</v>
      </c>
      <c r="D1690" s="76">
        <v>43361.687893518516</v>
      </c>
      <c r="E1690" s="77">
        <v>43344</v>
      </c>
      <c r="F1690" s="78">
        <v>0.68789351851851854</v>
      </c>
      <c r="G1690" s="75">
        <v>2</v>
      </c>
      <c r="H1690" s="75">
        <v>30</v>
      </c>
      <c r="I1690" s="75">
        <v>34</v>
      </c>
    </row>
    <row r="1691" spans="1:9">
      <c r="A1691" s="75">
        <v>657</v>
      </c>
      <c r="B1691" s="75">
        <v>7</v>
      </c>
      <c r="C1691" s="75">
        <v>664</v>
      </c>
      <c r="D1691" s="76">
        <v>43361.698298611111</v>
      </c>
      <c r="E1691" s="77">
        <v>43344</v>
      </c>
      <c r="F1691" s="78">
        <v>0.69829861111111102</v>
      </c>
      <c r="G1691" s="75">
        <v>2</v>
      </c>
      <c r="H1691" s="75">
        <v>45</v>
      </c>
      <c r="I1691" s="75">
        <v>33</v>
      </c>
    </row>
    <row r="1692" spans="1:9">
      <c r="A1692" s="75">
        <v>525</v>
      </c>
      <c r="B1692" s="75">
        <v>1</v>
      </c>
      <c r="C1692" s="75">
        <v>526</v>
      </c>
      <c r="D1692" s="76">
        <v>43361.708715277775</v>
      </c>
      <c r="E1692" s="77">
        <v>43344</v>
      </c>
      <c r="F1692" s="78">
        <v>0.70871527777777776</v>
      </c>
      <c r="G1692" s="75">
        <v>2</v>
      </c>
      <c r="H1692" s="75">
        <v>0</v>
      </c>
      <c r="I1692" s="75">
        <v>33</v>
      </c>
    </row>
    <row r="1693" spans="1:9">
      <c r="A1693" s="75">
        <v>598</v>
      </c>
      <c r="B1693" s="75">
        <v>2</v>
      </c>
      <c r="C1693" s="75">
        <v>600</v>
      </c>
      <c r="D1693" s="76">
        <v>43361.719131944446</v>
      </c>
      <c r="E1693" s="77">
        <v>43344</v>
      </c>
      <c r="F1693" s="78">
        <v>0.71913194444444439</v>
      </c>
      <c r="G1693" s="75">
        <v>2</v>
      </c>
      <c r="H1693" s="75">
        <v>15</v>
      </c>
      <c r="I1693" s="75">
        <v>33</v>
      </c>
    </row>
    <row r="1694" spans="1:9">
      <c r="A1694" s="75">
        <v>515</v>
      </c>
      <c r="B1694" s="75">
        <v>6</v>
      </c>
      <c r="C1694" s="75">
        <v>521</v>
      </c>
      <c r="D1694" s="76">
        <v>43361.729548611111</v>
      </c>
      <c r="E1694" s="77">
        <v>43344</v>
      </c>
      <c r="F1694" s="78">
        <v>0.72954861111111102</v>
      </c>
      <c r="G1694" s="75">
        <v>2</v>
      </c>
      <c r="H1694" s="75">
        <v>30</v>
      </c>
      <c r="I1694" s="75">
        <v>33</v>
      </c>
    </row>
    <row r="1695" spans="1:9">
      <c r="A1695" s="75">
        <v>562</v>
      </c>
      <c r="B1695" s="75">
        <v>3</v>
      </c>
      <c r="C1695" s="75">
        <v>565</v>
      </c>
      <c r="D1695" s="76">
        <v>43361.739965277775</v>
      </c>
      <c r="E1695" s="77">
        <v>43344</v>
      </c>
      <c r="F1695" s="78">
        <v>0.73996527777777776</v>
      </c>
      <c r="G1695" s="75">
        <v>2</v>
      </c>
      <c r="H1695" s="75">
        <v>45</v>
      </c>
      <c r="I1695" s="75">
        <v>33</v>
      </c>
    </row>
    <row r="1696" spans="1:9">
      <c r="A1696" s="75">
        <v>494</v>
      </c>
      <c r="B1696" s="75">
        <v>4</v>
      </c>
      <c r="C1696" s="75">
        <v>498</v>
      </c>
      <c r="D1696" s="76">
        <v>43361.750381944446</v>
      </c>
      <c r="E1696" s="77">
        <v>43344</v>
      </c>
      <c r="F1696" s="78">
        <v>0.75038194444444439</v>
      </c>
      <c r="G1696" s="75">
        <v>2</v>
      </c>
      <c r="H1696" s="75">
        <v>0</v>
      </c>
      <c r="I1696" s="75">
        <v>33</v>
      </c>
    </row>
    <row r="1697" spans="1:9">
      <c r="A1697" s="75">
        <v>586</v>
      </c>
      <c r="B1697" s="75">
        <v>6</v>
      </c>
      <c r="C1697" s="75">
        <v>592</v>
      </c>
      <c r="D1697" s="76">
        <v>43361.760821759257</v>
      </c>
      <c r="E1697" s="77">
        <v>43344</v>
      </c>
      <c r="F1697" s="78">
        <v>0.76082175925925932</v>
      </c>
      <c r="G1697" s="75">
        <v>2</v>
      </c>
      <c r="H1697" s="75">
        <v>15</v>
      </c>
      <c r="I1697" s="75">
        <v>35</v>
      </c>
    </row>
    <row r="1698" spans="1:9">
      <c r="A1698" s="75">
        <v>480</v>
      </c>
      <c r="B1698" s="75">
        <v>5</v>
      </c>
      <c r="C1698" s="75">
        <v>485</v>
      </c>
      <c r="D1698" s="76">
        <v>43361.771203703705</v>
      </c>
      <c r="E1698" s="77">
        <v>43344</v>
      </c>
      <c r="F1698" s="78">
        <v>0.77120370370370372</v>
      </c>
      <c r="G1698" s="75">
        <v>2</v>
      </c>
      <c r="H1698" s="75">
        <v>30</v>
      </c>
      <c r="I1698" s="75">
        <v>32</v>
      </c>
    </row>
    <row r="1699" spans="1:9">
      <c r="A1699" s="75">
        <v>420</v>
      </c>
      <c r="B1699" s="75">
        <v>3</v>
      </c>
      <c r="C1699" s="75">
        <v>422</v>
      </c>
      <c r="D1699" s="76">
        <v>43361.781631944446</v>
      </c>
      <c r="E1699" s="77">
        <v>43344</v>
      </c>
      <c r="F1699" s="78">
        <v>0.78163194444444439</v>
      </c>
      <c r="G1699" s="75">
        <v>2</v>
      </c>
      <c r="H1699" s="75">
        <v>45</v>
      </c>
      <c r="I1699" s="75">
        <v>33</v>
      </c>
    </row>
    <row r="1700" spans="1:9">
      <c r="A1700" s="75">
        <v>308</v>
      </c>
      <c r="B1700" s="75">
        <v>5</v>
      </c>
      <c r="C1700" s="75">
        <v>313</v>
      </c>
      <c r="D1700" s="76">
        <v>43361.792037037034</v>
      </c>
      <c r="E1700" s="77">
        <v>43344</v>
      </c>
      <c r="F1700" s="78">
        <v>0.79203703703703709</v>
      </c>
      <c r="G1700" s="75">
        <v>2</v>
      </c>
      <c r="H1700" s="75">
        <v>0</v>
      </c>
      <c r="I1700" s="75">
        <v>32</v>
      </c>
    </row>
    <row r="1701" spans="1:9">
      <c r="A1701" s="75">
        <v>454</v>
      </c>
      <c r="B1701" s="75">
        <v>2</v>
      </c>
      <c r="C1701" s="75">
        <v>456</v>
      </c>
      <c r="D1701" s="76">
        <v>43361.802453703705</v>
      </c>
      <c r="E1701" s="77">
        <v>43344</v>
      </c>
      <c r="F1701" s="78">
        <v>0.80245370370370372</v>
      </c>
      <c r="G1701" s="75">
        <v>2</v>
      </c>
      <c r="H1701" s="75">
        <v>15</v>
      </c>
      <c r="I1701" s="75">
        <v>32</v>
      </c>
    </row>
    <row r="1702" spans="1:9">
      <c r="A1702" s="75">
        <v>523</v>
      </c>
      <c r="B1702" s="75">
        <v>4</v>
      </c>
      <c r="C1702" s="75">
        <v>527</v>
      </c>
      <c r="D1702" s="76">
        <v>43361.81287037037</v>
      </c>
      <c r="E1702" s="77">
        <v>43344</v>
      </c>
      <c r="F1702" s="78">
        <v>0.81287037037037047</v>
      </c>
      <c r="G1702" s="75">
        <v>2</v>
      </c>
      <c r="H1702" s="75">
        <v>30</v>
      </c>
      <c r="I1702" s="75">
        <v>32</v>
      </c>
    </row>
    <row r="1703" spans="1:9">
      <c r="A1703" s="75">
        <v>681</v>
      </c>
      <c r="B1703" s="75">
        <v>6</v>
      </c>
      <c r="C1703" s="75">
        <v>687</v>
      </c>
      <c r="D1703" s="76">
        <v>43361.823287037034</v>
      </c>
      <c r="E1703" s="77">
        <v>43344</v>
      </c>
      <c r="F1703" s="78">
        <v>0.82328703703703709</v>
      </c>
      <c r="G1703" s="75">
        <v>2</v>
      </c>
      <c r="H1703" s="75">
        <v>45</v>
      </c>
      <c r="I1703" s="75">
        <v>32</v>
      </c>
    </row>
    <row r="1704" spans="1:9">
      <c r="A1704" s="75">
        <v>725</v>
      </c>
      <c r="B1704" s="75">
        <v>4</v>
      </c>
      <c r="C1704" s="75">
        <v>726</v>
      </c>
      <c r="D1704" s="76">
        <v>43361.833715277775</v>
      </c>
      <c r="E1704" s="77">
        <v>43344</v>
      </c>
      <c r="F1704" s="78">
        <v>0.83371527777777776</v>
      </c>
      <c r="G1704" s="75">
        <v>2</v>
      </c>
      <c r="H1704" s="75">
        <v>0</v>
      </c>
      <c r="I1704" s="75">
        <v>33</v>
      </c>
    </row>
    <row r="1705" spans="1:9">
      <c r="A1705" s="75">
        <v>1002</v>
      </c>
      <c r="B1705" s="75">
        <v>8</v>
      </c>
      <c r="C1705" s="75">
        <v>1010</v>
      </c>
      <c r="D1705" s="76">
        <v>43361.844131944446</v>
      </c>
      <c r="E1705" s="77">
        <v>43344</v>
      </c>
      <c r="F1705" s="78">
        <v>0.84413194444444439</v>
      </c>
      <c r="G1705" s="75">
        <v>2</v>
      </c>
      <c r="H1705" s="75">
        <v>15</v>
      </c>
      <c r="I1705" s="75">
        <v>33</v>
      </c>
    </row>
    <row r="1706" spans="1:9">
      <c r="A1706" s="75">
        <v>990</v>
      </c>
      <c r="B1706" s="75">
        <v>10</v>
      </c>
      <c r="C1706" s="75">
        <v>1000</v>
      </c>
      <c r="D1706" s="76">
        <v>43361.854548611111</v>
      </c>
      <c r="E1706" s="77">
        <v>43344</v>
      </c>
      <c r="F1706" s="78">
        <v>0.85454861111111102</v>
      </c>
      <c r="G1706" s="75">
        <v>2</v>
      </c>
      <c r="H1706" s="75">
        <v>30</v>
      </c>
      <c r="I1706" s="75">
        <v>33</v>
      </c>
    </row>
    <row r="1707" spans="1:9">
      <c r="A1707" s="75">
        <v>993</v>
      </c>
      <c r="B1707" s="75">
        <v>12</v>
      </c>
      <c r="C1707" s="75">
        <v>1000</v>
      </c>
      <c r="D1707" s="76">
        <v>43361.864965277775</v>
      </c>
      <c r="E1707" s="77">
        <v>43344</v>
      </c>
      <c r="F1707" s="78">
        <v>0.86496527777777776</v>
      </c>
      <c r="G1707" s="75">
        <v>2</v>
      </c>
      <c r="H1707" s="75">
        <v>45</v>
      </c>
      <c r="I1707" s="75">
        <v>33</v>
      </c>
    </row>
    <row r="1708" spans="1:9">
      <c r="A1708" s="75">
        <v>858</v>
      </c>
      <c r="B1708" s="75">
        <v>8</v>
      </c>
      <c r="C1708" s="75">
        <v>866</v>
      </c>
      <c r="D1708" s="76">
        <v>43361.875381944446</v>
      </c>
      <c r="E1708" s="77">
        <v>43344</v>
      </c>
      <c r="F1708" s="78">
        <v>0.87538194444444439</v>
      </c>
      <c r="G1708" s="75">
        <v>2</v>
      </c>
      <c r="H1708" s="75">
        <v>0</v>
      </c>
      <c r="I1708" s="75">
        <v>33</v>
      </c>
    </row>
    <row r="1709" spans="1:9">
      <c r="A1709" s="75">
        <v>883</v>
      </c>
      <c r="B1709" s="75">
        <v>13</v>
      </c>
      <c r="C1709" s="75">
        <v>896</v>
      </c>
      <c r="D1709" s="76">
        <v>43361.885787037034</v>
      </c>
      <c r="E1709" s="77">
        <v>43344</v>
      </c>
      <c r="F1709" s="78">
        <v>0.88578703703703709</v>
      </c>
      <c r="G1709" s="75">
        <v>2</v>
      </c>
      <c r="H1709" s="75">
        <v>15</v>
      </c>
      <c r="I1709" s="75">
        <v>32</v>
      </c>
    </row>
    <row r="1710" spans="1:9">
      <c r="A1710" s="75">
        <v>827</v>
      </c>
      <c r="B1710" s="75">
        <v>7</v>
      </c>
      <c r="C1710" s="75">
        <v>834</v>
      </c>
      <c r="D1710" s="76">
        <v>43361.896215277775</v>
      </c>
      <c r="E1710" s="77">
        <v>43344</v>
      </c>
      <c r="F1710" s="78">
        <v>0.89621527777777776</v>
      </c>
      <c r="G1710" s="75">
        <v>2</v>
      </c>
      <c r="H1710" s="75">
        <v>30</v>
      </c>
      <c r="I1710" s="75">
        <v>33</v>
      </c>
    </row>
    <row r="1711" spans="1:9">
      <c r="A1711" s="75">
        <v>803</v>
      </c>
      <c r="B1711" s="75">
        <v>7</v>
      </c>
      <c r="C1711" s="75">
        <v>802</v>
      </c>
      <c r="D1711" s="76">
        <v>43361.906631944446</v>
      </c>
      <c r="E1711" s="77">
        <v>43344</v>
      </c>
      <c r="F1711" s="78">
        <v>0.90663194444444439</v>
      </c>
      <c r="G1711" s="75">
        <v>2</v>
      </c>
      <c r="H1711" s="75">
        <v>45</v>
      </c>
      <c r="I1711" s="75">
        <v>33</v>
      </c>
    </row>
    <row r="1712" spans="1:9">
      <c r="A1712" s="75">
        <v>724</v>
      </c>
      <c r="B1712" s="75">
        <v>8</v>
      </c>
      <c r="C1712" s="75">
        <v>732</v>
      </c>
      <c r="D1712" s="76">
        <v>43361.917048611111</v>
      </c>
      <c r="E1712" s="77">
        <v>43344</v>
      </c>
      <c r="F1712" s="78">
        <v>0.91704861111111102</v>
      </c>
      <c r="G1712" s="75">
        <v>2</v>
      </c>
      <c r="H1712" s="75">
        <v>0</v>
      </c>
      <c r="I1712" s="75">
        <v>33</v>
      </c>
    </row>
    <row r="1713" spans="1:9">
      <c r="A1713" s="75">
        <v>750</v>
      </c>
      <c r="B1713" s="75">
        <v>4</v>
      </c>
      <c r="C1713" s="75">
        <v>754</v>
      </c>
      <c r="D1713" s="76">
        <v>43361.927465277775</v>
      </c>
      <c r="E1713" s="77">
        <v>43344</v>
      </c>
      <c r="F1713" s="78">
        <v>0.92746527777777776</v>
      </c>
      <c r="G1713" s="75">
        <v>2</v>
      </c>
      <c r="H1713" s="75">
        <v>15</v>
      </c>
      <c r="I1713" s="75">
        <v>33</v>
      </c>
    </row>
    <row r="1714" spans="1:9">
      <c r="A1714" s="75">
        <v>680</v>
      </c>
      <c r="B1714" s="75">
        <v>3</v>
      </c>
      <c r="C1714" s="75">
        <v>683</v>
      </c>
      <c r="D1714" s="76">
        <v>43361.937881944446</v>
      </c>
      <c r="E1714" s="77">
        <v>43344</v>
      </c>
      <c r="F1714" s="78">
        <v>0.93788194444444439</v>
      </c>
      <c r="G1714" s="75">
        <v>2</v>
      </c>
      <c r="H1714" s="75">
        <v>30</v>
      </c>
      <c r="I1714" s="75">
        <v>33</v>
      </c>
    </row>
    <row r="1715" spans="1:9">
      <c r="A1715" s="75">
        <v>644</v>
      </c>
      <c r="B1715" s="75">
        <v>7</v>
      </c>
      <c r="C1715" s="75">
        <v>651</v>
      </c>
      <c r="D1715" s="76">
        <v>43361.948287037034</v>
      </c>
      <c r="E1715" s="77">
        <v>43344</v>
      </c>
      <c r="F1715" s="78">
        <v>0.94828703703703709</v>
      </c>
      <c r="G1715" s="75">
        <v>2</v>
      </c>
      <c r="H1715" s="75">
        <v>45</v>
      </c>
      <c r="I1715" s="75">
        <v>32</v>
      </c>
    </row>
    <row r="1716" spans="1:9">
      <c r="A1716" s="75">
        <v>657</v>
      </c>
      <c r="B1716" s="75">
        <v>5</v>
      </c>
      <c r="C1716" s="75">
        <v>662</v>
      </c>
      <c r="D1716" s="76">
        <v>43361.958703703705</v>
      </c>
      <c r="E1716" s="77">
        <v>43344</v>
      </c>
      <c r="F1716" s="78">
        <v>0.95870370370370372</v>
      </c>
      <c r="G1716" s="75">
        <v>2</v>
      </c>
      <c r="H1716" s="75">
        <v>0</v>
      </c>
      <c r="I1716" s="75">
        <v>32</v>
      </c>
    </row>
    <row r="1717" spans="1:9">
      <c r="A1717" s="75">
        <v>668</v>
      </c>
      <c r="B1717" s="75">
        <v>10</v>
      </c>
      <c r="C1717" s="75">
        <v>678</v>
      </c>
      <c r="D1717" s="76">
        <v>43361.96912037037</v>
      </c>
      <c r="E1717" s="77">
        <v>43344</v>
      </c>
      <c r="F1717" s="78">
        <v>0.96912037037037047</v>
      </c>
      <c r="G1717" s="75">
        <v>2</v>
      </c>
      <c r="H1717" s="75">
        <v>15</v>
      </c>
      <c r="I1717" s="75">
        <v>32</v>
      </c>
    </row>
    <row r="1718" spans="1:9">
      <c r="A1718" s="75">
        <v>559</v>
      </c>
      <c r="B1718" s="75">
        <v>6</v>
      </c>
      <c r="C1718" s="75">
        <v>565</v>
      </c>
      <c r="D1718" s="76">
        <v>43361.979548611111</v>
      </c>
      <c r="E1718" s="77">
        <v>43344</v>
      </c>
      <c r="F1718" s="78">
        <v>0.97954861111111102</v>
      </c>
      <c r="G1718" s="75">
        <v>2</v>
      </c>
      <c r="H1718" s="75">
        <v>30</v>
      </c>
      <c r="I1718" s="75">
        <v>33</v>
      </c>
    </row>
    <row r="1719" spans="1:9">
      <c r="A1719" s="75">
        <v>506</v>
      </c>
      <c r="B1719" s="75">
        <v>6</v>
      </c>
      <c r="C1719" s="75">
        <v>512</v>
      </c>
      <c r="D1719" s="76">
        <v>43361.989965277775</v>
      </c>
      <c r="E1719" s="77">
        <v>43344</v>
      </c>
      <c r="F1719" s="78">
        <v>0.98996527777777776</v>
      </c>
      <c r="G1719" s="75">
        <v>2</v>
      </c>
      <c r="H1719" s="75">
        <v>45</v>
      </c>
      <c r="I1719" s="75">
        <v>33</v>
      </c>
    </row>
    <row r="1720" spans="1:9">
      <c r="A1720" s="75">
        <v>396</v>
      </c>
      <c r="B1720" s="75">
        <v>6</v>
      </c>
      <c r="C1720" s="75">
        <v>402</v>
      </c>
      <c r="D1720" s="76">
        <v>43362.00037037037</v>
      </c>
      <c r="E1720" s="77">
        <v>43344</v>
      </c>
      <c r="F1720" s="78">
        <v>3.7037037037037035E-4</v>
      </c>
      <c r="G1720" s="75">
        <v>2</v>
      </c>
      <c r="H1720" s="75">
        <v>0</v>
      </c>
      <c r="I1720" s="75">
        <v>32</v>
      </c>
    </row>
    <row r="1721" spans="1:9">
      <c r="A1721" s="75">
        <v>384</v>
      </c>
      <c r="B1721" s="75">
        <v>6</v>
      </c>
      <c r="C1721" s="75">
        <v>390</v>
      </c>
      <c r="D1721" s="76">
        <v>43362.010787037034</v>
      </c>
      <c r="E1721" s="77">
        <v>43344</v>
      </c>
      <c r="F1721" s="78">
        <v>1.0787037037037038E-2</v>
      </c>
      <c r="G1721" s="75">
        <v>2</v>
      </c>
      <c r="H1721" s="75">
        <v>15</v>
      </c>
      <c r="I1721" s="75">
        <v>32</v>
      </c>
    </row>
    <row r="1722" spans="1:9">
      <c r="A1722" s="75">
        <v>330</v>
      </c>
      <c r="B1722" s="75">
        <v>6</v>
      </c>
      <c r="C1722" s="75">
        <v>336</v>
      </c>
      <c r="D1722" s="76">
        <v>43362.021203703705</v>
      </c>
      <c r="E1722" s="77">
        <v>43344</v>
      </c>
      <c r="F1722" s="78">
        <v>2.1203703703703707E-2</v>
      </c>
      <c r="G1722" s="75">
        <v>2</v>
      </c>
      <c r="H1722" s="75">
        <v>30</v>
      </c>
      <c r="I1722" s="75">
        <v>32</v>
      </c>
    </row>
    <row r="1723" spans="1:9">
      <c r="A1723" s="75">
        <v>300</v>
      </c>
      <c r="B1723" s="75">
        <v>8</v>
      </c>
      <c r="C1723" s="75">
        <v>308</v>
      </c>
      <c r="D1723" s="76">
        <v>43362.03162037037</v>
      </c>
      <c r="E1723" s="77">
        <v>43344</v>
      </c>
      <c r="F1723" s="78">
        <v>3.1620370370370368E-2</v>
      </c>
      <c r="G1723" s="75">
        <v>2</v>
      </c>
      <c r="H1723" s="75">
        <v>45</v>
      </c>
      <c r="I1723" s="75">
        <v>32</v>
      </c>
    </row>
    <row r="1724" spans="1:9">
      <c r="A1724" s="75">
        <v>288</v>
      </c>
      <c r="B1724" s="75">
        <v>7</v>
      </c>
      <c r="C1724" s="75">
        <v>295</v>
      </c>
      <c r="D1724" s="76">
        <v>43362.042060185187</v>
      </c>
      <c r="E1724" s="77">
        <v>43344</v>
      </c>
      <c r="F1724" s="78">
        <v>4.206018518518518E-2</v>
      </c>
      <c r="G1724" s="75">
        <v>2</v>
      </c>
      <c r="H1724" s="75">
        <v>0</v>
      </c>
      <c r="I1724" s="75">
        <v>34</v>
      </c>
    </row>
    <row r="1725" spans="1:9">
      <c r="A1725" s="75">
        <v>292</v>
      </c>
      <c r="B1725" s="75">
        <v>8</v>
      </c>
      <c r="C1725" s="75">
        <v>300</v>
      </c>
      <c r="D1725" s="76">
        <v>43362.052453703705</v>
      </c>
      <c r="E1725" s="77">
        <v>43344</v>
      </c>
      <c r="F1725" s="78">
        <v>5.2453703703703704E-2</v>
      </c>
      <c r="G1725" s="75">
        <v>2</v>
      </c>
      <c r="H1725" s="75">
        <v>15</v>
      </c>
      <c r="I1725" s="75">
        <v>32</v>
      </c>
    </row>
    <row r="1726" spans="1:9">
      <c r="A1726" s="75">
        <v>283</v>
      </c>
      <c r="B1726" s="75">
        <v>6</v>
      </c>
      <c r="C1726" s="75">
        <v>289</v>
      </c>
      <c r="D1726" s="76">
        <v>43362.06287037037</v>
      </c>
      <c r="E1726" s="77">
        <v>43344</v>
      </c>
      <c r="F1726" s="78">
        <v>6.2870370370370368E-2</v>
      </c>
      <c r="G1726" s="75">
        <v>2</v>
      </c>
      <c r="H1726" s="75">
        <v>30</v>
      </c>
      <c r="I1726" s="75">
        <v>32</v>
      </c>
    </row>
    <row r="1727" spans="1:9">
      <c r="A1727" s="75">
        <v>275</v>
      </c>
      <c r="B1727" s="75">
        <v>4</v>
      </c>
      <c r="C1727" s="75">
        <v>273</v>
      </c>
      <c r="D1727" s="76">
        <v>43362.073287037034</v>
      </c>
      <c r="E1727" s="77">
        <v>43344</v>
      </c>
      <c r="F1727" s="78">
        <v>7.3287037037037039E-2</v>
      </c>
      <c r="G1727" s="75">
        <v>2</v>
      </c>
      <c r="H1727" s="75">
        <v>45</v>
      </c>
      <c r="I1727" s="75">
        <v>32</v>
      </c>
    </row>
    <row r="1728" spans="1:9">
      <c r="A1728" s="75">
        <v>228</v>
      </c>
      <c r="B1728" s="75">
        <v>6</v>
      </c>
      <c r="C1728" s="75">
        <v>234</v>
      </c>
      <c r="D1728" s="76">
        <v>43362.083715277775</v>
      </c>
      <c r="E1728" s="77">
        <v>43344</v>
      </c>
      <c r="F1728" s="78">
        <v>8.3715277777777777E-2</v>
      </c>
      <c r="G1728" s="75">
        <v>2</v>
      </c>
      <c r="H1728" s="75">
        <v>0</v>
      </c>
      <c r="I1728" s="75">
        <v>33</v>
      </c>
    </row>
    <row r="1729" spans="1:9">
      <c r="A1729" s="75">
        <v>247</v>
      </c>
      <c r="B1729" s="75">
        <v>2</v>
      </c>
      <c r="C1729" s="75">
        <v>249</v>
      </c>
      <c r="D1729" s="76">
        <v>43362.09412037037</v>
      </c>
      <c r="E1729" s="77">
        <v>43344</v>
      </c>
      <c r="F1729" s="78">
        <v>9.4120370370370368E-2</v>
      </c>
      <c r="G1729" s="75">
        <v>2</v>
      </c>
      <c r="H1729" s="75">
        <v>15</v>
      </c>
      <c r="I1729" s="75">
        <v>32</v>
      </c>
    </row>
    <row r="1730" spans="1:9">
      <c r="A1730" s="75">
        <v>229</v>
      </c>
      <c r="B1730" s="75">
        <v>4</v>
      </c>
      <c r="C1730" s="75">
        <v>233</v>
      </c>
      <c r="D1730" s="76">
        <v>43362.104537037034</v>
      </c>
      <c r="E1730" s="77">
        <v>43344</v>
      </c>
      <c r="F1730" s="78">
        <v>0.10453703703703704</v>
      </c>
      <c r="G1730" s="75">
        <v>2</v>
      </c>
      <c r="H1730" s="75">
        <v>30</v>
      </c>
      <c r="I1730" s="75">
        <v>32</v>
      </c>
    </row>
    <row r="1731" spans="1:9">
      <c r="A1731" s="75">
        <v>171</v>
      </c>
      <c r="B1731" s="75">
        <v>3</v>
      </c>
      <c r="C1731" s="75">
        <v>174</v>
      </c>
      <c r="D1731" s="76">
        <v>43362.114953703705</v>
      </c>
      <c r="E1731" s="77">
        <v>43344</v>
      </c>
      <c r="F1731" s="78">
        <v>0.11495370370370371</v>
      </c>
      <c r="G1731" s="75">
        <v>2</v>
      </c>
      <c r="H1731" s="75">
        <v>45</v>
      </c>
      <c r="I1731" s="75">
        <v>32</v>
      </c>
    </row>
    <row r="1732" spans="1:9">
      <c r="A1732" s="75">
        <v>149</v>
      </c>
      <c r="B1732" s="75">
        <v>5</v>
      </c>
      <c r="C1732" s="75">
        <v>154</v>
      </c>
      <c r="D1732" s="76">
        <v>43362.12537037037</v>
      </c>
      <c r="E1732" s="77">
        <v>43344</v>
      </c>
      <c r="F1732" s="78">
        <v>0.12537037037037038</v>
      </c>
      <c r="G1732" s="75">
        <v>2</v>
      </c>
      <c r="H1732" s="75">
        <v>0</v>
      </c>
      <c r="I1732" s="75">
        <v>32</v>
      </c>
    </row>
    <row r="1733" spans="1:9">
      <c r="A1733" s="75">
        <v>108</v>
      </c>
      <c r="B1733" s="75">
        <v>7</v>
      </c>
      <c r="C1733" s="75">
        <v>115</v>
      </c>
      <c r="D1733" s="76">
        <v>43362.135787037034</v>
      </c>
      <c r="E1733" s="77">
        <v>43344</v>
      </c>
      <c r="F1733" s="78">
        <v>0.13578703703703704</v>
      </c>
      <c r="G1733" s="75">
        <v>2</v>
      </c>
      <c r="H1733" s="75">
        <v>15</v>
      </c>
      <c r="I1733" s="75">
        <v>32</v>
      </c>
    </row>
    <row r="1734" spans="1:9">
      <c r="A1734" s="75">
        <v>110</v>
      </c>
      <c r="B1734" s="75">
        <v>3</v>
      </c>
      <c r="C1734" s="75">
        <v>103</v>
      </c>
      <c r="D1734" s="76">
        <v>43362.146203703705</v>
      </c>
      <c r="E1734" s="77">
        <v>43344</v>
      </c>
      <c r="F1734" s="78">
        <v>0.1462037037037037</v>
      </c>
      <c r="G1734" s="75">
        <v>2</v>
      </c>
      <c r="H1734" s="75">
        <v>30</v>
      </c>
      <c r="I1734" s="75">
        <v>32</v>
      </c>
    </row>
    <row r="1735" spans="1:9">
      <c r="A1735" s="75">
        <v>85</v>
      </c>
      <c r="B1735" s="75">
        <v>1</v>
      </c>
      <c r="C1735" s="75">
        <v>86</v>
      </c>
      <c r="D1735" s="76">
        <v>43362.15662037037</v>
      </c>
      <c r="E1735" s="77">
        <v>43344</v>
      </c>
      <c r="F1735" s="78">
        <v>0.15662037037037038</v>
      </c>
      <c r="G1735" s="75">
        <v>2</v>
      </c>
      <c r="H1735" s="75">
        <v>45</v>
      </c>
      <c r="I1735" s="75">
        <v>32</v>
      </c>
    </row>
    <row r="1736" spans="1:9">
      <c r="A1736" s="75">
        <v>83</v>
      </c>
      <c r="B1736" s="75">
        <v>1</v>
      </c>
      <c r="C1736" s="75">
        <v>84</v>
      </c>
      <c r="D1736" s="76">
        <v>43362.167037037034</v>
      </c>
      <c r="E1736" s="77">
        <v>43344</v>
      </c>
      <c r="F1736" s="78">
        <v>0.16703703703703701</v>
      </c>
      <c r="G1736" s="75">
        <v>2</v>
      </c>
      <c r="H1736" s="75">
        <v>0</v>
      </c>
      <c r="I1736" s="75">
        <v>32</v>
      </c>
    </row>
    <row r="1737" spans="1:9">
      <c r="A1737" s="75">
        <v>36</v>
      </c>
      <c r="B1737" s="75">
        <v>1</v>
      </c>
      <c r="C1737" s="75">
        <v>37</v>
      </c>
      <c r="D1737" s="76">
        <v>43362.177453703705</v>
      </c>
      <c r="E1737" s="77">
        <v>43344</v>
      </c>
      <c r="F1737" s="78">
        <v>0.1774537037037037</v>
      </c>
      <c r="G1737" s="75">
        <v>2</v>
      </c>
      <c r="H1737" s="75">
        <v>15</v>
      </c>
      <c r="I1737" s="75">
        <v>32</v>
      </c>
    </row>
    <row r="1738" spans="1:9">
      <c r="A1738" s="75">
        <v>23</v>
      </c>
      <c r="B1738" s="75">
        <v>1</v>
      </c>
      <c r="C1738" s="75">
        <v>24</v>
      </c>
      <c r="D1738" s="76">
        <v>43362.18787037037</v>
      </c>
      <c r="E1738" s="77">
        <v>43344</v>
      </c>
      <c r="F1738" s="78">
        <v>0.18787037037037035</v>
      </c>
      <c r="G1738" s="75">
        <v>2</v>
      </c>
      <c r="H1738" s="75">
        <v>30</v>
      </c>
      <c r="I1738" s="75">
        <v>32</v>
      </c>
    </row>
    <row r="1739" spans="1:9">
      <c r="A1739" s="75">
        <v>21</v>
      </c>
      <c r="B1739" s="75">
        <v>1</v>
      </c>
      <c r="C1739" s="75">
        <v>22</v>
      </c>
      <c r="D1739" s="76">
        <v>43362.198275462964</v>
      </c>
      <c r="E1739" s="77">
        <v>43344</v>
      </c>
      <c r="F1739" s="78">
        <v>0.19827546296296297</v>
      </c>
      <c r="G1739" s="75">
        <v>2</v>
      </c>
      <c r="H1739" s="75">
        <v>45</v>
      </c>
      <c r="I1739" s="75">
        <v>31</v>
      </c>
    </row>
    <row r="1740" spans="1:9">
      <c r="A1740" s="75">
        <v>21</v>
      </c>
      <c r="B1740" s="75">
        <v>1</v>
      </c>
      <c r="C1740" s="75">
        <v>22</v>
      </c>
      <c r="D1740" s="76">
        <v>43362.208703703705</v>
      </c>
      <c r="E1740" s="77">
        <v>43344</v>
      </c>
      <c r="F1740" s="78">
        <v>0.2087037037037037</v>
      </c>
      <c r="G1740" s="75">
        <v>2</v>
      </c>
      <c r="H1740" s="75">
        <v>0</v>
      </c>
      <c r="I1740" s="75">
        <v>32</v>
      </c>
    </row>
    <row r="1741" spans="1:9">
      <c r="A1741" s="75">
        <v>20</v>
      </c>
      <c r="B1741" s="75">
        <v>1</v>
      </c>
      <c r="C1741" s="75">
        <v>21</v>
      </c>
      <c r="D1741" s="76">
        <v>43362.21912037037</v>
      </c>
      <c r="E1741" s="77">
        <v>43344</v>
      </c>
      <c r="F1741" s="78">
        <v>0.21912037037037035</v>
      </c>
      <c r="G1741" s="75">
        <v>2</v>
      </c>
      <c r="H1741" s="75">
        <v>15</v>
      </c>
      <c r="I1741" s="75">
        <v>32</v>
      </c>
    </row>
    <row r="1742" spans="1:9">
      <c r="A1742" s="75">
        <v>20</v>
      </c>
      <c r="B1742" s="75">
        <v>1</v>
      </c>
      <c r="C1742" s="75">
        <v>21</v>
      </c>
      <c r="D1742" s="76">
        <v>43362.229537037034</v>
      </c>
      <c r="E1742" s="77">
        <v>43344</v>
      </c>
      <c r="F1742" s="78">
        <v>0.22953703703703701</v>
      </c>
      <c r="G1742" s="75">
        <v>2</v>
      </c>
      <c r="H1742" s="75">
        <v>30</v>
      </c>
      <c r="I1742" s="75">
        <v>32</v>
      </c>
    </row>
    <row r="1743" spans="1:9">
      <c r="A1743" s="75">
        <v>20</v>
      </c>
      <c r="B1743" s="75">
        <v>1</v>
      </c>
      <c r="C1743" s="75">
        <v>21</v>
      </c>
      <c r="D1743" s="76">
        <v>43362.239953703705</v>
      </c>
      <c r="E1743" s="77">
        <v>43344</v>
      </c>
      <c r="F1743" s="78">
        <v>0.2399537037037037</v>
      </c>
      <c r="G1743" s="75">
        <v>2</v>
      </c>
      <c r="H1743" s="75">
        <v>45</v>
      </c>
      <c r="I1743" s="75">
        <v>32</v>
      </c>
    </row>
    <row r="1744" spans="1:9">
      <c r="A1744" s="75">
        <v>20</v>
      </c>
      <c r="B1744" s="75">
        <v>1</v>
      </c>
      <c r="C1744" s="75">
        <v>21</v>
      </c>
      <c r="D1744" s="76">
        <v>43362.250381944446</v>
      </c>
      <c r="E1744" s="77">
        <v>43344</v>
      </c>
      <c r="F1744" s="78">
        <v>0.25038194444444445</v>
      </c>
      <c r="G1744" s="75">
        <v>2</v>
      </c>
      <c r="H1744" s="75">
        <v>0</v>
      </c>
      <c r="I1744" s="75">
        <v>33</v>
      </c>
    </row>
    <row r="1745" spans="1:9">
      <c r="A1745" s="75">
        <v>20</v>
      </c>
      <c r="B1745" s="75">
        <v>1</v>
      </c>
      <c r="C1745" s="75">
        <v>21</v>
      </c>
      <c r="D1745" s="76">
        <v>43362.260775462964</v>
      </c>
      <c r="E1745" s="77">
        <v>43344</v>
      </c>
      <c r="F1745" s="78">
        <v>0.260775462962963</v>
      </c>
      <c r="G1745" s="75">
        <v>2</v>
      </c>
      <c r="H1745" s="75">
        <v>15</v>
      </c>
      <c r="I1745" s="75">
        <v>31</v>
      </c>
    </row>
    <row r="1746" spans="1:9">
      <c r="A1746" s="75">
        <v>20</v>
      </c>
      <c r="B1746" s="75">
        <v>1</v>
      </c>
      <c r="C1746" s="75">
        <v>21</v>
      </c>
      <c r="D1746" s="76">
        <v>43362.273888888885</v>
      </c>
      <c r="E1746" s="77">
        <v>43344</v>
      </c>
      <c r="F1746" s="78">
        <v>0.2738888888888889</v>
      </c>
      <c r="G1746" s="75">
        <v>2</v>
      </c>
      <c r="H1746" s="75">
        <v>34</v>
      </c>
      <c r="I1746" s="75">
        <v>24</v>
      </c>
    </row>
    <row r="1747" spans="1:9">
      <c r="A1747" s="75">
        <v>20</v>
      </c>
      <c r="B1747" s="75">
        <v>1</v>
      </c>
      <c r="C1747" s="75">
        <v>21</v>
      </c>
      <c r="D1747" s="76">
        <v>43362.281608796293</v>
      </c>
      <c r="E1747" s="77">
        <v>43344</v>
      </c>
      <c r="F1747" s="78">
        <v>0.28160879629629632</v>
      </c>
      <c r="G1747" s="75">
        <v>2</v>
      </c>
      <c r="H1747" s="75">
        <v>45</v>
      </c>
      <c r="I1747" s="75">
        <v>31</v>
      </c>
    </row>
    <row r="1748" spans="1:9">
      <c r="A1748" s="75">
        <v>28</v>
      </c>
      <c r="B1748" s="75">
        <v>1</v>
      </c>
      <c r="C1748" s="75">
        <v>25</v>
      </c>
      <c r="D1748" s="76">
        <v>43362.292037037034</v>
      </c>
      <c r="E1748" s="77">
        <v>43344</v>
      </c>
      <c r="F1748" s="78">
        <v>0.29203703703703704</v>
      </c>
      <c r="G1748" s="75">
        <v>2</v>
      </c>
      <c r="H1748" s="75">
        <v>0</v>
      </c>
      <c r="I1748" s="75">
        <v>32</v>
      </c>
    </row>
    <row r="1749" spans="1:9">
      <c r="A1749" s="75">
        <v>47</v>
      </c>
      <c r="B1749" s="75">
        <v>1</v>
      </c>
      <c r="C1749" s="75">
        <v>39</v>
      </c>
      <c r="D1749" s="76">
        <v>43362.302465277775</v>
      </c>
      <c r="E1749" s="77">
        <v>43344</v>
      </c>
      <c r="F1749" s="78">
        <v>0.30246527777777776</v>
      </c>
      <c r="G1749" s="75">
        <v>2</v>
      </c>
      <c r="H1749" s="75">
        <v>15</v>
      </c>
      <c r="I1749" s="75">
        <v>33</v>
      </c>
    </row>
    <row r="1750" spans="1:9">
      <c r="A1750" s="75">
        <v>37</v>
      </c>
      <c r="B1750" s="75">
        <v>1</v>
      </c>
      <c r="C1750" s="75">
        <v>38</v>
      </c>
      <c r="D1750" s="76">
        <v>43362.312881944446</v>
      </c>
      <c r="E1750" s="77">
        <v>43344</v>
      </c>
      <c r="F1750" s="78">
        <v>0.31288194444444445</v>
      </c>
      <c r="G1750" s="75">
        <v>2</v>
      </c>
      <c r="H1750" s="75">
        <v>30</v>
      </c>
      <c r="I1750" s="75">
        <v>33</v>
      </c>
    </row>
    <row r="1751" spans="1:9">
      <c r="A1751" s="75">
        <v>68</v>
      </c>
      <c r="B1751" s="75">
        <v>1</v>
      </c>
      <c r="C1751" s="75">
        <v>59</v>
      </c>
      <c r="D1751" s="76">
        <v>43362.323298611111</v>
      </c>
      <c r="E1751" s="77">
        <v>43344</v>
      </c>
      <c r="F1751" s="78">
        <v>0.32329861111111108</v>
      </c>
      <c r="G1751" s="75">
        <v>2</v>
      </c>
      <c r="H1751" s="75">
        <v>45</v>
      </c>
      <c r="I1751" s="75">
        <v>33</v>
      </c>
    </row>
    <row r="1752" spans="1:9">
      <c r="A1752" s="75">
        <v>53</v>
      </c>
      <c r="B1752" s="75">
        <v>1</v>
      </c>
      <c r="C1752" s="75">
        <v>54</v>
      </c>
      <c r="D1752" s="76">
        <v>43362.333726851852</v>
      </c>
      <c r="E1752" s="77">
        <v>43344</v>
      </c>
      <c r="F1752" s="78">
        <v>0.33372685185185186</v>
      </c>
      <c r="G1752" s="75">
        <v>2</v>
      </c>
      <c r="H1752" s="75">
        <v>0</v>
      </c>
      <c r="I1752" s="75">
        <v>34</v>
      </c>
    </row>
    <row r="1753" spans="1:9">
      <c r="A1753" s="75">
        <v>72</v>
      </c>
      <c r="B1753" s="75">
        <v>1</v>
      </c>
      <c r="C1753" s="75">
        <v>73</v>
      </c>
      <c r="D1753" s="76">
        <v>43362.344131944446</v>
      </c>
      <c r="E1753" s="77">
        <v>43344</v>
      </c>
      <c r="F1753" s="78">
        <v>0.34413194444444445</v>
      </c>
      <c r="G1753" s="75">
        <v>2</v>
      </c>
      <c r="H1753" s="75">
        <v>15</v>
      </c>
      <c r="I1753" s="75">
        <v>33</v>
      </c>
    </row>
    <row r="1754" spans="1:9">
      <c r="A1754" s="75">
        <v>147</v>
      </c>
      <c r="B1754" s="75">
        <v>2</v>
      </c>
      <c r="C1754" s="75">
        <v>149</v>
      </c>
      <c r="D1754" s="76">
        <v>43362.354560185187</v>
      </c>
      <c r="E1754" s="77">
        <v>43344</v>
      </c>
      <c r="F1754" s="78">
        <v>0.35456018518518517</v>
      </c>
      <c r="G1754" s="75">
        <v>2</v>
      </c>
      <c r="H1754" s="75">
        <v>30</v>
      </c>
      <c r="I1754" s="75">
        <v>34</v>
      </c>
    </row>
    <row r="1755" spans="1:9">
      <c r="A1755" s="75">
        <v>236</v>
      </c>
      <c r="B1755" s="75">
        <v>1</v>
      </c>
      <c r="C1755" s="75">
        <v>236</v>
      </c>
      <c r="D1755" s="76">
        <v>43362.364965277775</v>
      </c>
      <c r="E1755" s="77">
        <v>43344</v>
      </c>
      <c r="F1755" s="78">
        <v>0.36496527777777782</v>
      </c>
      <c r="G1755" s="75">
        <v>2</v>
      </c>
      <c r="H1755" s="75">
        <v>45</v>
      </c>
      <c r="I1755" s="75">
        <v>33</v>
      </c>
    </row>
    <row r="1756" spans="1:9">
      <c r="A1756" s="75">
        <v>199</v>
      </c>
      <c r="B1756" s="75">
        <v>2</v>
      </c>
      <c r="C1756" s="75">
        <v>201</v>
      </c>
      <c r="D1756" s="76">
        <v>43362.375381944446</v>
      </c>
      <c r="E1756" s="77">
        <v>43344</v>
      </c>
      <c r="F1756" s="78">
        <v>0.37538194444444445</v>
      </c>
      <c r="G1756" s="75">
        <v>2</v>
      </c>
      <c r="H1756" s="75">
        <v>0</v>
      </c>
      <c r="I1756" s="75">
        <v>33</v>
      </c>
    </row>
    <row r="1757" spans="1:9">
      <c r="A1757" s="75">
        <v>326</v>
      </c>
      <c r="B1757" s="75">
        <v>4</v>
      </c>
      <c r="C1757" s="75">
        <v>330</v>
      </c>
      <c r="D1757" s="76">
        <v>43362.385798611111</v>
      </c>
      <c r="E1757" s="77">
        <v>43344</v>
      </c>
      <c r="F1757" s="78">
        <v>0.38579861111111113</v>
      </c>
      <c r="G1757" s="75">
        <v>2</v>
      </c>
      <c r="H1757" s="75">
        <v>15</v>
      </c>
      <c r="I1757" s="75">
        <v>33</v>
      </c>
    </row>
    <row r="1758" spans="1:9">
      <c r="A1758" s="75">
        <v>523</v>
      </c>
      <c r="B1758" s="75">
        <v>5</v>
      </c>
      <c r="C1758" s="75">
        <v>528</v>
      </c>
      <c r="D1758" s="76">
        <v>43362.396215277775</v>
      </c>
      <c r="E1758" s="77">
        <v>43344</v>
      </c>
      <c r="F1758" s="78">
        <v>0.39621527777777782</v>
      </c>
      <c r="G1758" s="75">
        <v>2</v>
      </c>
      <c r="H1758" s="75">
        <v>30</v>
      </c>
      <c r="I1758" s="75">
        <v>33</v>
      </c>
    </row>
    <row r="1759" spans="1:9">
      <c r="A1759" s="75">
        <v>954</v>
      </c>
      <c r="B1759" s="75">
        <v>8</v>
      </c>
      <c r="C1759" s="75">
        <v>962</v>
      </c>
      <c r="D1759" s="76">
        <v>43362.406631944446</v>
      </c>
      <c r="E1759" s="77">
        <v>43344</v>
      </c>
      <c r="F1759" s="78">
        <v>0.40663194444444445</v>
      </c>
      <c r="G1759" s="75">
        <v>2</v>
      </c>
      <c r="H1759" s="75">
        <v>45</v>
      </c>
      <c r="I1759" s="75">
        <v>33</v>
      </c>
    </row>
    <row r="1760" spans="1:9">
      <c r="A1760" s="75">
        <v>785</v>
      </c>
      <c r="B1760" s="75">
        <v>9</v>
      </c>
      <c r="C1760" s="75">
        <v>794</v>
      </c>
      <c r="D1760" s="76">
        <v>43362.417048611111</v>
      </c>
      <c r="E1760" s="77">
        <v>43344</v>
      </c>
      <c r="F1760" s="78">
        <v>0.41704861111111113</v>
      </c>
      <c r="G1760" s="75">
        <v>2</v>
      </c>
      <c r="H1760" s="75">
        <v>0</v>
      </c>
      <c r="I1760" s="75">
        <v>33</v>
      </c>
    </row>
    <row r="1761" spans="1:9">
      <c r="A1761" s="75">
        <v>907</v>
      </c>
      <c r="B1761" s="75">
        <v>17</v>
      </c>
      <c r="C1761" s="75">
        <v>924</v>
      </c>
      <c r="D1761" s="76">
        <v>43362.437881944446</v>
      </c>
      <c r="E1761" s="77">
        <v>43344</v>
      </c>
      <c r="F1761" s="78">
        <v>0.43788194444444445</v>
      </c>
      <c r="G1761" s="75">
        <v>2</v>
      </c>
      <c r="H1761" s="75">
        <v>30</v>
      </c>
      <c r="I1761" s="75">
        <v>33</v>
      </c>
    </row>
    <row r="1762" spans="1:9">
      <c r="A1762" s="75">
        <v>1160</v>
      </c>
      <c r="B1762" s="75">
        <v>26</v>
      </c>
      <c r="C1762" s="75">
        <v>1186</v>
      </c>
      <c r="D1762" s="76">
        <v>43362.448298611111</v>
      </c>
      <c r="E1762" s="77">
        <v>43344</v>
      </c>
      <c r="F1762" s="78">
        <v>0.44829861111111113</v>
      </c>
      <c r="G1762" s="75">
        <v>2</v>
      </c>
      <c r="H1762" s="75">
        <v>45</v>
      </c>
      <c r="I1762" s="75">
        <v>33</v>
      </c>
    </row>
    <row r="1763" spans="1:9">
      <c r="A1763" s="75">
        <v>896</v>
      </c>
      <c r="B1763" s="75">
        <v>21</v>
      </c>
      <c r="C1763" s="75">
        <v>917</v>
      </c>
      <c r="D1763" s="76">
        <v>43362.458715277775</v>
      </c>
      <c r="E1763" s="77">
        <v>43344</v>
      </c>
      <c r="F1763" s="78">
        <v>0.45871527777777782</v>
      </c>
      <c r="G1763" s="75">
        <v>2</v>
      </c>
      <c r="H1763" s="75">
        <v>0</v>
      </c>
      <c r="I1763" s="75">
        <v>33</v>
      </c>
    </row>
    <row r="1764" spans="1:9">
      <c r="A1764" s="75">
        <v>790</v>
      </c>
      <c r="B1764" s="75">
        <v>16</v>
      </c>
      <c r="C1764" s="75">
        <v>806</v>
      </c>
      <c r="D1764" s="76">
        <v>43362.469131944446</v>
      </c>
      <c r="E1764" s="77">
        <v>43344</v>
      </c>
      <c r="F1764" s="78">
        <v>0.46913194444444445</v>
      </c>
      <c r="G1764" s="75">
        <v>2</v>
      </c>
      <c r="H1764" s="75">
        <v>15</v>
      </c>
      <c r="I1764" s="75">
        <v>33</v>
      </c>
    </row>
    <row r="1765" spans="1:9">
      <c r="A1765" s="75">
        <v>631</v>
      </c>
      <c r="B1765" s="75">
        <v>14</v>
      </c>
      <c r="C1765" s="75">
        <v>645</v>
      </c>
      <c r="D1765" s="76">
        <v>43362.479548611111</v>
      </c>
      <c r="E1765" s="77">
        <v>43344</v>
      </c>
      <c r="F1765" s="78">
        <v>0.47954861111111113</v>
      </c>
      <c r="G1765" s="75">
        <v>2</v>
      </c>
      <c r="H1765" s="75">
        <v>30</v>
      </c>
      <c r="I1765" s="75">
        <v>33</v>
      </c>
    </row>
    <row r="1766" spans="1:9">
      <c r="A1766" s="75">
        <v>594</v>
      </c>
      <c r="B1766" s="75">
        <v>11</v>
      </c>
      <c r="C1766" s="75">
        <v>605</v>
      </c>
      <c r="D1766" s="76">
        <v>43362.489965277775</v>
      </c>
      <c r="E1766" s="77">
        <v>43344</v>
      </c>
      <c r="F1766" s="78">
        <v>0.48996527777777782</v>
      </c>
      <c r="G1766" s="75">
        <v>2</v>
      </c>
      <c r="H1766" s="75">
        <v>45</v>
      </c>
      <c r="I1766" s="75">
        <v>33</v>
      </c>
    </row>
    <row r="1767" spans="1:9">
      <c r="A1767" s="75">
        <v>445</v>
      </c>
      <c r="B1767" s="75">
        <v>7</v>
      </c>
      <c r="C1767" s="75">
        <v>452</v>
      </c>
      <c r="D1767" s="76">
        <v>43362.500393518516</v>
      </c>
      <c r="E1767" s="77">
        <v>43344</v>
      </c>
      <c r="F1767" s="78">
        <v>0.50039351851851854</v>
      </c>
      <c r="G1767" s="75">
        <v>2</v>
      </c>
      <c r="H1767" s="75">
        <v>0</v>
      </c>
      <c r="I1767" s="75">
        <v>34</v>
      </c>
    </row>
    <row r="1768" spans="1:9">
      <c r="A1768" s="75">
        <v>374</v>
      </c>
      <c r="B1768" s="75">
        <v>7</v>
      </c>
      <c r="C1768" s="75">
        <v>381</v>
      </c>
      <c r="D1768" s="76">
        <v>43362.510798611111</v>
      </c>
      <c r="E1768" s="77">
        <v>43344</v>
      </c>
      <c r="F1768" s="78">
        <v>0.51079861111111113</v>
      </c>
      <c r="G1768" s="75">
        <v>2</v>
      </c>
      <c r="H1768" s="75">
        <v>15</v>
      </c>
      <c r="I1768" s="75">
        <v>33</v>
      </c>
    </row>
    <row r="1769" spans="1:9">
      <c r="A1769" s="75">
        <v>362</v>
      </c>
      <c r="B1769" s="75">
        <v>5</v>
      </c>
      <c r="C1769" s="75">
        <v>367</v>
      </c>
      <c r="D1769" s="76">
        <v>43362.521215277775</v>
      </c>
      <c r="E1769" s="77">
        <v>43344</v>
      </c>
      <c r="F1769" s="78">
        <v>0.52121527777777776</v>
      </c>
      <c r="G1769" s="75">
        <v>2</v>
      </c>
      <c r="H1769" s="75">
        <v>30</v>
      </c>
      <c r="I1769" s="75">
        <v>33</v>
      </c>
    </row>
    <row r="1770" spans="1:9">
      <c r="A1770" s="75">
        <v>432</v>
      </c>
      <c r="B1770" s="75">
        <v>6</v>
      </c>
      <c r="C1770" s="75">
        <v>438</v>
      </c>
      <c r="D1770" s="76">
        <v>43362.531631944446</v>
      </c>
      <c r="E1770" s="77">
        <v>43344</v>
      </c>
      <c r="F1770" s="78">
        <v>0.5316319444444445</v>
      </c>
      <c r="G1770" s="75">
        <v>2</v>
      </c>
      <c r="H1770" s="75">
        <v>45</v>
      </c>
      <c r="I1770" s="75">
        <v>33</v>
      </c>
    </row>
    <row r="1771" spans="1:9">
      <c r="A1771" s="75">
        <v>351</v>
      </c>
      <c r="B1771" s="75">
        <v>6</v>
      </c>
      <c r="C1771" s="75">
        <v>357</v>
      </c>
      <c r="D1771" s="76">
        <v>43362.542048611111</v>
      </c>
      <c r="E1771" s="77">
        <v>43344</v>
      </c>
      <c r="F1771" s="78">
        <v>0.54204861111111113</v>
      </c>
      <c r="G1771" s="75">
        <v>2</v>
      </c>
      <c r="H1771" s="75">
        <v>0</v>
      </c>
      <c r="I1771" s="75">
        <v>33</v>
      </c>
    </row>
    <row r="1772" spans="1:9">
      <c r="A1772" s="75">
        <v>361</v>
      </c>
      <c r="B1772" s="75">
        <v>3</v>
      </c>
      <c r="C1772" s="75">
        <v>364</v>
      </c>
      <c r="D1772" s="76">
        <v>43362.552465277775</v>
      </c>
      <c r="E1772" s="77">
        <v>43344</v>
      </c>
      <c r="F1772" s="78">
        <v>0.55246527777777776</v>
      </c>
      <c r="G1772" s="75">
        <v>2</v>
      </c>
      <c r="H1772" s="75">
        <v>15</v>
      </c>
      <c r="I1772" s="75">
        <v>33</v>
      </c>
    </row>
    <row r="1773" spans="1:9">
      <c r="A1773" s="75">
        <v>351</v>
      </c>
      <c r="B1773" s="75">
        <v>4</v>
      </c>
      <c r="C1773" s="75">
        <v>355</v>
      </c>
      <c r="D1773" s="76">
        <v>43362.562881944446</v>
      </c>
      <c r="E1773" s="77">
        <v>43344</v>
      </c>
      <c r="F1773" s="78">
        <v>0.5628819444444445</v>
      </c>
      <c r="G1773" s="75">
        <v>2</v>
      </c>
      <c r="H1773" s="75">
        <v>30</v>
      </c>
      <c r="I1773" s="75">
        <v>33</v>
      </c>
    </row>
    <row r="1774" spans="1:9">
      <c r="A1774" s="75">
        <v>446</v>
      </c>
      <c r="B1774" s="75">
        <v>3</v>
      </c>
      <c r="C1774" s="75">
        <v>449</v>
      </c>
      <c r="D1774" s="76">
        <v>43362.573287037034</v>
      </c>
      <c r="E1774" s="77">
        <v>43344</v>
      </c>
      <c r="F1774" s="78">
        <v>0.57328703703703698</v>
      </c>
      <c r="G1774" s="75">
        <v>2</v>
      </c>
      <c r="H1774" s="75">
        <v>45</v>
      </c>
      <c r="I1774" s="75">
        <v>32</v>
      </c>
    </row>
    <row r="1775" spans="1:9">
      <c r="A1775" s="75">
        <v>394</v>
      </c>
      <c r="B1775" s="75">
        <v>2</v>
      </c>
      <c r="C1775" s="75">
        <v>396</v>
      </c>
      <c r="D1775" s="76">
        <v>43362.583715277775</v>
      </c>
      <c r="E1775" s="77">
        <v>43344</v>
      </c>
      <c r="F1775" s="78">
        <v>0.58371527777777776</v>
      </c>
      <c r="G1775" s="75">
        <v>2</v>
      </c>
      <c r="H1775" s="75">
        <v>0</v>
      </c>
      <c r="I1775" s="75">
        <v>33</v>
      </c>
    </row>
    <row r="1776" spans="1:9">
      <c r="A1776" s="75">
        <v>447</v>
      </c>
      <c r="B1776" s="75">
        <v>5</v>
      </c>
      <c r="C1776" s="75">
        <v>452</v>
      </c>
      <c r="D1776" s="76">
        <v>43362.594236111108</v>
      </c>
      <c r="E1776" s="77">
        <v>43344</v>
      </c>
      <c r="F1776" s="78">
        <v>0.59423611111111108</v>
      </c>
      <c r="G1776" s="75">
        <v>2</v>
      </c>
      <c r="H1776" s="75">
        <v>15</v>
      </c>
      <c r="I1776" s="75">
        <v>42</v>
      </c>
    </row>
    <row r="1777" spans="1:9">
      <c r="A1777" s="75">
        <v>442</v>
      </c>
      <c r="B1777" s="75">
        <v>3</v>
      </c>
      <c r="C1777" s="75">
        <v>445</v>
      </c>
      <c r="D1777" s="76">
        <v>43362.604560185187</v>
      </c>
      <c r="E1777" s="77">
        <v>43344</v>
      </c>
      <c r="F1777" s="78">
        <v>0.60456018518518517</v>
      </c>
      <c r="G1777" s="75">
        <v>2</v>
      </c>
      <c r="H1777" s="75">
        <v>30</v>
      </c>
      <c r="I1777" s="75">
        <v>34</v>
      </c>
    </row>
    <row r="1778" spans="1:9">
      <c r="A1778" s="75">
        <v>493</v>
      </c>
      <c r="B1778" s="75">
        <v>4</v>
      </c>
      <c r="C1778" s="75">
        <v>497</v>
      </c>
      <c r="D1778" s="76">
        <v>43362.615057870367</v>
      </c>
      <c r="E1778" s="77">
        <v>43344</v>
      </c>
      <c r="F1778" s="78">
        <v>0.6150578703703703</v>
      </c>
      <c r="G1778" s="75">
        <v>2</v>
      </c>
      <c r="H1778" s="75">
        <v>45</v>
      </c>
      <c r="I1778" s="75">
        <v>41</v>
      </c>
    </row>
    <row r="1779" spans="1:9">
      <c r="A1779" s="75">
        <v>450</v>
      </c>
      <c r="B1779" s="75">
        <v>5</v>
      </c>
      <c r="C1779" s="75">
        <v>455</v>
      </c>
      <c r="D1779" s="76">
        <v>43362.625416666669</v>
      </c>
      <c r="E1779" s="77">
        <v>43344</v>
      </c>
      <c r="F1779" s="78">
        <v>0.62541666666666662</v>
      </c>
      <c r="G1779" s="75">
        <v>2</v>
      </c>
      <c r="H1779" s="75">
        <v>0</v>
      </c>
      <c r="I1779" s="75">
        <v>36</v>
      </c>
    </row>
    <row r="1780" spans="1:9">
      <c r="A1780" s="75">
        <v>520</v>
      </c>
      <c r="B1780" s="75">
        <v>7</v>
      </c>
      <c r="C1780" s="75">
        <v>527</v>
      </c>
      <c r="D1780" s="76">
        <v>43362.635798611111</v>
      </c>
      <c r="E1780" s="77">
        <v>43344</v>
      </c>
      <c r="F1780" s="78">
        <v>0.63579861111111113</v>
      </c>
      <c r="G1780" s="75">
        <v>2</v>
      </c>
      <c r="H1780" s="75">
        <v>15</v>
      </c>
      <c r="I1780" s="75">
        <v>33</v>
      </c>
    </row>
    <row r="1781" spans="1:9">
      <c r="A1781" s="75">
        <v>506</v>
      </c>
      <c r="B1781" s="75">
        <v>5</v>
      </c>
      <c r="C1781" s="75">
        <v>511</v>
      </c>
      <c r="D1781" s="76">
        <v>43362.646215277775</v>
      </c>
      <c r="E1781" s="77">
        <v>43344</v>
      </c>
      <c r="F1781" s="78">
        <v>0.64621527777777776</v>
      </c>
      <c r="G1781" s="75">
        <v>2</v>
      </c>
      <c r="H1781" s="75">
        <v>30</v>
      </c>
      <c r="I1781" s="75">
        <v>33</v>
      </c>
    </row>
    <row r="1782" spans="1:9">
      <c r="A1782" s="75">
        <v>580</v>
      </c>
      <c r="B1782" s="75">
        <v>2</v>
      </c>
      <c r="C1782" s="75">
        <v>582</v>
      </c>
      <c r="D1782" s="76">
        <v>43362.65662037037</v>
      </c>
      <c r="E1782" s="77">
        <v>43344</v>
      </c>
      <c r="F1782" s="78">
        <v>0.65662037037037035</v>
      </c>
      <c r="G1782" s="75">
        <v>2</v>
      </c>
      <c r="H1782" s="75">
        <v>45</v>
      </c>
      <c r="I1782" s="75">
        <v>32</v>
      </c>
    </row>
    <row r="1783" spans="1:9">
      <c r="A1783" s="75">
        <v>576</v>
      </c>
      <c r="B1783" s="75">
        <v>4</v>
      </c>
      <c r="C1783" s="75">
        <v>580</v>
      </c>
      <c r="D1783" s="76">
        <v>43362.66710648148</v>
      </c>
      <c r="E1783" s="77">
        <v>43344</v>
      </c>
      <c r="F1783" s="78">
        <v>0.66710648148148144</v>
      </c>
      <c r="G1783" s="75">
        <v>2</v>
      </c>
      <c r="H1783" s="75">
        <v>0</v>
      </c>
      <c r="I1783" s="75">
        <v>38</v>
      </c>
    </row>
    <row r="1784" spans="1:9">
      <c r="A1784" s="75">
        <v>785</v>
      </c>
      <c r="B1784" s="75">
        <v>7</v>
      </c>
      <c r="C1784" s="75">
        <v>792</v>
      </c>
      <c r="D1784" s="76">
        <v>43362.677465277775</v>
      </c>
      <c r="E1784" s="77">
        <v>43344</v>
      </c>
      <c r="F1784" s="78">
        <v>0.67746527777777776</v>
      </c>
      <c r="G1784" s="75">
        <v>2</v>
      </c>
      <c r="H1784" s="75">
        <v>15</v>
      </c>
      <c r="I1784" s="75">
        <v>33</v>
      </c>
    </row>
    <row r="1785" spans="1:9">
      <c r="A1785" s="75">
        <v>671</v>
      </c>
      <c r="B1785" s="75">
        <v>15</v>
      </c>
      <c r="C1785" s="75">
        <v>686</v>
      </c>
      <c r="D1785" s="76">
        <v>43362.687881944446</v>
      </c>
      <c r="E1785" s="77">
        <v>43344</v>
      </c>
      <c r="F1785" s="78">
        <v>0.68788194444444439</v>
      </c>
      <c r="G1785" s="75">
        <v>2</v>
      </c>
      <c r="H1785" s="75">
        <v>30</v>
      </c>
      <c r="I1785" s="75">
        <v>33</v>
      </c>
    </row>
    <row r="1786" spans="1:9">
      <c r="A1786" s="75">
        <v>681</v>
      </c>
      <c r="B1786" s="75">
        <v>12</v>
      </c>
      <c r="C1786" s="75">
        <v>693</v>
      </c>
      <c r="D1786" s="76">
        <v>43362.698287037034</v>
      </c>
      <c r="E1786" s="77">
        <v>43344</v>
      </c>
      <c r="F1786" s="78">
        <v>0.69828703703703709</v>
      </c>
      <c r="G1786" s="75">
        <v>2</v>
      </c>
      <c r="H1786" s="75">
        <v>45</v>
      </c>
      <c r="I1786" s="75">
        <v>32</v>
      </c>
    </row>
    <row r="1787" spans="1:9">
      <c r="A1787" s="75">
        <v>526</v>
      </c>
      <c r="B1787" s="75">
        <v>8</v>
      </c>
      <c r="C1787" s="75">
        <v>534</v>
      </c>
      <c r="D1787" s="76">
        <v>43362.708715277775</v>
      </c>
      <c r="E1787" s="77">
        <v>43344</v>
      </c>
      <c r="F1787" s="78">
        <v>0.70871527777777776</v>
      </c>
      <c r="G1787" s="75">
        <v>2</v>
      </c>
      <c r="H1787" s="75">
        <v>0</v>
      </c>
      <c r="I1787" s="75">
        <v>33</v>
      </c>
    </row>
    <row r="1788" spans="1:9">
      <c r="A1788" s="75">
        <v>676</v>
      </c>
      <c r="B1788" s="75">
        <v>14</v>
      </c>
      <c r="C1788" s="75">
        <v>690</v>
      </c>
      <c r="D1788" s="76">
        <v>43362.719131944446</v>
      </c>
      <c r="E1788" s="77">
        <v>43344</v>
      </c>
      <c r="F1788" s="78">
        <v>0.71913194444444439</v>
      </c>
      <c r="G1788" s="75">
        <v>2</v>
      </c>
      <c r="H1788" s="75">
        <v>15</v>
      </c>
      <c r="I1788" s="75">
        <v>33</v>
      </c>
    </row>
    <row r="1789" spans="1:9">
      <c r="A1789" s="75">
        <v>525</v>
      </c>
      <c r="B1789" s="75">
        <v>8</v>
      </c>
      <c r="C1789" s="75">
        <v>533</v>
      </c>
      <c r="D1789" s="76">
        <v>43362.729537037034</v>
      </c>
      <c r="E1789" s="77">
        <v>43344</v>
      </c>
      <c r="F1789" s="78">
        <v>0.72953703703703709</v>
      </c>
      <c r="G1789" s="75">
        <v>2</v>
      </c>
      <c r="H1789" s="75">
        <v>30</v>
      </c>
      <c r="I1789" s="75">
        <v>32</v>
      </c>
    </row>
    <row r="1790" spans="1:9">
      <c r="A1790" s="75">
        <v>643</v>
      </c>
      <c r="B1790" s="75">
        <v>5</v>
      </c>
      <c r="C1790" s="75">
        <v>648</v>
      </c>
      <c r="D1790" s="76">
        <v>43362.739965277775</v>
      </c>
      <c r="E1790" s="77">
        <v>43344</v>
      </c>
      <c r="F1790" s="78">
        <v>0.73996527777777776</v>
      </c>
      <c r="G1790" s="75">
        <v>2</v>
      </c>
      <c r="H1790" s="75">
        <v>45</v>
      </c>
      <c r="I1790" s="75">
        <v>33</v>
      </c>
    </row>
    <row r="1791" spans="1:9">
      <c r="A1791" s="75">
        <v>546</v>
      </c>
      <c r="B1791" s="75">
        <v>7</v>
      </c>
      <c r="C1791" s="75">
        <v>553</v>
      </c>
      <c r="D1791" s="76">
        <v>43362.750381944446</v>
      </c>
      <c r="E1791" s="77">
        <v>43344</v>
      </c>
      <c r="F1791" s="78">
        <v>0.75038194444444439</v>
      </c>
      <c r="G1791" s="75">
        <v>2</v>
      </c>
      <c r="H1791" s="75">
        <v>0</v>
      </c>
      <c r="I1791" s="75">
        <v>33</v>
      </c>
    </row>
    <row r="1792" spans="1:9">
      <c r="A1792" s="75">
        <v>614</v>
      </c>
      <c r="B1792" s="75">
        <v>8</v>
      </c>
      <c r="C1792" s="75">
        <v>622</v>
      </c>
      <c r="D1792" s="76">
        <v>43362.760787037034</v>
      </c>
      <c r="E1792" s="77">
        <v>43344</v>
      </c>
      <c r="F1792" s="78">
        <v>0.76078703703703709</v>
      </c>
      <c r="G1792" s="75">
        <v>2</v>
      </c>
      <c r="H1792" s="75">
        <v>15</v>
      </c>
      <c r="I1792" s="75">
        <v>32</v>
      </c>
    </row>
    <row r="1793" spans="1:9">
      <c r="A1793" s="75">
        <v>559</v>
      </c>
      <c r="B1793" s="75">
        <v>7</v>
      </c>
      <c r="C1793" s="75">
        <v>566</v>
      </c>
      <c r="D1793" s="76">
        <v>43362.771203703705</v>
      </c>
      <c r="E1793" s="77">
        <v>43344</v>
      </c>
      <c r="F1793" s="78">
        <v>0.77120370370370372</v>
      </c>
      <c r="G1793" s="75">
        <v>2</v>
      </c>
      <c r="H1793" s="75">
        <v>30</v>
      </c>
      <c r="I1793" s="75">
        <v>32</v>
      </c>
    </row>
    <row r="1794" spans="1:9">
      <c r="A1794" s="75">
        <v>652</v>
      </c>
      <c r="B1794" s="75">
        <v>8</v>
      </c>
      <c r="C1794" s="75">
        <v>660</v>
      </c>
      <c r="D1794" s="76">
        <v>43362.78162037037</v>
      </c>
      <c r="E1794" s="77">
        <v>43344</v>
      </c>
      <c r="F1794" s="78">
        <v>0.78162037037037047</v>
      </c>
      <c r="G1794" s="75">
        <v>2</v>
      </c>
      <c r="H1794" s="75">
        <v>45</v>
      </c>
      <c r="I1794" s="75">
        <v>32</v>
      </c>
    </row>
    <row r="1795" spans="1:9">
      <c r="A1795" s="75">
        <v>562</v>
      </c>
      <c r="B1795" s="75">
        <v>7</v>
      </c>
      <c r="C1795" s="75">
        <v>569</v>
      </c>
      <c r="D1795" s="76">
        <v>43362.792048611111</v>
      </c>
      <c r="E1795" s="77">
        <v>43344</v>
      </c>
      <c r="F1795" s="78">
        <v>0.79204861111111102</v>
      </c>
      <c r="G1795" s="75">
        <v>2</v>
      </c>
      <c r="H1795" s="75">
        <v>0</v>
      </c>
      <c r="I1795" s="75">
        <v>33</v>
      </c>
    </row>
    <row r="1796" spans="1:9">
      <c r="A1796" s="75">
        <v>732</v>
      </c>
      <c r="B1796" s="75">
        <v>9</v>
      </c>
      <c r="C1796" s="75">
        <v>741</v>
      </c>
      <c r="D1796" s="76">
        <v>43362.802453703705</v>
      </c>
      <c r="E1796" s="77">
        <v>43344</v>
      </c>
      <c r="F1796" s="78">
        <v>0.80245370370370372</v>
      </c>
      <c r="G1796" s="75">
        <v>2</v>
      </c>
      <c r="H1796" s="75">
        <v>15</v>
      </c>
      <c r="I1796" s="75">
        <v>32</v>
      </c>
    </row>
    <row r="1797" spans="1:9">
      <c r="A1797" s="75">
        <v>750</v>
      </c>
      <c r="B1797" s="75">
        <v>13</v>
      </c>
      <c r="C1797" s="75">
        <v>763</v>
      </c>
      <c r="D1797" s="76">
        <v>43362.812881944446</v>
      </c>
      <c r="E1797" s="77">
        <v>43344</v>
      </c>
      <c r="F1797" s="78">
        <v>0.81288194444444439</v>
      </c>
      <c r="G1797" s="75">
        <v>2</v>
      </c>
      <c r="H1797" s="75">
        <v>30</v>
      </c>
      <c r="I1797" s="75">
        <v>33</v>
      </c>
    </row>
    <row r="1798" spans="1:9">
      <c r="A1798" s="75">
        <v>867</v>
      </c>
      <c r="B1798" s="75">
        <v>11</v>
      </c>
      <c r="C1798" s="75">
        <v>878</v>
      </c>
      <c r="D1798" s="76">
        <v>43362.823287037034</v>
      </c>
      <c r="E1798" s="77">
        <v>43344</v>
      </c>
      <c r="F1798" s="78">
        <v>0.82328703703703709</v>
      </c>
      <c r="G1798" s="75">
        <v>2</v>
      </c>
      <c r="H1798" s="75">
        <v>45</v>
      </c>
      <c r="I1798" s="75">
        <v>32</v>
      </c>
    </row>
    <row r="1799" spans="1:9">
      <c r="A1799" s="75">
        <v>802</v>
      </c>
      <c r="B1799" s="75">
        <v>10</v>
      </c>
      <c r="C1799" s="75">
        <v>812</v>
      </c>
      <c r="D1799" s="76">
        <v>43362.833715277775</v>
      </c>
      <c r="E1799" s="77">
        <v>43344</v>
      </c>
      <c r="F1799" s="78">
        <v>0.83371527777777776</v>
      </c>
      <c r="G1799" s="75">
        <v>2</v>
      </c>
      <c r="H1799" s="75">
        <v>0</v>
      </c>
      <c r="I1799" s="75">
        <v>33</v>
      </c>
    </row>
    <row r="1800" spans="1:9">
      <c r="A1800" s="75">
        <v>1115</v>
      </c>
      <c r="B1800" s="75">
        <v>12</v>
      </c>
      <c r="C1800" s="75">
        <v>1127</v>
      </c>
      <c r="D1800" s="76">
        <v>43362.844131944446</v>
      </c>
      <c r="E1800" s="77">
        <v>43344</v>
      </c>
      <c r="F1800" s="78">
        <v>0.84413194444444439</v>
      </c>
      <c r="G1800" s="75">
        <v>2</v>
      </c>
      <c r="H1800" s="75">
        <v>15</v>
      </c>
      <c r="I1800" s="75">
        <v>33</v>
      </c>
    </row>
    <row r="1801" spans="1:9">
      <c r="A1801" s="75">
        <v>1077</v>
      </c>
      <c r="B1801" s="75">
        <v>15</v>
      </c>
      <c r="C1801" s="75">
        <v>1092</v>
      </c>
      <c r="D1801" s="76">
        <v>43362.854537037034</v>
      </c>
      <c r="E1801" s="77">
        <v>43344</v>
      </c>
      <c r="F1801" s="78">
        <v>0.85453703703703709</v>
      </c>
      <c r="G1801" s="75">
        <v>2</v>
      </c>
      <c r="H1801" s="75">
        <v>30</v>
      </c>
      <c r="I1801" s="75">
        <v>32</v>
      </c>
    </row>
    <row r="1802" spans="1:9">
      <c r="A1802" s="75">
        <v>1123</v>
      </c>
      <c r="B1802" s="75">
        <v>12</v>
      </c>
      <c r="C1802" s="75">
        <v>1135</v>
      </c>
      <c r="D1802" s="76">
        <v>43362.864953703705</v>
      </c>
      <c r="E1802" s="77">
        <v>43344</v>
      </c>
      <c r="F1802" s="78">
        <v>0.86495370370370372</v>
      </c>
      <c r="G1802" s="75">
        <v>2</v>
      </c>
      <c r="H1802" s="75">
        <v>45</v>
      </c>
      <c r="I1802" s="75">
        <v>32</v>
      </c>
    </row>
    <row r="1803" spans="1:9">
      <c r="A1803" s="75">
        <v>1079</v>
      </c>
      <c r="B1803" s="75">
        <v>13</v>
      </c>
      <c r="C1803" s="75">
        <v>1092</v>
      </c>
      <c r="D1803" s="76">
        <v>43362.87537037037</v>
      </c>
      <c r="E1803" s="77">
        <v>43344</v>
      </c>
      <c r="F1803" s="78">
        <v>0.87537037037037047</v>
      </c>
      <c r="G1803" s="75">
        <v>2</v>
      </c>
      <c r="H1803" s="75">
        <v>0</v>
      </c>
      <c r="I1803" s="75">
        <v>32</v>
      </c>
    </row>
    <row r="1804" spans="1:9">
      <c r="A1804" s="75">
        <v>1070</v>
      </c>
      <c r="B1804" s="75">
        <v>10</v>
      </c>
      <c r="C1804" s="75">
        <v>1080</v>
      </c>
      <c r="D1804" s="76">
        <v>43362.885787037034</v>
      </c>
      <c r="E1804" s="77">
        <v>43344</v>
      </c>
      <c r="F1804" s="78">
        <v>0.88578703703703709</v>
      </c>
      <c r="G1804" s="75">
        <v>2</v>
      </c>
      <c r="H1804" s="75">
        <v>15</v>
      </c>
      <c r="I1804" s="75">
        <v>32</v>
      </c>
    </row>
    <row r="1805" spans="1:9">
      <c r="A1805" s="75">
        <v>988</v>
      </c>
      <c r="B1805" s="75">
        <v>10</v>
      </c>
      <c r="C1805" s="75">
        <v>998</v>
      </c>
      <c r="D1805" s="76">
        <v>43362.896215277775</v>
      </c>
      <c r="E1805" s="77">
        <v>43344</v>
      </c>
      <c r="F1805" s="78">
        <v>0.89621527777777776</v>
      </c>
      <c r="G1805" s="75">
        <v>2</v>
      </c>
      <c r="H1805" s="75">
        <v>30</v>
      </c>
      <c r="I1805" s="75">
        <v>33</v>
      </c>
    </row>
    <row r="1806" spans="1:9">
      <c r="A1806" s="75">
        <v>943</v>
      </c>
      <c r="B1806" s="75">
        <v>8</v>
      </c>
      <c r="C1806" s="75">
        <v>951</v>
      </c>
      <c r="D1806" s="76">
        <v>43362.90662037037</v>
      </c>
      <c r="E1806" s="77">
        <v>43344</v>
      </c>
      <c r="F1806" s="78">
        <v>0.90662037037037047</v>
      </c>
      <c r="G1806" s="75">
        <v>2</v>
      </c>
      <c r="H1806" s="75">
        <v>45</v>
      </c>
      <c r="I1806" s="75">
        <v>32</v>
      </c>
    </row>
    <row r="1807" spans="1:9">
      <c r="A1807" s="75">
        <v>849</v>
      </c>
      <c r="B1807" s="75">
        <v>10</v>
      </c>
      <c r="C1807" s="75">
        <v>859</v>
      </c>
      <c r="D1807" s="76">
        <v>43362.917048611111</v>
      </c>
      <c r="E1807" s="77">
        <v>43344</v>
      </c>
      <c r="F1807" s="78">
        <v>0.91704861111111102</v>
      </c>
      <c r="G1807" s="75">
        <v>2</v>
      </c>
      <c r="H1807" s="75">
        <v>0</v>
      </c>
      <c r="I1807" s="75">
        <v>33</v>
      </c>
    </row>
    <row r="1808" spans="1:9">
      <c r="A1808" s="75">
        <v>878</v>
      </c>
      <c r="B1808" s="75">
        <v>9</v>
      </c>
      <c r="C1808" s="75">
        <v>887</v>
      </c>
      <c r="D1808" s="76">
        <v>43362.927453703705</v>
      </c>
      <c r="E1808" s="77">
        <v>43344</v>
      </c>
      <c r="F1808" s="78">
        <v>0.92745370370370372</v>
      </c>
      <c r="G1808" s="75">
        <v>2</v>
      </c>
      <c r="H1808" s="75">
        <v>15</v>
      </c>
      <c r="I1808" s="75">
        <v>32</v>
      </c>
    </row>
    <row r="1809" spans="1:9">
      <c r="A1809" s="75">
        <v>824</v>
      </c>
      <c r="B1809" s="75">
        <v>5</v>
      </c>
      <c r="C1809" s="75">
        <v>829</v>
      </c>
      <c r="D1809" s="76">
        <v>43362.93787037037</v>
      </c>
      <c r="E1809" s="77">
        <v>43344</v>
      </c>
      <c r="F1809" s="78">
        <v>0.93787037037037047</v>
      </c>
      <c r="G1809" s="75">
        <v>2</v>
      </c>
      <c r="H1809" s="75">
        <v>30</v>
      </c>
      <c r="I1809" s="75">
        <v>32</v>
      </c>
    </row>
    <row r="1810" spans="1:9">
      <c r="A1810" s="75">
        <v>771</v>
      </c>
      <c r="B1810" s="75">
        <v>4</v>
      </c>
      <c r="C1810" s="75">
        <v>775</v>
      </c>
      <c r="D1810" s="76">
        <v>43362.948287037034</v>
      </c>
      <c r="E1810" s="77">
        <v>43344</v>
      </c>
      <c r="F1810" s="78">
        <v>0.94828703703703709</v>
      </c>
      <c r="G1810" s="75">
        <v>2</v>
      </c>
      <c r="H1810" s="75">
        <v>45</v>
      </c>
      <c r="I1810" s="75">
        <v>32</v>
      </c>
    </row>
    <row r="1811" spans="1:9">
      <c r="A1811" s="75">
        <v>679</v>
      </c>
      <c r="B1811" s="75">
        <v>7</v>
      </c>
      <c r="C1811" s="75">
        <v>680</v>
      </c>
      <c r="D1811" s="76">
        <v>43362.958703703705</v>
      </c>
      <c r="E1811" s="77">
        <v>43344</v>
      </c>
      <c r="F1811" s="78">
        <v>0.95870370370370372</v>
      </c>
      <c r="G1811" s="75">
        <v>2</v>
      </c>
      <c r="H1811" s="75">
        <v>0</v>
      </c>
      <c r="I1811" s="75">
        <v>32</v>
      </c>
    </row>
    <row r="1812" spans="1:9">
      <c r="A1812" s="75">
        <v>656</v>
      </c>
      <c r="B1812" s="75">
        <v>3</v>
      </c>
      <c r="C1812" s="75">
        <v>659</v>
      </c>
      <c r="D1812" s="76">
        <v>43362.96912037037</v>
      </c>
      <c r="E1812" s="77">
        <v>43344</v>
      </c>
      <c r="F1812" s="78">
        <v>0.96912037037037047</v>
      </c>
      <c r="G1812" s="75">
        <v>2</v>
      </c>
      <c r="H1812" s="75">
        <v>15</v>
      </c>
      <c r="I1812" s="75">
        <v>32</v>
      </c>
    </row>
    <row r="1813" spans="1:9">
      <c r="A1813" s="75">
        <v>575</v>
      </c>
      <c r="B1813" s="75">
        <v>5</v>
      </c>
      <c r="C1813" s="75">
        <v>580</v>
      </c>
      <c r="D1813" s="76">
        <v>43362.979537037034</v>
      </c>
      <c r="E1813" s="77">
        <v>43344</v>
      </c>
      <c r="F1813" s="78">
        <v>0.97953703703703709</v>
      </c>
      <c r="G1813" s="75">
        <v>2</v>
      </c>
      <c r="H1813" s="75">
        <v>30</v>
      </c>
      <c r="I1813" s="75">
        <v>32</v>
      </c>
    </row>
    <row r="1814" spans="1:9">
      <c r="A1814" s="75">
        <v>476</v>
      </c>
      <c r="B1814" s="75">
        <v>6</v>
      </c>
      <c r="C1814" s="75">
        <v>482</v>
      </c>
      <c r="D1814" s="76">
        <v>43362.989953703705</v>
      </c>
      <c r="E1814" s="77">
        <v>43344</v>
      </c>
      <c r="F1814" s="78">
        <v>0.98995370370370372</v>
      </c>
      <c r="G1814" s="75">
        <v>2</v>
      </c>
      <c r="H1814" s="75">
        <v>45</v>
      </c>
      <c r="I1814" s="75">
        <v>32</v>
      </c>
    </row>
    <row r="1815" spans="1:9">
      <c r="A1815" s="75">
        <v>414</v>
      </c>
      <c r="B1815" s="75">
        <v>6</v>
      </c>
      <c r="C1815" s="75">
        <v>420</v>
      </c>
      <c r="D1815" s="76">
        <v>43363.00037037037</v>
      </c>
      <c r="E1815" s="77">
        <v>43344</v>
      </c>
      <c r="F1815" s="78">
        <v>3.7037037037037035E-4</v>
      </c>
      <c r="G1815" s="75">
        <v>2</v>
      </c>
      <c r="H1815" s="75">
        <v>0</v>
      </c>
      <c r="I1815" s="75">
        <v>32</v>
      </c>
    </row>
    <row r="1816" spans="1:9">
      <c r="A1816" s="75">
        <v>426</v>
      </c>
      <c r="B1816" s="75">
        <v>6</v>
      </c>
      <c r="C1816" s="75">
        <v>432</v>
      </c>
      <c r="D1816" s="76">
        <v>43363.010787037034</v>
      </c>
      <c r="E1816" s="77">
        <v>43344</v>
      </c>
      <c r="F1816" s="78">
        <v>1.0787037037037038E-2</v>
      </c>
      <c r="G1816" s="75">
        <v>2</v>
      </c>
      <c r="H1816" s="75">
        <v>15</v>
      </c>
      <c r="I1816" s="75">
        <v>32</v>
      </c>
    </row>
    <row r="1817" spans="1:9">
      <c r="A1817" s="75">
        <v>372</v>
      </c>
      <c r="B1817" s="75">
        <v>4</v>
      </c>
      <c r="C1817" s="75">
        <v>376</v>
      </c>
      <c r="D1817" s="76">
        <v>43363.021203703705</v>
      </c>
      <c r="E1817" s="77">
        <v>43344</v>
      </c>
      <c r="F1817" s="78">
        <v>2.1203703703703707E-2</v>
      </c>
      <c r="G1817" s="75">
        <v>2</v>
      </c>
      <c r="H1817" s="75">
        <v>30</v>
      </c>
      <c r="I1817" s="75">
        <v>32</v>
      </c>
    </row>
    <row r="1818" spans="1:9">
      <c r="A1818" s="75">
        <v>300</v>
      </c>
      <c r="B1818" s="75">
        <v>3</v>
      </c>
      <c r="C1818" s="75">
        <v>303</v>
      </c>
      <c r="D1818" s="76">
        <v>43363.031608796293</v>
      </c>
      <c r="E1818" s="77">
        <v>43344</v>
      </c>
      <c r="F1818" s="78">
        <v>3.1608796296296295E-2</v>
      </c>
      <c r="G1818" s="75">
        <v>2</v>
      </c>
      <c r="H1818" s="75">
        <v>45</v>
      </c>
      <c r="I1818" s="75">
        <v>31</v>
      </c>
    </row>
    <row r="1819" spans="1:9">
      <c r="A1819" s="75">
        <v>304</v>
      </c>
      <c r="B1819" s="75">
        <v>3</v>
      </c>
      <c r="C1819" s="75">
        <v>307</v>
      </c>
      <c r="D1819" s="76">
        <v>43363.042037037034</v>
      </c>
      <c r="E1819" s="77">
        <v>43344</v>
      </c>
      <c r="F1819" s="78">
        <v>4.2037037037037039E-2</v>
      </c>
      <c r="G1819" s="75">
        <v>2</v>
      </c>
      <c r="H1819" s="75">
        <v>0</v>
      </c>
      <c r="I1819" s="75">
        <v>32</v>
      </c>
    </row>
    <row r="1820" spans="1:9">
      <c r="A1820" s="75">
        <v>337</v>
      </c>
      <c r="B1820" s="75">
        <v>3</v>
      </c>
      <c r="C1820" s="75">
        <v>340</v>
      </c>
      <c r="D1820" s="76">
        <v>43363.052453703705</v>
      </c>
      <c r="E1820" s="77">
        <v>43344</v>
      </c>
      <c r="F1820" s="78">
        <v>5.2453703703703704E-2</v>
      </c>
      <c r="G1820" s="75">
        <v>2</v>
      </c>
      <c r="H1820" s="75">
        <v>15</v>
      </c>
      <c r="I1820" s="75">
        <v>32</v>
      </c>
    </row>
    <row r="1821" spans="1:9">
      <c r="A1821" s="75">
        <v>285</v>
      </c>
      <c r="B1821" s="75">
        <v>4</v>
      </c>
      <c r="C1821" s="75">
        <v>289</v>
      </c>
      <c r="D1821" s="76">
        <v>43363.06287037037</v>
      </c>
      <c r="E1821" s="77">
        <v>43344</v>
      </c>
      <c r="F1821" s="78">
        <v>6.2870370370370368E-2</v>
      </c>
      <c r="G1821" s="75">
        <v>2</v>
      </c>
      <c r="H1821" s="75">
        <v>30</v>
      </c>
      <c r="I1821" s="75">
        <v>32</v>
      </c>
    </row>
    <row r="1822" spans="1:9">
      <c r="A1822" s="75">
        <v>287</v>
      </c>
      <c r="B1822" s="75">
        <v>5</v>
      </c>
      <c r="C1822" s="75">
        <v>292</v>
      </c>
      <c r="D1822" s="76">
        <v>43363.073287037034</v>
      </c>
      <c r="E1822" s="77">
        <v>43344</v>
      </c>
      <c r="F1822" s="78">
        <v>7.3287037037037039E-2</v>
      </c>
      <c r="G1822" s="75">
        <v>2</v>
      </c>
      <c r="H1822" s="75">
        <v>45</v>
      </c>
      <c r="I1822" s="75">
        <v>32</v>
      </c>
    </row>
    <row r="1823" spans="1:9">
      <c r="A1823" s="75">
        <v>266</v>
      </c>
      <c r="B1823" s="75">
        <v>2</v>
      </c>
      <c r="C1823" s="75">
        <v>268</v>
      </c>
      <c r="D1823" s="76">
        <v>43363.083796296298</v>
      </c>
      <c r="E1823" s="77">
        <v>43344</v>
      </c>
      <c r="F1823" s="78">
        <v>8.3796296296296299E-2</v>
      </c>
      <c r="G1823" s="75">
        <v>2</v>
      </c>
      <c r="H1823" s="75">
        <v>0</v>
      </c>
      <c r="I1823" s="75">
        <v>40</v>
      </c>
    </row>
    <row r="1824" spans="1:9">
      <c r="A1824" s="75">
        <v>223</v>
      </c>
      <c r="B1824" s="75">
        <v>2</v>
      </c>
      <c r="C1824" s="75">
        <v>225</v>
      </c>
      <c r="D1824" s="76">
        <v>43363.09412037037</v>
      </c>
      <c r="E1824" s="77">
        <v>43344</v>
      </c>
      <c r="F1824" s="78">
        <v>9.4120370370370368E-2</v>
      </c>
      <c r="G1824" s="75">
        <v>2</v>
      </c>
      <c r="H1824" s="75">
        <v>15</v>
      </c>
      <c r="I1824" s="75">
        <v>32</v>
      </c>
    </row>
    <row r="1825" spans="1:9">
      <c r="A1825" s="75">
        <v>246</v>
      </c>
      <c r="B1825" s="75">
        <v>7</v>
      </c>
      <c r="C1825" s="75">
        <v>253</v>
      </c>
      <c r="D1825" s="76">
        <v>43363.104537037034</v>
      </c>
      <c r="E1825" s="77">
        <v>43344</v>
      </c>
      <c r="F1825" s="78">
        <v>0.10453703703703704</v>
      </c>
      <c r="G1825" s="75">
        <v>2</v>
      </c>
      <c r="H1825" s="75">
        <v>30</v>
      </c>
      <c r="I1825" s="75">
        <v>32</v>
      </c>
    </row>
    <row r="1826" spans="1:9">
      <c r="A1826" s="75">
        <v>182</v>
      </c>
      <c r="B1826" s="75">
        <v>5</v>
      </c>
      <c r="C1826" s="75">
        <v>187</v>
      </c>
      <c r="D1826" s="76">
        <v>43363.114953703705</v>
      </c>
      <c r="E1826" s="77">
        <v>43344</v>
      </c>
      <c r="F1826" s="78">
        <v>0.11495370370370371</v>
      </c>
      <c r="G1826" s="75">
        <v>2</v>
      </c>
      <c r="H1826" s="75">
        <v>45</v>
      </c>
      <c r="I1826" s="75">
        <v>32</v>
      </c>
    </row>
    <row r="1827" spans="1:9">
      <c r="A1827" s="75">
        <v>158</v>
      </c>
      <c r="B1827" s="75">
        <v>1</v>
      </c>
      <c r="C1827" s="75">
        <v>159</v>
      </c>
      <c r="D1827" s="76">
        <v>43363.125381944446</v>
      </c>
      <c r="E1827" s="77">
        <v>43344</v>
      </c>
      <c r="F1827" s="78">
        <v>0.12538194444444445</v>
      </c>
      <c r="G1827" s="75">
        <v>2</v>
      </c>
      <c r="H1827" s="75">
        <v>0</v>
      </c>
      <c r="I1827" s="75">
        <v>33</v>
      </c>
    </row>
    <row r="1828" spans="1:9">
      <c r="A1828" s="75">
        <v>143</v>
      </c>
      <c r="B1828" s="75">
        <v>2</v>
      </c>
      <c r="C1828" s="75">
        <v>145</v>
      </c>
      <c r="D1828" s="76">
        <v>43363.135787037034</v>
      </c>
      <c r="E1828" s="77">
        <v>43344</v>
      </c>
      <c r="F1828" s="78">
        <v>0.13578703703703704</v>
      </c>
      <c r="G1828" s="75">
        <v>2</v>
      </c>
      <c r="H1828" s="75">
        <v>15</v>
      </c>
      <c r="I1828" s="75">
        <v>32</v>
      </c>
    </row>
    <row r="1829" spans="1:9">
      <c r="A1829" s="75">
        <v>115</v>
      </c>
      <c r="B1829" s="75">
        <v>1</v>
      </c>
      <c r="C1829" s="75">
        <v>116</v>
      </c>
      <c r="D1829" s="76">
        <v>43363.146192129629</v>
      </c>
      <c r="E1829" s="77">
        <v>43344</v>
      </c>
      <c r="F1829" s="78">
        <v>0.14619212962962963</v>
      </c>
      <c r="G1829" s="75">
        <v>2</v>
      </c>
      <c r="H1829" s="75">
        <v>30</v>
      </c>
      <c r="I1829" s="75">
        <v>31</v>
      </c>
    </row>
    <row r="1830" spans="1:9">
      <c r="A1830" s="75">
        <v>108</v>
      </c>
      <c r="B1830" s="75">
        <v>0</v>
      </c>
      <c r="C1830" s="75">
        <v>108</v>
      </c>
      <c r="D1830" s="76">
        <v>43363.15662037037</v>
      </c>
      <c r="E1830" s="77">
        <v>43344</v>
      </c>
      <c r="F1830" s="78">
        <v>0.15662037037037038</v>
      </c>
      <c r="G1830" s="75">
        <v>2</v>
      </c>
      <c r="H1830" s="75">
        <v>45</v>
      </c>
      <c r="I1830" s="75">
        <v>32</v>
      </c>
    </row>
    <row r="1831" spans="1:9">
      <c r="A1831" s="75">
        <v>109</v>
      </c>
      <c r="B1831" s="75">
        <v>0</v>
      </c>
      <c r="C1831" s="75">
        <v>103</v>
      </c>
      <c r="D1831" s="76">
        <v>43363.167025462964</v>
      </c>
      <c r="E1831" s="77">
        <v>43344</v>
      </c>
      <c r="F1831" s="78">
        <v>0.16702546296296295</v>
      </c>
      <c r="G1831" s="75">
        <v>2</v>
      </c>
      <c r="H1831" s="75">
        <v>0</v>
      </c>
      <c r="I1831" s="75">
        <v>31</v>
      </c>
    </row>
    <row r="1832" spans="1:9">
      <c r="A1832" s="75">
        <v>43</v>
      </c>
      <c r="B1832" s="75">
        <v>0</v>
      </c>
      <c r="C1832" s="75">
        <v>43</v>
      </c>
      <c r="D1832" s="76">
        <v>43363.177442129629</v>
      </c>
      <c r="E1832" s="77">
        <v>43344</v>
      </c>
      <c r="F1832" s="78">
        <v>0.17744212962962966</v>
      </c>
      <c r="G1832" s="75">
        <v>2</v>
      </c>
      <c r="H1832" s="75">
        <v>15</v>
      </c>
      <c r="I1832" s="75">
        <v>31</v>
      </c>
    </row>
    <row r="1833" spans="1:9">
      <c r="A1833" s="75">
        <v>25</v>
      </c>
      <c r="B1833" s="75">
        <v>0</v>
      </c>
      <c r="C1833" s="75">
        <v>25</v>
      </c>
      <c r="D1833" s="76">
        <v>43363.18787037037</v>
      </c>
      <c r="E1833" s="77">
        <v>43344</v>
      </c>
      <c r="F1833" s="78">
        <v>0.18787037037037035</v>
      </c>
      <c r="G1833" s="75">
        <v>2</v>
      </c>
      <c r="H1833" s="75">
        <v>30</v>
      </c>
      <c r="I1833" s="75">
        <v>32</v>
      </c>
    </row>
    <row r="1834" spans="1:9">
      <c r="A1834" s="75">
        <v>22</v>
      </c>
      <c r="B1834" s="75">
        <v>0</v>
      </c>
      <c r="C1834" s="75">
        <v>22</v>
      </c>
      <c r="D1834" s="76">
        <v>43363.198275462964</v>
      </c>
      <c r="E1834" s="77">
        <v>43344</v>
      </c>
      <c r="F1834" s="78">
        <v>0.19827546296296297</v>
      </c>
      <c r="G1834" s="75">
        <v>2</v>
      </c>
      <c r="H1834" s="75">
        <v>45</v>
      </c>
      <c r="I1834" s="75">
        <v>31</v>
      </c>
    </row>
    <row r="1835" spans="1:9">
      <c r="A1835" s="75">
        <v>22</v>
      </c>
      <c r="B1835" s="75">
        <v>0</v>
      </c>
      <c r="C1835" s="75">
        <v>22</v>
      </c>
      <c r="D1835" s="76">
        <v>43363.208703703705</v>
      </c>
      <c r="E1835" s="77">
        <v>43344</v>
      </c>
      <c r="F1835" s="78">
        <v>0.2087037037037037</v>
      </c>
      <c r="G1835" s="75">
        <v>2</v>
      </c>
      <c r="H1835" s="75">
        <v>0</v>
      </c>
      <c r="I1835" s="75">
        <v>32</v>
      </c>
    </row>
    <row r="1836" spans="1:9">
      <c r="A1836" s="75">
        <v>21</v>
      </c>
      <c r="B1836" s="75">
        <v>0</v>
      </c>
      <c r="C1836" s="75">
        <v>21</v>
      </c>
      <c r="D1836" s="76">
        <v>43363.219108796293</v>
      </c>
      <c r="E1836" s="77">
        <v>43344</v>
      </c>
      <c r="F1836" s="78">
        <v>0.21910879629629632</v>
      </c>
      <c r="G1836" s="75">
        <v>2</v>
      </c>
      <c r="H1836" s="75">
        <v>15</v>
      </c>
      <c r="I1836" s="75">
        <v>31</v>
      </c>
    </row>
    <row r="1837" spans="1:9">
      <c r="A1837" s="75">
        <v>21</v>
      </c>
      <c r="B1837" s="75">
        <v>0</v>
      </c>
      <c r="C1837" s="75">
        <v>21</v>
      </c>
      <c r="D1837" s="76">
        <v>43363.229537037034</v>
      </c>
      <c r="E1837" s="77">
        <v>43344</v>
      </c>
      <c r="F1837" s="78">
        <v>0.22953703703703701</v>
      </c>
      <c r="G1837" s="75">
        <v>2</v>
      </c>
      <c r="H1837" s="75">
        <v>30</v>
      </c>
      <c r="I1837" s="75">
        <v>32</v>
      </c>
    </row>
    <row r="1838" spans="1:9">
      <c r="A1838" s="75">
        <v>20</v>
      </c>
      <c r="B1838" s="75">
        <v>0</v>
      </c>
      <c r="C1838" s="75">
        <v>20</v>
      </c>
      <c r="D1838" s="76">
        <v>43363.239942129629</v>
      </c>
      <c r="E1838" s="77">
        <v>43344</v>
      </c>
      <c r="F1838" s="78">
        <v>0.23994212962962966</v>
      </c>
      <c r="G1838" s="75">
        <v>2</v>
      </c>
      <c r="H1838" s="75">
        <v>45</v>
      </c>
      <c r="I1838" s="75">
        <v>31</v>
      </c>
    </row>
    <row r="1839" spans="1:9">
      <c r="A1839" s="75">
        <v>21</v>
      </c>
      <c r="B1839" s="75">
        <v>0</v>
      </c>
      <c r="C1839" s="75">
        <v>17</v>
      </c>
      <c r="D1839" s="76">
        <v>43363.25037037037</v>
      </c>
      <c r="E1839" s="77">
        <v>43344</v>
      </c>
      <c r="F1839" s="78">
        <v>0.25037037037037035</v>
      </c>
      <c r="G1839" s="75">
        <v>2</v>
      </c>
      <c r="H1839" s="75">
        <v>0</v>
      </c>
      <c r="I1839" s="75">
        <v>32</v>
      </c>
    </row>
    <row r="1840" spans="1:9">
      <c r="A1840" s="75">
        <v>18</v>
      </c>
      <c r="B1840" s="75">
        <v>0</v>
      </c>
      <c r="C1840" s="75">
        <v>17</v>
      </c>
      <c r="D1840" s="76">
        <v>43363.260775462964</v>
      </c>
      <c r="E1840" s="77">
        <v>43344</v>
      </c>
      <c r="F1840" s="78">
        <v>0.260775462962963</v>
      </c>
      <c r="G1840" s="75">
        <v>2</v>
      </c>
      <c r="H1840" s="75">
        <v>15</v>
      </c>
      <c r="I1840" s="75">
        <v>31</v>
      </c>
    </row>
    <row r="1841" spans="1:9">
      <c r="A1841" s="75">
        <v>18</v>
      </c>
      <c r="B1841" s="75">
        <v>0</v>
      </c>
      <c r="C1841" s="75">
        <v>17</v>
      </c>
      <c r="D1841" s="76">
        <v>43363.273958333331</v>
      </c>
      <c r="E1841" s="77">
        <v>43344</v>
      </c>
      <c r="F1841" s="78">
        <v>0.27395833333333336</v>
      </c>
      <c r="G1841" s="75">
        <v>2</v>
      </c>
      <c r="H1841" s="75">
        <v>34</v>
      </c>
      <c r="I1841" s="75">
        <v>30</v>
      </c>
    </row>
    <row r="1842" spans="1:9">
      <c r="A1842" s="75">
        <v>18</v>
      </c>
      <c r="B1842" s="75">
        <v>0</v>
      </c>
      <c r="C1842" s="75">
        <v>17</v>
      </c>
      <c r="D1842" s="76">
        <v>43363.281608796293</v>
      </c>
      <c r="E1842" s="77">
        <v>43344</v>
      </c>
      <c r="F1842" s="78">
        <v>0.28160879629629632</v>
      </c>
      <c r="G1842" s="75">
        <v>2</v>
      </c>
      <c r="H1842" s="75">
        <v>45</v>
      </c>
      <c r="I1842" s="75">
        <v>31</v>
      </c>
    </row>
    <row r="1843" spans="1:9">
      <c r="A1843" s="75">
        <v>20</v>
      </c>
      <c r="B1843" s="75">
        <v>0</v>
      </c>
      <c r="C1843" s="75">
        <v>19</v>
      </c>
      <c r="D1843" s="76">
        <v>43363.292037037034</v>
      </c>
      <c r="E1843" s="77">
        <v>43344</v>
      </c>
      <c r="F1843" s="78">
        <v>0.29203703703703704</v>
      </c>
      <c r="G1843" s="75">
        <v>2</v>
      </c>
      <c r="H1843" s="75">
        <v>0</v>
      </c>
      <c r="I1843" s="75">
        <v>32</v>
      </c>
    </row>
    <row r="1844" spans="1:9">
      <c r="A1844" s="75">
        <v>43</v>
      </c>
      <c r="B1844" s="75">
        <v>0</v>
      </c>
      <c r="C1844" s="75">
        <v>33</v>
      </c>
      <c r="D1844" s="76">
        <v>43363.302465277775</v>
      </c>
      <c r="E1844" s="77">
        <v>43344</v>
      </c>
      <c r="F1844" s="78">
        <v>0.30246527777777776</v>
      </c>
      <c r="G1844" s="75">
        <v>2</v>
      </c>
      <c r="H1844" s="75">
        <v>15</v>
      </c>
      <c r="I1844" s="75">
        <v>33</v>
      </c>
    </row>
    <row r="1845" spans="1:9">
      <c r="A1845" s="75">
        <v>33</v>
      </c>
      <c r="B1845" s="75">
        <v>0</v>
      </c>
      <c r="C1845" s="75">
        <v>31</v>
      </c>
      <c r="D1845" s="76">
        <v>43363.312881944446</v>
      </c>
      <c r="E1845" s="77">
        <v>43344</v>
      </c>
      <c r="F1845" s="78">
        <v>0.31288194444444445</v>
      </c>
      <c r="G1845" s="75">
        <v>2</v>
      </c>
      <c r="H1845" s="75">
        <v>30</v>
      </c>
      <c r="I1845" s="75">
        <v>33</v>
      </c>
    </row>
    <row r="1846" spans="1:9">
      <c r="A1846" s="75">
        <v>60</v>
      </c>
      <c r="B1846" s="75">
        <v>0</v>
      </c>
      <c r="C1846" s="75">
        <v>59</v>
      </c>
      <c r="D1846" s="76">
        <v>43363.323310185187</v>
      </c>
      <c r="E1846" s="77">
        <v>43344</v>
      </c>
      <c r="F1846" s="78">
        <v>0.32331018518518517</v>
      </c>
      <c r="G1846" s="75">
        <v>2</v>
      </c>
      <c r="H1846" s="75">
        <v>45</v>
      </c>
      <c r="I1846" s="75">
        <v>34</v>
      </c>
    </row>
    <row r="1847" spans="1:9">
      <c r="A1847" s="75">
        <v>46</v>
      </c>
      <c r="B1847" s="75">
        <v>0</v>
      </c>
      <c r="C1847" s="75">
        <v>45</v>
      </c>
      <c r="D1847" s="76">
        <v>43363.333715277775</v>
      </c>
      <c r="E1847" s="77">
        <v>43344</v>
      </c>
      <c r="F1847" s="78">
        <v>0.33371527777777782</v>
      </c>
      <c r="G1847" s="75">
        <v>2</v>
      </c>
      <c r="H1847" s="75">
        <v>0</v>
      </c>
      <c r="I1847" s="75">
        <v>33</v>
      </c>
    </row>
    <row r="1848" spans="1:9">
      <c r="A1848" s="75">
        <v>70</v>
      </c>
      <c r="B1848" s="75">
        <v>0</v>
      </c>
      <c r="C1848" s="75">
        <v>69</v>
      </c>
      <c r="D1848" s="76">
        <v>43363.344131944446</v>
      </c>
      <c r="E1848" s="77">
        <v>43344</v>
      </c>
      <c r="F1848" s="78">
        <v>0.34413194444444445</v>
      </c>
      <c r="G1848" s="75">
        <v>2</v>
      </c>
      <c r="H1848" s="75">
        <v>15</v>
      </c>
      <c r="I1848" s="75">
        <v>33</v>
      </c>
    </row>
    <row r="1849" spans="1:9">
      <c r="A1849" s="75">
        <v>120</v>
      </c>
      <c r="B1849" s="75">
        <v>1</v>
      </c>
      <c r="C1849" s="75">
        <v>121</v>
      </c>
      <c r="D1849" s="76">
        <v>43363.354618055557</v>
      </c>
      <c r="E1849" s="77">
        <v>43344</v>
      </c>
      <c r="F1849" s="78">
        <v>0.35461805555555559</v>
      </c>
      <c r="G1849" s="75">
        <v>2</v>
      </c>
      <c r="H1849" s="75">
        <v>30</v>
      </c>
      <c r="I1849" s="75">
        <v>39</v>
      </c>
    </row>
    <row r="1850" spans="1:9">
      <c r="A1850" s="75">
        <v>207</v>
      </c>
      <c r="B1850" s="75">
        <v>0</v>
      </c>
      <c r="C1850" s="75">
        <v>206</v>
      </c>
      <c r="D1850" s="76">
        <v>43363.364965277775</v>
      </c>
      <c r="E1850" s="77">
        <v>43344</v>
      </c>
      <c r="F1850" s="78">
        <v>0.36496527777777782</v>
      </c>
      <c r="G1850" s="75">
        <v>2</v>
      </c>
      <c r="H1850" s="75">
        <v>45</v>
      </c>
      <c r="I1850" s="75">
        <v>33</v>
      </c>
    </row>
    <row r="1851" spans="1:9">
      <c r="A1851" s="75">
        <v>194</v>
      </c>
      <c r="B1851" s="75">
        <v>0</v>
      </c>
      <c r="C1851" s="75">
        <v>194</v>
      </c>
      <c r="D1851" s="76">
        <v>43363.375381944446</v>
      </c>
      <c r="E1851" s="77">
        <v>43344</v>
      </c>
      <c r="F1851" s="78">
        <v>0.37538194444444445</v>
      </c>
      <c r="G1851" s="75">
        <v>2</v>
      </c>
      <c r="H1851" s="75">
        <v>0</v>
      </c>
      <c r="I1851" s="75">
        <v>33</v>
      </c>
    </row>
    <row r="1852" spans="1:9">
      <c r="A1852" s="75">
        <v>304</v>
      </c>
      <c r="B1852" s="75">
        <v>1</v>
      </c>
      <c r="C1852" s="75">
        <v>305</v>
      </c>
      <c r="D1852" s="76">
        <v>43363.385787037034</v>
      </c>
      <c r="E1852" s="77">
        <v>43344</v>
      </c>
      <c r="F1852" s="78">
        <v>0.38578703703703704</v>
      </c>
      <c r="G1852" s="75">
        <v>2</v>
      </c>
      <c r="H1852" s="75">
        <v>15</v>
      </c>
      <c r="I1852" s="75">
        <v>32</v>
      </c>
    </row>
    <row r="1853" spans="1:9">
      <c r="A1853" s="75">
        <v>498</v>
      </c>
      <c r="B1853" s="75">
        <v>3</v>
      </c>
      <c r="C1853" s="75">
        <v>501</v>
      </c>
      <c r="D1853" s="76">
        <v>43363.396226851852</v>
      </c>
      <c r="E1853" s="77">
        <v>43344</v>
      </c>
      <c r="F1853" s="78">
        <v>0.39622685185185186</v>
      </c>
      <c r="G1853" s="75">
        <v>2</v>
      </c>
      <c r="H1853" s="75">
        <v>30</v>
      </c>
      <c r="I1853" s="75">
        <v>34</v>
      </c>
    </row>
    <row r="1854" spans="1:9">
      <c r="A1854" s="75">
        <v>915</v>
      </c>
      <c r="B1854" s="75">
        <v>7</v>
      </c>
      <c r="C1854" s="75">
        <v>922</v>
      </c>
      <c r="D1854" s="76">
        <v>43363.406631944446</v>
      </c>
      <c r="E1854" s="77">
        <v>43344</v>
      </c>
      <c r="F1854" s="78">
        <v>0.40663194444444445</v>
      </c>
      <c r="G1854" s="75">
        <v>2</v>
      </c>
      <c r="H1854" s="75">
        <v>45</v>
      </c>
      <c r="I1854" s="75">
        <v>33</v>
      </c>
    </row>
    <row r="1855" spans="1:9">
      <c r="A1855" s="75">
        <v>752</v>
      </c>
      <c r="B1855" s="75">
        <v>13</v>
      </c>
      <c r="C1855" s="75">
        <v>765</v>
      </c>
      <c r="D1855" s="76">
        <v>43363.417048611111</v>
      </c>
      <c r="E1855" s="77">
        <v>43344</v>
      </c>
      <c r="F1855" s="78">
        <v>0.41704861111111113</v>
      </c>
      <c r="G1855" s="75">
        <v>2</v>
      </c>
      <c r="H1855" s="75">
        <v>0</v>
      </c>
      <c r="I1855" s="75">
        <v>33</v>
      </c>
    </row>
    <row r="1856" spans="1:9">
      <c r="A1856" s="75">
        <v>815</v>
      </c>
      <c r="B1856" s="75">
        <v>13</v>
      </c>
      <c r="C1856" s="75">
        <v>819</v>
      </c>
      <c r="D1856" s="76">
        <v>43363.427453703705</v>
      </c>
      <c r="E1856" s="77">
        <v>43344</v>
      </c>
      <c r="F1856" s="78">
        <v>0.42745370370370367</v>
      </c>
      <c r="G1856" s="75">
        <v>2</v>
      </c>
      <c r="H1856" s="75">
        <v>15</v>
      </c>
      <c r="I1856" s="75">
        <v>32</v>
      </c>
    </row>
    <row r="1857" spans="1:9">
      <c r="A1857" s="75">
        <v>911</v>
      </c>
      <c r="B1857" s="75">
        <v>12</v>
      </c>
      <c r="C1857" s="75">
        <v>923</v>
      </c>
      <c r="D1857" s="76">
        <v>43363.437881944446</v>
      </c>
      <c r="E1857" s="77">
        <v>43344</v>
      </c>
      <c r="F1857" s="78">
        <v>0.43788194444444445</v>
      </c>
      <c r="G1857" s="75">
        <v>2</v>
      </c>
      <c r="H1857" s="75">
        <v>30</v>
      </c>
      <c r="I1857" s="75">
        <v>33</v>
      </c>
    </row>
    <row r="1858" spans="1:9">
      <c r="A1858" s="75">
        <v>1106</v>
      </c>
      <c r="B1858" s="75">
        <v>20</v>
      </c>
      <c r="C1858" s="75">
        <v>1126</v>
      </c>
      <c r="D1858" s="76">
        <v>43363.448287037034</v>
      </c>
      <c r="E1858" s="77">
        <v>43344</v>
      </c>
      <c r="F1858" s="78">
        <v>0.44828703703703704</v>
      </c>
      <c r="G1858" s="75">
        <v>2</v>
      </c>
      <c r="H1858" s="75">
        <v>45</v>
      </c>
      <c r="I1858" s="75">
        <v>32</v>
      </c>
    </row>
    <row r="1859" spans="1:9">
      <c r="A1859" s="75">
        <v>914</v>
      </c>
      <c r="B1859" s="75">
        <v>18</v>
      </c>
      <c r="C1859" s="75">
        <v>932</v>
      </c>
      <c r="D1859" s="76">
        <v>43363.458715277775</v>
      </c>
      <c r="E1859" s="77">
        <v>43344</v>
      </c>
      <c r="F1859" s="78">
        <v>0.45871527777777782</v>
      </c>
      <c r="G1859" s="75">
        <v>2</v>
      </c>
      <c r="H1859" s="75">
        <v>0</v>
      </c>
      <c r="I1859" s="75">
        <v>33</v>
      </c>
    </row>
    <row r="1860" spans="1:9">
      <c r="A1860" s="75">
        <v>775</v>
      </c>
      <c r="B1860" s="75">
        <v>18</v>
      </c>
      <c r="C1860" s="75">
        <v>792</v>
      </c>
      <c r="D1860" s="76">
        <v>43363.469131944446</v>
      </c>
      <c r="E1860" s="77">
        <v>43344</v>
      </c>
      <c r="F1860" s="78">
        <v>0.46913194444444445</v>
      </c>
      <c r="G1860" s="75">
        <v>2</v>
      </c>
      <c r="H1860" s="75">
        <v>15</v>
      </c>
      <c r="I1860" s="75">
        <v>33</v>
      </c>
    </row>
    <row r="1861" spans="1:9">
      <c r="A1861" s="75">
        <v>611</v>
      </c>
      <c r="B1861" s="75">
        <v>12</v>
      </c>
      <c r="C1861" s="75">
        <v>623</v>
      </c>
      <c r="D1861" s="76">
        <v>43363.479537037034</v>
      </c>
      <c r="E1861" s="77">
        <v>43344</v>
      </c>
      <c r="F1861" s="78">
        <v>0.47953703703703704</v>
      </c>
      <c r="G1861" s="75">
        <v>2</v>
      </c>
      <c r="H1861" s="75">
        <v>30</v>
      </c>
      <c r="I1861" s="75">
        <v>32</v>
      </c>
    </row>
    <row r="1862" spans="1:9">
      <c r="A1862" s="75">
        <v>523</v>
      </c>
      <c r="B1862" s="75">
        <v>7</v>
      </c>
      <c r="C1862" s="75">
        <v>530</v>
      </c>
      <c r="D1862" s="76">
        <v>43363.489965277775</v>
      </c>
      <c r="E1862" s="77">
        <v>43344</v>
      </c>
      <c r="F1862" s="78">
        <v>0.48996527777777782</v>
      </c>
      <c r="G1862" s="75">
        <v>2</v>
      </c>
      <c r="H1862" s="75">
        <v>45</v>
      </c>
      <c r="I1862" s="75">
        <v>33</v>
      </c>
    </row>
    <row r="1863" spans="1:9">
      <c r="A1863" s="75">
        <v>374</v>
      </c>
      <c r="B1863" s="75">
        <v>3</v>
      </c>
      <c r="C1863" s="75">
        <v>377</v>
      </c>
      <c r="D1863" s="76">
        <v>43363.500381944446</v>
      </c>
      <c r="E1863" s="77">
        <v>43344</v>
      </c>
      <c r="F1863" s="78">
        <v>0.5003819444444445</v>
      </c>
      <c r="G1863" s="75">
        <v>2</v>
      </c>
      <c r="H1863" s="75">
        <v>0</v>
      </c>
      <c r="I1863" s="75">
        <v>33</v>
      </c>
    </row>
    <row r="1864" spans="1:9">
      <c r="A1864" s="75">
        <v>400</v>
      </c>
      <c r="B1864" s="75">
        <v>2</v>
      </c>
      <c r="C1864" s="75">
        <v>402</v>
      </c>
      <c r="D1864" s="76">
        <v>43363.510787037034</v>
      </c>
      <c r="E1864" s="77">
        <v>43344</v>
      </c>
      <c r="F1864" s="78">
        <v>0.51078703703703698</v>
      </c>
      <c r="G1864" s="75">
        <v>2</v>
      </c>
      <c r="H1864" s="75">
        <v>15</v>
      </c>
      <c r="I1864" s="75">
        <v>32</v>
      </c>
    </row>
    <row r="1865" spans="1:9">
      <c r="A1865" s="75">
        <v>393</v>
      </c>
      <c r="B1865" s="75">
        <v>5</v>
      </c>
      <c r="C1865" s="75">
        <v>398</v>
      </c>
      <c r="D1865" s="76">
        <v>43363.521215277775</v>
      </c>
      <c r="E1865" s="77">
        <v>43344</v>
      </c>
      <c r="F1865" s="78">
        <v>0.52121527777777776</v>
      </c>
      <c r="G1865" s="75">
        <v>2</v>
      </c>
      <c r="H1865" s="75">
        <v>30</v>
      </c>
      <c r="I1865" s="75">
        <v>33</v>
      </c>
    </row>
    <row r="1866" spans="1:9">
      <c r="A1866" s="75">
        <v>422</v>
      </c>
      <c r="B1866" s="75">
        <v>4</v>
      </c>
      <c r="C1866" s="75">
        <v>426</v>
      </c>
      <c r="D1866" s="76">
        <v>43363.53162037037</v>
      </c>
      <c r="E1866" s="77">
        <v>43344</v>
      </c>
      <c r="F1866" s="78">
        <v>0.53162037037037035</v>
      </c>
      <c r="G1866" s="75">
        <v>2</v>
      </c>
      <c r="H1866" s="75">
        <v>45</v>
      </c>
      <c r="I1866" s="75">
        <v>32</v>
      </c>
    </row>
    <row r="1867" spans="1:9">
      <c r="A1867" s="75">
        <v>404</v>
      </c>
      <c r="B1867" s="75">
        <v>6</v>
      </c>
      <c r="C1867" s="75">
        <v>410</v>
      </c>
      <c r="D1867" s="76">
        <v>43363.552465277775</v>
      </c>
      <c r="E1867" s="77">
        <v>43344</v>
      </c>
      <c r="F1867" s="78">
        <v>0.55246527777777776</v>
      </c>
      <c r="G1867" s="75">
        <v>2</v>
      </c>
      <c r="H1867" s="75">
        <v>15</v>
      </c>
      <c r="I1867" s="75">
        <v>33</v>
      </c>
    </row>
    <row r="1868" spans="1:9">
      <c r="A1868" s="75">
        <v>388</v>
      </c>
      <c r="B1868" s="75">
        <v>4</v>
      </c>
      <c r="C1868" s="75">
        <v>392</v>
      </c>
      <c r="D1868" s="76">
        <v>43363.56287037037</v>
      </c>
      <c r="E1868" s="77">
        <v>43344</v>
      </c>
      <c r="F1868" s="78">
        <v>0.56287037037037035</v>
      </c>
      <c r="G1868" s="75">
        <v>2</v>
      </c>
      <c r="H1868" s="75">
        <v>30</v>
      </c>
      <c r="I1868" s="75">
        <v>32</v>
      </c>
    </row>
    <row r="1869" spans="1:9">
      <c r="A1869" s="75">
        <v>449</v>
      </c>
      <c r="B1869" s="75">
        <v>5</v>
      </c>
      <c r="C1869" s="75">
        <v>454</v>
      </c>
      <c r="D1869" s="76">
        <v>43363.573287037034</v>
      </c>
      <c r="E1869" s="77">
        <v>43344</v>
      </c>
      <c r="F1869" s="78">
        <v>0.57328703703703698</v>
      </c>
      <c r="G1869" s="75">
        <v>2</v>
      </c>
      <c r="H1869" s="75">
        <v>45</v>
      </c>
      <c r="I1869" s="75">
        <v>32</v>
      </c>
    </row>
    <row r="1870" spans="1:9">
      <c r="A1870" s="75">
        <v>448</v>
      </c>
      <c r="B1870" s="75">
        <v>2</v>
      </c>
      <c r="C1870" s="75">
        <v>444</v>
      </c>
      <c r="D1870" s="76">
        <v>43363.594131944446</v>
      </c>
      <c r="E1870" s="77">
        <v>43344</v>
      </c>
      <c r="F1870" s="78">
        <v>0.5941319444444445</v>
      </c>
      <c r="G1870" s="75">
        <v>2</v>
      </c>
      <c r="H1870" s="75">
        <v>15</v>
      </c>
      <c r="I1870" s="75">
        <v>33</v>
      </c>
    </row>
    <row r="1871" spans="1:9">
      <c r="A1871" s="75">
        <v>401</v>
      </c>
      <c r="B1871" s="75">
        <v>3</v>
      </c>
      <c r="C1871" s="75">
        <v>404</v>
      </c>
      <c r="D1871" s="76">
        <v>43363.604537037034</v>
      </c>
      <c r="E1871" s="77">
        <v>43344</v>
      </c>
      <c r="F1871" s="78">
        <v>0.60453703703703698</v>
      </c>
      <c r="G1871" s="75">
        <v>2</v>
      </c>
      <c r="H1871" s="75">
        <v>30</v>
      </c>
      <c r="I1871" s="75">
        <v>32</v>
      </c>
    </row>
    <row r="1872" spans="1:9">
      <c r="A1872" s="75">
        <v>475</v>
      </c>
      <c r="B1872" s="75">
        <v>6</v>
      </c>
      <c r="C1872" s="75">
        <v>481</v>
      </c>
      <c r="D1872" s="76">
        <v>43363.614953703705</v>
      </c>
      <c r="E1872" s="77">
        <v>43344</v>
      </c>
      <c r="F1872" s="78">
        <v>0.61495370370370372</v>
      </c>
      <c r="G1872" s="75">
        <v>2</v>
      </c>
      <c r="H1872" s="75">
        <v>45</v>
      </c>
      <c r="I1872" s="75">
        <v>32</v>
      </c>
    </row>
    <row r="1873" spans="1:9">
      <c r="A1873" s="75">
        <v>469</v>
      </c>
      <c r="B1873" s="75">
        <v>6</v>
      </c>
      <c r="C1873" s="75">
        <v>475</v>
      </c>
      <c r="D1873" s="76">
        <v>43363.62537037037</v>
      </c>
      <c r="E1873" s="77">
        <v>43344</v>
      </c>
      <c r="F1873" s="78">
        <v>0.62537037037037035</v>
      </c>
      <c r="G1873" s="75">
        <v>2</v>
      </c>
      <c r="H1873" s="75">
        <v>0</v>
      </c>
      <c r="I1873" s="75">
        <v>32</v>
      </c>
    </row>
    <row r="1874" spans="1:9">
      <c r="A1874" s="75">
        <v>535</v>
      </c>
      <c r="B1874" s="75">
        <v>3</v>
      </c>
      <c r="C1874" s="75">
        <v>538</v>
      </c>
      <c r="D1874" s="76">
        <v>43363.635787037034</v>
      </c>
      <c r="E1874" s="77">
        <v>43344</v>
      </c>
      <c r="F1874" s="78">
        <v>0.63578703703703698</v>
      </c>
      <c r="G1874" s="75">
        <v>2</v>
      </c>
      <c r="H1874" s="75">
        <v>15</v>
      </c>
      <c r="I1874" s="75">
        <v>32</v>
      </c>
    </row>
    <row r="1875" spans="1:9">
      <c r="A1875" s="75">
        <v>516</v>
      </c>
      <c r="B1875" s="75">
        <v>3</v>
      </c>
      <c r="C1875" s="75">
        <v>519</v>
      </c>
      <c r="D1875" s="76">
        <v>43363.646203703705</v>
      </c>
      <c r="E1875" s="77">
        <v>43344</v>
      </c>
      <c r="F1875" s="78">
        <v>0.64620370370370372</v>
      </c>
      <c r="G1875" s="75">
        <v>2</v>
      </c>
      <c r="H1875" s="75">
        <v>30</v>
      </c>
      <c r="I1875" s="75">
        <v>32</v>
      </c>
    </row>
    <row r="1876" spans="1:9">
      <c r="A1876" s="75">
        <v>579</v>
      </c>
      <c r="B1876" s="75">
        <v>6</v>
      </c>
      <c r="C1876" s="75">
        <v>585</v>
      </c>
      <c r="D1876" s="76">
        <v>43363.65662037037</v>
      </c>
      <c r="E1876" s="77">
        <v>43344</v>
      </c>
      <c r="F1876" s="78">
        <v>0.65662037037037035</v>
      </c>
      <c r="G1876" s="75">
        <v>2</v>
      </c>
      <c r="H1876" s="75">
        <v>45</v>
      </c>
      <c r="I1876" s="75">
        <v>32</v>
      </c>
    </row>
    <row r="1877" spans="1:9">
      <c r="A1877" s="75">
        <v>542</v>
      </c>
      <c r="B1877" s="75">
        <v>10</v>
      </c>
      <c r="C1877" s="75">
        <v>552</v>
      </c>
      <c r="D1877" s="76">
        <v>43363.667048611111</v>
      </c>
      <c r="E1877" s="77">
        <v>43344</v>
      </c>
      <c r="F1877" s="78">
        <v>0.66704861111111102</v>
      </c>
      <c r="G1877" s="75">
        <v>2</v>
      </c>
      <c r="H1877" s="75">
        <v>0</v>
      </c>
      <c r="I1877" s="75">
        <v>33</v>
      </c>
    </row>
    <row r="1878" spans="1:9">
      <c r="A1878" s="75">
        <v>765</v>
      </c>
      <c r="B1878" s="75">
        <v>8</v>
      </c>
      <c r="C1878" s="75">
        <v>773</v>
      </c>
      <c r="D1878" s="76">
        <v>43363.677453703705</v>
      </c>
      <c r="E1878" s="77">
        <v>43344</v>
      </c>
      <c r="F1878" s="78">
        <v>0.67745370370370372</v>
      </c>
      <c r="G1878" s="75">
        <v>2</v>
      </c>
      <c r="H1878" s="75">
        <v>15</v>
      </c>
      <c r="I1878" s="75">
        <v>32</v>
      </c>
    </row>
    <row r="1879" spans="1:9">
      <c r="A1879" s="75">
        <v>659</v>
      </c>
      <c r="B1879" s="75">
        <v>8</v>
      </c>
      <c r="C1879" s="75">
        <v>667</v>
      </c>
      <c r="D1879" s="76">
        <v>43363.687905092593</v>
      </c>
      <c r="E1879" s="77">
        <v>43344</v>
      </c>
      <c r="F1879" s="78">
        <v>0.68790509259259258</v>
      </c>
      <c r="G1879" s="75">
        <v>2</v>
      </c>
      <c r="H1879" s="75">
        <v>30</v>
      </c>
      <c r="I1879" s="75">
        <v>35</v>
      </c>
    </row>
    <row r="1880" spans="1:9">
      <c r="A1880" s="75">
        <v>783</v>
      </c>
      <c r="B1880" s="75">
        <v>10</v>
      </c>
      <c r="C1880" s="75">
        <v>793</v>
      </c>
      <c r="D1880" s="76">
        <v>43363.698287037034</v>
      </c>
      <c r="E1880" s="77">
        <v>43344</v>
      </c>
      <c r="F1880" s="78">
        <v>0.69828703703703709</v>
      </c>
      <c r="G1880" s="75">
        <v>2</v>
      </c>
      <c r="H1880" s="75">
        <v>45</v>
      </c>
      <c r="I1880" s="75">
        <v>32</v>
      </c>
    </row>
    <row r="1881" spans="1:9">
      <c r="A1881" s="75">
        <v>599</v>
      </c>
      <c r="B1881" s="75">
        <v>8</v>
      </c>
      <c r="C1881" s="75">
        <v>607</v>
      </c>
      <c r="D1881" s="76">
        <v>43363.708715277775</v>
      </c>
      <c r="E1881" s="77">
        <v>43344</v>
      </c>
      <c r="F1881" s="78">
        <v>0.70871527777777776</v>
      </c>
      <c r="G1881" s="75">
        <v>2</v>
      </c>
      <c r="H1881" s="75">
        <v>0</v>
      </c>
      <c r="I1881" s="75">
        <v>33</v>
      </c>
    </row>
    <row r="1882" spans="1:9">
      <c r="A1882" s="75">
        <v>656</v>
      </c>
      <c r="B1882" s="75">
        <v>7</v>
      </c>
      <c r="C1882" s="75">
        <v>663</v>
      </c>
      <c r="D1882" s="76">
        <v>43363.71912037037</v>
      </c>
      <c r="E1882" s="77">
        <v>43344</v>
      </c>
      <c r="F1882" s="78">
        <v>0.71912037037037047</v>
      </c>
      <c r="G1882" s="75">
        <v>2</v>
      </c>
      <c r="H1882" s="75">
        <v>15</v>
      </c>
      <c r="I1882" s="75">
        <v>32</v>
      </c>
    </row>
    <row r="1883" spans="1:9">
      <c r="A1883" s="75">
        <v>567</v>
      </c>
      <c r="B1883" s="75">
        <v>8</v>
      </c>
      <c r="C1883" s="75">
        <v>575</v>
      </c>
      <c r="D1883" s="76">
        <v>43363.729548611111</v>
      </c>
      <c r="E1883" s="77">
        <v>43344</v>
      </c>
      <c r="F1883" s="78">
        <v>0.72954861111111102</v>
      </c>
      <c r="G1883" s="75">
        <v>2</v>
      </c>
      <c r="H1883" s="75">
        <v>30</v>
      </c>
      <c r="I1883" s="75">
        <v>33</v>
      </c>
    </row>
    <row r="1884" spans="1:9">
      <c r="A1884" s="75">
        <v>537</v>
      </c>
      <c r="B1884" s="75">
        <v>11</v>
      </c>
      <c r="C1884" s="75">
        <v>548</v>
      </c>
      <c r="D1884" s="76">
        <v>43363.739953703705</v>
      </c>
      <c r="E1884" s="77">
        <v>43344</v>
      </c>
      <c r="F1884" s="78">
        <v>0.73995370370370372</v>
      </c>
      <c r="G1884" s="75">
        <v>2</v>
      </c>
      <c r="H1884" s="75">
        <v>45</v>
      </c>
      <c r="I1884" s="75">
        <v>32</v>
      </c>
    </row>
    <row r="1885" spans="1:9">
      <c r="A1885" s="75">
        <v>530</v>
      </c>
      <c r="B1885" s="75">
        <v>11</v>
      </c>
      <c r="C1885" s="75">
        <v>541</v>
      </c>
      <c r="D1885" s="76">
        <v>43363.75037037037</v>
      </c>
      <c r="E1885" s="77">
        <v>43344</v>
      </c>
      <c r="F1885" s="78">
        <v>0.75037037037037047</v>
      </c>
      <c r="G1885" s="75">
        <v>2</v>
      </c>
      <c r="H1885" s="75">
        <v>0</v>
      </c>
      <c r="I1885" s="75">
        <v>32</v>
      </c>
    </row>
    <row r="1886" spans="1:9">
      <c r="A1886" s="75">
        <v>609</v>
      </c>
      <c r="B1886" s="75">
        <v>5</v>
      </c>
      <c r="C1886" s="75">
        <v>614</v>
      </c>
      <c r="D1886" s="76">
        <v>43363.760787037034</v>
      </c>
      <c r="E1886" s="77">
        <v>43344</v>
      </c>
      <c r="F1886" s="78">
        <v>0.76078703703703709</v>
      </c>
      <c r="G1886" s="75">
        <v>2</v>
      </c>
      <c r="H1886" s="75">
        <v>15</v>
      </c>
      <c r="I1886" s="75">
        <v>32</v>
      </c>
    </row>
    <row r="1887" spans="1:9">
      <c r="A1887" s="75">
        <v>542</v>
      </c>
      <c r="B1887" s="75">
        <v>11</v>
      </c>
      <c r="C1887" s="75">
        <v>553</v>
      </c>
      <c r="D1887" s="76">
        <v>43363.771203703705</v>
      </c>
      <c r="E1887" s="77">
        <v>43344</v>
      </c>
      <c r="F1887" s="78">
        <v>0.77120370370370372</v>
      </c>
      <c r="G1887" s="75">
        <v>2</v>
      </c>
      <c r="H1887" s="75">
        <v>30</v>
      </c>
      <c r="I1887" s="75">
        <v>32</v>
      </c>
    </row>
    <row r="1888" spans="1:9">
      <c r="A1888" s="75">
        <v>658</v>
      </c>
      <c r="B1888" s="75">
        <v>11</v>
      </c>
      <c r="C1888" s="75">
        <v>669</v>
      </c>
      <c r="D1888" s="76">
        <v>43363.78162037037</v>
      </c>
      <c r="E1888" s="77">
        <v>43344</v>
      </c>
      <c r="F1888" s="78">
        <v>0.78162037037037047</v>
      </c>
      <c r="G1888" s="75">
        <v>2</v>
      </c>
      <c r="H1888" s="75">
        <v>45</v>
      </c>
      <c r="I1888" s="75">
        <v>32</v>
      </c>
    </row>
    <row r="1889" spans="1:9">
      <c r="A1889" s="75">
        <v>567</v>
      </c>
      <c r="B1889" s="75">
        <v>10</v>
      </c>
      <c r="C1889" s="75">
        <v>577</v>
      </c>
      <c r="D1889" s="76">
        <v>43363.792037037034</v>
      </c>
      <c r="E1889" s="77">
        <v>43344</v>
      </c>
      <c r="F1889" s="78">
        <v>0.79203703703703709</v>
      </c>
      <c r="G1889" s="75">
        <v>2</v>
      </c>
      <c r="H1889" s="75">
        <v>0</v>
      </c>
      <c r="I1889" s="75">
        <v>32</v>
      </c>
    </row>
    <row r="1890" spans="1:9">
      <c r="A1890" s="75">
        <v>732</v>
      </c>
      <c r="B1890" s="75">
        <v>10</v>
      </c>
      <c r="C1890" s="75">
        <v>740</v>
      </c>
      <c r="D1890" s="76">
        <v>43363.802453703705</v>
      </c>
      <c r="E1890" s="77">
        <v>43344</v>
      </c>
      <c r="F1890" s="78">
        <v>0.80245370370370372</v>
      </c>
      <c r="G1890" s="75">
        <v>2</v>
      </c>
      <c r="H1890" s="75">
        <v>15</v>
      </c>
      <c r="I1890" s="75">
        <v>32</v>
      </c>
    </row>
    <row r="1891" spans="1:9">
      <c r="A1891" s="75">
        <v>748</v>
      </c>
      <c r="B1891" s="75">
        <v>12</v>
      </c>
      <c r="C1891" s="75">
        <v>760</v>
      </c>
      <c r="D1891" s="76">
        <v>43363.81287037037</v>
      </c>
      <c r="E1891" s="77">
        <v>43344</v>
      </c>
      <c r="F1891" s="78">
        <v>0.81287037037037047</v>
      </c>
      <c r="G1891" s="75">
        <v>2</v>
      </c>
      <c r="H1891" s="75">
        <v>30</v>
      </c>
      <c r="I1891" s="75">
        <v>32</v>
      </c>
    </row>
    <row r="1892" spans="1:9">
      <c r="A1892" s="75">
        <v>829</v>
      </c>
      <c r="B1892" s="75">
        <v>16</v>
      </c>
      <c r="C1892" s="75">
        <v>845</v>
      </c>
      <c r="D1892" s="76">
        <v>43363.823287037034</v>
      </c>
      <c r="E1892" s="77">
        <v>43344</v>
      </c>
      <c r="F1892" s="78">
        <v>0.82328703703703709</v>
      </c>
      <c r="G1892" s="75">
        <v>2</v>
      </c>
      <c r="H1892" s="75">
        <v>45</v>
      </c>
      <c r="I1892" s="75">
        <v>32</v>
      </c>
    </row>
    <row r="1893" spans="1:9">
      <c r="A1893" s="75">
        <v>809</v>
      </c>
      <c r="B1893" s="75">
        <v>12</v>
      </c>
      <c r="C1893" s="75">
        <v>821</v>
      </c>
      <c r="D1893" s="76">
        <v>43363.833703703705</v>
      </c>
      <c r="E1893" s="77">
        <v>43344</v>
      </c>
      <c r="F1893" s="78">
        <v>0.83370370370370372</v>
      </c>
      <c r="G1893" s="75">
        <v>2</v>
      </c>
      <c r="H1893" s="75">
        <v>0</v>
      </c>
      <c r="I1893" s="75">
        <v>32</v>
      </c>
    </row>
    <row r="1894" spans="1:9">
      <c r="A1894" s="75">
        <v>1075</v>
      </c>
      <c r="B1894" s="75">
        <v>5</v>
      </c>
      <c r="C1894" s="75">
        <v>1080</v>
      </c>
      <c r="D1894" s="76">
        <v>43363.84412037037</v>
      </c>
      <c r="E1894" s="77">
        <v>43344</v>
      </c>
      <c r="F1894" s="78">
        <v>0.84412037037037047</v>
      </c>
      <c r="G1894" s="75">
        <v>2</v>
      </c>
      <c r="H1894" s="75">
        <v>15</v>
      </c>
      <c r="I1894" s="75">
        <v>32</v>
      </c>
    </row>
    <row r="1895" spans="1:9">
      <c r="A1895" s="75">
        <v>1052</v>
      </c>
      <c r="B1895" s="75">
        <v>8</v>
      </c>
      <c r="C1895" s="75">
        <v>1060</v>
      </c>
      <c r="D1895" s="76">
        <v>43363.854537037034</v>
      </c>
      <c r="E1895" s="77">
        <v>43344</v>
      </c>
      <c r="F1895" s="78">
        <v>0.85453703703703709</v>
      </c>
      <c r="G1895" s="75">
        <v>2</v>
      </c>
      <c r="H1895" s="75">
        <v>30</v>
      </c>
      <c r="I1895" s="75">
        <v>32</v>
      </c>
    </row>
    <row r="1896" spans="1:9">
      <c r="A1896" s="75">
        <v>1063</v>
      </c>
      <c r="B1896" s="75">
        <v>12</v>
      </c>
      <c r="C1896" s="75">
        <v>1075</v>
      </c>
      <c r="D1896" s="76">
        <v>43363.864953703705</v>
      </c>
      <c r="E1896" s="77">
        <v>43344</v>
      </c>
      <c r="F1896" s="78">
        <v>0.86495370370370372</v>
      </c>
      <c r="G1896" s="75">
        <v>2</v>
      </c>
      <c r="H1896" s="75">
        <v>45</v>
      </c>
      <c r="I1896" s="75">
        <v>32</v>
      </c>
    </row>
    <row r="1897" spans="1:9">
      <c r="A1897" s="75">
        <v>983</v>
      </c>
      <c r="B1897" s="75">
        <v>9</v>
      </c>
      <c r="C1897" s="75">
        <v>992</v>
      </c>
      <c r="D1897" s="76">
        <v>43363.87537037037</v>
      </c>
      <c r="E1897" s="77">
        <v>43344</v>
      </c>
      <c r="F1897" s="78">
        <v>0.87537037037037047</v>
      </c>
      <c r="G1897" s="75">
        <v>2</v>
      </c>
      <c r="H1897" s="75">
        <v>0</v>
      </c>
      <c r="I1897" s="75">
        <v>32</v>
      </c>
    </row>
    <row r="1898" spans="1:9">
      <c r="A1898" s="75">
        <v>1052</v>
      </c>
      <c r="B1898" s="75">
        <v>13</v>
      </c>
      <c r="C1898" s="75">
        <v>1055</v>
      </c>
      <c r="D1898" s="76">
        <v>43363.885787037034</v>
      </c>
      <c r="E1898" s="77">
        <v>43344</v>
      </c>
      <c r="F1898" s="78">
        <v>0.88578703703703709</v>
      </c>
      <c r="G1898" s="75">
        <v>2</v>
      </c>
      <c r="H1898" s="75">
        <v>15</v>
      </c>
      <c r="I1898" s="75">
        <v>32</v>
      </c>
    </row>
    <row r="1899" spans="1:9">
      <c r="A1899" s="75">
        <v>939</v>
      </c>
      <c r="B1899" s="75">
        <v>15</v>
      </c>
      <c r="C1899" s="75">
        <v>954</v>
      </c>
      <c r="D1899" s="76">
        <v>43363.896203703705</v>
      </c>
      <c r="E1899" s="77">
        <v>43344</v>
      </c>
      <c r="F1899" s="78">
        <v>0.89620370370370372</v>
      </c>
      <c r="G1899" s="75">
        <v>2</v>
      </c>
      <c r="H1899" s="75">
        <v>30</v>
      </c>
      <c r="I1899" s="75">
        <v>32</v>
      </c>
    </row>
    <row r="1900" spans="1:9">
      <c r="A1900" s="75">
        <v>945</v>
      </c>
      <c r="B1900" s="75">
        <v>12</v>
      </c>
      <c r="C1900" s="75">
        <v>957</v>
      </c>
      <c r="D1900" s="76">
        <v>43363.906608796293</v>
      </c>
      <c r="E1900" s="77">
        <v>43344</v>
      </c>
      <c r="F1900" s="78">
        <v>0.90660879629629632</v>
      </c>
      <c r="G1900" s="75">
        <v>2</v>
      </c>
      <c r="H1900" s="75">
        <v>45</v>
      </c>
      <c r="I1900" s="75">
        <v>31</v>
      </c>
    </row>
    <row r="1901" spans="1:9">
      <c r="A1901" s="75">
        <v>825</v>
      </c>
      <c r="B1901" s="75">
        <v>9</v>
      </c>
      <c r="C1901" s="75">
        <v>830</v>
      </c>
      <c r="D1901" s="76">
        <v>43363.917037037034</v>
      </c>
      <c r="E1901" s="77">
        <v>43344</v>
      </c>
      <c r="F1901" s="78">
        <v>0.91703703703703709</v>
      </c>
      <c r="G1901" s="75">
        <v>2</v>
      </c>
      <c r="H1901" s="75">
        <v>0</v>
      </c>
      <c r="I1901" s="75">
        <v>32</v>
      </c>
    </row>
    <row r="1902" spans="1:9">
      <c r="A1902" s="75">
        <v>903</v>
      </c>
      <c r="B1902" s="75">
        <v>9</v>
      </c>
      <c r="C1902" s="75">
        <v>912</v>
      </c>
      <c r="D1902" s="76">
        <v>43363.927453703705</v>
      </c>
      <c r="E1902" s="77">
        <v>43344</v>
      </c>
      <c r="F1902" s="78">
        <v>0.92745370370370372</v>
      </c>
      <c r="G1902" s="75">
        <v>2</v>
      </c>
      <c r="H1902" s="75">
        <v>15</v>
      </c>
      <c r="I1902" s="75">
        <v>32</v>
      </c>
    </row>
    <row r="1903" spans="1:9">
      <c r="A1903" s="75">
        <v>820</v>
      </c>
      <c r="B1903" s="75">
        <v>8</v>
      </c>
      <c r="C1903" s="75">
        <v>828</v>
      </c>
      <c r="D1903" s="76">
        <v>43363.93787037037</v>
      </c>
      <c r="E1903" s="77">
        <v>43344</v>
      </c>
      <c r="F1903" s="78">
        <v>0.93787037037037047</v>
      </c>
      <c r="G1903" s="75">
        <v>2</v>
      </c>
      <c r="H1903" s="75">
        <v>30</v>
      </c>
      <c r="I1903" s="75">
        <v>32</v>
      </c>
    </row>
    <row r="1904" spans="1:9">
      <c r="A1904" s="75">
        <v>822</v>
      </c>
      <c r="B1904" s="75">
        <v>6</v>
      </c>
      <c r="C1904" s="75">
        <v>828</v>
      </c>
      <c r="D1904" s="76">
        <v>43363.948287037034</v>
      </c>
      <c r="E1904" s="77">
        <v>43344</v>
      </c>
      <c r="F1904" s="78">
        <v>0.94828703703703709</v>
      </c>
      <c r="G1904" s="75">
        <v>2</v>
      </c>
      <c r="H1904" s="75">
        <v>45</v>
      </c>
      <c r="I1904" s="75">
        <v>32</v>
      </c>
    </row>
    <row r="1905" spans="1:9">
      <c r="A1905" s="75">
        <v>759</v>
      </c>
      <c r="B1905" s="75">
        <v>6</v>
      </c>
      <c r="C1905" s="75">
        <v>765</v>
      </c>
      <c r="D1905" s="76">
        <v>43363.958692129629</v>
      </c>
      <c r="E1905" s="77">
        <v>43344</v>
      </c>
      <c r="F1905" s="78">
        <v>0.95869212962962969</v>
      </c>
      <c r="G1905" s="75">
        <v>2</v>
      </c>
      <c r="H1905" s="75">
        <v>0</v>
      </c>
      <c r="I1905" s="75">
        <v>31</v>
      </c>
    </row>
    <row r="1906" spans="1:9">
      <c r="A1906" s="75">
        <v>706</v>
      </c>
      <c r="B1906" s="75">
        <v>14</v>
      </c>
      <c r="C1906" s="75">
        <v>720</v>
      </c>
      <c r="D1906" s="76">
        <v>43363.96912037037</v>
      </c>
      <c r="E1906" s="77">
        <v>43344</v>
      </c>
      <c r="F1906" s="78">
        <v>0.96912037037037047</v>
      </c>
      <c r="G1906" s="75">
        <v>2</v>
      </c>
      <c r="H1906" s="75">
        <v>15</v>
      </c>
      <c r="I1906" s="75">
        <v>32</v>
      </c>
    </row>
    <row r="1907" spans="1:9">
      <c r="A1907" s="75">
        <v>603</v>
      </c>
      <c r="B1907" s="75">
        <v>8</v>
      </c>
      <c r="C1907" s="75">
        <v>611</v>
      </c>
      <c r="D1907" s="76">
        <v>43363.979525462964</v>
      </c>
      <c r="E1907" s="77">
        <v>43344</v>
      </c>
      <c r="F1907" s="78">
        <v>0.97952546296296295</v>
      </c>
      <c r="G1907" s="75">
        <v>2</v>
      </c>
      <c r="H1907" s="75">
        <v>30</v>
      </c>
      <c r="I1907" s="75">
        <v>31</v>
      </c>
    </row>
    <row r="1908" spans="1:9">
      <c r="A1908" s="75">
        <v>528</v>
      </c>
      <c r="B1908" s="75">
        <v>7</v>
      </c>
      <c r="C1908" s="75">
        <v>535</v>
      </c>
      <c r="D1908" s="76">
        <v>43363.989953703705</v>
      </c>
      <c r="E1908" s="77">
        <v>43344</v>
      </c>
      <c r="F1908" s="78">
        <v>0.98995370370370372</v>
      </c>
      <c r="G1908" s="75">
        <v>2</v>
      </c>
      <c r="H1908" s="75">
        <v>45</v>
      </c>
      <c r="I1908" s="75">
        <v>32</v>
      </c>
    </row>
    <row r="1909" spans="1:9">
      <c r="A1909" s="75">
        <v>409</v>
      </c>
      <c r="B1909" s="75">
        <v>4</v>
      </c>
      <c r="C1909" s="75">
        <v>410</v>
      </c>
      <c r="D1909" s="76">
        <v>43364.000358796293</v>
      </c>
      <c r="E1909" s="77">
        <v>43344</v>
      </c>
      <c r="F1909" s="78">
        <v>3.5879629629629635E-4</v>
      </c>
      <c r="G1909" s="75">
        <v>2</v>
      </c>
      <c r="H1909" s="75">
        <v>0</v>
      </c>
      <c r="I1909" s="75">
        <v>31</v>
      </c>
    </row>
    <row r="1910" spans="1:9">
      <c r="A1910" s="75">
        <v>430</v>
      </c>
      <c r="B1910" s="75">
        <v>5</v>
      </c>
      <c r="C1910" s="75">
        <v>435</v>
      </c>
      <c r="D1910" s="76">
        <v>43364.010775462964</v>
      </c>
      <c r="E1910" s="77">
        <v>43344</v>
      </c>
      <c r="F1910" s="78">
        <v>1.0775462962962964E-2</v>
      </c>
      <c r="G1910" s="75">
        <v>2</v>
      </c>
      <c r="H1910" s="75">
        <v>15</v>
      </c>
      <c r="I1910" s="75">
        <v>31</v>
      </c>
    </row>
    <row r="1911" spans="1:9">
      <c r="A1911" s="75">
        <v>386</v>
      </c>
      <c r="B1911" s="75">
        <v>1</v>
      </c>
      <c r="C1911" s="75">
        <v>387</v>
      </c>
      <c r="D1911" s="76">
        <v>43364.021203703705</v>
      </c>
      <c r="E1911" s="77">
        <v>43344</v>
      </c>
      <c r="F1911" s="78">
        <v>2.1203703703703707E-2</v>
      </c>
      <c r="G1911" s="75">
        <v>2</v>
      </c>
      <c r="H1911" s="75">
        <v>30</v>
      </c>
      <c r="I1911" s="75">
        <v>32</v>
      </c>
    </row>
    <row r="1912" spans="1:9">
      <c r="A1912" s="75">
        <v>356</v>
      </c>
      <c r="B1912" s="75">
        <v>5</v>
      </c>
      <c r="C1912" s="75">
        <v>361</v>
      </c>
      <c r="D1912" s="76">
        <v>43364.031608796293</v>
      </c>
      <c r="E1912" s="77">
        <v>43344</v>
      </c>
      <c r="F1912" s="78">
        <v>3.1608796296296295E-2</v>
      </c>
      <c r="G1912" s="75">
        <v>2</v>
      </c>
      <c r="H1912" s="75">
        <v>45</v>
      </c>
      <c r="I1912" s="75">
        <v>31</v>
      </c>
    </row>
    <row r="1913" spans="1:9">
      <c r="A1913" s="75">
        <v>326</v>
      </c>
      <c r="B1913" s="75">
        <v>4</v>
      </c>
      <c r="C1913" s="75">
        <v>330</v>
      </c>
      <c r="D1913" s="76">
        <v>43364.042037037034</v>
      </c>
      <c r="E1913" s="77">
        <v>43344</v>
      </c>
      <c r="F1913" s="78">
        <v>4.2037037037037039E-2</v>
      </c>
      <c r="G1913" s="75">
        <v>2</v>
      </c>
      <c r="H1913" s="75">
        <v>0</v>
      </c>
      <c r="I1913" s="75">
        <v>32</v>
      </c>
    </row>
    <row r="1914" spans="1:9">
      <c r="A1914" s="75">
        <v>337</v>
      </c>
      <c r="B1914" s="75">
        <v>4</v>
      </c>
      <c r="C1914" s="75">
        <v>341</v>
      </c>
      <c r="D1914" s="76">
        <v>43364.052442129629</v>
      </c>
      <c r="E1914" s="77">
        <v>43344</v>
      </c>
      <c r="F1914" s="78">
        <v>5.244212962962963E-2</v>
      </c>
      <c r="G1914" s="75">
        <v>2</v>
      </c>
      <c r="H1914" s="75">
        <v>15</v>
      </c>
      <c r="I1914" s="75">
        <v>31</v>
      </c>
    </row>
    <row r="1915" spans="1:9">
      <c r="A1915" s="75">
        <v>290</v>
      </c>
      <c r="B1915" s="75">
        <v>1</v>
      </c>
      <c r="C1915" s="75">
        <v>291</v>
      </c>
      <c r="D1915" s="76">
        <v>43364.06287037037</v>
      </c>
      <c r="E1915" s="77">
        <v>43344</v>
      </c>
      <c r="F1915" s="78">
        <v>6.2870370370370368E-2</v>
      </c>
      <c r="G1915" s="75">
        <v>2</v>
      </c>
      <c r="H1915" s="75">
        <v>30</v>
      </c>
      <c r="I1915" s="75">
        <v>32</v>
      </c>
    </row>
    <row r="1916" spans="1:9">
      <c r="A1916" s="75">
        <v>312</v>
      </c>
      <c r="B1916" s="75">
        <v>0</v>
      </c>
      <c r="C1916" s="75">
        <v>312</v>
      </c>
      <c r="D1916" s="76">
        <v>43364.073275462964</v>
      </c>
      <c r="E1916" s="77">
        <v>43344</v>
      </c>
      <c r="F1916" s="78">
        <v>7.3275462962962959E-2</v>
      </c>
      <c r="G1916" s="75">
        <v>2</v>
      </c>
      <c r="H1916" s="75">
        <v>45</v>
      </c>
      <c r="I1916" s="75">
        <v>31</v>
      </c>
    </row>
    <row r="1917" spans="1:9">
      <c r="A1917" s="75">
        <v>335</v>
      </c>
      <c r="B1917" s="75">
        <v>1</v>
      </c>
      <c r="C1917" s="75">
        <v>336</v>
      </c>
      <c r="D1917" s="76">
        <v>43364.083796296298</v>
      </c>
      <c r="E1917" s="77">
        <v>43344</v>
      </c>
      <c r="F1917" s="78">
        <v>8.3796296296296299E-2</v>
      </c>
      <c r="G1917" s="75">
        <v>2</v>
      </c>
      <c r="H1917" s="75">
        <v>0</v>
      </c>
      <c r="I1917" s="75">
        <v>40</v>
      </c>
    </row>
    <row r="1918" spans="1:9">
      <c r="A1918" s="75">
        <v>318</v>
      </c>
      <c r="B1918" s="75">
        <v>5</v>
      </c>
      <c r="C1918" s="75">
        <v>323</v>
      </c>
      <c r="D1918" s="76">
        <v>43364.09412037037</v>
      </c>
      <c r="E1918" s="77">
        <v>43344</v>
      </c>
      <c r="F1918" s="78">
        <v>9.4120370370370368E-2</v>
      </c>
      <c r="G1918" s="75">
        <v>2</v>
      </c>
      <c r="H1918" s="75">
        <v>15</v>
      </c>
      <c r="I1918" s="75">
        <v>32</v>
      </c>
    </row>
    <row r="1919" spans="1:9">
      <c r="A1919" s="75">
        <v>293</v>
      </c>
      <c r="B1919" s="75">
        <v>8</v>
      </c>
      <c r="C1919" s="75">
        <v>291</v>
      </c>
      <c r="D1919" s="76">
        <v>43364.104537037034</v>
      </c>
      <c r="E1919" s="77">
        <v>43344</v>
      </c>
      <c r="F1919" s="78">
        <v>0.10453703703703704</v>
      </c>
      <c r="G1919" s="75">
        <v>2</v>
      </c>
      <c r="H1919" s="75">
        <v>30</v>
      </c>
      <c r="I1919" s="75">
        <v>32</v>
      </c>
    </row>
    <row r="1920" spans="1:9">
      <c r="A1920" s="75">
        <v>238</v>
      </c>
      <c r="B1920" s="75">
        <v>7</v>
      </c>
      <c r="C1920" s="75">
        <v>245</v>
      </c>
      <c r="D1920" s="76">
        <v>43364.114942129629</v>
      </c>
      <c r="E1920" s="77">
        <v>43344</v>
      </c>
      <c r="F1920" s="78">
        <v>0.11494212962962963</v>
      </c>
      <c r="G1920" s="75">
        <v>2</v>
      </c>
      <c r="H1920" s="75">
        <v>45</v>
      </c>
      <c r="I1920" s="75">
        <v>31</v>
      </c>
    </row>
    <row r="1921" spans="1:9">
      <c r="A1921" s="75">
        <v>215</v>
      </c>
      <c r="B1921" s="75">
        <v>4</v>
      </c>
      <c r="C1921" s="75">
        <v>219</v>
      </c>
      <c r="D1921" s="76">
        <v>43364.12537037037</v>
      </c>
      <c r="E1921" s="77">
        <v>43344</v>
      </c>
      <c r="F1921" s="78">
        <v>0.12537037037037038</v>
      </c>
      <c r="G1921" s="75">
        <v>2</v>
      </c>
      <c r="H1921" s="75">
        <v>0</v>
      </c>
      <c r="I1921" s="75">
        <v>32</v>
      </c>
    </row>
    <row r="1922" spans="1:9">
      <c r="A1922" s="75">
        <v>181</v>
      </c>
      <c r="B1922" s="75">
        <v>4</v>
      </c>
      <c r="C1922" s="75">
        <v>185</v>
      </c>
      <c r="D1922" s="76">
        <v>43364.135775462964</v>
      </c>
      <c r="E1922" s="77">
        <v>43344</v>
      </c>
      <c r="F1922" s="78">
        <v>0.13577546296296297</v>
      </c>
      <c r="G1922" s="75">
        <v>2</v>
      </c>
      <c r="H1922" s="75">
        <v>15</v>
      </c>
      <c r="I1922" s="75">
        <v>31</v>
      </c>
    </row>
    <row r="1923" spans="1:9">
      <c r="A1923" s="75">
        <v>154</v>
      </c>
      <c r="B1923" s="75">
        <v>1</v>
      </c>
      <c r="C1923" s="75">
        <v>148</v>
      </c>
      <c r="D1923" s="76">
        <v>43364.146203703705</v>
      </c>
      <c r="E1923" s="77">
        <v>43344</v>
      </c>
      <c r="F1923" s="78">
        <v>0.1462037037037037</v>
      </c>
      <c r="G1923" s="75">
        <v>2</v>
      </c>
      <c r="H1923" s="75">
        <v>30</v>
      </c>
      <c r="I1923" s="75">
        <v>32</v>
      </c>
    </row>
    <row r="1924" spans="1:9">
      <c r="A1924" s="75">
        <v>122</v>
      </c>
      <c r="B1924" s="75">
        <v>0</v>
      </c>
      <c r="C1924" s="75">
        <v>122</v>
      </c>
      <c r="D1924" s="76">
        <v>43364.156608796293</v>
      </c>
      <c r="E1924" s="77">
        <v>43344</v>
      </c>
      <c r="F1924" s="78">
        <v>0.15660879629629629</v>
      </c>
      <c r="G1924" s="75">
        <v>2</v>
      </c>
      <c r="H1924" s="75">
        <v>45</v>
      </c>
      <c r="I1924" s="75">
        <v>31</v>
      </c>
    </row>
    <row r="1925" spans="1:9">
      <c r="A1925" s="75">
        <v>123</v>
      </c>
      <c r="B1925" s="75">
        <v>1</v>
      </c>
      <c r="C1925" s="75">
        <v>124</v>
      </c>
      <c r="D1925" s="76">
        <v>43364.167037037034</v>
      </c>
      <c r="E1925" s="77">
        <v>43344</v>
      </c>
      <c r="F1925" s="78">
        <v>0.16703703703703701</v>
      </c>
      <c r="G1925" s="75">
        <v>2</v>
      </c>
      <c r="H1925" s="75">
        <v>0</v>
      </c>
      <c r="I1925" s="75">
        <v>32</v>
      </c>
    </row>
    <row r="1926" spans="1:9">
      <c r="A1926" s="75">
        <v>95</v>
      </c>
      <c r="B1926" s="75">
        <v>1</v>
      </c>
      <c r="C1926" s="75">
        <v>92</v>
      </c>
      <c r="D1926" s="76">
        <v>43364.177442129629</v>
      </c>
      <c r="E1926" s="77">
        <v>43344</v>
      </c>
      <c r="F1926" s="78">
        <v>0.17744212962962966</v>
      </c>
      <c r="G1926" s="75">
        <v>2</v>
      </c>
      <c r="H1926" s="75">
        <v>15</v>
      </c>
      <c r="I1926" s="75">
        <v>31</v>
      </c>
    </row>
    <row r="1927" spans="1:9">
      <c r="A1927" s="75">
        <v>86</v>
      </c>
      <c r="B1927" s="75">
        <v>0</v>
      </c>
      <c r="C1927" s="75">
        <v>85</v>
      </c>
      <c r="D1927" s="76">
        <v>43364.187858796293</v>
      </c>
      <c r="E1927" s="77">
        <v>43344</v>
      </c>
      <c r="F1927" s="78">
        <v>0.18785879629629632</v>
      </c>
      <c r="G1927" s="75">
        <v>2</v>
      </c>
      <c r="H1927" s="75">
        <v>30</v>
      </c>
      <c r="I1927" s="75">
        <v>31</v>
      </c>
    </row>
    <row r="1928" spans="1:9">
      <c r="A1928" s="75">
        <v>67</v>
      </c>
      <c r="B1928" s="75">
        <v>0</v>
      </c>
      <c r="C1928" s="75">
        <v>67</v>
      </c>
      <c r="D1928" s="76">
        <v>43364.198275462964</v>
      </c>
      <c r="E1928" s="77">
        <v>43344</v>
      </c>
      <c r="F1928" s="78">
        <v>0.19827546296296297</v>
      </c>
      <c r="G1928" s="75">
        <v>2</v>
      </c>
      <c r="H1928" s="75">
        <v>45</v>
      </c>
      <c r="I1928" s="75">
        <v>31</v>
      </c>
    </row>
    <row r="1929" spans="1:9">
      <c r="A1929" s="75">
        <v>79</v>
      </c>
      <c r="B1929" s="75">
        <v>0</v>
      </c>
      <c r="C1929" s="75">
        <v>71</v>
      </c>
      <c r="D1929" s="76">
        <v>43364.208703703705</v>
      </c>
      <c r="E1929" s="77">
        <v>43344</v>
      </c>
      <c r="F1929" s="78">
        <v>0.2087037037037037</v>
      </c>
      <c r="G1929" s="75">
        <v>2</v>
      </c>
      <c r="H1929" s="75">
        <v>0</v>
      </c>
      <c r="I1929" s="75">
        <v>32</v>
      </c>
    </row>
    <row r="1930" spans="1:9">
      <c r="A1930" s="75">
        <v>45</v>
      </c>
      <c r="B1930" s="75">
        <v>0</v>
      </c>
      <c r="C1930" s="75">
        <v>45</v>
      </c>
      <c r="D1930" s="76">
        <v>43364.219108796293</v>
      </c>
      <c r="E1930" s="77">
        <v>43344</v>
      </c>
      <c r="F1930" s="78">
        <v>0.21910879629629632</v>
      </c>
      <c r="G1930" s="75">
        <v>2</v>
      </c>
      <c r="H1930" s="75">
        <v>15</v>
      </c>
      <c r="I1930" s="75">
        <v>31</v>
      </c>
    </row>
    <row r="1931" spans="1:9">
      <c r="A1931" s="75">
        <v>38</v>
      </c>
      <c r="B1931" s="75">
        <v>0</v>
      </c>
      <c r="C1931" s="75">
        <v>35</v>
      </c>
      <c r="D1931" s="76">
        <v>43364.229525462964</v>
      </c>
      <c r="E1931" s="77">
        <v>43344</v>
      </c>
      <c r="F1931" s="78">
        <v>0.22952546296296297</v>
      </c>
      <c r="G1931" s="75">
        <v>2</v>
      </c>
      <c r="H1931" s="75">
        <v>30</v>
      </c>
      <c r="I1931" s="75">
        <v>31</v>
      </c>
    </row>
    <row r="1932" spans="1:9">
      <c r="A1932" s="75">
        <v>35</v>
      </c>
      <c r="B1932" s="75">
        <v>0</v>
      </c>
      <c r="C1932" s="75">
        <v>35</v>
      </c>
      <c r="D1932" s="76">
        <v>43364.239953703705</v>
      </c>
      <c r="E1932" s="77">
        <v>43344</v>
      </c>
      <c r="F1932" s="78">
        <v>0.2399537037037037</v>
      </c>
      <c r="G1932" s="75">
        <v>2</v>
      </c>
      <c r="H1932" s="75">
        <v>45</v>
      </c>
      <c r="I1932" s="75">
        <v>32</v>
      </c>
    </row>
    <row r="1933" spans="1:9">
      <c r="A1933" s="75">
        <v>34</v>
      </c>
      <c r="B1933" s="75">
        <v>0</v>
      </c>
      <c r="C1933" s="75">
        <v>33</v>
      </c>
      <c r="D1933" s="76">
        <v>43364.250358796293</v>
      </c>
      <c r="E1933" s="77">
        <v>43344</v>
      </c>
      <c r="F1933" s="78">
        <v>0.25035879629629626</v>
      </c>
      <c r="G1933" s="75">
        <v>2</v>
      </c>
      <c r="H1933" s="75">
        <v>0</v>
      </c>
      <c r="I1933" s="75">
        <v>31</v>
      </c>
    </row>
    <row r="1934" spans="1:9">
      <c r="A1934" s="75">
        <v>33</v>
      </c>
      <c r="B1934" s="75">
        <v>0</v>
      </c>
      <c r="C1934" s="75">
        <v>32</v>
      </c>
      <c r="D1934" s="76">
        <v>43364.260775462964</v>
      </c>
      <c r="E1934" s="77">
        <v>43344</v>
      </c>
      <c r="F1934" s="78">
        <v>0.260775462962963</v>
      </c>
      <c r="G1934" s="75">
        <v>2</v>
      </c>
      <c r="H1934" s="75">
        <v>15</v>
      </c>
      <c r="I1934" s="75">
        <v>31</v>
      </c>
    </row>
    <row r="1935" spans="1:9">
      <c r="A1935" s="75">
        <v>31</v>
      </c>
      <c r="B1935" s="75">
        <v>0</v>
      </c>
      <c r="C1935" s="75">
        <v>30</v>
      </c>
      <c r="D1935" s="76">
        <v>43364.273831018516</v>
      </c>
      <c r="E1935" s="77">
        <v>43344</v>
      </c>
      <c r="F1935" s="78">
        <v>0.27383101851851849</v>
      </c>
      <c r="G1935" s="75">
        <v>2</v>
      </c>
      <c r="H1935" s="75">
        <v>34</v>
      </c>
      <c r="I1935" s="75">
        <v>19</v>
      </c>
    </row>
    <row r="1936" spans="1:9">
      <c r="A1936" s="75">
        <v>30</v>
      </c>
      <c r="B1936" s="75">
        <v>0</v>
      </c>
      <c r="C1936" s="75">
        <v>29</v>
      </c>
      <c r="D1936" s="76">
        <v>43364.281608796293</v>
      </c>
      <c r="E1936" s="77">
        <v>43344</v>
      </c>
      <c r="F1936" s="78">
        <v>0.28160879629629632</v>
      </c>
      <c r="G1936" s="75">
        <v>2</v>
      </c>
      <c r="H1936" s="75">
        <v>45</v>
      </c>
      <c r="I1936" s="75">
        <v>31</v>
      </c>
    </row>
    <row r="1937" spans="1:9">
      <c r="A1937" s="75">
        <v>34</v>
      </c>
      <c r="B1937" s="75">
        <v>0</v>
      </c>
      <c r="C1937" s="75">
        <v>33</v>
      </c>
      <c r="D1937" s="76">
        <v>43364.292025462964</v>
      </c>
      <c r="E1937" s="77">
        <v>43344</v>
      </c>
      <c r="F1937" s="78">
        <v>0.29202546296296295</v>
      </c>
      <c r="G1937" s="75">
        <v>2</v>
      </c>
      <c r="H1937" s="75">
        <v>0</v>
      </c>
      <c r="I1937" s="75">
        <v>31</v>
      </c>
    </row>
    <row r="1938" spans="1:9">
      <c r="A1938" s="75">
        <v>58</v>
      </c>
      <c r="B1938" s="75">
        <v>0</v>
      </c>
      <c r="C1938" s="75">
        <v>57</v>
      </c>
      <c r="D1938" s="76">
        <v>43364.302453703705</v>
      </c>
      <c r="E1938" s="77">
        <v>43344</v>
      </c>
      <c r="F1938" s="78">
        <v>0.30245370370370367</v>
      </c>
      <c r="G1938" s="75">
        <v>2</v>
      </c>
      <c r="H1938" s="75">
        <v>15</v>
      </c>
      <c r="I1938" s="75">
        <v>32</v>
      </c>
    </row>
    <row r="1939" spans="1:9">
      <c r="A1939" s="75">
        <v>67</v>
      </c>
      <c r="B1939" s="75">
        <v>0</v>
      </c>
      <c r="C1939" s="75">
        <v>66</v>
      </c>
      <c r="D1939" s="76">
        <v>43364.312916666669</v>
      </c>
      <c r="E1939" s="77">
        <v>43344</v>
      </c>
      <c r="F1939" s="78">
        <v>0.31291666666666668</v>
      </c>
      <c r="G1939" s="75">
        <v>2</v>
      </c>
      <c r="H1939" s="75">
        <v>30</v>
      </c>
      <c r="I1939" s="75">
        <v>36</v>
      </c>
    </row>
    <row r="1940" spans="1:9">
      <c r="A1940" s="75">
        <v>95</v>
      </c>
      <c r="B1940" s="75">
        <v>0</v>
      </c>
      <c r="C1940" s="75">
        <v>87</v>
      </c>
      <c r="D1940" s="76">
        <v>43364.323298611111</v>
      </c>
      <c r="E1940" s="77">
        <v>43344</v>
      </c>
      <c r="F1940" s="78">
        <v>0.32329861111111108</v>
      </c>
      <c r="G1940" s="75">
        <v>2</v>
      </c>
      <c r="H1940" s="75">
        <v>45</v>
      </c>
      <c r="I1940" s="75">
        <v>33</v>
      </c>
    </row>
    <row r="1941" spans="1:9">
      <c r="A1941" s="75">
        <v>69</v>
      </c>
      <c r="B1941" s="75">
        <v>0</v>
      </c>
      <c r="C1941" s="75">
        <v>68</v>
      </c>
      <c r="D1941" s="76">
        <v>43364.333703703705</v>
      </c>
      <c r="E1941" s="77">
        <v>43344</v>
      </c>
      <c r="F1941" s="78">
        <v>0.33370370370370367</v>
      </c>
      <c r="G1941" s="75">
        <v>2</v>
      </c>
      <c r="H1941" s="75">
        <v>0</v>
      </c>
      <c r="I1941" s="75">
        <v>32</v>
      </c>
    </row>
    <row r="1942" spans="1:9">
      <c r="A1942" s="75">
        <v>102</v>
      </c>
      <c r="B1942" s="75">
        <v>0</v>
      </c>
      <c r="C1942" s="75">
        <v>101</v>
      </c>
      <c r="D1942" s="76">
        <v>43364.34412037037</v>
      </c>
      <c r="E1942" s="77">
        <v>43344</v>
      </c>
      <c r="F1942" s="78">
        <v>0.34412037037037035</v>
      </c>
      <c r="G1942" s="75">
        <v>2</v>
      </c>
      <c r="H1942" s="75">
        <v>15</v>
      </c>
      <c r="I1942" s="75">
        <v>32</v>
      </c>
    </row>
    <row r="1943" spans="1:9">
      <c r="A1943" s="75">
        <v>134</v>
      </c>
      <c r="B1943" s="75">
        <v>1</v>
      </c>
      <c r="C1943" s="75">
        <v>135</v>
      </c>
      <c r="D1943" s="76">
        <v>43364.354560185187</v>
      </c>
      <c r="E1943" s="77">
        <v>43344</v>
      </c>
      <c r="F1943" s="78">
        <v>0.35456018518518517</v>
      </c>
      <c r="G1943" s="75">
        <v>2</v>
      </c>
      <c r="H1943" s="75">
        <v>30</v>
      </c>
      <c r="I1943" s="75">
        <v>34</v>
      </c>
    </row>
    <row r="1944" spans="1:9">
      <c r="A1944" s="75">
        <v>178</v>
      </c>
      <c r="B1944" s="75">
        <v>0</v>
      </c>
      <c r="C1944" s="75">
        <v>177</v>
      </c>
      <c r="D1944" s="76">
        <v>43364.364953703705</v>
      </c>
      <c r="E1944" s="77">
        <v>43344</v>
      </c>
      <c r="F1944" s="78">
        <v>0.36495370370370367</v>
      </c>
      <c r="G1944" s="75">
        <v>2</v>
      </c>
      <c r="H1944" s="75">
        <v>45</v>
      </c>
      <c r="I1944" s="75">
        <v>32</v>
      </c>
    </row>
    <row r="1945" spans="1:9">
      <c r="A1945" s="75">
        <v>198</v>
      </c>
      <c r="B1945" s="75">
        <v>0</v>
      </c>
      <c r="C1945" s="75">
        <v>197</v>
      </c>
      <c r="D1945" s="76">
        <v>43364.375381944446</v>
      </c>
      <c r="E1945" s="77">
        <v>43344</v>
      </c>
      <c r="F1945" s="78">
        <v>0.37538194444444445</v>
      </c>
      <c r="G1945" s="75">
        <v>2</v>
      </c>
      <c r="H1945" s="75">
        <v>0</v>
      </c>
      <c r="I1945" s="75">
        <v>33</v>
      </c>
    </row>
    <row r="1946" spans="1:9">
      <c r="A1946" s="75">
        <v>314</v>
      </c>
      <c r="B1946" s="75">
        <v>1</v>
      </c>
      <c r="C1946" s="75">
        <v>315</v>
      </c>
      <c r="D1946" s="76">
        <v>43364.385798611111</v>
      </c>
      <c r="E1946" s="77">
        <v>43344</v>
      </c>
      <c r="F1946" s="78">
        <v>0.38579861111111113</v>
      </c>
      <c r="G1946" s="75">
        <v>2</v>
      </c>
      <c r="H1946" s="75">
        <v>15</v>
      </c>
      <c r="I1946" s="75">
        <v>33</v>
      </c>
    </row>
    <row r="1947" spans="1:9">
      <c r="A1947" s="75">
        <v>473</v>
      </c>
      <c r="B1947" s="75">
        <v>1</v>
      </c>
      <c r="C1947" s="75">
        <v>474</v>
      </c>
      <c r="D1947" s="76">
        <v>43364.396203703705</v>
      </c>
      <c r="E1947" s="77">
        <v>43344</v>
      </c>
      <c r="F1947" s="78">
        <v>0.39620370370370367</v>
      </c>
      <c r="G1947" s="75">
        <v>2</v>
      </c>
      <c r="H1947" s="75">
        <v>30</v>
      </c>
      <c r="I1947" s="75">
        <v>32</v>
      </c>
    </row>
    <row r="1948" spans="1:9">
      <c r="A1948" s="75">
        <v>887</v>
      </c>
      <c r="B1948" s="75">
        <v>7</v>
      </c>
      <c r="C1948" s="75">
        <v>886</v>
      </c>
      <c r="D1948" s="76">
        <v>43364.406631944446</v>
      </c>
      <c r="E1948" s="77">
        <v>43344</v>
      </c>
      <c r="F1948" s="78">
        <v>0.40663194444444445</v>
      </c>
      <c r="G1948" s="75">
        <v>2</v>
      </c>
      <c r="H1948" s="75">
        <v>45</v>
      </c>
      <c r="I1948" s="75">
        <v>33</v>
      </c>
    </row>
    <row r="1949" spans="1:9">
      <c r="A1949" s="75">
        <v>806</v>
      </c>
      <c r="B1949" s="75">
        <v>13</v>
      </c>
      <c r="C1949" s="75">
        <v>819</v>
      </c>
      <c r="D1949" s="76">
        <v>43364.417037037034</v>
      </c>
      <c r="E1949" s="77">
        <v>43344</v>
      </c>
      <c r="F1949" s="78">
        <v>0.41703703703703704</v>
      </c>
      <c r="G1949" s="75">
        <v>2</v>
      </c>
      <c r="H1949" s="75">
        <v>0</v>
      </c>
      <c r="I1949" s="75">
        <v>32</v>
      </c>
    </row>
    <row r="1950" spans="1:9">
      <c r="A1950" s="75">
        <v>773</v>
      </c>
      <c r="B1950" s="75">
        <v>19</v>
      </c>
      <c r="C1950" s="75">
        <v>785</v>
      </c>
      <c r="D1950" s="76">
        <v>43364.427465277775</v>
      </c>
      <c r="E1950" s="77">
        <v>43344</v>
      </c>
      <c r="F1950" s="78">
        <v>0.42746527777777782</v>
      </c>
      <c r="G1950" s="75">
        <v>2</v>
      </c>
      <c r="H1950" s="75">
        <v>15</v>
      </c>
      <c r="I1950" s="75">
        <v>33</v>
      </c>
    </row>
    <row r="1951" spans="1:9">
      <c r="A1951" s="75">
        <v>818</v>
      </c>
      <c r="B1951" s="75">
        <v>19</v>
      </c>
      <c r="C1951" s="75">
        <v>837</v>
      </c>
      <c r="D1951" s="76">
        <v>43364.43787037037</v>
      </c>
      <c r="E1951" s="77">
        <v>43344</v>
      </c>
      <c r="F1951" s="78">
        <v>0.43787037037037035</v>
      </c>
      <c r="G1951" s="75">
        <v>2</v>
      </c>
      <c r="H1951" s="75">
        <v>30</v>
      </c>
      <c r="I1951" s="75">
        <v>32</v>
      </c>
    </row>
    <row r="1952" spans="1:9">
      <c r="A1952" s="75">
        <v>1010</v>
      </c>
      <c r="B1952" s="75">
        <v>30</v>
      </c>
      <c r="C1952" s="75">
        <v>1040</v>
      </c>
      <c r="D1952" s="76">
        <v>43364.448298611111</v>
      </c>
      <c r="E1952" s="77">
        <v>43344</v>
      </c>
      <c r="F1952" s="78">
        <v>0.44829861111111113</v>
      </c>
      <c r="G1952" s="75">
        <v>2</v>
      </c>
      <c r="H1952" s="75">
        <v>45</v>
      </c>
      <c r="I1952" s="75">
        <v>33</v>
      </c>
    </row>
    <row r="1953" spans="1:9">
      <c r="A1953" s="75">
        <v>794</v>
      </c>
      <c r="B1953" s="75">
        <v>26</v>
      </c>
      <c r="C1953" s="75">
        <v>820</v>
      </c>
      <c r="D1953" s="76">
        <v>43364.458703703705</v>
      </c>
      <c r="E1953" s="77">
        <v>43344</v>
      </c>
      <c r="F1953" s="78">
        <v>0.45870370370370367</v>
      </c>
      <c r="G1953" s="75">
        <v>2</v>
      </c>
      <c r="H1953" s="75">
        <v>0</v>
      </c>
      <c r="I1953" s="75">
        <v>32</v>
      </c>
    </row>
    <row r="1954" spans="1:9">
      <c r="A1954" s="75">
        <v>682</v>
      </c>
      <c r="B1954" s="75">
        <v>12</v>
      </c>
      <c r="C1954" s="75">
        <v>694</v>
      </c>
      <c r="D1954" s="76">
        <v>43364.46912037037</v>
      </c>
      <c r="E1954" s="77">
        <v>43344</v>
      </c>
      <c r="F1954" s="78">
        <v>0.46912037037037035</v>
      </c>
      <c r="G1954" s="75">
        <v>2</v>
      </c>
      <c r="H1954" s="75">
        <v>15</v>
      </c>
      <c r="I1954" s="75">
        <v>32</v>
      </c>
    </row>
    <row r="1955" spans="1:9">
      <c r="A1955" s="75">
        <v>556</v>
      </c>
      <c r="B1955" s="75">
        <v>7</v>
      </c>
      <c r="C1955" s="75">
        <v>562</v>
      </c>
      <c r="D1955" s="76">
        <v>43364.479537037034</v>
      </c>
      <c r="E1955" s="77">
        <v>43344</v>
      </c>
      <c r="F1955" s="78">
        <v>0.47953703703703704</v>
      </c>
      <c r="G1955" s="75">
        <v>2</v>
      </c>
      <c r="H1955" s="75">
        <v>30</v>
      </c>
      <c r="I1955" s="75">
        <v>32</v>
      </c>
    </row>
    <row r="1956" spans="1:9">
      <c r="A1956" s="75">
        <v>522</v>
      </c>
      <c r="B1956" s="75">
        <v>6</v>
      </c>
      <c r="C1956" s="75">
        <v>528</v>
      </c>
      <c r="D1956" s="76">
        <v>43364.489953703705</v>
      </c>
      <c r="E1956" s="77">
        <v>43344</v>
      </c>
      <c r="F1956" s="78">
        <v>0.48995370370370367</v>
      </c>
      <c r="G1956" s="75">
        <v>2</v>
      </c>
      <c r="H1956" s="75">
        <v>45</v>
      </c>
      <c r="I1956" s="75">
        <v>32</v>
      </c>
    </row>
    <row r="1957" spans="1:9">
      <c r="A1957" s="75">
        <v>394</v>
      </c>
      <c r="B1957" s="75">
        <v>3</v>
      </c>
      <c r="C1957" s="75">
        <v>397</v>
      </c>
      <c r="D1957" s="76">
        <v>43364.500381944446</v>
      </c>
      <c r="E1957" s="77">
        <v>43344</v>
      </c>
      <c r="F1957" s="78">
        <v>0.5003819444444445</v>
      </c>
      <c r="G1957" s="75">
        <v>2</v>
      </c>
      <c r="H1957" s="75">
        <v>0</v>
      </c>
      <c r="I1957" s="75">
        <v>33</v>
      </c>
    </row>
    <row r="1958" spans="1:9">
      <c r="A1958" s="75">
        <v>394</v>
      </c>
      <c r="B1958" s="75">
        <v>2</v>
      </c>
      <c r="C1958" s="75">
        <v>396</v>
      </c>
      <c r="D1958" s="76">
        <v>43364.510787037034</v>
      </c>
      <c r="E1958" s="77">
        <v>43344</v>
      </c>
      <c r="F1958" s="78">
        <v>0.51078703703703698</v>
      </c>
      <c r="G1958" s="75">
        <v>2</v>
      </c>
      <c r="H1958" s="75">
        <v>15</v>
      </c>
      <c r="I1958" s="75">
        <v>32</v>
      </c>
    </row>
    <row r="1959" spans="1:9">
      <c r="A1959" s="75">
        <v>418</v>
      </c>
      <c r="B1959" s="75">
        <v>6</v>
      </c>
      <c r="C1959" s="75">
        <v>424</v>
      </c>
      <c r="D1959" s="76">
        <v>43364.521203703705</v>
      </c>
      <c r="E1959" s="77">
        <v>43344</v>
      </c>
      <c r="F1959" s="78">
        <v>0.52120370370370372</v>
      </c>
      <c r="G1959" s="75">
        <v>2</v>
      </c>
      <c r="H1959" s="75">
        <v>30</v>
      </c>
      <c r="I1959" s="75">
        <v>32</v>
      </c>
    </row>
    <row r="1960" spans="1:9">
      <c r="A1960" s="75">
        <v>461</v>
      </c>
      <c r="B1960" s="75">
        <v>5</v>
      </c>
      <c r="C1960" s="75">
        <v>466</v>
      </c>
      <c r="D1960" s="76">
        <v>43364.53162037037</v>
      </c>
      <c r="E1960" s="77">
        <v>43344</v>
      </c>
      <c r="F1960" s="78">
        <v>0.53162037037037035</v>
      </c>
      <c r="G1960" s="75">
        <v>2</v>
      </c>
      <c r="H1960" s="75">
        <v>45</v>
      </c>
      <c r="I1960" s="75">
        <v>32</v>
      </c>
    </row>
    <row r="1961" spans="1:9">
      <c r="A1961" s="75">
        <v>398</v>
      </c>
      <c r="B1961" s="75">
        <v>2</v>
      </c>
      <c r="C1961" s="75">
        <v>397</v>
      </c>
      <c r="D1961" s="76">
        <v>43364.542037037034</v>
      </c>
      <c r="E1961" s="77">
        <v>43344</v>
      </c>
      <c r="F1961" s="78">
        <v>0.54203703703703698</v>
      </c>
      <c r="G1961" s="75">
        <v>2</v>
      </c>
      <c r="H1961" s="75">
        <v>0</v>
      </c>
      <c r="I1961" s="75">
        <v>32</v>
      </c>
    </row>
    <row r="1962" spans="1:9">
      <c r="A1962" s="75">
        <v>432</v>
      </c>
      <c r="B1962" s="75">
        <v>3</v>
      </c>
      <c r="C1962" s="75">
        <v>435</v>
      </c>
      <c r="D1962" s="76">
        <v>43364.552453703705</v>
      </c>
      <c r="E1962" s="77">
        <v>43344</v>
      </c>
      <c r="F1962" s="78">
        <v>0.55245370370370372</v>
      </c>
      <c r="G1962" s="75">
        <v>2</v>
      </c>
      <c r="H1962" s="75">
        <v>15</v>
      </c>
      <c r="I1962" s="75">
        <v>32</v>
      </c>
    </row>
    <row r="1963" spans="1:9">
      <c r="A1963" s="75">
        <v>379</v>
      </c>
      <c r="B1963" s="75">
        <v>4</v>
      </c>
      <c r="C1963" s="75">
        <v>373</v>
      </c>
      <c r="D1963" s="76">
        <v>43364.56287037037</v>
      </c>
      <c r="E1963" s="77">
        <v>43344</v>
      </c>
      <c r="F1963" s="78">
        <v>0.56287037037037035</v>
      </c>
      <c r="G1963" s="75">
        <v>2</v>
      </c>
      <c r="H1963" s="75">
        <v>30</v>
      </c>
      <c r="I1963" s="75">
        <v>32</v>
      </c>
    </row>
    <row r="1964" spans="1:9">
      <c r="A1964" s="75">
        <v>428</v>
      </c>
      <c r="B1964" s="75">
        <v>3</v>
      </c>
      <c r="C1964" s="75">
        <v>431</v>
      </c>
      <c r="D1964" s="76">
        <v>43364.573298611111</v>
      </c>
      <c r="E1964" s="77">
        <v>43344</v>
      </c>
      <c r="F1964" s="78">
        <v>0.57329861111111113</v>
      </c>
      <c r="G1964" s="75">
        <v>2</v>
      </c>
      <c r="H1964" s="75">
        <v>45</v>
      </c>
      <c r="I1964" s="75">
        <v>33</v>
      </c>
    </row>
    <row r="1965" spans="1:9">
      <c r="A1965" s="75">
        <v>452</v>
      </c>
      <c r="B1965" s="75">
        <v>4</v>
      </c>
      <c r="C1965" s="75">
        <v>456</v>
      </c>
      <c r="D1965" s="76">
        <v>43364.583703703705</v>
      </c>
      <c r="E1965" s="77">
        <v>43344</v>
      </c>
      <c r="F1965" s="78">
        <v>0.58370370370370372</v>
      </c>
      <c r="G1965" s="75">
        <v>2</v>
      </c>
      <c r="H1965" s="75">
        <v>0</v>
      </c>
      <c r="I1965" s="75">
        <v>32</v>
      </c>
    </row>
    <row r="1966" spans="1:9">
      <c r="A1966" s="75">
        <v>491</v>
      </c>
      <c r="B1966" s="75">
        <v>4</v>
      </c>
      <c r="C1966" s="75">
        <v>495</v>
      </c>
      <c r="D1966" s="76">
        <v>43364.59412037037</v>
      </c>
      <c r="E1966" s="77">
        <v>43344</v>
      </c>
      <c r="F1966" s="78">
        <v>0.59412037037037035</v>
      </c>
      <c r="G1966" s="75">
        <v>2</v>
      </c>
      <c r="H1966" s="75">
        <v>15</v>
      </c>
      <c r="I1966" s="75">
        <v>32</v>
      </c>
    </row>
    <row r="1967" spans="1:9">
      <c r="A1967" s="75">
        <v>510</v>
      </c>
      <c r="B1967" s="75">
        <v>5</v>
      </c>
      <c r="C1967" s="75">
        <v>515</v>
      </c>
      <c r="D1967" s="76">
        <v>43364.604537037034</v>
      </c>
      <c r="E1967" s="77">
        <v>43344</v>
      </c>
      <c r="F1967" s="78">
        <v>0.60453703703703698</v>
      </c>
      <c r="G1967" s="75">
        <v>2</v>
      </c>
      <c r="H1967" s="75">
        <v>30</v>
      </c>
      <c r="I1967" s="75">
        <v>32</v>
      </c>
    </row>
    <row r="1968" spans="1:9">
      <c r="A1968" s="75">
        <v>538</v>
      </c>
      <c r="B1968" s="75">
        <v>3</v>
      </c>
      <c r="C1968" s="75">
        <v>541</v>
      </c>
      <c r="D1968" s="76">
        <v>43364.614953703705</v>
      </c>
      <c r="E1968" s="77">
        <v>43344</v>
      </c>
      <c r="F1968" s="78">
        <v>0.61495370370370372</v>
      </c>
      <c r="G1968" s="75">
        <v>2</v>
      </c>
      <c r="H1968" s="75">
        <v>45</v>
      </c>
      <c r="I1968" s="75">
        <v>32</v>
      </c>
    </row>
    <row r="1969" spans="1:9">
      <c r="A1969" s="75">
        <v>444</v>
      </c>
      <c r="B1969" s="75">
        <v>1</v>
      </c>
      <c r="C1969" s="75">
        <v>441</v>
      </c>
      <c r="D1969" s="76">
        <v>43364.625381944446</v>
      </c>
      <c r="E1969" s="77">
        <v>43344</v>
      </c>
      <c r="F1969" s="78">
        <v>0.6253819444444445</v>
      </c>
      <c r="G1969" s="75">
        <v>2</v>
      </c>
      <c r="H1969" s="75">
        <v>0</v>
      </c>
      <c r="I1969" s="75">
        <v>33</v>
      </c>
    </row>
    <row r="1970" spans="1:9">
      <c r="A1970" s="75">
        <v>531</v>
      </c>
      <c r="B1970" s="75">
        <v>5</v>
      </c>
      <c r="C1970" s="75">
        <v>536</v>
      </c>
      <c r="D1970" s="76">
        <v>43364.635787037034</v>
      </c>
      <c r="E1970" s="77">
        <v>43344</v>
      </c>
      <c r="F1970" s="78">
        <v>0.63578703703703698</v>
      </c>
      <c r="G1970" s="75">
        <v>2</v>
      </c>
      <c r="H1970" s="75">
        <v>15</v>
      </c>
      <c r="I1970" s="75">
        <v>32</v>
      </c>
    </row>
    <row r="1971" spans="1:9">
      <c r="A1971" s="75">
        <v>525</v>
      </c>
      <c r="B1971" s="75">
        <v>4</v>
      </c>
      <c r="C1971" s="75">
        <v>529</v>
      </c>
      <c r="D1971" s="76">
        <v>43364.646203703705</v>
      </c>
      <c r="E1971" s="77">
        <v>43344</v>
      </c>
      <c r="F1971" s="78">
        <v>0.64620370370370372</v>
      </c>
      <c r="G1971" s="75">
        <v>2</v>
      </c>
      <c r="H1971" s="75">
        <v>30</v>
      </c>
      <c r="I1971" s="75">
        <v>32</v>
      </c>
    </row>
    <row r="1972" spans="1:9">
      <c r="A1972" s="75">
        <v>611</v>
      </c>
      <c r="B1972" s="75">
        <v>9</v>
      </c>
      <c r="C1972" s="75">
        <v>620</v>
      </c>
      <c r="D1972" s="76">
        <v>43364.65662037037</v>
      </c>
      <c r="E1972" s="77">
        <v>43344</v>
      </c>
      <c r="F1972" s="78">
        <v>0.65662037037037035</v>
      </c>
      <c r="G1972" s="75">
        <v>2</v>
      </c>
      <c r="H1972" s="75">
        <v>45</v>
      </c>
      <c r="I1972" s="75">
        <v>32</v>
      </c>
    </row>
    <row r="1973" spans="1:9">
      <c r="A1973" s="75">
        <v>542</v>
      </c>
      <c r="B1973" s="75">
        <v>4</v>
      </c>
      <c r="C1973" s="75">
        <v>546</v>
      </c>
      <c r="D1973" s="76">
        <v>43364.667025462964</v>
      </c>
      <c r="E1973" s="77">
        <v>43344</v>
      </c>
      <c r="F1973" s="78">
        <v>0.66702546296296295</v>
      </c>
      <c r="G1973" s="75">
        <v>2</v>
      </c>
      <c r="H1973" s="75">
        <v>0</v>
      </c>
      <c r="I1973" s="75">
        <v>31</v>
      </c>
    </row>
    <row r="1974" spans="1:9">
      <c r="A1974" s="75">
        <v>809</v>
      </c>
      <c r="B1974" s="75">
        <v>5</v>
      </c>
      <c r="C1974" s="75">
        <v>814</v>
      </c>
      <c r="D1974" s="76">
        <v>43364.677453703705</v>
      </c>
      <c r="E1974" s="77">
        <v>43344</v>
      </c>
      <c r="F1974" s="78">
        <v>0.67745370370370372</v>
      </c>
      <c r="G1974" s="75">
        <v>2</v>
      </c>
      <c r="H1974" s="75">
        <v>15</v>
      </c>
      <c r="I1974" s="75">
        <v>32</v>
      </c>
    </row>
    <row r="1975" spans="1:9">
      <c r="A1975" s="75">
        <v>748</v>
      </c>
      <c r="B1975" s="75">
        <v>9</v>
      </c>
      <c r="C1975" s="75">
        <v>757</v>
      </c>
      <c r="D1975" s="76">
        <v>43364.68787037037</v>
      </c>
      <c r="E1975" s="77">
        <v>43344</v>
      </c>
      <c r="F1975" s="78">
        <v>0.68787037037037047</v>
      </c>
      <c r="G1975" s="75">
        <v>2</v>
      </c>
      <c r="H1975" s="75">
        <v>30</v>
      </c>
      <c r="I1975" s="75">
        <v>32</v>
      </c>
    </row>
    <row r="1976" spans="1:9">
      <c r="A1976" s="75">
        <v>861</v>
      </c>
      <c r="B1976" s="75">
        <v>7</v>
      </c>
      <c r="C1976" s="75">
        <v>868</v>
      </c>
      <c r="D1976" s="76">
        <v>43364.698287037034</v>
      </c>
      <c r="E1976" s="77">
        <v>43344</v>
      </c>
      <c r="F1976" s="78">
        <v>0.69828703703703709</v>
      </c>
      <c r="G1976" s="75">
        <v>2</v>
      </c>
      <c r="H1976" s="75">
        <v>45</v>
      </c>
      <c r="I1976" s="75">
        <v>32</v>
      </c>
    </row>
    <row r="1977" spans="1:9">
      <c r="A1977" s="75">
        <v>660</v>
      </c>
      <c r="B1977" s="75">
        <v>9</v>
      </c>
      <c r="C1977" s="75">
        <v>669</v>
      </c>
      <c r="D1977" s="76">
        <v>43364.708715277775</v>
      </c>
      <c r="E1977" s="77">
        <v>43344</v>
      </c>
      <c r="F1977" s="78">
        <v>0.70871527777777776</v>
      </c>
      <c r="G1977" s="75">
        <v>2</v>
      </c>
      <c r="H1977" s="75">
        <v>0</v>
      </c>
      <c r="I1977" s="75">
        <v>33</v>
      </c>
    </row>
    <row r="1978" spans="1:9">
      <c r="A1978" s="75">
        <v>852</v>
      </c>
      <c r="B1978" s="75">
        <v>17</v>
      </c>
      <c r="C1978" s="75">
        <v>869</v>
      </c>
      <c r="D1978" s="76">
        <v>43364.71912037037</v>
      </c>
      <c r="E1978" s="77">
        <v>43344</v>
      </c>
      <c r="F1978" s="78">
        <v>0.71912037037037047</v>
      </c>
      <c r="G1978" s="75">
        <v>2</v>
      </c>
      <c r="H1978" s="75">
        <v>15</v>
      </c>
      <c r="I1978" s="75">
        <v>32</v>
      </c>
    </row>
    <row r="1979" spans="1:9">
      <c r="A1979" s="75">
        <v>736</v>
      </c>
      <c r="B1979" s="75">
        <v>17</v>
      </c>
      <c r="C1979" s="75">
        <v>753</v>
      </c>
      <c r="D1979" s="76">
        <v>43364.729537037034</v>
      </c>
      <c r="E1979" s="77">
        <v>43344</v>
      </c>
      <c r="F1979" s="78">
        <v>0.72953703703703709</v>
      </c>
      <c r="G1979" s="75">
        <v>2</v>
      </c>
      <c r="H1979" s="75">
        <v>30</v>
      </c>
      <c r="I1979" s="75">
        <v>32</v>
      </c>
    </row>
    <row r="1980" spans="1:9">
      <c r="A1980" s="75">
        <v>710</v>
      </c>
      <c r="B1980" s="75">
        <v>13</v>
      </c>
      <c r="C1980" s="75">
        <v>723</v>
      </c>
      <c r="D1980" s="76">
        <v>43364.739953703705</v>
      </c>
      <c r="E1980" s="77">
        <v>43344</v>
      </c>
      <c r="F1980" s="78">
        <v>0.73995370370370372</v>
      </c>
      <c r="G1980" s="75">
        <v>2</v>
      </c>
      <c r="H1980" s="75">
        <v>45</v>
      </c>
      <c r="I1980" s="75">
        <v>32</v>
      </c>
    </row>
    <row r="1981" spans="1:9">
      <c r="A1981" s="75">
        <v>571</v>
      </c>
      <c r="B1981" s="75">
        <v>12</v>
      </c>
      <c r="C1981" s="75">
        <v>583</v>
      </c>
      <c r="D1981" s="76">
        <v>43364.75037037037</v>
      </c>
      <c r="E1981" s="77">
        <v>43344</v>
      </c>
      <c r="F1981" s="78">
        <v>0.75037037037037047</v>
      </c>
      <c r="G1981" s="75">
        <v>2</v>
      </c>
      <c r="H1981" s="75">
        <v>0</v>
      </c>
      <c r="I1981" s="75">
        <v>32</v>
      </c>
    </row>
    <row r="1982" spans="1:9">
      <c r="A1982" s="75">
        <v>639</v>
      </c>
      <c r="B1982" s="75">
        <v>16</v>
      </c>
      <c r="C1982" s="75">
        <v>655</v>
      </c>
      <c r="D1982" s="76">
        <v>43364.760775462964</v>
      </c>
      <c r="E1982" s="77">
        <v>43344</v>
      </c>
      <c r="F1982" s="78">
        <v>0.76077546296296295</v>
      </c>
      <c r="G1982" s="75">
        <v>2</v>
      </c>
      <c r="H1982" s="75">
        <v>15</v>
      </c>
      <c r="I1982" s="75">
        <v>31</v>
      </c>
    </row>
    <row r="1983" spans="1:9">
      <c r="A1983" s="75">
        <v>628</v>
      </c>
      <c r="B1983" s="75">
        <v>5</v>
      </c>
      <c r="C1983" s="75">
        <v>633</v>
      </c>
      <c r="D1983" s="76">
        <v>43364.771203703705</v>
      </c>
      <c r="E1983" s="77">
        <v>43344</v>
      </c>
      <c r="F1983" s="78">
        <v>0.77120370370370372</v>
      </c>
      <c r="G1983" s="75">
        <v>2</v>
      </c>
      <c r="H1983" s="75">
        <v>30</v>
      </c>
      <c r="I1983" s="75">
        <v>32</v>
      </c>
    </row>
    <row r="1984" spans="1:9">
      <c r="A1984" s="75">
        <v>678</v>
      </c>
      <c r="B1984" s="75">
        <v>4</v>
      </c>
      <c r="C1984" s="75">
        <v>682</v>
      </c>
      <c r="D1984" s="76">
        <v>43364.781608796293</v>
      </c>
      <c r="E1984" s="77">
        <v>43344</v>
      </c>
      <c r="F1984" s="78">
        <v>0.78160879629629632</v>
      </c>
      <c r="G1984" s="75">
        <v>2</v>
      </c>
      <c r="H1984" s="75">
        <v>45</v>
      </c>
      <c r="I1984" s="75">
        <v>31</v>
      </c>
    </row>
    <row r="1985" spans="1:9">
      <c r="A1985" s="75">
        <v>623</v>
      </c>
      <c r="B1985" s="75">
        <v>8</v>
      </c>
      <c r="C1985" s="75">
        <v>631</v>
      </c>
      <c r="D1985" s="76">
        <v>43364.792037037034</v>
      </c>
      <c r="E1985" s="77">
        <v>43344</v>
      </c>
      <c r="F1985" s="78">
        <v>0.79203703703703709</v>
      </c>
      <c r="G1985" s="75">
        <v>2</v>
      </c>
      <c r="H1985" s="75">
        <v>0</v>
      </c>
      <c r="I1985" s="75">
        <v>32</v>
      </c>
    </row>
    <row r="1986" spans="1:9">
      <c r="A1986" s="75">
        <v>678</v>
      </c>
      <c r="B1986" s="75">
        <v>9</v>
      </c>
      <c r="C1986" s="75">
        <v>687</v>
      </c>
      <c r="D1986" s="76">
        <v>43364.802442129629</v>
      </c>
      <c r="E1986" s="77">
        <v>43344</v>
      </c>
      <c r="F1986" s="78">
        <v>0.80244212962962969</v>
      </c>
      <c r="G1986" s="75">
        <v>2</v>
      </c>
      <c r="H1986" s="75">
        <v>15</v>
      </c>
      <c r="I1986" s="75">
        <v>31</v>
      </c>
    </row>
    <row r="1987" spans="1:9">
      <c r="A1987" s="75">
        <v>729</v>
      </c>
      <c r="B1987" s="75">
        <v>8</v>
      </c>
      <c r="C1987" s="75">
        <v>737</v>
      </c>
      <c r="D1987" s="76">
        <v>43364.812858796293</v>
      </c>
      <c r="E1987" s="77">
        <v>43344</v>
      </c>
      <c r="F1987" s="78">
        <v>0.81285879629629632</v>
      </c>
      <c r="G1987" s="75">
        <v>2</v>
      </c>
      <c r="H1987" s="75">
        <v>30</v>
      </c>
      <c r="I1987" s="75">
        <v>31</v>
      </c>
    </row>
    <row r="1988" spans="1:9">
      <c r="A1988" s="75">
        <v>737</v>
      </c>
      <c r="B1988" s="75">
        <v>6</v>
      </c>
      <c r="C1988" s="75">
        <v>743</v>
      </c>
      <c r="D1988" s="76">
        <v>43364.823275462964</v>
      </c>
      <c r="E1988" s="77">
        <v>43344</v>
      </c>
      <c r="F1988" s="78">
        <v>0.82327546296296295</v>
      </c>
      <c r="G1988" s="75">
        <v>2</v>
      </c>
      <c r="H1988" s="75">
        <v>45</v>
      </c>
      <c r="I1988" s="75">
        <v>31</v>
      </c>
    </row>
    <row r="1989" spans="1:9">
      <c r="A1989" s="75">
        <v>722</v>
      </c>
      <c r="B1989" s="75">
        <v>8</v>
      </c>
      <c r="C1989" s="75">
        <v>730</v>
      </c>
      <c r="D1989" s="76">
        <v>43364.833703703705</v>
      </c>
      <c r="E1989" s="77">
        <v>43344</v>
      </c>
      <c r="F1989" s="78">
        <v>0.83370370370370372</v>
      </c>
      <c r="G1989" s="75">
        <v>2</v>
      </c>
      <c r="H1989" s="75">
        <v>0</v>
      </c>
      <c r="I1989" s="75">
        <v>32</v>
      </c>
    </row>
    <row r="1990" spans="1:9">
      <c r="A1990" s="75">
        <v>803</v>
      </c>
      <c r="B1990" s="75">
        <v>6</v>
      </c>
      <c r="C1990" s="75">
        <v>809</v>
      </c>
      <c r="D1990" s="76">
        <v>43364.844108796293</v>
      </c>
      <c r="E1990" s="77">
        <v>43344</v>
      </c>
      <c r="F1990" s="78">
        <v>0.84410879629629632</v>
      </c>
      <c r="G1990" s="75">
        <v>2</v>
      </c>
      <c r="H1990" s="75">
        <v>15</v>
      </c>
      <c r="I1990" s="75">
        <v>31</v>
      </c>
    </row>
    <row r="1991" spans="1:9">
      <c r="A1991" s="75">
        <v>789</v>
      </c>
      <c r="B1991" s="75">
        <v>14</v>
      </c>
      <c r="C1991" s="75">
        <v>803</v>
      </c>
      <c r="D1991" s="76">
        <v>43364.854525462964</v>
      </c>
      <c r="E1991" s="77">
        <v>43344</v>
      </c>
      <c r="F1991" s="78">
        <v>0.85452546296296295</v>
      </c>
      <c r="G1991" s="75">
        <v>2</v>
      </c>
      <c r="H1991" s="75">
        <v>30</v>
      </c>
      <c r="I1991" s="75">
        <v>31</v>
      </c>
    </row>
    <row r="1992" spans="1:9">
      <c r="A1992" s="75">
        <v>789</v>
      </c>
      <c r="B1992" s="75">
        <v>15</v>
      </c>
      <c r="C1992" s="75">
        <v>804</v>
      </c>
      <c r="D1992" s="76">
        <v>43364.864942129629</v>
      </c>
      <c r="E1992" s="77">
        <v>43344</v>
      </c>
      <c r="F1992" s="78">
        <v>0.86494212962962969</v>
      </c>
      <c r="G1992" s="75">
        <v>2</v>
      </c>
      <c r="H1992" s="75">
        <v>45</v>
      </c>
      <c r="I1992" s="75">
        <v>31</v>
      </c>
    </row>
    <row r="1993" spans="1:9">
      <c r="A1993" s="75">
        <v>749</v>
      </c>
      <c r="B1993" s="75">
        <v>6</v>
      </c>
      <c r="C1993" s="75">
        <v>755</v>
      </c>
      <c r="D1993" s="76">
        <v>43364.875358796293</v>
      </c>
      <c r="E1993" s="77">
        <v>43344</v>
      </c>
      <c r="F1993" s="78">
        <v>0.87535879629629632</v>
      </c>
      <c r="G1993" s="75">
        <v>2</v>
      </c>
      <c r="H1993" s="75">
        <v>0</v>
      </c>
      <c r="I1993" s="75">
        <v>31</v>
      </c>
    </row>
    <row r="1994" spans="1:9">
      <c r="A1994" s="75">
        <v>689</v>
      </c>
      <c r="B1994" s="75">
        <v>7</v>
      </c>
      <c r="C1994" s="75">
        <v>696</v>
      </c>
      <c r="D1994" s="76">
        <v>43364.885775462964</v>
      </c>
      <c r="E1994" s="77">
        <v>43344</v>
      </c>
      <c r="F1994" s="78">
        <v>0.88577546296296295</v>
      </c>
      <c r="G1994" s="75">
        <v>2</v>
      </c>
      <c r="H1994" s="75">
        <v>15</v>
      </c>
      <c r="I1994" s="75">
        <v>31</v>
      </c>
    </row>
    <row r="1995" spans="1:9">
      <c r="A1995" s="75">
        <v>690</v>
      </c>
      <c r="B1995" s="75">
        <v>5</v>
      </c>
      <c r="C1995" s="75">
        <v>695</v>
      </c>
      <c r="D1995" s="76">
        <v>43364.896192129629</v>
      </c>
      <c r="E1995" s="77">
        <v>43344</v>
      </c>
      <c r="F1995" s="78">
        <v>0.89619212962962969</v>
      </c>
      <c r="G1995" s="75">
        <v>2</v>
      </c>
      <c r="H1995" s="75">
        <v>30</v>
      </c>
      <c r="I1995" s="75">
        <v>31</v>
      </c>
    </row>
    <row r="1996" spans="1:9">
      <c r="A1996" s="75">
        <v>713</v>
      </c>
      <c r="B1996" s="75">
        <v>6</v>
      </c>
      <c r="C1996" s="75">
        <v>718</v>
      </c>
      <c r="D1996" s="76">
        <v>43364.906597222223</v>
      </c>
      <c r="E1996" s="77">
        <v>43344</v>
      </c>
      <c r="F1996" s="78">
        <v>0.90659722222222217</v>
      </c>
      <c r="G1996" s="75">
        <v>2</v>
      </c>
      <c r="H1996" s="75">
        <v>45</v>
      </c>
      <c r="I1996" s="75">
        <v>30</v>
      </c>
    </row>
    <row r="1997" spans="1:9">
      <c r="A1997" s="75">
        <v>700</v>
      </c>
      <c r="B1997" s="75">
        <v>2</v>
      </c>
      <c r="C1997" s="75">
        <v>702</v>
      </c>
      <c r="D1997" s="76">
        <v>43364.917025462964</v>
      </c>
      <c r="E1997" s="77">
        <v>43344</v>
      </c>
      <c r="F1997" s="78">
        <v>0.91702546296296295</v>
      </c>
      <c r="G1997" s="75">
        <v>2</v>
      </c>
      <c r="H1997" s="75">
        <v>0</v>
      </c>
      <c r="I1997" s="75">
        <v>31</v>
      </c>
    </row>
    <row r="1998" spans="1:9">
      <c r="A1998" s="75">
        <v>749</v>
      </c>
      <c r="B1998" s="75">
        <v>3</v>
      </c>
      <c r="C1998" s="75">
        <v>752</v>
      </c>
      <c r="D1998" s="76">
        <v>43364.927442129629</v>
      </c>
      <c r="E1998" s="77">
        <v>43344</v>
      </c>
      <c r="F1998" s="78">
        <v>0.92744212962962969</v>
      </c>
      <c r="G1998" s="75">
        <v>2</v>
      </c>
      <c r="H1998" s="75">
        <v>15</v>
      </c>
      <c r="I1998" s="75">
        <v>31</v>
      </c>
    </row>
    <row r="1999" spans="1:9">
      <c r="A1999" s="75">
        <v>691</v>
      </c>
      <c r="B1999" s="75">
        <v>3</v>
      </c>
      <c r="C1999" s="75">
        <v>694</v>
      </c>
      <c r="D1999" s="76">
        <v>43364.937858796293</v>
      </c>
      <c r="E1999" s="77">
        <v>43344</v>
      </c>
      <c r="F1999" s="78">
        <v>0.93785879629629632</v>
      </c>
      <c r="G1999" s="75">
        <v>2</v>
      </c>
      <c r="H1999" s="75">
        <v>30</v>
      </c>
      <c r="I1999" s="75">
        <v>31</v>
      </c>
    </row>
    <row r="2000" spans="1:9">
      <c r="A2000" s="75">
        <v>652</v>
      </c>
      <c r="B2000" s="75">
        <v>3</v>
      </c>
      <c r="C2000" s="75">
        <v>655</v>
      </c>
      <c r="D2000" s="76">
        <v>43364.948275462964</v>
      </c>
      <c r="E2000" s="77">
        <v>43344</v>
      </c>
      <c r="F2000" s="78">
        <v>0.94827546296296295</v>
      </c>
      <c r="G2000" s="75">
        <v>2</v>
      </c>
      <c r="H2000" s="75">
        <v>45</v>
      </c>
      <c r="I2000" s="75">
        <v>31</v>
      </c>
    </row>
    <row r="2001" spans="1:9">
      <c r="A2001" s="75">
        <v>630</v>
      </c>
      <c r="B2001" s="75">
        <v>6</v>
      </c>
      <c r="C2001" s="75">
        <v>636</v>
      </c>
      <c r="D2001" s="76">
        <v>43364.958692129629</v>
      </c>
      <c r="E2001" s="77">
        <v>43344</v>
      </c>
      <c r="F2001" s="78">
        <v>0.95869212962962969</v>
      </c>
      <c r="G2001" s="75">
        <v>2</v>
      </c>
      <c r="H2001" s="75">
        <v>0</v>
      </c>
      <c r="I2001" s="75">
        <v>31</v>
      </c>
    </row>
    <row r="2002" spans="1:9">
      <c r="A2002" s="75">
        <v>633</v>
      </c>
      <c r="B2002" s="75">
        <v>6</v>
      </c>
      <c r="C2002" s="75">
        <v>639</v>
      </c>
      <c r="D2002" s="76">
        <v>43364.969108796293</v>
      </c>
      <c r="E2002" s="77">
        <v>43344</v>
      </c>
      <c r="F2002" s="78">
        <v>0.96910879629629632</v>
      </c>
      <c r="G2002" s="75">
        <v>2</v>
      </c>
      <c r="H2002" s="75">
        <v>15</v>
      </c>
      <c r="I2002" s="75">
        <v>31</v>
      </c>
    </row>
    <row r="2003" spans="1:9">
      <c r="A2003" s="75">
        <v>561</v>
      </c>
      <c r="B2003" s="75">
        <v>3</v>
      </c>
      <c r="C2003" s="75">
        <v>564</v>
      </c>
      <c r="D2003" s="76">
        <v>43364.979525462964</v>
      </c>
      <c r="E2003" s="77">
        <v>43344</v>
      </c>
      <c r="F2003" s="78">
        <v>0.97952546296296295</v>
      </c>
      <c r="G2003" s="75">
        <v>2</v>
      </c>
      <c r="H2003" s="75">
        <v>30</v>
      </c>
      <c r="I2003" s="75">
        <v>31</v>
      </c>
    </row>
    <row r="2004" spans="1:9">
      <c r="A2004" s="75">
        <v>457</v>
      </c>
      <c r="B2004" s="75">
        <v>2</v>
      </c>
      <c r="C2004" s="75">
        <v>459</v>
      </c>
      <c r="D2004" s="76">
        <v>43364.989942129629</v>
      </c>
      <c r="E2004" s="77">
        <v>43344</v>
      </c>
      <c r="F2004" s="78">
        <v>0.98994212962962969</v>
      </c>
      <c r="G2004" s="75">
        <v>2</v>
      </c>
      <c r="H2004" s="75">
        <v>45</v>
      </c>
      <c r="I2004" s="75">
        <v>31</v>
      </c>
    </row>
    <row r="2005" spans="1:9">
      <c r="A2005" s="75">
        <v>460</v>
      </c>
      <c r="B2005" s="75">
        <v>2</v>
      </c>
      <c r="C2005" s="75">
        <v>462</v>
      </c>
      <c r="D2005" s="76">
        <v>43365.000358796293</v>
      </c>
      <c r="E2005" s="77">
        <v>43344</v>
      </c>
      <c r="F2005" s="78">
        <v>3.5879629629629635E-4</v>
      </c>
      <c r="G2005" s="75">
        <v>2</v>
      </c>
      <c r="H2005" s="75">
        <v>0</v>
      </c>
      <c r="I2005" s="75">
        <v>31</v>
      </c>
    </row>
    <row r="2006" spans="1:9">
      <c r="A2006" s="75">
        <v>455</v>
      </c>
      <c r="B2006" s="75">
        <v>5</v>
      </c>
      <c r="C2006" s="75">
        <v>460</v>
      </c>
      <c r="D2006" s="76">
        <v>43365.010775462964</v>
      </c>
      <c r="E2006" s="77">
        <v>43344</v>
      </c>
      <c r="F2006" s="78">
        <v>1.0775462962962964E-2</v>
      </c>
      <c r="G2006" s="75">
        <v>2</v>
      </c>
      <c r="H2006" s="75">
        <v>15</v>
      </c>
      <c r="I2006" s="75">
        <v>31</v>
      </c>
    </row>
    <row r="2007" spans="1:9">
      <c r="A2007" s="75">
        <v>463</v>
      </c>
      <c r="B2007" s="75">
        <v>6</v>
      </c>
      <c r="C2007" s="75">
        <v>469</v>
      </c>
      <c r="D2007" s="76">
        <v>43365.021203703705</v>
      </c>
      <c r="E2007" s="77">
        <v>43344</v>
      </c>
      <c r="F2007" s="78">
        <v>2.1203703703703707E-2</v>
      </c>
      <c r="G2007" s="75">
        <v>2</v>
      </c>
      <c r="H2007" s="75">
        <v>30</v>
      </c>
      <c r="I2007" s="75">
        <v>32</v>
      </c>
    </row>
    <row r="2008" spans="1:9">
      <c r="A2008" s="75">
        <v>426</v>
      </c>
      <c r="B2008" s="75">
        <v>2</v>
      </c>
      <c r="C2008" s="75">
        <v>428</v>
      </c>
      <c r="D2008" s="76">
        <v>43365.031608796293</v>
      </c>
      <c r="E2008" s="77">
        <v>43344</v>
      </c>
      <c r="F2008" s="78">
        <v>3.1608796296296295E-2</v>
      </c>
      <c r="G2008" s="75">
        <v>2</v>
      </c>
      <c r="H2008" s="75">
        <v>45</v>
      </c>
      <c r="I2008" s="75">
        <v>31</v>
      </c>
    </row>
    <row r="2009" spans="1:9">
      <c r="A2009" s="75">
        <v>380</v>
      </c>
      <c r="B2009" s="75">
        <v>5</v>
      </c>
      <c r="C2009" s="75">
        <v>385</v>
      </c>
      <c r="D2009" s="76">
        <v>43365.042037037034</v>
      </c>
      <c r="E2009" s="77">
        <v>43344</v>
      </c>
      <c r="F2009" s="78">
        <v>4.2037037037037039E-2</v>
      </c>
      <c r="G2009" s="75">
        <v>2</v>
      </c>
      <c r="H2009" s="75">
        <v>0</v>
      </c>
      <c r="I2009" s="75">
        <v>32</v>
      </c>
    </row>
    <row r="2010" spans="1:9">
      <c r="A2010" s="75">
        <v>408</v>
      </c>
      <c r="B2010" s="75">
        <v>9</v>
      </c>
      <c r="C2010" s="75">
        <v>417</v>
      </c>
      <c r="D2010" s="76">
        <v>43365.052442129629</v>
      </c>
      <c r="E2010" s="77">
        <v>43344</v>
      </c>
      <c r="F2010" s="78">
        <v>5.244212962962963E-2</v>
      </c>
      <c r="G2010" s="75">
        <v>2</v>
      </c>
      <c r="H2010" s="75">
        <v>15</v>
      </c>
      <c r="I2010" s="75">
        <v>31</v>
      </c>
    </row>
    <row r="2011" spans="1:9">
      <c r="A2011" s="75">
        <v>386</v>
      </c>
      <c r="B2011" s="75">
        <v>8</v>
      </c>
      <c r="C2011" s="75">
        <v>394</v>
      </c>
      <c r="D2011" s="76">
        <v>43365.06287037037</v>
      </c>
      <c r="E2011" s="77">
        <v>43344</v>
      </c>
      <c r="F2011" s="78">
        <v>6.2870370370370368E-2</v>
      </c>
      <c r="G2011" s="75">
        <v>2</v>
      </c>
      <c r="H2011" s="75">
        <v>30</v>
      </c>
      <c r="I2011" s="75">
        <v>32</v>
      </c>
    </row>
    <row r="2012" spans="1:9">
      <c r="A2012" s="75">
        <v>413</v>
      </c>
      <c r="B2012" s="75">
        <v>3</v>
      </c>
      <c r="C2012" s="75">
        <v>416</v>
      </c>
      <c r="D2012" s="76">
        <v>43365.073275462964</v>
      </c>
      <c r="E2012" s="77">
        <v>43344</v>
      </c>
      <c r="F2012" s="78">
        <v>7.3275462962962959E-2</v>
      </c>
      <c r="G2012" s="75">
        <v>2</v>
      </c>
      <c r="H2012" s="75">
        <v>45</v>
      </c>
      <c r="I2012" s="75">
        <v>31</v>
      </c>
    </row>
    <row r="2013" spans="1:9">
      <c r="A2013" s="75">
        <v>378</v>
      </c>
      <c r="B2013" s="75">
        <v>5</v>
      </c>
      <c r="C2013" s="75">
        <v>383</v>
      </c>
      <c r="D2013" s="76">
        <v>43365.083807870367</v>
      </c>
      <c r="E2013" s="77">
        <v>43344</v>
      </c>
      <c r="F2013" s="78">
        <v>8.3807870370370366E-2</v>
      </c>
      <c r="G2013" s="75">
        <v>2</v>
      </c>
      <c r="H2013" s="75">
        <v>0</v>
      </c>
      <c r="I2013" s="75">
        <v>41</v>
      </c>
    </row>
    <row r="2014" spans="1:9">
      <c r="A2014" s="75">
        <v>409</v>
      </c>
      <c r="B2014" s="75">
        <v>5</v>
      </c>
      <c r="C2014" s="75">
        <v>414</v>
      </c>
      <c r="D2014" s="76">
        <v>43365.094108796293</v>
      </c>
      <c r="E2014" s="77">
        <v>43344</v>
      </c>
      <c r="F2014" s="78">
        <v>9.4108796296296301E-2</v>
      </c>
      <c r="G2014" s="75">
        <v>2</v>
      </c>
      <c r="H2014" s="75">
        <v>15</v>
      </c>
      <c r="I2014" s="75">
        <v>31</v>
      </c>
    </row>
    <row r="2015" spans="1:9">
      <c r="A2015" s="75">
        <v>355</v>
      </c>
      <c r="B2015" s="75">
        <v>6</v>
      </c>
      <c r="C2015" s="75">
        <v>361</v>
      </c>
      <c r="D2015" s="76">
        <v>43365.104525462964</v>
      </c>
      <c r="E2015" s="77">
        <v>43344</v>
      </c>
      <c r="F2015" s="78">
        <v>0.10452546296296296</v>
      </c>
      <c r="G2015" s="75">
        <v>2</v>
      </c>
      <c r="H2015" s="75">
        <v>30</v>
      </c>
      <c r="I2015" s="75">
        <v>31</v>
      </c>
    </row>
    <row r="2016" spans="1:9">
      <c r="A2016" s="75">
        <v>331</v>
      </c>
      <c r="B2016" s="75">
        <v>6</v>
      </c>
      <c r="C2016" s="75">
        <v>337</v>
      </c>
      <c r="D2016" s="76">
        <v>43365.114930555559</v>
      </c>
      <c r="E2016" s="77">
        <v>43344</v>
      </c>
      <c r="F2016" s="78">
        <v>0.11493055555555555</v>
      </c>
      <c r="G2016" s="75">
        <v>2</v>
      </c>
      <c r="H2016" s="75">
        <v>45</v>
      </c>
      <c r="I2016" s="75">
        <v>30</v>
      </c>
    </row>
    <row r="2017" spans="1:9">
      <c r="A2017" s="75">
        <v>324</v>
      </c>
      <c r="B2017" s="75">
        <v>3</v>
      </c>
      <c r="C2017" s="75">
        <v>327</v>
      </c>
      <c r="D2017" s="76">
        <v>43365.125358796293</v>
      </c>
      <c r="E2017" s="77">
        <v>43344</v>
      </c>
      <c r="F2017" s="78">
        <v>0.12535879629629629</v>
      </c>
      <c r="G2017" s="75">
        <v>2</v>
      </c>
      <c r="H2017" s="75">
        <v>0</v>
      </c>
      <c r="I2017" s="75">
        <v>31</v>
      </c>
    </row>
    <row r="2018" spans="1:9">
      <c r="A2018" s="75">
        <v>307</v>
      </c>
      <c r="B2018" s="75">
        <v>8</v>
      </c>
      <c r="C2018" s="75">
        <v>315</v>
      </c>
      <c r="D2018" s="76">
        <v>43365.135763888888</v>
      </c>
      <c r="E2018" s="77">
        <v>43344</v>
      </c>
      <c r="F2018" s="78">
        <v>0.13576388888888888</v>
      </c>
      <c r="G2018" s="75">
        <v>2</v>
      </c>
      <c r="H2018" s="75">
        <v>15</v>
      </c>
      <c r="I2018" s="75">
        <v>30</v>
      </c>
    </row>
    <row r="2019" spans="1:9">
      <c r="A2019" s="75">
        <v>297</v>
      </c>
      <c r="B2019" s="75">
        <v>2</v>
      </c>
      <c r="C2019" s="75">
        <v>299</v>
      </c>
      <c r="D2019" s="76">
        <v>43365.146192129629</v>
      </c>
      <c r="E2019" s="77">
        <v>43344</v>
      </c>
      <c r="F2019" s="78">
        <v>0.14619212962962963</v>
      </c>
      <c r="G2019" s="75">
        <v>2</v>
      </c>
      <c r="H2019" s="75">
        <v>30</v>
      </c>
      <c r="I2019" s="75">
        <v>31</v>
      </c>
    </row>
    <row r="2020" spans="1:9">
      <c r="A2020" s="75">
        <v>250</v>
      </c>
      <c r="B2020" s="75">
        <v>3</v>
      </c>
      <c r="C2020" s="75">
        <v>253</v>
      </c>
      <c r="D2020" s="76">
        <v>43365.156597222223</v>
      </c>
      <c r="E2020" s="77">
        <v>43344</v>
      </c>
      <c r="F2020" s="78">
        <v>0.15659722222222222</v>
      </c>
      <c r="G2020" s="75">
        <v>2</v>
      </c>
      <c r="H2020" s="75">
        <v>45</v>
      </c>
      <c r="I2020" s="75">
        <v>30</v>
      </c>
    </row>
    <row r="2021" spans="1:9">
      <c r="A2021" s="75">
        <v>248</v>
      </c>
      <c r="B2021" s="75">
        <v>3</v>
      </c>
      <c r="C2021" s="75">
        <v>251</v>
      </c>
      <c r="D2021" s="76">
        <v>43365.167025462964</v>
      </c>
      <c r="E2021" s="77">
        <v>43344</v>
      </c>
      <c r="F2021" s="78">
        <v>0.16702546296296295</v>
      </c>
      <c r="G2021" s="75">
        <v>2</v>
      </c>
      <c r="H2021" s="75">
        <v>0</v>
      </c>
      <c r="I2021" s="75">
        <v>31</v>
      </c>
    </row>
    <row r="2022" spans="1:9">
      <c r="A2022" s="75">
        <v>301</v>
      </c>
      <c r="B2022" s="75">
        <v>2</v>
      </c>
      <c r="C2022" s="75">
        <v>303</v>
      </c>
      <c r="D2022" s="76">
        <v>43365.177442129629</v>
      </c>
      <c r="E2022" s="77">
        <v>43344</v>
      </c>
      <c r="F2022" s="78">
        <v>0.17744212962962966</v>
      </c>
      <c r="G2022" s="75">
        <v>2</v>
      </c>
      <c r="H2022" s="75">
        <v>15</v>
      </c>
      <c r="I2022" s="75">
        <v>31</v>
      </c>
    </row>
    <row r="2023" spans="1:9">
      <c r="A2023" s="75">
        <v>273</v>
      </c>
      <c r="B2023" s="75">
        <v>0</v>
      </c>
      <c r="C2023" s="75">
        <v>273</v>
      </c>
      <c r="D2023" s="76">
        <v>43365.187858796293</v>
      </c>
      <c r="E2023" s="77">
        <v>43344</v>
      </c>
      <c r="F2023" s="78">
        <v>0.18785879629629632</v>
      </c>
      <c r="G2023" s="75">
        <v>2</v>
      </c>
      <c r="H2023" s="75">
        <v>30</v>
      </c>
      <c r="I2023" s="75">
        <v>31</v>
      </c>
    </row>
    <row r="2024" spans="1:9">
      <c r="A2024" s="75">
        <v>267</v>
      </c>
      <c r="B2024" s="75">
        <v>1</v>
      </c>
      <c r="C2024" s="75">
        <v>268</v>
      </c>
      <c r="D2024" s="76">
        <v>43365.198263888888</v>
      </c>
      <c r="E2024" s="77">
        <v>43344</v>
      </c>
      <c r="F2024" s="78">
        <v>0.19826388888888888</v>
      </c>
      <c r="G2024" s="75">
        <v>2</v>
      </c>
      <c r="H2024" s="75">
        <v>45</v>
      </c>
      <c r="I2024" s="75">
        <v>30</v>
      </c>
    </row>
    <row r="2025" spans="1:9">
      <c r="A2025" s="75">
        <v>225</v>
      </c>
      <c r="B2025" s="75">
        <v>1</v>
      </c>
      <c r="C2025" s="75">
        <v>226</v>
      </c>
      <c r="D2025" s="76">
        <v>43365.208692129629</v>
      </c>
      <c r="E2025" s="77">
        <v>43344</v>
      </c>
      <c r="F2025" s="78">
        <v>0.2086921296296296</v>
      </c>
      <c r="G2025" s="75">
        <v>2</v>
      </c>
      <c r="H2025" s="75">
        <v>0</v>
      </c>
      <c r="I2025" s="75">
        <v>31</v>
      </c>
    </row>
    <row r="2026" spans="1:9">
      <c r="A2026" s="75">
        <v>203</v>
      </c>
      <c r="B2026" s="75">
        <v>1</v>
      </c>
      <c r="C2026" s="75">
        <v>204</v>
      </c>
      <c r="D2026" s="76">
        <v>43365.219097222223</v>
      </c>
      <c r="E2026" s="77">
        <v>43344</v>
      </c>
      <c r="F2026" s="78">
        <v>0.21909722222222225</v>
      </c>
      <c r="G2026" s="75">
        <v>2</v>
      </c>
      <c r="H2026" s="75">
        <v>15</v>
      </c>
      <c r="I2026" s="75">
        <v>30</v>
      </c>
    </row>
    <row r="2027" spans="1:9">
      <c r="A2027" s="75">
        <v>207</v>
      </c>
      <c r="B2027" s="75">
        <v>2</v>
      </c>
      <c r="C2027" s="75">
        <v>209</v>
      </c>
      <c r="D2027" s="76">
        <v>43365.229525462964</v>
      </c>
      <c r="E2027" s="77">
        <v>43344</v>
      </c>
      <c r="F2027" s="78">
        <v>0.22952546296296297</v>
      </c>
      <c r="G2027" s="75">
        <v>2</v>
      </c>
      <c r="H2027" s="75">
        <v>30</v>
      </c>
      <c r="I2027" s="75">
        <v>31</v>
      </c>
    </row>
    <row r="2028" spans="1:9">
      <c r="A2028" s="75">
        <v>173</v>
      </c>
      <c r="B2028" s="75">
        <v>2</v>
      </c>
      <c r="C2028" s="75">
        <v>175</v>
      </c>
      <c r="D2028" s="76">
        <v>43365.239930555559</v>
      </c>
      <c r="E2028" s="77">
        <v>43344</v>
      </c>
      <c r="F2028" s="78">
        <v>0.23993055555555554</v>
      </c>
      <c r="G2028" s="75">
        <v>2</v>
      </c>
      <c r="H2028" s="75">
        <v>45</v>
      </c>
      <c r="I2028" s="75">
        <v>30</v>
      </c>
    </row>
    <row r="2029" spans="1:9">
      <c r="A2029" s="75">
        <v>164</v>
      </c>
      <c r="B2029" s="75">
        <v>0</v>
      </c>
      <c r="C2029" s="75">
        <v>164</v>
      </c>
      <c r="D2029" s="76">
        <v>43365.250358796293</v>
      </c>
      <c r="E2029" s="77">
        <v>43344</v>
      </c>
      <c r="F2029" s="78">
        <v>0.25035879629629626</v>
      </c>
      <c r="G2029" s="75">
        <v>2</v>
      </c>
      <c r="H2029" s="75">
        <v>0</v>
      </c>
      <c r="I2029" s="75">
        <v>31</v>
      </c>
    </row>
    <row r="2030" spans="1:9">
      <c r="A2030" s="75">
        <v>130</v>
      </c>
      <c r="B2030" s="75">
        <v>1</v>
      </c>
      <c r="C2030" s="75">
        <v>131</v>
      </c>
      <c r="D2030" s="76">
        <v>43365.260763888888</v>
      </c>
      <c r="E2030" s="77">
        <v>43344</v>
      </c>
      <c r="F2030" s="78">
        <v>0.26076388888888891</v>
      </c>
      <c r="G2030" s="75">
        <v>2</v>
      </c>
      <c r="H2030" s="75">
        <v>15</v>
      </c>
      <c r="I2030" s="75">
        <v>30</v>
      </c>
    </row>
    <row r="2031" spans="1:9">
      <c r="A2031" s="75">
        <v>128</v>
      </c>
      <c r="B2031" s="75">
        <v>0</v>
      </c>
      <c r="C2031" s="75">
        <v>128</v>
      </c>
      <c r="D2031" s="76">
        <v>43365.273888888885</v>
      </c>
      <c r="E2031" s="77">
        <v>43344</v>
      </c>
      <c r="F2031" s="78">
        <v>0.2738888888888889</v>
      </c>
      <c r="G2031" s="75">
        <v>2</v>
      </c>
      <c r="H2031" s="75">
        <v>34</v>
      </c>
      <c r="I2031" s="75">
        <v>24</v>
      </c>
    </row>
    <row r="2032" spans="1:9">
      <c r="A2032" s="75">
        <v>113</v>
      </c>
      <c r="B2032" s="75">
        <v>0</v>
      </c>
      <c r="C2032" s="75">
        <v>113</v>
      </c>
      <c r="D2032" s="76">
        <v>43365.281608796293</v>
      </c>
      <c r="E2032" s="77">
        <v>43344</v>
      </c>
      <c r="F2032" s="78">
        <v>0.28160879629629632</v>
      </c>
      <c r="G2032" s="75">
        <v>2</v>
      </c>
      <c r="H2032" s="75">
        <v>45</v>
      </c>
      <c r="I2032" s="75">
        <v>31</v>
      </c>
    </row>
    <row r="2033" spans="1:9">
      <c r="A2033" s="75">
        <v>110</v>
      </c>
      <c r="B2033" s="75">
        <v>1</v>
      </c>
      <c r="C2033" s="75">
        <v>111</v>
      </c>
      <c r="D2033" s="76">
        <v>43365.292013888888</v>
      </c>
      <c r="E2033" s="77">
        <v>43344</v>
      </c>
      <c r="F2033" s="78">
        <v>0.29201388888888891</v>
      </c>
      <c r="G2033" s="75">
        <v>2</v>
      </c>
      <c r="H2033" s="75">
        <v>0</v>
      </c>
      <c r="I2033" s="75">
        <v>30</v>
      </c>
    </row>
    <row r="2034" spans="1:9">
      <c r="A2034" s="75">
        <v>117</v>
      </c>
      <c r="B2034" s="75">
        <v>1</v>
      </c>
      <c r="C2034" s="75">
        <v>115</v>
      </c>
      <c r="D2034" s="76">
        <v>43365.302442129629</v>
      </c>
      <c r="E2034" s="77">
        <v>43344</v>
      </c>
      <c r="F2034" s="78">
        <v>0.30244212962962963</v>
      </c>
      <c r="G2034" s="75">
        <v>2</v>
      </c>
      <c r="H2034" s="75">
        <v>15</v>
      </c>
      <c r="I2034" s="75">
        <v>31</v>
      </c>
    </row>
    <row r="2035" spans="1:9">
      <c r="A2035" s="75">
        <v>104</v>
      </c>
      <c r="B2035" s="75">
        <v>1</v>
      </c>
      <c r="C2035" s="75">
        <v>105</v>
      </c>
      <c r="D2035" s="76">
        <v>43365.31287037037</v>
      </c>
      <c r="E2035" s="77">
        <v>43344</v>
      </c>
      <c r="F2035" s="78">
        <v>0.31287037037037035</v>
      </c>
      <c r="G2035" s="75">
        <v>2</v>
      </c>
      <c r="H2035" s="75">
        <v>30</v>
      </c>
      <c r="I2035" s="75">
        <v>32</v>
      </c>
    </row>
    <row r="2036" spans="1:9">
      <c r="A2036" s="75">
        <v>93</v>
      </c>
      <c r="B2036" s="75">
        <v>2</v>
      </c>
      <c r="C2036" s="75">
        <v>95</v>
      </c>
      <c r="D2036" s="76">
        <v>43365.323275462964</v>
      </c>
      <c r="E2036" s="77">
        <v>43344</v>
      </c>
      <c r="F2036" s="78">
        <v>0.323275462962963</v>
      </c>
      <c r="G2036" s="75">
        <v>2</v>
      </c>
      <c r="H2036" s="75">
        <v>45</v>
      </c>
      <c r="I2036" s="75">
        <v>31</v>
      </c>
    </row>
    <row r="2037" spans="1:9">
      <c r="A2037" s="75">
        <v>87</v>
      </c>
      <c r="B2037" s="75">
        <v>1</v>
      </c>
      <c r="C2037" s="75">
        <v>88</v>
      </c>
      <c r="D2037" s="76">
        <v>43365.333703703705</v>
      </c>
      <c r="E2037" s="77">
        <v>43344</v>
      </c>
      <c r="F2037" s="78">
        <v>0.33370370370370367</v>
      </c>
      <c r="G2037" s="75">
        <v>2</v>
      </c>
      <c r="H2037" s="75">
        <v>0</v>
      </c>
      <c r="I2037" s="75">
        <v>32</v>
      </c>
    </row>
    <row r="2038" spans="1:9">
      <c r="A2038" s="75">
        <v>84</v>
      </c>
      <c r="B2038" s="75">
        <v>2</v>
      </c>
      <c r="C2038" s="75">
        <v>86</v>
      </c>
      <c r="D2038" s="76">
        <v>43365.34412037037</v>
      </c>
      <c r="E2038" s="77">
        <v>43344</v>
      </c>
      <c r="F2038" s="78">
        <v>0.34412037037037035</v>
      </c>
      <c r="G2038" s="75">
        <v>2</v>
      </c>
      <c r="H2038" s="75">
        <v>15</v>
      </c>
      <c r="I2038" s="75">
        <v>32</v>
      </c>
    </row>
    <row r="2039" spans="1:9">
      <c r="A2039" s="75">
        <v>121</v>
      </c>
      <c r="B2039" s="75">
        <v>1</v>
      </c>
      <c r="C2039" s="75">
        <v>122</v>
      </c>
      <c r="D2039" s="76">
        <v>43365.354548611111</v>
      </c>
      <c r="E2039" s="77">
        <v>43344</v>
      </c>
      <c r="F2039" s="78">
        <v>0.35454861111111113</v>
      </c>
      <c r="G2039" s="75">
        <v>2</v>
      </c>
      <c r="H2039" s="75">
        <v>30</v>
      </c>
      <c r="I2039" s="75">
        <v>33</v>
      </c>
    </row>
    <row r="2040" spans="1:9">
      <c r="A2040" s="75">
        <v>103</v>
      </c>
      <c r="B2040" s="75">
        <v>1</v>
      </c>
      <c r="C2040" s="75">
        <v>104</v>
      </c>
      <c r="D2040" s="76">
        <v>43365.364953703705</v>
      </c>
      <c r="E2040" s="77">
        <v>43344</v>
      </c>
      <c r="F2040" s="78">
        <v>0.36495370370370367</v>
      </c>
      <c r="G2040" s="75">
        <v>2</v>
      </c>
      <c r="H2040" s="75">
        <v>45</v>
      </c>
      <c r="I2040" s="75">
        <v>32</v>
      </c>
    </row>
    <row r="2041" spans="1:9">
      <c r="A2041" s="75">
        <v>85</v>
      </c>
      <c r="B2041" s="75">
        <v>0</v>
      </c>
      <c r="C2041" s="75">
        <v>85</v>
      </c>
      <c r="D2041" s="76">
        <v>43365.37537037037</v>
      </c>
      <c r="E2041" s="77">
        <v>43344</v>
      </c>
      <c r="F2041" s="78">
        <v>0.37537037037037035</v>
      </c>
      <c r="G2041" s="75">
        <v>2</v>
      </c>
      <c r="H2041" s="75">
        <v>0</v>
      </c>
      <c r="I2041" s="75">
        <v>32</v>
      </c>
    </row>
    <row r="2042" spans="1:9">
      <c r="A2042" s="75">
        <v>118</v>
      </c>
      <c r="B2042" s="75">
        <v>0</v>
      </c>
      <c r="C2042" s="75">
        <v>118</v>
      </c>
      <c r="D2042" s="76">
        <v>43365.385787037034</v>
      </c>
      <c r="E2042" s="77">
        <v>43344</v>
      </c>
      <c r="F2042" s="78">
        <v>0.38578703703703704</v>
      </c>
      <c r="G2042" s="75">
        <v>2</v>
      </c>
      <c r="H2042" s="75">
        <v>15</v>
      </c>
      <c r="I2042" s="75">
        <v>32</v>
      </c>
    </row>
    <row r="2043" spans="1:9">
      <c r="A2043" s="75">
        <v>122</v>
      </c>
      <c r="B2043" s="75">
        <v>1</v>
      </c>
      <c r="C2043" s="75">
        <v>123</v>
      </c>
      <c r="D2043" s="76">
        <v>43365.396203703705</v>
      </c>
      <c r="E2043" s="77">
        <v>43344</v>
      </c>
      <c r="F2043" s="78">
        <v>0.39620370370370367</v>
      </c>
      <c r="G2043" s="75">
        <v>2</v>
      </c>
      <c r="H2043" s="75">
        <v>30</v>
      </c>
      <c r="I2043" s="75">
        <v>32</v>
      </c>
    </row>
    <row r="2044" spans="1:9">
      <c r="A2044" s="75">
        <v>158</v>
      </c>
      <c r="B2044" s="75">
        <v>1</v>
      </c>
      <c r="C2044" s="75">
        <v>159</v>
      </c>
      <c r="D2044" s="76">
        <v>43365.40662037037</v>
      </c>
      <c r="E2044" s="77">
        <v>43344</v>
      </c>
      <c r="F2044" s="78">
        <v>0.40662037037037035</v>
      </c>
      <c r="G2044" s="75">
        <v>2</v>
      </c>
      <c r="H2044" s="75">
        <v>45</v>
      </c>
      <c r="I2044" s="75">
        <v>32</v>
      </c>
    </row>
    <row r="2045" spans="1:9">
      <c r="A2045" s="75">
        <v>118</v>
      </c>
      <c r="B2045" s="75">
        <v>0</v>
      </c>
      <c r="C2045" s="75">
        <v>118</v>
      </c>
      <c r="D2045" s="76">
        <v>43365.417048611111</v>
      </c>
      <c r="E2045" s="77">
        <v>43344</v>
      </c>
      <c r="F2045" s="78">
        <v>0.41704861111111113</v>
      </c>
      <c r="G2045" s="75">
        <v>2</v>
      </c>
      <c r="H2045" s="75">
        <v>0</v>
      </c>
      <c r="I2045" s="75">
        <v>33</v>
      </c>
    </row>
    <row r="2046" spans="1:9">
      <c r="A2046" s="75">
        <v>131</v>
      </c>
      <c r="B2046" s="75">
        <v>3</v>
      </c>
      <c r="C2046" s="75">
        <v>134</v>
      </c>
      <c r="D2046" s="76">
        <v>43365.427453703705</v>
      </c>
      <c r="E2046" s="77">
        <v>43344</v>
      </c>
      <c r="F2046" s="78">
        <v>0.42745370370370367</v>
      </c>
      <c r="G2046" s="75">
        <v>2</v>
      </c>
      <c r="H2046" s="75">
        <v>15</v>
      </c>
      <c r="I2046" s="75">
        <v>32</v>
      </c>
    </row>
    <row r="2047" spans="1:9">
      <c r="A2047" s="75">
        <v>153</v>
      </c>
      <c r="B2047" s="75">
        <v>2</v>
      </c>
      <c r="C2047" s="75">
        <v>155</v>
      </c>
      <c r="D2047" s="76">
        <v>43365.43787037037</v>
      </c>
      <c r="E2047" s="77">
        <v>43344</v>
      </c>
      <c r="F2047" s="78">
        <v>0.43787037037037035</v>
      </c>
      <c r="G2047" s="75">
        <v>2</v>
      </c>
      <c r="H2047" s="75">
        <v>30</v>
      </c>
      <c r="I2047" s="75">
        <v>32</v>
      </c>
    </row>
    <row r="2048" spans="1:9">
      <c r="A2048" s="75">
        <v>242</v>
      </c>
      <c r="B2048" s="75">
        <v>0</v>
      </c>
      <c r="C2048" s="75">
        <v>242</v>
      </c>
      <c r="D2048" s="76">
        <v>43365.448287037034</v>
      </c>
      <c r="E2048" s="77">
        <v>43344</v>
      </c>
      <c r="F2048" s="78">
        <v>0.44828703703703704</v>
      </c>
      <c r="G2048" s="75">
        <v>2</v>
      </c>
      <c r="H2048" s="75">
        <v>45</v>
      </c>
      <c r="I2048" s="75">
        <v>32</v>
      </c>
    </row>
    <row r="2049" spans="1:9">
      <c r="A2049" s="75">
        <v>186</v>
      </c>
      <c r="B2049" s="75">
        <v>0</v>
      </c>
      <c r="C2049" s="75">
        <v>186</v>
      </c>
      <c r="D2049" s="76">
        <v>43365.458703703705</v>
      </c>
      <c r="E2049" s="77">
        <v>43344</v>
      </c>
      <c r="F2049" s="78">
        <v>0.45870370370370367</v>
      </c>
      <c r="G2049" s="75">
        <v>2</v>
      </c>
      <c r="H2049" s="75">
        <v>0</v>
      </c>
      <c r="I2049" s="75">
        <v>32</v>
      </c>
    </row>
    <row r="2050" spans="1:9">
      <c r="A2050" s="75">
        <v>196</v>
      </c>
      <c r="B2050" s="75">
        <v>0</v>
      </c>
      <c r="C2050" s="75">
        <v>195</v>
      </c>
      <c r="D2050" s="76">
        <v>43365.469108796293</v>
      </c>
      <c r="E2050" s="77">
        <v>43344</v>
      </c>
      <c r="F2050" s="78">
        <v>0.46910879629629632</v>
      </c>
      <c r="G2050" s="75">
        <v>2</v>
      </c>
      <c r="H2050" s="75">
        <v>15</v>
      </c>
      <c r="I2050" s="75">
        <v>31</v>
      </c>
    </row>
    <row r="2051" spans="1:9">
      <c r="A2051" s="75">
        <v>216</v>
      </c>
      <c r="B2051" s="75">
        <v>0</v>
      </c>
      <c r="C2051" s="75">
        <v>216</v>
      </c>
      <c r="D2051" s="76">
        <v>43365.479537037034</v>
      </c>
      <c r="E2051" s="77">
        <v>43344</v>
      </c>
      <c r="F2051" s="78">
        <v>0.47953703703703704</v>
      </c>
      <c r="G2051" s="75">
        <v>2</v>
      </c>
      <c r="H2051" s="75">
        <v>30</v>
      </c>
      <c r="I2051" s="75">
        <v>32</v>
      </c>
    </row>
    <row r="2052" spans="1:9">
      <c r="A2052" s="75">
        <v>278</v>
      </c>
      <c r="B2052" s="75">
        <v>2</v>
      </c>
      <c r="C2052" s="75">
        <v>280</v>
      </c>
      <c r="D2052" s="76">
        <v>43365.489942129629</v>
      </c>
      <c r="E2052" s="77">
        <v>43344</v>
      </c>
      <c r="F2052" s="78">
        <v>0.48994212962962963</v>
      </c>
      <c r="G2052" s="75">
        <v>2</v>
      </c>
      <c r="H2052" s="75">
        <v>45</v>
      </c>
      <c r="I2052" s="75">
        <v>31</v>
      </c>
    </row>
    <row r="2053" spans="1:9">
      <c r="A2053" s="75">
        <v>262</v>
      </c>
      <c r="B2053" s="75">
        <v>3</v>
      </c>
      <c r="C2053" s="75">
        <v>265</v>
      </c>
      <c r="D2053" s="76">
        <v>43365.50037037037</v>
      </c>
      <c r="E2053" s="77">
        <v>43344</v>
      </c>
      <c r="F2053" s="78">
        <v>0.50037037037037035</v>
      </c>
      <c r="G2053" s="75">
        <v>2</v>
      </c>
      <c r="H2053" s="75">
        <v>0</v>
      </c>
      <c r="I2053" s="75">
        <v>32</v>
      </c>
    </row>
    <row r="2054" spans="1:9">
      <c r="A2054" s="75">
        <v>244</v>
      </c>
      <c r="B2054" s="75">
        <v>3</v>
      </c>
      <c r="C2054" s="75">
        <v>247</v>
      </c>
      <c r="D2054" s="76">
        <v>43365.510775462964</v>
      </c>
      <c r="E2054" s="77">
        <v>43344</v>
      </c>
      <c r="F2054" s="78">
        <v>0.51077546296296295</v>
      </c>
      <c r="G2054" s="75">
        <v>2</v>
      </c>
      <c r="H2054" s="75">
        <v>15</v>
      </c>
      <c r="I2054" s="75">
        <v>31</v>
      </c>
    </row>
    <row r="2055" spans="1:9">
      <c r="A2055" s="75">
        <v>262</v>
      </c>
      <c r="B2055" s="75">
        <v>1</v>
      </c>
      <c r="C2055" s="75">
        <v>257</v>
      </c>
      <c r="D2055" s="76">
        <v>43365.521203703705</v>
      </c>
      <c r="E2055" s="77">
        <v>43344</v>
      </c>
      <c r="F2055" s="78">
        <v>0.52120370370370372</v>
      </c>
      <c r="G2055" s="75">
        <v>2</v>
      </c>
      <c r="H2055" s="75">
        <v>30</v>
      </c>
      <c r="I2055" s="75">
        <v>32</v>
      </c>
    </row>
    <row r="2056" spans="1:9">
      <c r="A2056" s="75">
        <v>343</v>
      </c>
      <c r="B2056" s="75">
        <v>1</v>
      </c>
      <c r="C2056" s="75">
        <v>344</v>
      </c>
      <c r="D2056" s="76">
        <v>43365.531608796293</v>
      </c>
      <c r="E2056" s="77">
        <v>43344</v>
      </c>
      <c r="F2056" s="78">
        <v>0.53160879629629632</v>
      </c>
      <c r="G2056" s="75">
        <v>2</v>
      </c>
      <c r="H2056" s="75">
        <v>45</v>
      </c>
      <c r="I2056" s="75">
        <v>31</v>
      </c>
    </row>
    <row r="2057" spans="1:9">
      <c r="A2057" s="75">
        <v>323</v>
      </c>
      <c r="B2057" s="75">
        <v>1</v>
      </c>
      <c r="C2057" s="75">
        <v>324</v>
      </c>
      <c r="D2057" s="76">
        <v>43365.542037037034</v>
      </c>
      <c r="E2057" s="77">
        <v>43344</v>
      </c>
      <c r="F2057" s="78">
        <v>0.54203703703703698</v>
      </c>
      <c r="G2057" s="75">
        <v>2</v>
      </c>
      <c r="H2057" s="75">
        <v>0</v>
      </c>
      <c r="I2057" s="75">
        <v>32</v>
      </c>
    </row>
    <row r="2058" spans="1:9">
      <c r="A2058" s="75">
        <v>360</v>
      </c>
      <c r="B2058" s="75">
        <v>5</v>
      </c>
      <c r="C2058" s="75">
        <v>365</v>
      </c>
      <c r="D2058" s="76">
        <v>43365.552453703705</v>
      </c>
      <c r="E2058" s="77">
        <v>43344</v>
      </c>
      <c r="F2058" s="78">
        <v>0.55245370370370372</v>
      </c>
      <c r="G2058" s="75">
        <v>2</v>
      </c>
      <c r="H2058" s="75">
        <v>15</v>
      </c>
      <c r="I2058" s="75">
        <v>32</v>
      </c>
    </row>
    <row r="2059" spans="1:9">
      <c r="A2059" s="75">
        <v>362</v>
      </c>
      <c r="B2059" s="75">
        <v>5</v>
      </c>
      <c r="C2059" s="75">
        <v>363</v>
      </c>
      <c r="D2059" s="76">
        <v>43365.56287037037</v>
      </c>
      <c r="E2059" s="77">
        <v>43344</v>
      </c>
      <c r="F2059" s="78">
        <v>0.56287037037037035</v>
      </c>
      <c r="G2059" s="75">
        <v>2</v>
      </c>
      <c r="H2059" s="75">
        <v>30</v>
      </c>
      <c r="I2059" s="75">
        <v>32</v>
      </c>
    </row>
    <row r="2060" spans="1:9">
      <c r="A2060" s="75">
        <v>387</v>
      </c>
      <c r="B2060" s="75">
        <v>6</v>
      </c>
      <c r="C2060" s="75">
        <v>393</v>
      </c>
      <c r="D2060" s="76">
        <v>43365.573287037034</v>
      </c>
      <c r="E2060" s="77">
        <v>43344</v>
      </c>
      <c r="F2060" s="78">
        <v>0.57328703703703698</v>
      </c>
      <c r="G2060" s="75">
        <v>2</v>
      </c>
      <c r="H2060" s="75">
        <v>45</v>
      </c>
      <c r="I2060" s="75">
        <v>32</v>
      </c>
    </row>
    <row r="2061" spans="1:9">
      <c r="A2061" s="75">
        <v>394</v>
      </c>
      <c r="B2061" s="75">
        <v>3</v>
      </c>
      <c r="C2061" s="75">
        <v>397</v>
      </c>
      <c r="D2061" s="76">
        <v>43365.583703703705</v>
      </c>
      <c r="E2061" s="77">
        <v>43344</v>
      </c>
      <c r="F2061" s="78">
        <v>0.58370370370370372</v>
      </c>
      <c r="G2061" s="75">
        <v>2</v>
      </c>
      <c r="H2061" s="75">
        <v>0</v>
      </c>
      <c r="I2061" s="75">
        <v>32</v>
      </c>
    </row>
    <row r="2062" spans="1:9">
      <c r="A2062" s="75">
        <v>392</v>
      </c>
      <c r="B2062" s="75">
        <v>1</v>
      </c>
      <c r="C2062" s="75">
        <v>393</v>
      </c>
      <c r="D2062" s="76">
        <v>43365.59412037037</v>
      </c>
      <c r="E2062" s="77">
        <v>43344</v>
      </c>
      <c r="F2062" s="78">
        <v>0.59412037037037035</v>
      </c>
      <c r="G2062" s="75">
        <v>2</v>
      </c>
      <c r="H2062" s="75">
        <v>15</v>
      </c>
      <c r="I2062" s="75">
        <v>32</v>
      </c>
    </row>
    <row r="2063" spans="1:9">
      <c r="A2063" s="75">
        <v>384</v>
      </c>
      <c r="B2063" s="75">
        <v>0</v>
      </c>
      <c r="C2063" s="75">
        <v>384</v>
      </c>
      <c r="D2063" s="76">
        <v>43365.604537037034</v>
      </c>
      <c r="E2063" s="77">
        <v>43344</v>
      </c>
      <c r="F2063" s="78">
        <v>0.60453703703703698</v>
      </c>
      <c r="G2063" s="75">
        <v>2</v>
      </c>
      <c r="H2063" s="75">
        <v>30</v>
      </c>
      <c r="I2063" s="75">
        <v>32</v>
      </c>
    </row>
    <row r="2064" spans="1:9">
      <c r="A2064" s="75">
        <v>428</v>
      </c>
      <c r="B2064" s="75">
        <v>6</v>
      </c>
      <c r="C2064" s="75">
        <v>434</v>
      </c>
      <c r="D2064" s="76">
        <v>43365.614953703705</v>
      </c>
      <c r="E2064" s="77">
        <v>43344</v>
      </c>
      <c r="F2064" s="78">
        <v>0.61495370370370372</v>
      </c>
      <c r="G2064" s="75">
        <v>2</v>
      </c>
      <c r="H2064" s="75">
        <v>45</v>
      </c>
      <c r="I2064" s="75">
        <v>32</v>
      </c>
    </row>
    <row r="2065" spans="1:9">
      <c r="A2065" s="75">
        <v>410</v>
      </c>
      <c r="B2065" s="75">
        <v>2</v>
      </c>
      <c r="C2065" s="75">
        <v>412</v>
      </c>
      <c r="D2065" s="76">
        <v>43365.62537037037</v>
      </c>
      <c r="E2065" s="77">
        <v>43344</v>
      </c>
      <c r="F2065" s="78">
        <v>0.62537037037037035</v>
      </c>
      <c r="G2065" s="75">
        <v>2</v>
      </c>
      <c r="H2065" s="75">
        <v>0</v>
      </c>
      <c r="I2065" s="75">
        <v>32</v>
      </c>
    </row>
    <row r="2066" spans="1:9">
      <c r="A2066" s="75">
        <v>424</v>
      </c>
      <c r="B2066" s="75">
        <v>4</v>
      </c>
      <c r="C2066" s="75">
        <v>428</v>
      </c>
      <c r="D2066" s="76">
        <v>43365.635775462964</v>
      </c>
      <c r="E2066" s="77">
        <v>43344</v>
      </c>
      <c r="F2066" s="78">
        <v>0.63577546296296295</v>
      </c>
      <c r="G2066" s="75">
        <v>2</v>
      </c>
      <c r="H2066" s="75">
        <v>15</v>
      </c>
      <c r="I2066" s="75">
        <v>31</v>
      </c>
    </row>
    <row r="2067" spans="1:9">
      <c r="A2067" s="75">
        <v>434</v>
      </c>
      <c r="B2067" s="75">
        <v>4</v>
      </c>
      <c r="C2067" s="75">
        <v>438</v>
      </c>
      <c r="D2067" s="76">
        <v>43365.646203703705</v>
      </c>
      <c r="E2067" s="77">
        <v>43344</v>
      </c>
      <c r="F2067" s="78">
        <v>0.64620370370370372</v>
      </c>
      <c r="G2067" s="75">
        <v>2</v>
      </c>
      <c r="H2067" s="75">
        <v>30</v>
      </c>
      <c r="I2067" s="75">
        <v>32</v>
      </c>
    </row>
    <row r="2068" spans="1:9">
      <c r="A2068" s="75">
        <v>450</v>
      </c>
      <c r="B2068" s="75">
        <v>3</v>
      </c>
      <c r="C2068" s="75">
        <v>453</v>
      </c>
      <c r="D2068" s="76">
        <v>43365.656608796293</v>
      </c>
      <c r="E2068" s="77">
        <v>43344</v>
      </c>
      <c r="F2068" s="78">
        <v>0.65660879629629632</v>
      </c>
      <c r="G2068" s="75">
        <v>2</v>
      </c>
      <c r="H2068" s="75">
        <v>45</v>
      </c>
      <c r="I2068" s="75">
        <v>31</v>
      </c>
    </row>
    <row r="2069" spans="1:9">
      <c r="A2069" s="75">
        <v>415</v>
      </c>
      <c r="B2069" s="75">
        <v>3</v>
      </c>
      <c r="C2069" s="75">
        <v>418</v>
      </c>
      <c r="D2069" s="76">
        <v>43365.667037037034</v>
      </c>
      <c r="E2069" s="77">
        <v>43344</v>
      </c>
      <c r="F2069" s="78">
        <v>0.66703703703703709</v>
      </c>
      <c r="G2069" s="75">
        <v>2</v>
      </c>
      <c r="H2069" s="75">
        <v>0</v>
      </c>
      <c r="I2069" s="75">
        <v>32</v>
      </c>
    </row>
    <row r="2070" spans="1:9">
      <c r="A2070" s="75">
        <v>440</v>
      </c>
      <c r="B2070" s="75">
        <v>5</v>
      </c>
      <c r="C2070" s="75">
        <v>445</v>
      </c>
      <c r="D2070" s="76">
        <v>43365.677453703705</v>
      </c>
      <c r="E2070" s="77">
        <v>43344</v>
      </c>
      <c r="F2070" s="78">
        <v>0.67745370370370372</v>
      </c>
      <c r="G2070" s="75">
        <v>2</v>
      </c>
      <c r="H2070" s="75">
        <v>15</v>
      </c>
      <c r="I2070" s="75">
        <v>32</v>
      </c>
    </row>
    <row r="2071" spans="1:9">
      <c r="A2071" s="75">
        <v>411</v>
      </c>
      <c r="B2071" s="75">
        <v>5</v>
      </c>
      <c r="C2071" s="75">
        <v>416</v>
      </c>
      <c r="D2071" s="76">
        <v>43365.687858796293</v>
      </c>
      <c r="E2071" s="77">
        <v>43344</v>
      </c>
      <c r="F2071" s="78">
        <v>0.68785879629629632</v>
      </c>
      <c r="G2071" s="75">
        <v>2</v>
      </c>
      <c r="H2071" s="75">
        <v>30</v>
      </c>
      <c r="I2071" s="75">
        <v>31</v>
      </c>
    </row>
    <row r="2072" spans="1:9">
      <c r="A2072" s="75">
        <v>447</v>
      </c>
      <c r="B2072" s="75">
        <v>2</v>
      </c>
      <c r="C2072" s="75">
        <v>449</v>
      </c>
      <c r="D2072" s="76">
        <v>43365.698287037034</v>
      </c>
      <c r="E2072" s="77">
        <v>43344</v>
      </c>
      <c r="F2072" s="78">
        <v>0.69828703703703709</v>
      </c>
      <c r="G2072" s="75">
        <v>2</v>
      </c>
      <c r="H2072" s="75">
        <v>45</v>
      </c>
      <c r="I2072" s="75">
        <v>32</v>
      </c>
    </row>
    <row r="2073" spans="1:9">
      <c r="A2073" s="75">
        <v>370</v>
      </c>
      <c r="B2073" s="75">
        <v>0</v>
      </c>
      <c r="C2073" s="75">
        <v>369</v>
      </c>
      <c r="D2073" s="76">
        <v>43365.708703703705</v>
      </c>
      <c r="E2073" s="77">
        <v>43344</v>
      </c>
      <c r="F2073" s="78">
        <v>0.70870370370370372</v>
      </c>
      <c r="G2073" s="75">
        <v>2</v>
      </c>
      <c r="H2073" s="75">
        <v>0</v>
      </c>
      <c r="I2073" s="75">
        <v>32</v>
      </c>
    </row>
    <row r="2074" spans="1:9">
      <c r="A2074" s="75">
        <v>344</v>
      </c>
      <c r="B2074" s="75">
        <v>2</v>
      </c>
      <c r="C2074" s="75">
        <v>346</v>
      </c>
      <c r="D2074" s="76">
        <v>43365.719108796293</v>
      </c>
      <c r="E2074" s="77">
        <v>43344</v>
      </c>
      <c r="F2074" s="78">
        <v>0.71910879629629632</v>
      </c>
      <c r="G2074" s="75">
        <v>2</v>
      </c>
      <c r="H2074" s="75">
        <v>15</v>
      </c>
      <c r="I2074" s="75">
        <v>31</v>
      </c>
    </row>
    <row r="2075" spans="1:9">
      <c r="A2075" s="75">
        <v>372</v>
      </c>
      <c r="B2075" s="75">
        <v>3</v>
      </c>
      <c r="C2075" s="75">
        <v>375</v>
      </c>
      <c r="D2075" s="76">
        <v>43365.729537037034</v>
      </c>
      <c r="E2075" s="77">
        <v>43344</v>
      </c>
      <c r="F2075" s="78">
        <v>0.72953703703703709</v>
      </c>
      <c r="G2075" s="75">
        <v>2</v>
      </c>
      <c r="H2075" s="75">
        <v>30</v>
      </c>
      <c r="I2075" s="75">
        <v>32</v>
      </c>
    </row>
    <row r="2076" spans="1:9">
      <c r="A2076" s="75">
        <v>402</v>
      </c>
      <c r="B2076" s="75">
        <v>2</v>
      </c>
      <c r="C2076" s="75">
        <v>394</v>
      </c>
      <c r="D2076" s="76">
        <v>43365.739942129629</v>
      </c>
      <c r="E2076" s="77">
        <v>43344</v>
      </c>
      <c r="F2076" s="78">
        <v>0.73994212962962969</v>
      </c>
      <c r="G2076" s="75">
        <v>2</v>
      </c>
      <c r="H2076" s="75">
        <v>45</v>
      </c>
      <c r="I2076" s="75">
        <v>31</v>
      </c>
    </row>
    <row r="2077" spans="1:9">
      <c r="A2077" s="75">
        <v>366</v>
      </c>
      <c r="B2077" s="75">
        <v>2</v>
      </c>
      <c r="C2077" s="75">
        <v>368</v>
      </c>
      <c r="D2077" s="76">
        <v>43365.750393518516</v>
      </c>
      <c r="E2077" s="77">
        <v>43344</v>
      </c>
      <c r="F2077" s="78">
        <v>0.75039351851851854</v>
      </c>
      <c r="G2077" s="75">
        <v>2</v>
      </c>
      <c r="H2077" s="75">
        <v>0</v>
      </c>
      <c r="I2077" s="75">
        <v>34</v>
      </c>
    </row>
    <row r="2078" spans="1:9">
      <c r="A2078" s="75">
        <v>413</v>
      </c>
      <c r="B2078" s="75">
        <v>4</v>
      </c>
      <c r="C2078" s="75">
        <v>417</v>
      </c>
      <c r="D2078" s="76">
        <v>43365.760775462964</v>
      </c>
      <c r="E2078" s="77">
        <v>43344</v>
      </c>
      <c r="F2078" s="78">
        <v>0.76077546296296295</v>
      </c>
      <c r="G2078" s="75">
        <v>2</v>
      </c>
      <c r="H2078" s="75">
        <v>15</v>
      </c>
      <c r="I2078" s="75">
        <v>31</v>
      </c>
    </row>
    <row r="2079" spans="1:9">
      <c r="A2079" s="75">
        <v>421</v>
      </c>
      <c r="B2079" s="75">
        <v>2</v>
      </c>
      <c r="C2079" s="75">
        <v>423</v>
      </c>
      <c r="D2079" s="76">
        <v>43365.771192129629</v>
      </c>
      <c r="E2079" s="77">
        <v>43344</v>
      </c>
      <c r="F2079" s="78">
        <v>0.77119212962962969</v>
      </c>
      <c r="G2079" s="75">
        <v>2</v>
      </c>
      <c r="H2079" s="75">
        <v>30</v>
      </c>
      <c r="I2079" s="75">
        <v>31</v>
      </c>
    </row>
    <row r="2080" spans="1:9">
      <c r="A2080" s="75">
        <v>421</v>
      </c>
      <c r="B2080" s="75">
        <v>6</v>
      </c>
      <c r="C2080" s="75">
        <v>427</v>
      </c>
      <c r="D2080" s="76">
        <v>43365.781608796293</v>
      </c>
      <c r="E2080" s="77">
        <v>43344</v>
      </c>
      <c r="F2080" s="78">
        <v>0.78160879629629632</v>
      </c>
      <c r="G2080" s="75">
        <v>2</v>
      </c>
      <c r="H2080" s="75">
        <v>45</v>
      </c>
      <c r="I2080" s="75">
        <v>31</v>
      </c>
    </row>
    <row r="2081" spans="1:9">
      <c r="A2081" s="75">
        <v>412</v>
      </c>
      <c r="B2081" s="75">
        <v>7</v>
      </c>
      <c r="C2081" s="75">
        <v>419</v>
      </c>
      <c r="D2081" s="76">
        <v>43365.792037037034</v>
      </c>
      <c r="E2081" s="77">
        <v>43344</v>
      </c>
      <c r="F2081" s="78">
        <v>0.79203703703703709</v>
      </c>
      <c r="G2081" s="75">
        <v>2</v>
      </c>
      <c r="H2081" s="75">
        <v>0</v>
      </c>
      <c r="I2081" s="75">
        <v>32</v>
      </c>
    </row>
    <row r="2082" spans="1:9">
      <c r="A2082" s="75">
        <v>448</v>
      </c>
      <c r="B2082" s="75">
        <v>5</v>
      </c>
      <c r="C2082" s="75">
        <v>453</v>
      </c>
      <c r="D2082" s="76">
        <v>43365.802442129629</v>
      </c>
      <c r="E2082" s="77">
        <v>43344</v>
      </c>
      <c r="F2082" s="78">
        <v>0.80244212962962969</v>
      </c>
      <c r="G2082" s="75">
        <v>2</v>
      </c>
      <c r="H2082" s="75">
        <v>15</v>
      </c>
      <c r="I2082" s="75">
        <v>31</v>
      </c>
    </row>
    <row r="2083" spans="1:9">
      <c r="A2083" s="75">
        <v>434</v>
      </c>
      <c r="B2083" s="75">
        <v>9</v>
      </c>
      <c r="C2083" s="75">
        <v>443</v>
      </c>
      <c r="D2083" s="76">
        <v>43365.812858796293</v>
      </c>
      <c r="E2083" s="77">
        <v>43344</v>
      </c>
      <c r="F2083" s="78">
        <v>0.81285879629629632</v>
      </c>
      <c r="G2083" s="75">
        <v>2</v>
      </c>
      <c r="H2083" s="75">
        <v>30</v>
      </c>
      <c r="I2083" s="75">
        <v>31</v>
      </c>
    </row>
    <row r="2084" spans="1:9">
      <c r="A2084" s="75">
        <v>440</v>
      </c>
      <c r="B2084" s="75">
        <v>10</v>
      </c>
      <c r="C2084" s="75">
        <v>450</v>
      </c>
      <c r="D2084" s="76">
        <v>43365.823275462964</v>
      </c>
      <c r="E2084" s="77">
        <v>43344</v>
      </c>
      <c r="F2084" s="78">
        <v>0.82327546296296295</v>
      </c>
      <c r="G2084" s="75">
        <v>2</v>
      </c>
      <c r="H2084" s="75">
        <v>45</v>
      </c>
      <c r="I2084" s="75">
        <v>31</v>
      </c>
    </row>
    <row r="2085" spans="1:9">
      <c r="A2085" s="75">
        <v>455</v>
      </c>
      <c r="B2085" s="75">
        <v>8</v>
      </c>
      <c r="C2085" s="75">
        <v>463</v>
      </c>
      <c r="D2085" s="76">
        <v>43365.833692129629</v>
      </c>
      <c r="E2085" s="77">
        <v>43344</v>
      </c>
      <c r="F2085" s="78">
        <v>0.83369212962962969</v>
      </c>
      <c r="G2085" s="75">
        <v>2</v>
      </c>
      <c r="H2085" s="75">
        <v>0</v>
      </c>
      <c r="I2085" s="75">
        <v>31</v>
      </c>
    </row>
    <row r="2086" spans="1:9">
      <c r="A2086" s="75">
        <v>461</v>
      </c>
      <c r="B2086" s="75">
        <v>8</v>
      </c>
      <c r="C2086" s="75">
        <v>469</v>
      </c>
      <c r="D2086" s="76">
        <v>43365.844108796293</v>
      </c>
      <c r="E2086" s="77">
        <v>43344</v>
      </c>
      <c r="F2086" s="78">
        <v>0.84410879629629632</v>
      </c>
      <c r="G2086" s="75">
        <v>2</v>
      </c>
      <c r="H2086" s="75">
        <v>15</v>
      </c>
      <c r="I2086" s="75">
        <v>31</v>
      </c>
    </row>
    <row r="2087" spans="1:9">
      <c r="A2087" s="75">
        <v>513</v>
      </c>
      <c r="B2087" s="75">
        <v>5</v>
      </c>
      <c r="C2087" s="75">
        <v>518</v>
      </c>
      <c r="D2087" s="76">
        <v>43365.854525462964</v>
      </c>
      <c r="E2087" s="77">
        <v>43344</v>
      </c>
      <c r="F2087" s="78">
        <v>0.85452546296296295</v>
      </c>
      <c r="G2087" s="75">
        <v>2</v>
      </c>
      <c r="H2087" s="75">
        <v>30</v>
      </c>
      <c r="I2087" s="75">
        <v>31</v>
      </c>
    </row>
    <row r="2088" spans="1:9">
      <c r="A2088" s="75">
        <v>552</v>
      </c>
      <c r="B2088" s="75">
        <v>3</v>
      </c>
      <c r="C2088" s="75">
        <v>555</v>
      </c>
      <c r="D2088" s="76">
        <v>43365.864942129629</v>
      </c>
      <c r="E2088" s="77">
        <v>43344</v>
      </c>
      <c r="F2088" s="78">
        <v>0.86494212962962969</v>
      </c>
      <c r="G2088" s="75">
        <v>2</v>
      </c>
      <c r="H2088" s="75">
        <v>45</v>
      </c>
      <c r="I2088" s="75">
        <v>31</v>
      </c>
    </row>
    <row r="2089" spans="1:9">
      <c r="A2089" s="75">
        <v>543</v>
      </c>
      <c r="B2089" s="75">
        <v>8</v>
      </c>
      <c r="C2089" s="75">
        <v>551</v>
      </c>
      <c r="D2089" s="76">
        <v>43365.875358796293</v>
      </c>
      <c r="E2089" s="77">
        <v>43344</v>
      </c>
      <c r="F2089" s="78">
        <v>0.87535879629629632</v>
      </c>
      <c r="G2089" s="75">
        <v>2</v>
      </c>
      <c r="H2089" s="75">
        <v>0</v>
      </c>
      <c r="I2089" s="75">
        <v>31</v>
      </c>
    </row>
    <row r="2090" spans="1:9">
      <c r="A2090" s="75">
        <v>568</v>
      </c>
      <c r="B2090" s="75">
        <v>6</v>
      </c>
      <c r="C2090" s="75">
        <v>574</v>
      </c>
      <c r="D2090" s="76">
        <v>43365.885775462964</v>
      </c>
      <c r="E2090" s="77">
        <v>43344</v>
      </c>
      <c r="F2090" s="78">
        <v>0.88577546296296295</v>
      </c>
      <c r="G2090" s="75">
        <v>2</v>
      </c>
      <c r="H2090" s="75">
        <v>15</v>
      </c>
      <c r="I2090" s="75">
        <v>31</v>
      </c>
    </row>
    <row r="2091" spans="1:9">
      <c r="A2091" s="75">
        <v>606</v>
      </c>
      <c r="B2091" s="75">
        <v>5</v>
      </c>
      <c r="C2091" s="75">
        <v>611</v>
      </c>
      <c r="D2091" s="76">
        <v>43365.896192129629</v>
      </c>
      <c r="E2091" s="77">
        <v>43344</v>
      </c>
      <c r="F2091" s="78">
        <v>0.89619212962962969</v>
      </c>
      <c r="G2091" s="75">
        <v>2</v>
      </c>
      <c r="H2091" s="75">
        <v>30</v>
      </c>
      <c r="I2091" s="75">
        <v>31</v>
      </c>
    </row>
    <row r="2092" spans="1:9">
      <c r="A2092" s="75">
        <v>647</v>
      </c>
      <c r="B2092" s="75">
        <v>6</v>
      </c>
      <c r="C2092" s="75">
        <v>653</v>
      </c>
      <c r="D2092" s="76">
        <v>43365.906608796293</v>
      </c>
      <c r="E2092" s="77">
        <v>43344</v>
      </c>
      <c r="F2092" s="78">
        <v>0.90660879629629632</v>
      </c>
      <c r="G2092" s="75">
        <v>2</v>
      </c>
      <c r="H2092" s="75">
        <v>45</v>
      </c>
      <c r="I2092" s="75">
        <v>31</v>
      </c>
    </row>
    <row r="2093" spans="1:9">
      <c r="A2093" s="75">
        <v>601</v>
      </c>
      <c r="B2093" s="75">
        <v>10</v>
      </c>
      <c r="C2093" s="75">
        <v>611</v>
      </c>
      <c r="D2093" s="76">
        <v>43365.917025462964</v>
      </c>
      <c r="E2093" s="77">
        <v>43344</v>
      </c>
      <c r="F2093" s="78">
        <v>0.91702546296296295</v>
      </c>
      <c r="G2093" s="75">
        <v>2</v>
      </c>
      <c r="H2093" s="75">
        <v>0</v>
      </c>
      <c r="I2093" s="75">
        <v>31</v>
      </c>
    </row>
    <row r="2094" spans="1:9">
      <c r="A2094" s="75">
        <v>606</v>
      </c>
      <c r="B2094" s="75">
        <v>3</v>
      </c>
      <c r="C2094" s="75">
        <v>609</v>
      </c>
      <c r="D2094" s="76">
        <v>43365.927442129629</v>
      </c>
      <c r="E2094" s="77">
        <v>43344</v>
      </c>
      <c r="F2094" s="78">
        <v>0.92744212962962969</v>
      </c>
      <c r="G2094" s="75">
        <v>2</v>
      </c>
      <c r="H2094" s="75">
        <v>15</v>
      </c>
      <c r="I2094" s="75">
        <v>31</v>
      </c>
    </row>
    <row r="2095" spans="1:9">
      <c r="A2095" s="75">
        <v>636</v>
      </c>
      <c r="B2095" s="75">
        <v>2</v>
      </c>
      <c r="C2095" s="75">
        <v>638</v>
      </c>
      <c r="D2095" s="76">
        <v>43365.937858796293</v>
      </c>
      <c r="E2095" s="77">
        <v>43344</v>
      </c>
      <c r="F2095" s="78">
        <v>0.93785879629629632</v>
      </c>
      <c r="G2095" s="75">
        <v>2</v>
      </c>
      <c r="H2095" s="75">
        <v>30</v>
      </c>
      <c r="I2095" s="75">
        <v>31</v>
      </c>
    </row>
    <row r="2096" spans="1:9">
      <c r="A2096" s="75">
        <v>576</v>
      </c>
      <c r="B2096" s="75">
        <v>8</v>
      </c>
      <c r="C2096" s="75">
        <v>584</v>
      </c>
      <c r="D2096" s="76">
        <v>43365.948275462964</v>
      </c>
      <c r="E2096" s="77">
        <v>43344</v>
      </c>
      <c r="F2096" s="78">
        <v>0.94827546296296295</v>
      </c>
      <c r="G2096" s="75">
        <v>2</v>
      </c>
      <c r="H2096" s="75">
        <v>45</v>
      </c>
      <c r="I2096" s="75">
        <v>31</v>
      </c>
    </row>
    <row r="2097" spans="1:9">
      <c r="A2097" s="75">
        <v>550</v>
      </c>
      <c r="B2097" s="75">
        <v>4</v>
      </c>
      <c r="C2097" s="75">
        <v>554</v>
      </c>
      <c r="D2097" s="76">
        <v>43365.958680555559</v>
      </c>
      <c r="E2097" s="77">
        <v>43344</v>
      </c>
      <c r="F2097" s="78">
        <v>0.95868055555555554</v>
      </c>
      <c r="G2097" s="75">
        <v>2</v>
      </c>
      <c r="H2097" s="75">
        <v>0</v>
      </c>
      <c r="I2097" s="75">
        <v>30</v>
      </c>
    </row>
    <row r="2098" spans="1:9">
      <c r="A2098" s="75">
        <v>462</v>
      </c>
      <c r="B2098" s="75">
        <v>11</v>
      </c>
      <c r="C2098" s="75">
        <v>473</v>
      </c>
      <c r="D2098" s="76">
        <v>43365.969108796293</v>
      </c>
      <c r="E2098" s="77">
        <v>43344</v>
      </c>
      <c r="F2098" s="78">
        <v>0.96910879629629632</v>
      </c>
      <c r="G2098" s="75">
        <v>2</v>
      </c>
      <c r="H2098" s="75">
        <v>15</v>
      </c>
      <c r="I2098" s="75">
        <v>31</v>
      </c>
    </row>
    <row r="2099" spans="1:9">
      <c r="A2099" s="75">
        <v>451</v>
      </c>
      <c r="B2099" s="75">
        <v>5</v>
      </c>
      <c r="C2099" s="75">
        <v>456</v>
      </c>
      <c r="D2099" s="76">
        <v>43365.979513888888</v>
      </c>
      <c r="E2099" s="77">
        <v>43344</v>
      </c>
      <c r="F2099" s="78">
        <v>0.97951388888888891</v>
      </c>
      <c r="G2099" s="75">
        <v>2</v>
      </c>
      <c r="H2099" s="75">
        <v>30</v>
      </c>
      <c r="I2099" s="75">
        <v>30</v>
      </c>
    </row>
    <row r="2100" spans="1:9">
      <c r="A2100" s="75">
        <v>450</v>
      </c>
      <c r="B2100" s="75">
        <v>4</v>
      </c>
      <c r="C2100" s="75">
        <v>454</v>
      </c>
      <c r="D2100" s="76">
        <v>43365.989942129629</v>
      </c>
      <c r="E2100" s="77">
        <v>43344</v>
      </c>
      <c r="F2100" s="78">
        <v>0.98994212962962969</v>
      </c>
      <c r="G2100" s="75">
        <v>2</v>
      </c>
      <c r="H2100" s="75">
        <v>45</v>
      </c>
      <c r="I2100" s="75">
        <v>31</v>
      </c>
    </row>
    <row r="2101" spans="1:9">
      <c r="A2101" s="75">
        <v>402</v>
      </c>
      <c r="B2101" s="75">
        <v>3</v>
      </c>
      <c r="C2101" s="75">
        <v>405</v>
      </c>
      <c r="D2101" s="76">
        <v>43366.000358796293</v>
      </c>
      <c r="E2101" s="77">
        <v>43344</v>
      </c>
      <c r="F2101" s="78">
        <v>3.5879629629629635E-4</v>
      </c>
      <c r="G2101" s="75">
        <v>2</v>
      </c>
      <c r="H2101" s="75">
        <v>0</v>
      </c>
      <c r="I2101" s="75">
        <v>31</v>
      </c>
    </row>
    <row r="2102" spans="1:9">
      <c r="A2102" s="75">
        <v>396</v>
      </c>
      <c r="B2102" s="75">
        <v>4</v>
      </c>
      <c r="C2102" s="75">
        <v>400</v>
      </c>
      <c r="D2102" s="76">
        <v>43366.010775462964</v>
      </c>
      <c r="E2102" s="77">
        <v>43344</v>
      </c>
      <c r="F2102" s="78">
        <v>1.0775462962962964E-2</v>
      </c>
      <c r="G2102" s="75">
        <v>2</v>
      </c>
      <c r="H2102" s="75">
        <v>15</v>
      </c>
      <c r="I2102" s="75">
        <v>31</v>
      </c>
    </row>
    <row r="2103" spans="1:9">
      <c r="A2103" s="75">
        <v>407</v>
      </c>
      <c r="B2103" s="75">
        <v>4</v>
      </c>
      <c r="C2103" s="75">
        <v>411</v>
      </c>
      <c r="D2103" s="76">
        <v>43366.021180555559</v>
      </c>
      <c r="E2103" s="77">
        <v>43344</v>
      </c>
      <c r="F2103" s="78">
        <v>2.1180555555555553E-2</v>
      </c>
      <c r="G2103" s="75">
        <v>2</v>
      </c>
      <c r="H2103" s="75">
        <v>30</v>
      </c>
      <c r="I2103" s="75">
        <v>30</v>
      </c>
    </row>
    <row r="2104" spans="1:9">
      <c r="A2104" s="75">
        <v>378</v>
      </c>
      <c r="B2104" s="75">
        <v>5</v>
      </c>
      <c r="C2104" s="75">
        <v>383</v>
      </c>
      <c r="D2104" s="76">
        <v>43366.031608796293</v>
      </c>
      <c r="E2104" s="77">
        <v>43344</v>
      </c>
      <c r="F2104" s="78">
        <v>3.1608796296296295E-2</v>
      </c>
      <c r="G2104" s="75">
        <v>2</v>
      </c>
      <c r="H2104" s="75">
        <v>45</v>
      </c>
      <c r="I2104" s="75">
        <v>31</v>
      </c>
    </row>
    <row r="2105" spans="1:9">
      <c r="A2105" s="75">
        <v>360</v>
      </c>
      <c r="B2105" s="75">
        <v>7</v>
      </c>
      <c r="C2105" s="75">
        <v>367</v>
      </c>
      <c r="D2105" s="76">
        <v>43366.042025462964</v>
      </c>
      <c r="E2105" s="77">
        <v>43344</v>
      </c>
      <c r="F2105" s="78">
        <v>4.2025462962962966E-2</v>
      </c>
      <c r="G2105" s="75">
        <v>2</v>
      </c>
      <c r="H2105" s="75">
        <v>0</v>
      </c>
      <c r="I2105" s="75">
        <v>31</v>
      </c>
    </row>
    <row r="2106" spans="1:9">
      <c r="A2106" s="75">
        <v>372</v>
      </c>
      <c r="B2106" s="75">
        <v>5</v>
      </c>
      <c r="C2106" s="75">
        <v>377</v>
      </c>
      <c r="D2106" s="76">
        <v>43366.052442129629</v>
      </c>
      <c r="E2106" s="77">
        <v>43344</v>
      </c>
      <c r="F2106" s="78">
        <v>5.244212962962963E-2</v>
      </c>
      <c r="G2106" s="75">
        <v>2</v>
      </c>
      <c r="H2106" s="75">
        <v>15</v>
      </c>
      <c r="I2106" s="75">
        <v>31</v>
      </c>
    </row>
    <row r="2107" spans="1:9">
      <c r="A2107" s="75">
        <v>364</v>
      </c>
      <c r="B2107" s="75">
        <v>6</v>
      </c>
      <c r="C2107" s="75">
        <v>370</v>
      </c>
      <c r="D2107" s="76">
        <v>43366.062858796293</v>
      </c>
      <c r="E2107" s="77">
        <v>43344</v>
      </c>
      <c r="F2107" s="78">
        <v>6.2858796296296301E-2</v>
      </c>
      <c r="G2107" s="75">
        <v>2</v>
      </c>
      <c r="H2107" s="75">
        <v>30</v>
      </c>
      <c r="I2107" s="75">
        <v>31</v>
      </c>
    </row>
    <row r="2108" spans="1:9">
      <c r="A2108" s="75">
        <v>354</v>
      </c>
      <c r="B2108" s="75">
        <v>3</v>
      </c>
      <c r="C2108" s="75">
        <v>357</v>
      </c>
      <c r="D2108" s="76">
        <v>43366.073263888888</v>
      </c>
      <c r="E2108" s="77">
        <v>43344</v>
      </c>
      <c r="F2108" s="78">
        <v>7.3263888888888892E-2</v>
      </c>
      <c r="G2108" s="75">
        <v>2</v>
      </c>
      <c r="H2108" s="75">
        <v>45</v>
      </c>
      <c r="I2108" s="75">
        <v>30</v>
      </c>
    </row>
    <row r="2109" spans="1:9">
      <c r="A2109" s="75">
        <v>372</v>
      </c>
      <c r="B2109" s="75">
        <v>7</v>
      </c>
      <c r="C2109" s="75">
        <v>379</v>
      </c>
      <c r="D2109" s="76">
        <v>43366.083773148152</v>
      </c>
      <c r="E2109" s="77">
        <v>43344</v>
      </c>
      <c r="F2109" s="78">
        <v>8.3773148148148138E-2</v>
      </c>
      <c r="G2109" s="75">
        <v>2</v>
      </c>
      <c r="H2109" s="75">
        <v>0</v>
      </c>
      <c r="I2109" s="75">
        <v>38</v>
      </c>
    </row>
    <row r="2110" spans="1:9">
      <c r="A2110" s="75">
        <v>358</v>
      </c>
      <c r="B2110" s="75">
        <v>3</v>
      </c>
      <c r="C2110" s="75">
        <v>361</v>
      </c>
      <c r="D2110" s="76">
        <v>43366.094108796293</v>
      </c>
      <c r="E2110" s="77">
        <v>43344</v>
      </c>
      <c r="F2110" s="78">
        <v>9.4108796296296301E-2</v>
      </c>
      <c r="G2110" s="75">
        <v>2</v>
      </c>
      <c r="H2110" s="75">
        <v>15</v>
      </c>
      <c r="I2110" s="75">
        <v>31</v>
      </c>
    </row>
    <row r="2111" spans="1:9">
      <c r="A2111" s="75">
        <v>346</v>
      </c>
      <c r="B2111" s="75">
        <v>5</v>
      </c>
      <c r="C2111" s="75">
        <v>351</v>
      </c>
      <c r="D2111" s="76">
        <v>43366.104525462964</v>
      </c>
      <c r="E2111" s="77">
        <v>43344</v>
      </c>
      <c r="F2111" s="78">
        <v>0.10452546296296296</v>
      </c>
      <c r="G2111" s="75">
        <v>2</v>
      </c>
      <c r="H2111" s="75">
        <v>30</v>
      </c>
      <c r="I2111" s="75">
        <v>31</v>
      </c>
    </row>
    <row r="2112" spans="1:9">
      <c r="A2112" s="75">
        <v>302</v>
      </c>
      <c r="B2112" s="75">
        <v>4</v>
      </c>
      <c r="C2112" s="75">
        <v>306</v>
      </c>
      <c r="D2112" s="76">
        <v>43366.114930555559</v>
      </c>
      <c r="E2112" s="77">
        <v>43344</v>
      </c>
      <c r="F2112" s="78">
        <v>0.11493055555555555</v>
      </c>
      <c r="G2112" s="75">
        <v>2</v>
      </c>
      <c r="H2112" s="75">
        <v>45</v>
      </c>
      <c r="I2112" s="75">
        <v>30</v>
      </c>
    </row>
    <row r="2113" spans="1:9">
      <c r="A2113" s="75">
        <v>322</v>
      </c>
      <c r="B2113" s="75">
        <v>4</v>
      </c>
      <c r="C2113" s="75">
        <v>326</v>
      </c>
      <c r="D2113" s="76">
        <v>43366.125358796293</v>
      </c>
      <c r="E2113" s="77">
        <v>43344</v>
      </c>
      <c r="F2113" s="78">
        <v>0.12535879629629629</v>
      </c>
      <c r="G2113" s="75">
        <v>2</v>
      </c>
      <c r="H2113" s="75">
        <v>0</v>
      </c>
      <c r="I2113" s="75">
        <v>31</v>
      </c>
    </row>
    <row r="2114" spans="1:9">
      <c r="A2114" s="75">
        <v>370</v>
      </c>
      <c r="B2114" s="75">
        <v>1</v>
      </c>
      <c r="C2114" s="75">
        <v>371</v>
      </c>
      <c r="D2114" s="76">
        <v>43366.135763888888</v>
      </c>
      <c r="E2114" s="77">
        <v>43344</v>
      </c>
      <c r="F2114" s="78">
        <v>0.13576388888888888</v>
      </c>
      <c r="G2114" s="75">
        <v>2</v>
      </c>
      <c r="H2114" s="75">
        <v>15</v>
      </c>
      <c r="I2114" s="75">
        <v>30</v>
      </c>
    </row>
    <row r="2115" spans="1:9">
      <c r="A2115" s="75">
        <v>397</v>
      </c>
      <c r="B2115" s="75">
        <v>1</v>
      </c>
      <c r="C2115" s="75">
        <v>398</v>
      </c>
      <c r="D2115" s="76">
        <v>43366.146192129629</v>
      </c>
      <c r="E2115" s="77">
        <v>43344</v>
      </c>
      <c r="F2115" s="78">
        <v>0.14619212962962963</v>
      </c>
      <c r="G2115" s="75">
        <v>2</v>
      </c>
      <c r="H2115" s="75">
        <v>30</v>
      </c>
      <c r="I2115" s="75">
        <v>31</v>
      </c>
    </row>
    <row r="2116" spans="1:9">
      <c r="A2116" s="75">
        <v>339</v>
      </c>
      <c r="B2116" s="75">
        <v>3</v>
      </c>
      <c r="C2116" s="75">
        <v>342</v>
      </c>
      <c r="D2116" s="76">
        <v>43366.156608796293</v>
      </c>
      <c r="E2116" s="77">
        <v>43344</v>
      </c>
      <c r="F2116" s="78">
        <v>0.15660879629629629</v>
      </c>
      <c r="G2116" s="75">
        <v>2</v>
      </c>
      <c r="H2116" s="75">
        <v>45</v>
      </c>
      <c r="I2116" s="75">
        <v>31</v>
      </c>
    </row>
    <row r="2117" spans="1:9">
      <c r="A2117" s="75">
        <v>336</v>
      </c>
      <c r="B2117" s="75">
        <v>5</v>
      </c>
      <c r="C2117" s="75">
        <v>338</v>
      </c>
      <c r="D2117" s="76">
        <v>43366.167013888888</v>
      </c>
      <c r="E2117" s="77">
        <v>43344</v>
      </c>
      <c r="F2117" s="78">
        <v>0.16701388888888891</v>
      </c>
      <c r="G2117" s="75">
        <v>2</v>
      </c>
      <c r="H2117" s="75">
        <v>0</v>
      </c>
      <c r="I2117" s="75">
        <v>30</v>
      </c>
    </row>
    <row r="2118" spans="1:9">
      <c r="A2118" s="75">
        <v>313</v>
      </c>
      <c r="B2118" s="75">
        <v>1</v>
      </c>
      <c r="C2118" s="75">
        <v>314</v>
      </c>
      <c r="D2118" s="76">
        <v>43366.177430555559</v>
      </c>
      <c r="E2118" s="77">
        <v>43344</v>
      </c>
      <c r="F2118" s="78">
        <v>0.17743055555555556</v>
      </c>
      <c r="G2118" s="75">
        <v>2</v>
      </c>
      <c r="H2118" s="75">
        <v>15</v>
      </c>
      <c r="I2118" s="75">
        <v>30</v>
      </c>
    </row>
    <row r="2119" spans="1:9">
      <c r="A2119" s="75">
        <v>228</v>
      </c>
      <c r="B2119" s="75">
        <v>6</v>
      </c>
      <c r="C2119" s="75">
        <v>234</v>
      </c>
      <c r="D2119" s="76">
        <v>43366.187847222223</v>
      </c>
      <c r="E2119" s="77">
        <v>43344</v>
      </c>
      <c r="F2119" s="78">
        <v>0.18784722222222219</v>
      </c>
      <c r="G2119" s="75">
        <v>2</v>
      </c>
      <c r="H2119" s="75">
        <v>30</v>
      </c>
      <c r="I2119" s="75">
        <v>30</v>
      </c>
    </row>
    <row r="2120" spans="1:9">
      <c r="A2120" s="75">
        <v>189</v>
      </c>
      <c r="B2120" s="75">
        <v>2</v>
      </c>
      <c r="C2120" s="75">
        <v>191</v>
      </c>
      <c r="D2120" s="76">
        <v>43366.198275462964</v>
      </c>
      <c r="E2120" s="77">
        <v>43344</v>
      </c>
      <c r="F2120" s="78">
        <v>0.19827546296296297</v>
      </c>
      <c r="G2120" s="75">
        <v>2</v>
      </c>
      <c r="H2120" s="75">
        <v>45</v>
      </c>
      <c r="I2120" s="75">
        <v>31</v>
      </c>
    </row>
    <row r="2121" spans="1:9">
      <c r="A2121" s="75">
        <v>210</v>
      </c>
      <c r="B2121" s="75">
        <v>2</v>
      </c>
      <c r="C2121" s="75">
        <v>212</v>
      </c>
      <c r="D2121" s="76">
        <v>43366.208680555559</v>
      </c>
      <c r="E2121" s="77">
        <v>43344</v>
      </c>
      <c r="F2121" s="78">
        <v>0.20868055555555556</v>
      </c>
      <c r="G2121" s="75">
        <v>2</v>
      </c>
      <c r="H2121" s="75">
        <v>0</v>
      </c>
      <c r="I2121" s="75">
        <v>30</v>
      </c>
    </row>
    <row r="2122" spans="1:9">
      <c r="A2122" s="75">
        <v>199</v>
      </c>
      <c r="B2122" s="75">
        <v>2</v>
      </c>
      <c r="C2122" s="75">
        <v>201</v>
      </c>
      <c r="D2122" s="76">
        <v>43366.219097222223</v>
      </c>
      <c r="E2122" s="77">
        <v>43344</v>
      </c>
      <c r="F2122" s="78">
        <v>0.21909722222222225</v>
      </c>
      <c r="G2122" s="75">
        <v>2</v>
      </c>
      <c r="H2122" s="75">
        <v>15</v>
      </c>
      <c r="I2122" s="75">
        <v>30</v>
      </c>
    </row>
    <row r="2123" spans="1:9">
      <c r="A2123" s="75">
        <v>230</v>
      </c>
      <c r="B2123" s="75">
        <v>1</v>
      </c>
      <c r="C2123" s="75">
        <v>231</v>
      </c>
      <c r="D2123" s="76">
        <v>43366.229513888888</v>
      </c>
      <c r="E2123" s="77">
        <v>43344</v>
      </c>
      <c r="F2123" s="78">
        <v>0.22951388888888888</v>
      </c>
      <c r="G2123" s="75">
        <v>2</v>
      </c>
      <c r="H2123" s="75">
        <v>30</v>
      </c>
      <c r="I2123" s="75">
        <v>30</v>
      </c>
    </row>
    <row r="2124" spans="1:9">
      <c r="A2124" s="75">
        <v>265</v>
      </c>
      <c r="B2124" s="75">
        <v>2</v>
      </c>
      <c r="C2124" s="75">
        <v>267</v>
      </c>
      <c r="D2124" s="76">
        <v>43366.239930555559</v>
      </c>
      <c r="E2124" s="77">
        <v>43344</v>
      </c>
      <c r="F2124" s="78">
        <v>0.23993055555555554</v>
      </c>
      <c r="G2124" s="75">
        <v>2</v>
      </c>
      <c r="H2124" s="75">
        <v>45</v>
      </c>
      <c r="I2124" s="75">
        <v>30</v>
      </c>
    </row>
    <row r="2125" spans="1:9">
      <c r="A2125" s="75">
        <v>264</v>
      </c>
      <c r="B2125" s="75">
        <v>0</v>
      </c>
      <c r="C2125" s="75">
        <v>264</v>
      </c>
      <c r="D2125" s="76">
        <v>43366.250347222223</v>
      </c>
      <c r="E2125" s="77">
        <v>43344</v>
      </c>
      <c r="F2125" s="78">
        <v>0.25034722222222222</v>
      </c>
      <c r="G2125" s="75">
        <v>2</v>
      </c>
      <c r="H2125" s="75">
        <v>0</v>
      </c>
      <c r="I2125" s="75">
        <v>30</v>
      </c>
    </row>
    <row r="2126" spans="1:9">
      <c r="A2126" s="75">
        <v>219</v>
      </c>
      <c r="B2126" s="75">
        <v>1</v>
      </c>
      <c r="C2126" s="75">
        <v>220</v>
      </c>
      <c r="D2126" s="76">
        <v>43366.260763888888</v>
      </c>
      <c r="E2126" s="77">
        <v>43344</v>
      </c>
      <c r="F2126" s="78">
        <v>0.26076388888888891</v>
      </c>
      <c r="G2126" s="75">
        <v>2</v>
      </c>
      <c r="H2126" s="75">
        <v>15</v>
      </c>
      <c r="I2126" s="75">
        <v>30</v>
      </c>
    </row>
    <row r="2127" spans="1:9">
      <c r="A2127" s="75">
        <v>176</v>
      </c>
      <c r="B2127" s="75">
        <v>0</v>
      </c>
      <c r="C2127" s="75">
        <v>176</v>
      </c>
      <c r="D2127" s="76">
        <v>43366.273854166669</v>
      </c>
      <c r="E2127" s="77">
        <v>43344</v>
      </c>
      <c r="F2127" s="78">
        <v>0.27385416666666668</v>
      </c>
      <c r="G2127" s="75">
        <v>2</v>
      </c>
      <c r="H2127" s="75">
        <v>34</v>
      </c>
      <c r="I2127" s="75">
        <v>21</v>
      </c>
    </row>
    <row r="2128" spans="1:9">
      <c r="A2128" s="75">
        <v>170</v>
      </c>
      <c r="B2128" s="75">
        <v>0</v>
      </c>
      <c r="C2128" s="75">
        <v>170</v>
      </c>
      <c r="D2128" s="76">
        <v>43366.281597222223</v>
      </c>
      <c r="E2128" s="77">
        <v>43344</v>
      </c>
      <c r="F2128" s="78">
        <v>0.28159722222222222</v>
      </c>
      <c r="G2128" s="75">
        <v>2</v>
      </c>
      <c r="H2128" s="75">
        <v>45</v>
      </c>
      <c r="I2128" s="75">
        <v>30</v>
      </c>
    </row>
    <row r="2129" spans="1:9">
      <c r="A2129" s="75">
        <v>164</v>
      </c>
      <c r="B2129" s="75">
        <v>0</v>
      </c>
      <c r="C2129" s="75">
        <v>164</v>
      </c>
      <c r="D2129" s="76">
        <v>43366.292025462964</v>
      </c>
      <c r="E2129" s="77">
        <v>43344</v>
      </c>
      <c r="F2129" s="78">
        <v>0.29202546296296295</v>
      </c>
      <c r="G2129" s="75">
        <v>2</v>
      </c>
      <c r="H2129" s="75">
        <v>0</v>
      </c>
      <c r="I2129" s="75">
        <v>31</v>
      </c>
    </row>
    <row r="2130" spans="1:9">
      <c r="A2130" s="75">
        <v>134</v>
      </c>
      <c r="B2130" s="75">
        <v>0</v>
      </c>
      <c r="C2130" s="75">
        <v>134</v>
      </c>
      <c r="D2130" s="76">
        <v>43366.302453703705</v>
      </c>
      <c r="E2130" s="77">
        <v>43344</v>
      </c>
      <c r="F2130" s="78">
        <v>0.30245370370370367</v>
      </c>
      <c r="G2130" s="75">
        <v>2</v>
      </c>
      <c r="H2130" s="75">
        <v>15</v>
      </c>
      <c r="I2130" s="75">
        <v>32</v>
      </c>
    </row>
    <row r="2131" spans="1:9">
      <c r="A2131" s="75">
        <v>119</v>
      </c>
      <c r="B2131" s="75">
        <v>0</v>
      </c>
      <c r="C2131" s="75">
        <v>119</v>
      </c>
      <c r="D2131" s="76">
        <v>43366.312858796293</v>
      </c>
      <c r="E2131" s="77">
        <v>43344</v>
      </c>
      <c r="F2131" s="78">
        <v>0.31285879629629632</v>
      </c>
      <c r="G2131" s="75">
        <v>2</v>
      </c>
      <c r="H2131" s="75">
        <v>30</v>
      </c>
      <c r="I2131" s="75">
        <v>31</v>
      </c>
    </row>
    <row r="2132" spans="1:9">
      <c r="A2132" s="75">
        <v>119</v>
      </c>
      <c r="B2132" s="75">
        <v>0</v>
      </c>
      <c r="C2132" s="75">
        <v>115</v>
      </c>
      <c r="D2132" s="76">
        <v>43366.323287037034</v>
      </c>
      <c r="E2132" s="77">
        <v>43344</v>
      </c>
      <c r="F2132" s="78">
        <v>0.32328703703703704</v>
      </c>
      <c r="G2132" s="75">
        <v>2</v>
      </c>
      <c r="H2132" s="75">
        <v>45</v>
      </c>
      <c r="I2132" s="75">
        <v>32</v>
      </c>
    </row>
    <row r="2133" spans="1:9">
      <c r="A2133" s="75">
        <v>108</v>
      </c>
      <c r="B2133" s="75">
        <v>0</v>
      </c>
      <c r="C2133" s="75">
        <v>108</v>
      </c>
      <c r="D2133" s="76">
        <v>43366.333703703705</v>
      </c>
      <c r="E2133" s="77">
        <v>43344</v>
      </c>
      <c r="F2133" s="78">
        <v>0.33370370370370367</v>
      </c>
      <c r="G2133" s="75">
        <v>2</v>
      </c>
      <c r="H2133" s="75">
        <v>0</v>
      </c>
      <c r="I2133" s="75">
        <v>32</v>
      </c>
    </row>
    <row r="2134" spans="1:9">
      <c r="A2134" s="75">
        <v>114</v>
      </c>
      <c r="B2134" s="75">
        <v>0</v>
      </c>
      <c r="C2134" s="75">
        <v>114</v>
      </c>
      <c r="D2134" s="76">
        <v>43366.344108796293</v>
      </c>
      <c r="E2134" s="77">
        <v>43344</v>
      </c>
      <c r="F2134" s="78">
        <v>0.34410879629629632</v>
      </c>
      <c r="G2134" s="75">
        <v>2</v>
      </c>
      <c r="H2134" s="75">
        <v>15</v>
      </c>
      <c r="I2134" s="75">
        <v>31</v>
      </c>
    </row>
    <row r="2135" spans="1:9">
      <c r="A2135" s="75">
        <v>132</v>
      </c>
      <c r="B2135" s="75">
        <v>0</v>
      </c>
      <c r="C2135" s="75">
        <v>132</v>
      </c>
      <c r="D2135" s="76">
        <v>43366.354548611111</v>
      </c>
      <c r="E2135" s="77">
        <v>43344</v>
      </c>
      <c r="F2135" s="78">
        <v>0.35454861111111113</v>
      </c>
      <c r="G2135" s="75">
        <v>2</v>
      </c>
      <c r="H2135" s="75">
        <v>30</v>
      </c>
      <c r="I2135" s="75">
        <v>33</v>
      </c>
    </row>
    <row r="2136" spans="1:9">
      <c r="A2136" s="75">
        <v>115</v>
      </c>
      <c r="B2136" s="75">
        <v>1</v>
      </c>
      <c r="C2136" s="75">
        <v>116</v>
      </c>
      <c r="D2136" s="76">
        <v>43366.364942129629</v>
      </c>
      <c r="E2136" s="77">
        <v>43344</v>
      </c>
      <c r="F2136" s="78">
        <v>0.36494212962962963</v>
      </c>
      <c r="G2136" s="75">
        <v>2</v>
      </c>
      <c r="H2136" s="75">
        <v>45</v>
      </c>
      <c r="I2136" s="75">
        <v>31</v>
      </c>
    </row>
    <row r="2137" spans="1:9">
      <c r="A2137" s="75">
        <v>107</v>
      </c>
      <c r="B2137" s="75">
        <v>0</v>
      </c>
      <c r="C2137" s="75">
        <v>102</v>
      </c>
      <c r="D2137" s="76">
        <v>43366.37537037037</v>
      </c>
      <c r="E2137" s="77">
        <v>43344</v>
      </c>
      <c r="F2137" s="78">
        <v>0.37537037037037035</v>
      </c>
      <c r="G2137" s="75">
        <v>2</v>
      </c>
      <c r="H2137" s="75">
        <v>0</v>
      </c>
      <c r="I2137" s="75">
        <v>32</v>
      </c>
    </row>
    <row r="2138" spans="1:9">
      <c r="A2138" s="75">
        <v>101</v>
      </c>
      <c r="B2138" s="75">
        <v>0</v>
      </c>
      <c r="C2138" s="75">
        <v>101</v>
      </c>
      <c r="D2138" s="76">
        <v>43366.385775462964</v>
      </c>
      <c r="E2138" s="77">
        <v>43344</v>
      </c>
      <c r="F2138" s="78">
        <v>0.385775462962963</v>
      </c>
      <c r="G2138" s="75">
        <v>2</v>
      </c>
      <c r="H2138" s="75">
        <v>15</v>
      </c>
      <c r="I2138" s="75">
        <v>31</v>
      </c>
    </row>
    <row r="2139" spans="1:9">
      <c r="A2139" s="75">
        <v>124</v>
      </c>
      <c r="B2139" s="75">
        <v>1</v>
      </c>
      <c r="C2139" s="75">
        <v>117</v>
      </c>
      <c r="D2139" s="76">
        <v>43366.396192129629</v>
      </c>
      <c r="E2139" s="77">
        <v>43344</v>
      </c>
      <c r="F2139" s="78">
        <v>0.39619212962962963</v>
      </c>
      <c r="G2139" s="75">
        <v>2</v>
      </c>
      <c r="H2139" s="75">
        <v>30</v>
      </c>
      <c r="I2139" s="75">
        <v>31</v>
      </c>
    </row>
    <row r="2140" spans="1:9">
      <c r="A2140" s="75">
        <v>136</v>
      </c>
      <c r="B2140" s="75">
        <v>0</v>
      </c>
      <c r="C2140" s="75">
        <v>128</v>
      </c>
      <c r="D2140" s="76">
        <v>43366.406608796293</v>
      </c>
      <c r="E2140" s="77">
        <v>43344</v>
      </c>
      <c r="F2140" s="78">
        <v>0.40660879629629632</v>
      </c>
      <c r="G2140" s="75">
        <v>2</v>
      </c>
      <c r="H2140" s="75">
        <v>45</v>
      </c>
      <c r="I2140" s="75">
        <v>31</v>
      </c>
    </row>
    <row r="2141" spans="1:9">
      <c r="A2141" s="75">
        <v>109</v>
      </c>
      <c r="B2141" s="75">
        <v>0</v>
      </c>
      <c r="C2141" s="75">
        <v>109</v>
      </c>
      <c r="D2141" s="76">
        <v>43366.417037037034</v>
      </c>
      <c r="E2141" s="77">
        <v>43344</v>
      </c>
      <c r="F2141" s="78">
        <v>0.41703703703703704</v>
      </c>
      <c r="G2141" s="75">
        <v>2</v>
      </c>
      <c r="H2141" s="75">
        <v>0</v>
      </c>
      <c r="I2141" s="75">
        <v>32</v>
      </c>
    </row>
    <row r="2142" spans="1:9">
      <c r="A2142" s="75">
        <v>128</v>
      </c>
      <c r="B2142" s="75">
        <v>0</v>
      </c>
      <c r="C2142" s="75">
        <v>128</v>
      </c>
      <c r="D2142" s="76">
        <v>43366.427453703705</v>
      </c>
      <c r="E2142" s="77">
        <v>43344</v>
      </c>
      <c r="F2142" s="78">
        <v>0.42745370370370367</v>
      </c>
      <c r="G2142" s="75">
        <v>2</v>
      </c>
      <c r="H2142" s="75">
        <v>15</v>
      </c>
      <c r="I2142" s="75">
        <v>32</v>
      </c>
    </row>
    <row r="2143" spans="1:9">
      <c r="A2143" s="75">
        <v>139</v>
      </c>
      <c r="B2143" s="75">
        <v>1</v>
      </c>
      <c r="C2143" s="75">
        <v>140</v>
      </c>
      <c r="D2143" s="76">
        <v>43366.437858796293</v>
      </c>
      <c r="E2143" s="77">
        <v>43344</v>
      </c>
      <c r="F2143" s="78">
        <v>0.43785879629629632</v>
      </c>
      <c r="G2143" s="75">
        <v>2</v>
      </c>
      <c r="H2143" s="75">
        <v>30</v>
      </c>
      <c r="I2143" s="75">
        <v>31</v>
      </c>
    </row>
    <row r="2144" spans="1:9">
      <c r="A2144" s="75">
        <v>165</v>
      </c>
      <c r="B2144" s="75">
        <v>0</v>
      </c>
      <c r="C2144" s="75">
        <v>165</v>
      </c>
      <c r="D2144" s="76">
        <v>43366.448287037034</v>
      </c>
      <c r="E2144" s="77">
        <v>43344</v>
      </c>
      <c r="F2144" s="78">
        <v>0.44828703703703704</v>
      </c>
      <c r="G2144" s="75">
        <v>2</v>
      </c>
      <c r="H2144" s="75">
        <v>45</v>
      </c>
      <c r="I2144" s="75">
        <v>32</v>
      </c>
    </row>
    <row r="2145" spans="1:9">
      <c r="A2145" s="75">
        <v>158</v>
      </c>
      <c r="B2145" s="75">
        <v>1</v>
      </c>
      <c r="C2145" s="75">
        <v>159</v>
      </c>
      <c r="D2145" s="76">
        <v>43366.458692129629</v>
      </c>
      <c r="E2145" s="77">
        <v>43344</v>
      </c>
      <c r="F2145" s="78">
        <v>0.45869212962962963</v>
      </c>
      <c r="G2145" s="75">
        <v>2</v>
      </c>
      <c r="H2145" s="75">
        <v>0</v>
      </c>
      <c r="I2145" s="75">
        <v>31</v>
      </c>
    </row>
    <row r="2146" spans="1:9">
      <c r="A2146" s="75">
        <v>162</v>
      </c>
      <c r="B2146" s="75">
        <v>1</v>
      </c>
      <c r="C2146" s="75">
        <v>155</v>
      </c>
      <c r="D2146" s="76">
        <v>43366.46912037037</v>
      </c>
      <c r="E2146" s="77">
        <v>43344</v>
      </c>
      <c r="F2146" s="78">
        <v>0.46912037037037035</v>
      </c>
      <c r="G2146" s="75">
        <v>2</v>
      </c>
      <c r="H2146" s="75">
        <v>15</v>
      </c>
      <c r="I2146" s="75">
        <v>32</v>
      </c>
    </row>
    <row r="2147" spans="1:9">
      <c r="A2147" s="75">
        <v>195</v>
      </c>
      <c r="B2147" s="75">
        <v>1</v>
      </c>
      <c r="C2147" s="75">
        <v>196</v>
      </c>
      <c r="D2147" s="76">
        <v>43366.479525462964</v>
      </c>
      <c r="E2147" s="77">
        <v>43344</v>
      </c>
      <c r="F2147" s="78">
        <v>0.479525462962963</v>
      </c>
      <c r="G2147" s="75">
        <v>2</v>
      </c>
      <c r="H2147" s="75">
        <v>30</v>
      </c>
      <c r="I2147" s="75">
        <v>31</v>
      </c>
    </row>
    <row r="2148" spans="1:9">
      <c r="A2148" s="75">
        <v>227</v>
      </c>
      <c r="B2148" s="75">
        <v>0</v>
      </c>
      <c r="C2148" s="75">
        <v>219</v>
      </c>
      <c r="D2148" s="76">
        <v>43366.489953703705</v>
      </c>
      <c r="E2148" s="77">
        <v>43344</v>
      </c>
      <c r="F2148" s="78">
        <v>0.48995370370370367</v>
      </c>
      <c r="G2148" s="75">
        <v>2</v>
      </c>
      <c r="H2148" s="75">
        <v>45</v>
      </c>
      <c r="I2148" s="75">
        <v>32</v>
      </c>
    </row>
    <row r="2149" spans="1:9">
      <c r="A2149" s="75">
        <v>191</v>
      </c>
      <c r="B2149" s="75">
        <v>0</v>
      </c>
      <c r="C2149" s="75">
        <v>191</v>
      </c>
      <c r="D2149" s="76">
        <v>43366.50037037037</v>
      </c>
      <c r="E2149" s="77">
        <v>43344</v>
      </c>
      <c r="F2149" s="78">
        <v>0.50037037037037035</v>
      </c>
      <c r="G2149" s="75">
        <v>2</v>
      </c>
      <c r="H2149" s="75">
        <v>0</v>
      </c>
      <c r="I2149" s="75">
        <v>32</v>
      </c>
    </row>
    <row r="2150" spans="1:9">
      <c r="A2150" s="75">
        <v>199</v>
      </c>
      <c r="B2150" s="75">
        <v>1</v>
      </c>
      <c r="C2150" s="75">
        <v>200</v>
      </c>
      <c r="D2150" s="76">
        <v>43366.510775462964</v>
      </c>
      <c r="E2150" s="77">
        <v>43344</v>
      </c>
      <c r="F2150" s="78">
        <v>0.51077546296296295</v>
      </c>
      <c r="G2150" s="75">
        <v>2</v>
      </c>
      <c r="H2150" s="75">
        <v>15</v>
      </c>
      <c r="I2150" s="75">
        <v>31</v>
      </c>
    </row>
    <row r="2151" spans="1:9">
      <c r="A2151" s="75">
        <v>220</v>
      </c>
      <c r="B2151" s="75">
        <v>2</v>
      </c>
      <c r="C2151" s="75">
        <v>222</v>
      </c>
      <c r="D2151" s="76">
        <v>43366.521203703705</v>
      </c>
      <c r="E2151" s="77">
        <v>43344</v>
      </c>
      <c r="F2151" s="78">
        <v>0.52120370370370372</v>
      </c>
      <c r="G2151" s="75">
        <v>2</v>
      </c>
      <c r="H2151" s="75">
        <v>30</v>
      </c>
      <c r="I2151" s="75">
        <v>32</v>
      </c>
    </row>
    <row r="2152" spans="1:9">
      <c r="A2152" s="75">
        <v>256</v>
      </c>
      <c r="B2152" s="75">
        <v>3</v>
      </c>
      <c r="C2152" s="75">
        <v>259</v>
      </c>
      <c r="D2152" s="76">
        <v>43366.53162037037</v>
      </c>
      <c r="E2152" s="77">
        <v>43344</v>
      </c>
      <c r="F2152" s="78">
        <v>0.53162037037037035</v>
      </c>
      <c r="G2152" s="75">
        <v>2</v>
      </c>
      <c r="H2152" s="75">
        <v>45</v>
      </c>
      <c r="I2152" s="75">
        <v>32</v>
      </c>
    </row>
    <row r="2153" spans="1:9">
      <c r="A2153" s="75">
        <v>269</v>
      </c>
      <c r="B2153" s="75">
        <v>0</v>
      </c>
      <c r="C2153" s="75">
        <v>269</v>
      </c>
      <c r="D2153" s="76">
        <v>43366.542025462964</v>
      </c>
      <c r="E2153" s="77">
        <v>43344</v>
      </c>
      <c r="F2153" s="78">
        <v>0.54202546296296295</v>
      </c>
      <c r="G2153" s="75">
        <v>2</v>
      </c>
      <c r="H2153" s="75">
        <v>0</v>
      </c>
      <c r="I2153" s="75">
        <v>31</v>
      </c>
    </row>
    <row r="2154" spans="1:9">
      <c r="A2154" s="75">
        <v>307</v>
      </c>
      <c r="B2154" s="75">
        <v>3</v>
      </c>
      <c r="C2154" s="75">
        <v>310</v>
      </c>
      <c r="D2154" s="76">
        <v>43366.552430555559</v>
      </c>
      <c r="E2154" s="77">
        <v>43344</v>
      </c>
      <c r="F2154" s="78">
        <v>0.55243055555555554</v>
      </c>
      <c r="G2154" s="75">
        <v>2</v>
      </c>
      <c r="H2154" s="75">
        <v>15</v>
      </c>
      <c r="I2154" s="75">
        <v>30</v>
      </c>
    </row>
    <row r="2155" spans="1:9">
      <c r="A2155" s="75">
        <v>317</v>
      </c>
      <c r="B2155" s="75">
        <v>2</v>
      </c>
      <c r="C2155" s="75">
        <v>319</v>
      </c>
      <c r="D2155" s="76">
        <v>43366.562858796293</v>
      </c>
      <c r="E2155" s="77">
        <v>43344</v>
      </c>
      <c r="F2155" s="78">
        <v>0.56285879629629632</v>
      </c>
      <c r="G2155" s="75">
        <v>2</v>
      </c>
      <c r="H2155" s="75">
        <v>30</v>
      </c>
      <c r="I2155" s="75">
        <v>31</v>
      </c>
    </row>
    <row r="2156" spans="1:9">
      <c r="A2156" s="75">
        <v>365</v>
      </c>
      <c r="B2156" s="75">
        <v>4</v>
      </c>
      <c r="C2156" s="75">
        <v>369</v>
      </c>
      <c r="D2156" s="76">
        <v>43366.573275462964</v>
      </c>
      <c r="E2156" s="77">
        <v>43344</v>
      </c>
      <c r="F2156" s="78">
        <v>0.57327546296296295</v>
      </c>
      <c r="G2156" s="75">
        <v>2</v>
      </c>
      <c r="H2156" s="75">
        <v>45</v>
      </c>
      <c r="I2156" s="75">
        <v>31</v>
      </c>
    </row>
    <row r="2157" spans="1:9">
      <c r="A2157" s="75">
        <v>375</v>
      </c>
      <c r="B2157" s="75">
        <v>3</v>
      </c>
      <c r="C2157" s="75">
        <v>378</v>
      </c>
      <c r="D2157" s="76">
        <v>43366.583692129629</v>
      </c>
      <c r="E2157" s="77">
        <v>43344</v>
      </c>
      <c r="F2157" s="78">
        <v>0.58369212962962969</v>
      </c>
      <c r="G2157" s="75">
        <v>2</v>
      </c>
      <c r="H2157" s="75">
        <v>0</v>
      </c>
      <c r="I2157" s="75">
        <v>31</v>
      </c>
    </row>
    <row r="2158" spans="1:9">
      <c r="A2158" s="75">
        <v>336</v>
      </c>
      <c r="B2158" s="75">
        <v>4</v>
      </c>
      <c r="C2158" s="75">
        <v>340</v>
      </c>
      <c r="D2158" s="76">
        <v>43366.594108796293</v>
      </c>
      <c r="E2158" s="77">
        <v>43344</v>
      </c>
      <c r="F2158" s="78">
        <v>0.59410879629629632</v>
      </c>
      <c r="G2158" s="75">
        <v>2</v>
      </c>
      <c r="H2158" s="75">
        <v>15</v>
      </c>
      <c r="I2158" s="75">
        <v>31</v>
      </c>
    </row>
    <row r="2159" spans="1:9">
      <c r="A2159" s="75">
        <v>371</v>
      </c>
      <c r="B2159" s="75">
        <v>2</v>
      </c>
      <c r="C2159" s="75">
        <v>373</v>
      </c>
      <c r="D2159" s="76">
        <v>43366.604537037034</v>
      </c>
      <c r="E2159" s="77">
        <v>43344</v>
      </c>
      <c r="F2159" s="78">
        <v>0.60453703703703698</v>
      </c>
      <c r="G2159" s="75">
        <v>2</v>
      </c>
      <c r="H2159" s="75">
        <v>30</v>
      </c>
      <c r="I2159" s="75">
        <v>32</v>
      </c>
    </row>
    <row r="2160" spans="1:9">
      <c r="A2160" s="75">
        <v>417</v>
      </c>
      <c r="B2160" s="75">
        <v>2</v>
      </c>
      <c r="C2160" s="75">
        <v>419</v>
      </c>
      <c r="D2160" s="76">
        <v>43366.614942129629</v>
      </c>
      <c r="E2160" s="77">
        <v>43344</v>
      </c>
      <c r="F2160" s="78">
        <v>0.61494212962962969</v>
      </c>
      <c r="G2160" s="75">
        <v>2</v>
      </c>
      <c r="H2160" s="75">
        <v>45</v>
      </c>
      <c r="I2160" s="75">
        <v>31</v>
      </c>
    </row>
    <row r="2161" spans="1:9">
      <c r="A2161" s="75">
        <v>408</v>
      </c>
      <c r="B2161" s="75">
        <v>2</v>
      </c>
      <c r="C2161" s="75">
        <v>410</v>
      </c>
      <c r="D2161" s="76">
        <v>43366.625358796293</v>
      </c>
      <c r="E2161" s="77">
        <v>43344</v>
      </c>
      <c r="F2161" s="78">
        <v>0.62535879629629632</v>
      </c>
      <c r="G2161" s="75">
        <v>2</v>
      </c>
      <c r="H2161" s="75">
        <v>0</v>
      </c>
      <c r="I2161" s="75">
        <v>31</v>
      </c>
    </row>
    <row r="2162" spans="1:9">
      <c r="A2162" s="75">
        <v>368</v>
      </c>
      <c r="B2162" s="75">
        <v>6</v>
      </c>
      <c r="C2162" s="75">
        <v>374</v>
      </c>
      <c r="D2162" s="76">
        <v>43366.635775462964</v>
      </c>
      <c r="E2162" s="77">
        <v>43344</v>
      </c>
      <c r="F2162" s="78">
        <v>0.63577546296296295</v>
      </c>
      <c r="G2162" s="75">
        <v>2</v>
      </c>
      <c r="H2162" s="75">
        <v>15</v>
      </c>
      <c r="I2162" s="75">
        <v>31</v>
      </c>
    </row>
    <row r="2163" spans="1:9">
      <c r="A2163" s="75">
        <v>365</v>
      </c>
      <c r="B2163" s="75">
        <v>4</v>
      </c>
      <c r="C2163" s="75">
        <v>369</v>
      </c>
      <c r="D2163" s="76">
        <v>43366.646203703705</v>
      </c>
      <c r="E2163" s="77">
        <v>43344</v>
      </c>
      <c r="F2163" s="78">
        <v>0.64620370370370372</v>
      </c>
      <c r="G2163" s="75">
        <v>2</v>
      </c>
      <c r="H2163" s="75">
        <v>30</v>
      </c>
      <c r="I2163" s="75">
        <v>32</v>
      </c>
    </row>
    <row r="2164" spans="1:9">
      <c r="A2164" s="75">
        <v>429</v>
      </c>
      <c r="B2164" s="75">
        <v>2</v>
      </c>
      <c r="C2164" s="75">
        <v>431</v>
      </c>
      <c r="D2164" s="76">
        <v>43366.656608796293</v>
      </c>
      <c r="E2164" s="77">
        <v>43344</v>
      </c>
      <c r="F2164" s="78">
        <v>0.65660879629629632</v>
      </c>
      <c r="G2164" s="75">
        <v>2</v>
      </c>
      <c r="H2164" s="75">
        <v>45</v>
      </c>
      <c r="I2164" s="75">
        <v>31</v>
      </c>
    </row>
    <row r="2165" spans="1:9">
      <c r="A2165" s="75">
        <v>418</v>
      </c>
      <c r="B2165" s="75">
        <v>6</v>
      </c>
      <c r="C2165" s="75">
        <v>424</v>
      </c>
      <c r="D2165" s="76">
        <v>43366.667025462964</v>
      </c>
      <c r="E2165" s="77">
        <v>43344</v>
      </c>
      <c r="F2165" s="78">
        <v>0.66702546296296295</v>
      </c>
      <c r="G2165" s="75">
        <v>2</v>
      </c>
      <c r="H2165" s="75">
        <v>0</v>
      </c>
      <c r="I2165" s="75">
        <v>31</v>
      </c>
    </row>
    <row r="2166" spans="1:9">
      <c r="A2166" s="75">
        <v>421</v>
      </c>
      <c r="B2166" s="75">
        <v>5</v>
      </c>
      <c r="C2166" s="75">
        <v>426</v>
      </c>
      <c r="D2166" s="76">
        <v>43366.677442129629</v>
      </c>
      <c r="E2166" s="77">
        <v>43344</v>
      </c>
      <c r="F2166" s="78">
        <v>0.67744212962962969</v>
      </c>
      <c r="G2166" s="75">
        <v>2</v>
      </c>
      <c r="H2166" s="75">
        <v>15</v>
      </c>
      <c r="I2166" s="75">
        <v>31</v>
      </c>
    </row>
    <row r="2167" spans="1:9">
      <c r="A2167" s="75">
        <v>429</v>
      </c>
      <c r="B2167" s="75">
        <v>8</v>
      </c>
      <c r="C2167" s="75">
        <v>437</v>
      </c>
      <c r="D2167" s="76">
        <v>43366.687858796293</v>
      </c>
      <c r="E2167" s="77">
        <v>43344</v>
      </c>
      <c r="F2167" s="78">
        <v>0.68785879629629632</v>
      </c>
      <c r="G2167" s="75">
        <v>2</v>
      </c>
      <c r="H2167" s="75">
        <v>30</v>
      </c>
      <c r="I2167" s="75">
        <v>31</v>
      </c>
    </row>
    <row r="2168" spans="1:9">
      <c r="A2168" s="75">
        <v>425</v>
      </c>
      <c r="B2168" s="75">
        <v>4</v>
      </c>
      <c r="C2168" s="75">
        <v>429</v>
      </c>
      <c r="D2168" s="76">
        <v>43366.698275462964</v>
      </c>
      <c r="E2168" s="77">
        <v>43344</v>
      </c>
      <c r="F2168" s="78">
        <v>0.69827546296296295</v>
      </c>
      <c r="G2168" s="75">
        <v>2</v>
      </c>
      <c r="H2168" s="75">
        <v>45</v>
      </c>
      <c r="I2168" s="75">
        <v>31</v>
      </c>
    </row>
    <row r="2169" spans="1:9">
      <c r="A2169" s="75">
        <v>399</v>
      </c>
      <c r="B2169" s="75">
        <v>1</v>
      </c>
      <c r="C2169" s="75">
        <v>396</v>
      </c>
      <c r="D2169" s="76">
        <v>43366.708703703705</v>
      </c>
      <c r="E2169" s="77">
        <v>43344</v>
      </c>
      <c r="F2169" s="78">
        <v>0.70870370370370372</v>
      </c>
      <c r="G2169" s="75">
        <v>2</v>
      </c>
      <c r="H2169" s="75">
        <v>0</v>
      </c>
      <c r="I2169" s="75">
        <v>32</v>
      </c>
    </row>
    <row r="2170" spans="1:9">
      <c r="A2170" s="75">
        <v>352</v>
      </c>
      <c r="B2170" s="75">
        <v>2</v>
      </c>
      <c r="C2170" s="75">
        <v>354</v>
      </c>
      <c r="D2170" s="76">
        <v>43366.719108796293</v>
      </c>
      <c r="E2170" s="77">
        <v>43344</v>
      </c>
      <c r="F2170" s="78">
        <v>0.71910879629629632</v>
      </c>
      <c r="G2170" s="75">
        <v>2</v>
      </c>
      <c r="H2170" s="75">
        <v>15</v>
      </c>
      <c r="I2170" s="75">
        <v>31</v>
      </c>
    </row>
    <row r="2171" spans="1:9">
      <c r="A2171" s="75">
        <v>375</v>
      </c>
      <c r="B2171" s="75">
        <v>4</v>
      </c>
      <c r="C2171" s="75">
        <v>379</v>
      </c>
      <c r="D2171" s="76">
        <v>43366.729525462964</v>
      </c>
      <c r="E2171" s="77">
        <v>43344</v>
      </c>
      <c r="F2171" s="78">
        <v>0.72952546296296295</v>
      </c>
      <c r="G2171" s="75">
        <v>2</v>
      </c>
      <c r="H2171" s="75">
        <v>30</v>
      </c>
      <c r="I2171" s="75">
        <v>31</v>
      </c>
    </row>
    <row r="2172" spans="1:9">
      <c r="A2172" s="75">
        <v>397</v>
      </c>
      <c r="B2172" s="75">
        <v>6</v>
      </c>
      <c r="C2172" s="75">
        <v>403</v>
      </c>
      <c r="D2172" s="76">
        <v>43366.739942129629</v>
      </c>
      <c r="E2172" s="77">
        <v>43344</v>
      </c>
      <c r="F2172" s="78">
        <v>0.73994212962962969</v>
      </c>
      <c r="G2172" s="75">
        <v>2</v>
      </c>
      <c r="H2172" s="75">
        <v>45</v>
      </c>
      <c r="I2172" s="75">
        <v>31</v>
      </c>
    </row>
    <row r="2173" spans="1:9">
      <c r="A2173" s="75">
        <v>396</v>
      </c>
      <c r="B2173" s="75">
        <v>2</v>
      </c>
      <c r="C2173" s="75">
        <v>398</v>
      </c>
      <c r="D2173" s="76">
        <v>43366.750358796293</v>
      </c>
      <c r="E2173" s="77">
        <v>43344</v>
      </c>
      <c r="F2173" s="78">
        <v>0.75035879629629632</v>
      </c>
      <c r="G2173" s="75">
        <v>2</v>
      </c>
      <c r="H2173" s="75">
        <v>0</v>
      </c>
      <c r="I2173" s="75">
        <v>31</v>
      </c>
    </row>
    <row r="2174" spans="1:9">
      <c r="A2174" s="75">
        <v>417</v>
      </c>
      <c r="B2174" s="75">
        <v>0</v>
      </c>
      <c r="C2174" s="75">
        <v>416</v>
      </c>
      <c r="D2174" s="76">
        <v>43366.760775462964</v>
      </c>
      <c r="E2174" s="77">
        <v>43344</v>
      </c>
      <c r="F2174" s="78">
        <v>0.76077546296296295</v>
      </c>
      <c r="G2174" s="75">
        <v>2</v>
      </c>
      <c r="H2174" s="75">
        <v>15</v>
      </c>
      <c r="I2174" s="75">
        <v>31</v>
      </c>
    </row>
    <row r="2175" spans="1:9">
      <c r="A2175" s="75">
        <v>444</v>
      </c>
      <c r="B2175" s="75">
        <v>1</v>
      </c>
      <c r="C2175" s="75">
        <v>445</v>
      </c>
      <c r="D2175" s="76">
        <v>43366.771192129629</v>
      </c>
      <c r="E2175" s="77">
        <v>43344</v>
      </c>
      <c r="F2175" s="78">
        <v>0.77119212962962969</v>
      </c>
      <c r="G2175" s="75">
        <v>2</v>
      </c>
      <c r="H2175" s="75">
        <v>30</v>
      </c>
      <c r="I2175" s="75">
        <v>31</v>
      </c>
    </row>
    <row r="2176" spans="1:9">
      <c r="A2176" s="75">
        <v>462</v>
      </c>
      <c r="B2176" s="75">
        <v>4</v>
      </c>
      <c r="C2176" s="75">
        <v>466</v>
      </c>
      <c r="D2176" s="76">
        <v>43366.781608796293</v>
      </c>
      <c r="E2176" s="77">
        <v>43344</v>
      </c>
      <c r="F2176" s="78">
        <v>0.78160879629629632</v>
      </c>
      <c r="G2176" s="75">
        <v>2</v>
      </c>
      <c r="H2176" s="75">
        <v>45</v>
      </c>
      <c r="I2176" s="75">
        <v>31</v>
      </c>
    </row>
    <row r="2177" spans="1:9">
      <c r="A2177" s="75">
        <v>451</v>
      </c>
      <c r="B2177" s="75">
        <v>7</v>
      </c>
      <c r="C2177" s="75">
        <v>458</v>
      </c>
      <c r="D2177" s="76">
        <v>43366.792025462964</v>
      </c>
      <c r="E2177" s="77">
        <v>43344</v>
      </c>
      <c r="F2177" s="78">
        <v>0.79202546296296295</v>
      </c>
      <c r="G2177" s="75">
        <v>2</v>
      </c>
      <c r="H2177" s="75">
        <v>0</v>
      </c>
      <c r="I2177" s="75">
        <v>31</v>
      </c>
    </row>
    <row r="2178" spans="1:9">
      <c r="A2178" s="75">
        <v>445</v>
      </c>
      <c r="B2178" s="75">
        <v>7</v>
      </c>
      <c r="C2178" s="75">
        <v>443</v>
      </c>
      <c r="D2178" s="76">
        <v>43366.802442129629</v>
      </c>
      <c r="E2178" s="77">
        <v>43344</v>
      </c>
      <c r="F2178" s="78">
        <v>0.80244212962962969</v>
      </c>
      <c r="G2178" s="75">
        <v>2</v>
      </c>
      <c r="H2178" s="75">
        <v>15</v>
      </c>
      <c r="I2178" s="75">
        <v>31</v>
      </c>
    </row>
    <row r="2179" spans="1:9">
      <c r="A2179" s="75">
        <v>456</v>
      </c>
      <c r="B2179" s="75">
        <v>6</v>
      </c>
      <c r="C2179" s="75">
        <v>462</v>
      </c>
      <c r="D2179" s="76">
        <v>43366.812847222223</v>
      </c>
      <c r="E2179" s="77">
        <v>43344</v>
      </c>
      <c r="F2179" s="78">
        <v>0.81284722222222217</v>
      </c>
      <c r="G2179" s="75">
        <v>2</v>
      </c>
      <c r="H2179" s="75">
        <v>30</v>
      </c>
      <c r="I2179" s="75">
        <v>30</v>
      </c>
    </row>
    <row r="2180" spans="1:9">
      <c r="A2180" s="75">
        <v>439</v>
      </c>
      <c r="B2180" s="75">
        <v>5</v>
      </c>
      <c r="C2180" s="75">
        <v>444</v>
      </c>
      <c r="D2180" s="76">
        <v>43366.823275462964</v>
      </c>
      <c r="E2180" s="77">
        <v>43344</v>
      </c>
      <c r="F2180" s="78">
        <v>0.82327546296296295</v>
      </c>
      <c r="G2180" s="75">
        <v>2</v>
      </c>
      <c r="H2180" s="75">
        <v>45</v>
      </c>
      <c r="I2180" s="75">
        <v>31</v>
      </c>
    </row>
    <row r="2181" spans="1:9">
      <c r="A2181" s="75">
        <v>458</v>
      </c>
      <c r="B2181" s="75">
        <v>6</v>
      </c>
      <c r="C2181" s="75">
        <v>464</v>
      </c>
      <c r="D2181" s="76">
        <v>43366.833692129629</v>
      </c>
      <c r="E2181" s="77">
        <v>43344</v>
      </c>
      <c r="F2181" s="78">
        <v>0.83369212962962969</v>
      </c>
      <c r="G2181" s="75">
        <v>2</v>
      </c>
      <c r="H2181" s="75">
        <v>0</v>
      </c>
      <c r="I2181" s="75">
        <v>31</v>
      </c>
    </row>
    <row r="2182" spans="1:9">
      <c r="A2182" s="75">
        <v>442</v>
      </c>
      <c r="B2182" s="75">
        <v>9</v>
      </c>
      <c r="C2182" s="75">
        <v>451</v>
      </c>
      <c r="D2182" s="76">
        <v>43366.844097222223</v>
      </c>
      <c r="E2182" s="77">
        <v>43344</v>
      </c>
      <c r="F2182" s="78">
        <v>0.84409722222222217</v>
      </c>
      <c r="G2182" s="75">
        <v>2</v>
      </c>
      <c r="H2182" s="75">
        <v>15</v>
      </c>
      <c r="I2182" s="75">
        <v>30</v>
      </c>
    </row>
    <row r="2183" spans="1:9">
      <c r="A2183" s="75">
        <v>448</v>
      </c>
      <c r="B2183" s="75">
        <v>8</v>
      </c>
      <c r="C2183" s="75">
        <v>456</v>
      </c>
      <c r="D2183" s="76">
        <v>43366.854513888888</v>
      </c>
      <c r="E2183" s="77">
        <v>43344</v>
      </c>
      <c r="F2183" s="78">
        <v>0.85451388888888891</v>
      </c>
      <c r="G2183" s="75">
        <v>2</v>
      </c>
      <c r="H2183" s="75">
        <v>30</v>
      </c>
      <c r="I2183" s="75">
        <v>30</v>
      </c>
    </row>
    <row r="2184" spans="1:9">
      <c r="A2184" s="75">
        <v>534</v>
      </c>
      <c r="B2184" s="75">
        <v>6</v>
      </c>
      <c r="C2184" s="75">
        <v>533</v>
      </c>
      <c r="D2184" s="76">
        <v>43366.864942129629</v>
      </c>
      <c r="E2184" s="77">
        <v>43344</v>
      </c>
      <c r="F2184" s="78">
        <v>0.86494212962962969</v>
      </c>
      <c r="G2184" s="75">
        <v>2</v>
      </c>
      <c r="H2184" s="75">
        <v>45</v>
      </c>
      <c r="I2184" s="75">
        <v>31</v>
      </c>
    </row>
    <row r="2185" spans="1:9">
      <c r="A2185" s="75">
        <v>515</v>
      </c>
      <c r="B2185" s="75">
        <v>4</v>
      </c>
      <c r="C2185" s="75">
        <v>519</v>
      </c>
      <c r="D2185" s="76">
        <v>43366.875347222223</v>
      </c>
      <c r="E2185" s="77">
        <v>43344</v>
      </c>
      <c r="F2185" s="78">
        <v>0.87534722222222217</v>
      </c>
      <c r="G2185" s="75">
        <v>2</v>
      </c>
      <c r="H2185" s="75">
        <v>0</v>
      </c>
      <c r="I2185" s="75">
        <v>30</v>
      </c>
    </row>
    <row r="2186" spans="1:9">
      <c r="A2186" s="75">
        <v>572</v>
      </c>
      <c r="B2186" s="75">
        <v>5</v>
      </c>
      <c r="C2186" s="75">
        <v>577</v>
      </c>
      <c r="D2186" s="76">
        <v>43366.885775462964</v>
      </c>
      <c r="E2186" s="77">
        <v>43344</v>
      </c>
      <c r="F2186" s="78">
        <v>0.88577546296296295</v>
      </c>
      <c r="G2186" s="75">
        <v>2</v>
      </c>
      <c r="H2186" s="75">
        <v>15</v>
      </c>
      <c r="I2186" s="75">
        <v>31</v>
      </c>
    </row>
    <row r="2187" spans="1:9">
      <c r="A2187" s="75">
        <v>563</v>
      </c>
      <c r="B2187" s="75">
        <v>8</v>
      </c>
      <c r="C2187" s="75">
        <v>571</v>
      </c>
      <c r="D2187" s="76">
        <v>43366.896180555559</v>
      </c>
      <c r="E2187" s="77">
        <v>43344</v>
      </c>
      <c r="F2187" s="78">
        <v>0.89618055555555554</v>
      </c>
      <c r="G2187" s="75">
        <v>2</v>
      </c>
      <c r="H2187" s="75">
        <v>30</v>
      </c>
      <c r="I2187" s="75">
        <v>30</v>
      </c>
    </row>
    <row r="2188" spans="1:9">
      <c r="A2188" s="75">
        <v>585</v>
      </c>
      <c r="B2188" s="75">
        <v>10</v>
      </c>
      <c r="C2188" s="75">
        <v>595</v>
      </c>
      <c r="D2188" s="76">
        <v>43366.906608796293</v>
      </c>
      <c r="E2188" s="77">
        <v>43344</v>
      </c>
      <c r="F2188" s="78">
        <v>0.90660879629629632</v>
      </c>
      <c r="G2188" s="75">
        <v>2</v>
      </c>
      <c r="H2188" s="75">
        <v>45</v>
      </c>
      <c r="I2188" s="75">
        <v>31</v>
      </c>
    </row>
    <row r="2189" spans="1:9">
      <c r="A2189" s="75">
        <v>555</v>
      </c>
      <c r="B2189" s="75">
        <v>6</v>
      </c>
      <c r="C2189" s="75">
        <v>561</v>
      </c>
      <c r="D2189" s="76">
        <v>43366.917013888888</v>
      </c>
      <c r="E2189" s="77">
        <v>43344</v>
      </c>
      <c r="F2189" s="78">
        <v>0.91701388888888891</v>
      </c>
      <c r="G2189" s="75">
        <v>2</v>
      </c>
      <c r="H2189" s="75">
        <v>0</v>
      </c>
      <c r="I2189" s="75">
        <v>30</v>
      </c>
    </row>
    <row r="2190" spans="1:9">
      <c r="A2190" s="75">
        <v>571</v>
      </c>
      <c r="B2190" s="75">
        <v>6</v>
      </c>
      <c r="C2190" s="75">
        <v>577</v>
      </c>
      <c r="D2190" s="76">
        <v>43366.927430555559</v>
      </c>
      <c r="E2190" s="77">
        <v>43344</v>
      </c>
      <c r="F2190" s="78">
        <v>0.92743055555555554</v>
      </c>
      <c r="G2190" s="75">
        <v>2</v>
      </c>
      <c r="H2190" s="75">
        <v>15</v>
      </c>
      <c r="I2190" s="75">
        <v>30</v>
      </c>
    </row>
    <row r="2191" spans="1:9">
      <c r="A2191" s="75">
        <v>545</v>
      </c>
      <c r="B2191" s="75">
        <v>7</v>
      </c>
      <c r="C2191" s="75">
        <v>552</v>
      </c>
      <c r="D2191" s="76">
        <v>43366.937847222223</v>
      </c>
      <c r="E2191" s="77">
        <v>43344</v>
      </c>
      <c r="F2191" s="78">
        <v>0.93784722222222217</v>
      </c>
      <c r="G2191" s="75">
        <v>2</v>
      </c>
      <c r="H2191" s="75">
        <v>30</v>
      </c>
      <c r="I2191" s="75">
        <v>30</v>
      </c>
    </row>
    <row r="2192" spans="1:9">
      <c r="A2192" s="75">
        <v>510</v>
      </c>
      <c r="B2192" s="75">
        <v>5</v>
      </c>
      <c r="C2192" s="75">
        <v>515</v>
      </c>
      <c r="D2192" s="76">
        <v>43366.948263888888</v>
      </c>
      <c r="E2192" s="77">
        <v>43344</v>
      </c>
      <c r="F2192" s="78">
        <v>0.94826388888888891</v>
      </c>
      <c r="G2192" s="75">
        <v>2</v>
      </c>
      <c r="H2192" s="75">
        <v>45</v>
      </c>
      <c r="I2192" s="75">
        <v>30</v>
      </c>
    </row>
    <row r="2193" spans="1:9">
      <c r="A2193" s="75">
        <v>468</v>
      </c>
      <c r="B2193" s="75">
        <v>0</v>
      </c>
      <c r="C2193" s="75">
        <v>468</v>
      </c>
      <c r="D2193" s="76">
        <v>43366.958680555559</v>
      </c>
      <c r="E2193" s="77">
        <v>43344</v>
      </c>
      <c r="F2193" s="78">
        <v>0.95868055555555554</v>
      </c>
      <c r="G2193" s="75">
        <v>2</v>
      </c>
      <c r="H2193" s="75">
        <v>0</v>
      </c>
      <c r="I2193" s="75">
        <v>30</v>
      </c>
    </row>
    <row r="2194" spans="1:9">
      <c r="A2194" s="75">
        <v>432</v>
      </c>
      <c r="B2194" s="75">
        <v>0</v>
      </c>
      <c r="C2194" s="75">
        <v>432</v>
      </c>
      <c r="D2194" s="76">
        <v>43366.969108796293</v>
      </c>
      <c r="E2194" s="77">
        <v>43344</v>
      </c>
      <c r="F2194" s="78">
        <v>0.96910879629629632</v>
      </c>
      <c r="G2194" s="75">
        <v>2</v>
      </c>
      <c r="H2194" s="75">
        <v>15</v>
      </c>
      <c r="I2194" s="75">
        <v>31</v>
      </c>
    </row>
    <row r="2195" spans="1:9">
      <c r="A2195" s="75">
        <v>399</v>
      </c>
      <c r="B2195" s="75">
        <v>1</v>
      </c>
      <c r="C2195" s="75">
        <v>400</v>
      </c>
      <c r="D2195" s="76">
        <v>43366.979513888888</v>
      </c>
      <c r="E2195" s="77">
        <v>43344</v>
      </c>
      <c r="F2195" s="78">
        <v>0.97951388888888891</v>
      </c>
      <c r="G2195" s="75">
        <v>2</v>
      </c>
      <c r="H2195" s="75">
        <v>30</v>
      </c>
      <c r="I2195" s="75">
        <v>30</v>
      </c>
    </row>
    <row r="2196" spans="1:9">
      <c r="A2196" s="75">
        <v>347</v>
      </c>
      <c r="B2196" s="75">
        <v>0</v>
      </c>
      <c r="C2196" s="75">
        <v>346</v>
      </c>
      <c r="D2196" s="76">
        <v>43366.989942129629</v>
      </c>
      <c r="E2196" s="77">
        <v>43344</v>
      </c>
      <c r="F2196" s="78">
        <v>0.98994212962962969</v>
      </c>
      <c r="G2196" s="75">
        <v>2</v>
      </c>
      <c r="H2196" s="75">
        <v>45</v>
      </c>
      <c r="I2196" s="75">
        <v>31</v>
      </c>
    </row>
    <row r="2197" spans="1:9">
      <c r="A2197" s="75">
        <v>352</v>
      </c>
      <c r="B2197" s="75">
        <v>0</v>
      </c>
      <c r="C2197" s="75">
        <v>352</v>
      </c>
      <c r="D2197" s="76">
        <v>43367.000347222223</v>
      </c>
      <c r="E2197" s="77">
        <v>43344</v>
      </c>
      <c r="F2197" s="78">
        <v>3.4722222222222224E-4</v>
      </c>
      <c r="G2197" s="75">
        <v>2</v>
      </c>
      <c r="H2197" s="75">
        <v>0</v>
      </c>
      <c r="I2197" s="75">
        <v>30</v>
      </c>
    </row>
    <row r="2198" spans="1:9">
      <c r="A2198" s="75">
        <v>345</v>
      </c>
      <c r="B2198" s="75">
        <v>5</v>
      </c>
      <c r="C2198" s="75">
        <v>350</v>
      </c>
      <c r="D2198" s="76">
        <v>43367.010763888888</v>
      </c>
      <c r="E2198" s="77">
        <v>43344</v>
      </c>
      <c r="F2198" s="78">
        <v>1.0763888888888891E-2</v>
      </c>
      <c r="G2198" s="75">
        <v>2</v>
      </c>
      <c r="H2198" s="75">
        <v>15</v>
      </c>
      <c r="I2198" s="75">
        <v>30</v>
      </c>
    </row>
    <row r="2199" spans="1:9">
      <c r="A2199" s="75">
        <v>322</v>
      </c>
      <c r="B2199" s="75">
        <v>4</v>
      </c>
      <c r="C2199" s="75">
        <v>326</v>
      </c>
      <c r="D2199" s="76">
        <v>43367.021180555559</v>
      </c>
      <c r="E2199" s="77">
        <v>43344</v>
      </c>
      <c r="F2199" s="78">
        <v>2.1180555555555553E-2</v>
      </c>
      <c r="G2199" s="75">
        <v>2</v>
      </c>
      <c r="H2199" s="75">
        <v>30</v>
      </c>
      <c r="I2199" s="75">
        <v>30</v>
      </c>
    </row>
    <row r="2200" spans="1:9">
      <c r="A2200" s="75">
        <v>349</v>
      </c>
      <c r="B2200" s="75">
        <v>3</v>
      </c>
      <c r="C2200" s="75">
        <v>352</v>
      </c>
      <c r="D2200" s="76">
        <v>43367.031597222223</v>
      </c>
      <c r="E2200" s="77">
        <v>43344</v>
      </c>
      <c r="F2200" s="78">
        <v>3.1597222222222221E-2</v>
      </c>
      <c r="G2200" s="75">
        <v>2</v>
      </c>
      <c r="H2200" s="75">
        <v>45</v>
      </c>
      <c r="I2200" s="75">
        <v>30</v>
      </c>
    </row>
    <row r="2201" spans="1:9">
      <c r="A2201" s="75">
        <v>404</v>
      </c>
      <c r="B2201" s="75">
        <v>4</v>
      </c>
      <c r="C2201" s="75">
        <v>408</v>
      </c>
      <c r="D2201" s="76">
        <v>43367.042013888888</v>
      </c>
      <c r="E2201" s="77">
        <v>43344</v>
      </c>
      <c r="F2201" s="78">
        <v>4.2013888888888885E-2</v>
      </c>
      <c r="G2201" s="75">
        <v>2</v>
      </c>
      <c r="H2201" s="75">
        <v>0</v>
      </c>
      <c r="I2201" s="75">
        <v>30</v>
      </c>
    </row>
    <row r="2202" spans="1:9">
      <c r="A2202" s="75">
        <v>401</v>
      </c>
      <c r="B2202" s="75">
        <v>5</v>
      </c>
      <c r="C2202" s="75">
        <v>406</v>
      </c>
      <c r="D2202" s="76">
        <v>43367.052430555559</v>
      </c>
      <c r="E2202" s="77">
        <v>43344</v>
      </c>
      <c r="F2202" s="78">
        <v>5.2430555555555557E-2</v>
      </c>
      <c r="G2202" s="75">
        <v>2</v>
      </c>
      <c r="H2202" s="75">
        <v>15</v>
      </c>
      <c r="I2202" s="75">
        <v>30</v>
      </c>
    </row>
    <row r="2203" spans="1:9">
      <c r="A2203" s="75">
        <v>403</v>
      </c>
      <c r="B2203" s="75">
        <v>0</v>
      </c>
      <c r="C2203" s="75">
        <v>403</v>
      </c>
      <c r="D2203" s="76">
        <v>43367.062847222223</v>
      </c>
      <c r="E2203" s="77">
        <v>43344</v>
      </c>
      <c r="F2203" s="78">
        <v>6.2847222222222221E-2</v>
      </c>
      <c r="G2203" s="75">
        <v>2</v>
      </c>
      <c r="H2203" s="75">
        <v>30</v>
      </c>
      <c r="I2203" s="75">
        <v>30</v>
      </c>
    </row>
    <row r="2204" spans="1:9">
      <c r="A2204" s="75">
        <v>355</v>
      </c>
      <c r="B2204" s="75">
        <v>2</v>
      </c>
      <c r="C2204" s="75">
        <v>357</v>
      </c>
      <c r="D2204" s="76">
        <v>43367.073263888888</v>
      </c>
      <c r="E2204" s="77">
        <v>43344</v>
      </c>
      <c r="F2204" s="78">
        <v>7.3263888888888892E-2</v>
      </c>
      <c r="G2204" s="75">
        <v>2</v>
      </c>
      <c r="H2204" s="75">
        <v>45</v>
      </c>
      <c r="I2204" s="75">
        <v>30</v>
      </c>
    </row>
    <row r="2205" spans="1:9">
      <c r="A2205" s="75">
        <v>364</v>
      </c>
      <c r="B2205" s="75">
        <v>1</v>
      </c>
      <c r="C2205" s="75">
        <v>365</v>
      </c>
      <c r="D2205" s="76">
        <v>43367.083715277775</v>
      </c>
      <c r="E2205" s="77">
        <v>43344</v>
      </c>
      <c r="F2205" s="78">
        <v>8.3715277777777777E-2</v>
      </c>
      <c r="G2205" s="75">
        <v>2</v>
      </c>
      <c r="H2205" s="75">
        <v>0</v>
      </c>
      <c r="I2205" s="75">
        <v>33</v>
      </c>
    </row>
    <row r="2206" spans="1:9">
      <c r="A2206" s="75">
        <v>338</v>
      </c>
      <c r="B2206" s="75">
        <v>2</v>
      </c>
      <c r="C2206" s="75">
        <v>340</v>
      </c>
      <c r="D2206" s="76">
        <v>43367.094097222223</v>
      </c>
      <c r="E2206" s="77">
        <v>43344</v>
      </c>
      <c r="F2206" s="78">
        <v>9.4097222222222221E-2</v>
      </c>
      <c r="G2206" s="75">
        <v>2</v>
      </c>
      <c r="H2206" s="75">
        <v>15</v>
      </c>
      <c r="I2206" s="75">
        <v>30</v>
      </c>
    </row>
    <row r="2207" spans="1:9">
      <c r="A2207" s="75">
        <v>336</v>
      </c>
      <c r="B2207" s="75">
        <v>1</v>
      </c>
      <c r="C2207" s="75">
        <v>337</v>
      </c>
      <c r="D2207" s="76">
        <v>43367.104525462964</v>
      </c>
      <c r="E2207" s="77">
        <v>43344</v>
      </c>
      <c r="F2207" s="78">
        <v>0.10452546296296296</v>
      </c>
      <c r="G2207" s="75">
        <v>2</v>
      </c>
      <c r="H2207" s="75">
        <v>30</v>
      </c>
      <c r="I2207" s="75">
        <v>31</v>
      </c>
    </row>
    <row r="2208" spans="1:9">
      <c r="A2208" s="75">
        <v>324</v>
      </c>
      <c r="B2208" s="75">
        <v>2</v>
      </c>
      <c r="C2208" s="75">
        <v>326</v>
      </c>
      <c r="D2208" s="76">
        <v>43367.114918981482</v>
      </c>
      <c r="E2208" s="77">
        <v>43344</v>
      </c>
      <c r="F2208" s="78">
        <v>0.11491898148148148</v>
      </c>
      <c r="G2208" s="75">
        <v>2</v>
      </c>
      <c r="H2208" s="75">
        <v>45</v>
      </c>
      <c r="I2208" s="75">
        <v>29</v>
      </c>
    </row>
    <row r="2209" spans="1:9">
      <c r="A2209" s="75">
        <v>319</v>
      </c>
      <c r="B2209" s="75">
        <v>1</v>
      </c>
      <c r="C2209" s="75">
        <v>320</v>
      </c>
      <c r="D2209" s="76">
        <v>43367.125347222223</v>
      </c>
      <c r="E2209" s="77">
        <v>43344</v>
      </c>
      <c r="F2209" s="78">
        <v>0.12534722222222222</v>
      </c>
      <c r="G2209" s="75">
        <v>2</v>
      </c>
      <c r="H2209" s="75">
        <v>0</v>
      </c>
      <c r="I2209" s="75">
        <v>30</v>
      </c>
    </row>
    <row r="2210" spans="1:9">
      <c r="A2210" s="75">
        <v>308</v>
      </c>
      <c r="B2210" s="75">
        <v>0</v>
      </c>
      <c r="C2210" s="75">
        <v>308</v>
      </c>
      <c r="D2210" s="76">
        <v>43367.135752314818</v>
      </c>
      <c r="E2210" s="77">
        <v>43344</v>
      </c>
      <c r="F2210" s="78">
        <v>0.13575231481481481</v>
      </c>
      <c r="G2210" s="75">
        <v>2</v>
      </c>
      <c r="H2210" s="75">
        <v>15</v>
      </c>
      <c r="I2210" s="75">
        <v>29</v>
      </c>
    </row>
    <row r="2211" spans="1:9">
      <c r="A2211" s="75">
        <v>262</v>
      </c>
      <c r="B2211" s="75">
        <v>0</v>
      </c>
      <c r="C2211" s="75">
        <v>262</v>
      </c>
      <c r="D2211" s="76">
        <v>43367.146180555559</v>
      </c>
      <c r="E2211" s="77">
        <v>43344</v>
      </c>
      <c r="F2211" s="78">
        <v>0.14618055555555556</v>
      </c>
      <c r="G2211" s="75">
        <v>2</v>
      </c>
      <c r="H2211" s="75">
        <v>30</v>
      </c>
      <c r="I2211" s="75">
        <v>30</v>
      </c>
    </row>
    <row r="2212" spans="1:9">
      <c r="A2212" s="75">
        <v>249</v>
      </c>
      <c r="B2212" s="75">
        <v>1</v>
      </c>
      <c r="C2212" s="75">
        <v>250</v>
      </c>
      <c r="D2212" s="76">
        <v>43367.156585648147</v>
      </c>
      <c r="E2212" s="77">
        <v>43344</v>
      </c>
      <c r="F2212" s="78">
        <v>0.15658564814814815</v>
      </c>
      <c r="G2212" s="75">
        <v>2</v>
      </c>
      <c r="H2212" s="75">
        <v>45</v>
      </c>
      <c r="I2212" s="75">
        <v>29</v>
      </c>
    </row>
    <row r="2213" spans="1:9">
      <c r="A2213" s="75">
        <v>217</v>
      </c>
      <c r="B2213" s="75">
        <v>2</v>
      </c>
      <c r="C2213" s="75">
        <v>219</v>
      </c>
      <c r="D2213" s="76">
        <v>43367.167013888888</v>
      </c>
      <c r="E2213" s="77">
        <v>43344</v>
      </c>
      <c r="F2213" s="78">
        <v>0.16701388888888891</v>
      </c>
      <c r="G2213" s="75">
        <v>2</v>
      </c>
      <c r="H2213" s="75">
        <v>0</v>
      </c>
      <c r="I2213" s="75">
        <v>30</v>
      </c>
    </row>
    <row r="2214" spans="1:9">
      <c r="A2214" s="75">
        <v>215</v>
      </c>
      <c r="B2214" s="75">
        <v>5</v>
      </c>
      <c r="C2214" s="75">
        <v>220</v>
      </c>
      <c r="D2214" s="76">
        <v>43367.177430555559</v>
      </c>
      <c r="E2214" s="77">
        <v>43344</v>
      </c>
      <c r="F2214" s="78">
        <v>0.17743055555555556</v>
      </c>
      <c r="G2214" s="75">
        <v>2</v>
      </c>
      <c r="H2214" s="75">
        <v>15</v>
      </c>
      <c r="I2214" s="75">
        <v>30</v>
      </c>
    </row>
    <row r="2215" spans="1:9">
      <c r="A2215" s="75">
        <v>194</v>
      </c>
      <c r="B2215" s="75">
        <v>3</v>
      </c>
      <c r="C2215" s="75">
        <v>197</v>
      </c>
      <c r="D2215" s="76">
        <v>43367.187847222223</v>
      </c>
      <c r="E2215" s="77">
        <v>43344</v>
      </c>
      <c r="F2215" s="78">
        <v>0.18784722222222219</v>
      </c>
      <c r="G2215" s="75">
        <v>2</v>
      </c>
      <c r="H2215" s="75">
        <v>30</v>
      </c>
      <c r="I2215" s="75">
        <v>30</v>
      </c>
    </row>
    <row r="2216" spans="1:9">
      <c r="A2216" s="75">
        <v>199</v>
      </c>
      <c r="B2216" s="75">
        <v>3</v>
      </c>
      <c r="C2216" s="75">
        <v>194</v>
      </c>
      <c r="D2216" s="76">
        <v>43367.198263888888</v>
      </c>
      <c r="E2216" s="77">
        <v>43344</v>
      </c>
      <c r="F2216" s="78">
        <v>0.19826388888888888</v>
      </c>
      <c r="G2216" s="75">
        <v>2</v>
      </c>
      <c r="H2216" s="75">
        <v>45</v>
      </c>
      <c r="I2216" s="75">
        <v>30</v>
      </c>
    </row>
    <row r="2217" spans="1:9">
      <c r="A2217" s="75">
        <v>173</v>
      </c>
      <c r="B2217" s="75">
        <v>2</v>
      </c>
      <c r="C2217" s="75">
        <v>175</v>
      </c>
      <c r="D2217" s="76">
        <v>43367.208680555559</v>
      </c>
      <c r="E2217" s="77">
        <v>43344</v>
      </c>
      <c r="F2217" s="78">
        <v>0.20868055555555556</v>
      </c>
      <c r="G2217" s="75">
        <v>2</v>
      </c>
      <c r="H2217" s="75">
        <v>0</v>
      </c>
      <c r="I2217" s="75">
        <v>30</v>
      </c>
    </row>
    <row r="2218" spans="1:9">
      <c r="A2218" s="75">
        <v>138</v>
      </c>
      <c r="B2218" s="75">
        <v>2</v>
      </c>
      <c r="C2218" s="75">
        <v>140</v>
      </c>
      <c r="D2218" s="76">
        <v>43367.219097222223</v>
      </c>
      <c r="E2218" s="77">
        <v>43344</v>
      </c>
      <c r="F2218" s="78">
        <v>0.21909722222222225</v>
      </c>
      <c r="G2218" s="75">
        <v>2</v>
      </c>
      <c r="H2218" s="75">
        <v>15</v>
      </c>
      <c r="I2218" s="75">
        <v>30</v>
      </c>
    </row>
    <row r="2219" spans="1:9">
      <c r="A2219" s="75">
        <v>206</v>
      </c>
      <c r="B2219" s="75">
        <v>0</v>
      </c>
      <c r="C2219" s="75">
        <v>205</v>
      </c>
      <c r="D2219" s="76">
        <v>43367.229502314818</v>
      </c>
      <c r="E2219" s="77">
        <v>43344</v>
      </c>
      <c r="F2219" s="78">
        <v>0.22950231481481484</v>
      </c>
      <c r="G2219" s="75">
        <v>2</v>
      </c>
      <c r="H2219" s="75">
        <v>30</v>
      </c>
      <c r="I2219" s="75">
        <v>29</v>
      </c>
    </row>
    <row r="2220" spans="1:9">
      <c r="A2220" s="75">
        <v>203</v>
      </c>
      <c r="B2220" s="75">
        <v>1</v>
      </c>
      <c r="C2220" s="75">
        <v>204</v>
      </c>
      <c r="D2220" s="76">
        <v>43367.239930555559</v>
      </c>
      <c r="E2220" s="77">
        <v>43344</v>
      </c>
      <c r="F2220" s="78">
        <v>0.23993055555555554</v>
      </c>
      <c r="G2220" s="75">
        <v>2</v>
      </c>
      <c r="H2220" s="75">
        <v>45</v>
      </c>
      <c r="I2220" s="75">
        <v>30</v>
      </c>
    </row>
    <row r="2221" spans="1:9">
      <c r="A2221" s="75">
        <v>208</v>
      </c>
      <c r="B2221" s="75">
        <v>1</v>
      </c>
      <c r="C2221" s="75">
        <v>209</v>
      </c>
      <c r="D2221" s="76">
        <v>43367.250347222223</v>
      </c>
      <c r="E2221" s="77">
        <v>43344</v>
      </c>
      <c r="F2221" s="78">
        <v>0.25034722222222222</v>
      </c>
      <c r="G2221" s="75">
        <v>2</v>
      </c>
      <c r="H2221" s="75">
        <v>0</v>
      </c>
      <c r="I2221" s="75">
        <v>30</v>
      </c>
    </row>
    <row r="2222" spans="1:9">
      <c r="A2222" s="75">
        <v>191</v>
      </c>
      <c r="B2222" s="75">
        <v>0</v>
      </c>
      <c r="C2222" s="75">
        <v>190</v>
      </c>
      <c r="D2222" s="76">
        <v>43367.260752314818</v>
      </c>
      <c r="E2222" s="77">
        <v>43344</v>
      </c>
      <c r="F2222" s="78">
        <v>0.26075231481481481</v>
      </c>
      <c r="G2222" s="75">
        <v>2</v>
      </c>
      <c r="H2222" s="75">
        <v>15</v>
      </c>
      <c r="I2222" s="75">
        <v>29</v>
      </c>
    </row>
    <row r="2223" spans="1:9">
      <c r="A2223" s="75">
        <v>148</v>
      </c>
      <c r="B2223" s="75">
        <v>0</v>
      </c>
      <c r="C2223" s="75">
        <v>147</v>
      </c>
      <c r="D2223" s="76">
        <v>43367.273796296293</v>
      </c>
      <c r="E2223" s="77">
        <v>43344</v>
      </c>
      <c r="F2223" s="78">
        <v>0.27379629629629632</v>
      </c>
      <c r="G2223" s="75">
        <v>2</v>
      </c>
      <c r="H2223" s="75">
        <v>34</v>
      </c>
      <c r="I2223" s="75">
        <v>16</v>
      </c>
    </row>
    <row r="2224" spans="1:9">
      <c r="A2224" s="75">
        <v>114</v>
      </c>
      <c r="B2224" s="75">
        <v>0</v>
      </c>
      <c r="C2224" s="75">
        <v>113</v>
      </c>
      <c r="D2224" s="76">
        <v>43367.281597222223</v>
      </c>
      <c r="E2224" s="77">
        <v>43344</v>
      </c>
      <c r="F2224" s="78">
        <v>0.28159722222222222</v>
      </c>
      <c r="G2224" s="75">
        <v>2</v>
      </c>
      <c r="H2224" s="75">
        <v>45</v>
      </c>
      <c r="I2224" s="75">
        <v>30</v>
      </c>
    </row>
    <row r="2225" spans="1:9">
      <c r="A2225" s="75">
        <v>114</v>
      </c>
      <c r="B2225" s="75">
        <v>0</v>
      </c>
      <c r="C2225" s="75">
        <v>111</v>
      </c>
      <c r="D2225" s="76">
        <v>43367.292002314818</v>
      </c>
      <c r="E2225" s="77">
        <v>43344</v>
      </c>
      <c r="F2225" s="78">
        <v>0.29200231481481481</v>
      </c>
      <c r="G2225" s="75">
        <v>2</v>
      </c>
      <c r="H2225" s="75">
        <v>0</v>
      </c>
      <c r="I2225" s="75">
        <v>29</v>
      </c>
    </row>
    <row r="2226" spans="1:9">
      <c r="A2226" s="75">
        <v>117</v>
      </c>
      <c r="B2226" s="75">
        <v>0</v>
      </c>
      <c r="C2226" s="75">
        <v>117</v>
      </c>
      <c r="D2226" s="76">
        <v>43367.302453703705</v>
      </c>
      <c r="E2226" s="77">
        <v>43344</v>
      </c>
      <c r="F2226" s="78">
        <v>0.30245370370370367</v>
      </c>
      <c r="G2226" s="75">
        <v>2</v>
      </c>
      <c r="H2226" s="75">
        <v>15</v>
      </c>
      <c r="I2226" s="75">
        <v>32</v>
      </c>
    </row>
    <row r="2227" spans="1:9">
      <c r="A2227" s="75">
        <v>106</v>
      </c>
      <c r="B2227" s="75">
        <v>0</v>
      </c>
      <c r="C2227" s="75">
        <v>105</v>
      </c>
      <c r="D2227" s="76">
        <v>43367.312858796293</v>
      </c>
      <c r="E2227" s="77">
        <v>43344</v>
      </c>
      <c r="F2227" s="78">
        <v>0.31285879629629632</v>
      </c>
      <c r="G2227" s="75">
        <v>2</v>
      </c>
      <c r="H2227" s="75">
        <v>30</v>
      </c>
      <c r="I2227" s="75">
        <v>31</v>
      </c>
    </row>
    <row r="2228" spans="1:9">
      <c r="A2228" s="75">
        <v>105</v>
      </c>
      <c r="B2228" s="75">
        <v>0</v>
      </c>
      <c r="C2228" s="75">
        <v>104</v>
      </c>
      <c r="D2228" s="76">
        <v>43367.323275462964</v>
      </c>
      <c r="E2228" s="77">
        <v>43344</v>
      </c>
      <c r="F2228" s="78">
        <v>0.323275462962963</v>
      </c>
      <c r="G2228" s="75">
        <v>2</v>
      </c>
      <c r="H2228" s="75">
        <v>45</v>
      </c>
      <c r="I2228" s="75">
        <v>31</v>
      </c>
    </row>
    <row r="2229" spans="1:9">
      <c r="A2229" s="75">
        <v>73</v>
      </c>
      <c r="B2229" s="75">
        <v>0</v>
      </c>
      <c r="C2229" s="75">
        <v>72</v>
      </c>
      <c r="D2229" s="76">
        <v>43367.333715277775</v>
      </c>
      <c r="E2229" s="77">
        <v>43344</v>
      </c>
      <c r="F2229" s="78">
        <v>0.33371527777777782</v>
      </c>
      <c r="G2229" s="75">
        <v>2</v>
      </c>
      <c r="H2229" s="75">
        <v>0</v>
      </c>
      <c r="I2229" s="75">
        <v>33</v>
      </c>
    </row>
    <row r="2230" spans="1:9">
      <c r="A2230" s="75">
        <v>107</v>
      </c>
      <c r="B2230" s="75">
        <v>0</v>
      </c>
      <c r="C2230" s="75">
        <v>106</v>
      </c>
      <c r="D2230" s="76">
        <v>43367.34412037037</v>
      </c>
      <c r="E2230" s="77">
        <v>43344</v>
      </c>
      <c r="F2230" s="78">
        <v>0.34412037037037035</v>
      </c>
      <c r="G2230" s="75">
        <v>2</v>
      </c>
      <c r="H2230" s="75">
        <v>15</v>
      </c>
      <c r="I2230" s="75">
        <v>32</v>
      </c>
    </row>
    <row r="2231" spans="1:9">
      <c r="A2231" s="75">
        <v>128</v>
      </c>
      <c r="B2231" s="75">
        <v>0</v>
      </c>
      <c r="C2231" s="75">
        <v>128</v>
      </c>
      <c r="D2231" s="76">
        <v>43367.354537037034</v>
      </c>
      <c r="E2231" s="77">
        <v>43344</v>
      </c>
      <c r="F2231" s="78">
        <v>0.35453703703703704</v>
      </c>
      <c r="G2231" s="75">
        <v>2</v>
      </c>
      <c r="H2231" s="75">
        <v>30</v>
      </c>
      <c r="I2231" s="75">
        <v>32</v>
      </c>
    </row>
    <row r="2232" spans="1:9">
      <c r="A2232" s="75">
        <v>133</v>
      </c>
      <c r="B2232" s="75">
        <v>0</v>
      </c>
      <c r="C2232" s="75">
        <v>132</v>
      </c>
      <c r="D2232" s="76">
        <v>43367.364942129629</v>
      </c>
      <c r="E2232" s="77">
        <v>43344</v>
      </c>
      <c r="F2232" s="78">
        <v>0.36494212962962963</v>
      </c>
      <c r="G2232" s="75">
        <v>2</v>
      </c>
      <c r="H2232" s="75">
        <v>45</v>
      </c>
      <c r="I2232" s="75">
        <v>31</v>
      </c>
    </row>
    <row r="2233" spans="1:9">
      <c r="A2233" s="75">
        <v>103</v>
      </c>
      <c r="B2233" s="75">
        <v>0</v>
      </c>
      <c r="C2233" s="75">
        <v>102</v>
      </c>
      <c r="D2233" s="76">
        <v>43367.375358796293</v>
      </c>
      <c r="E2233" s="77">
        <v>43344</v>
      </c>
      <c r="F2233" s="78">
        <v>0.37535879629629632</v>
      </c>
      <c r="G2233" s="75">
        <v>2</v>
      </c>
      <c r="H2233" s="75">
        <v>0</v>
      </c>
      <c r="I2233" s="75">
        <v>31</v>
      </c>
    </row>
    <row r="2234" spans="1:9">
      <c r="A2234" s="75">
        <v>107</v>
      </c>
      <c r="B2234" s="75">
        <v>0</v>
      </c>
      <c r="C2234" s="75">
        <v>106</v>
      </c>
      <c r="D2234" s="76">
        <v>43367.385775462964</v>
      </c>
      <c r="E2234" s="77">
        <v>43344</v>
      </c>
      <c r="F2234" s="78">
        <v>0.385775462962963</v>
      </c>
      <c r="G2234" s="75">
        <v>2</v>
      </c>
      <c r="H2234" s="75">
        <v>15</v>
      </c>
      <c r="I2234" s="75">
        <v>31</v>
      </c>
    </row>
    <row r="2235" spans="1:9">
      <c r="A2235" s="75">
        <v>157</v>
      </c>
      <c r="B2235" s="75">
        <v>0</v>
      </c>
      <c r="C2235" s="75">
        <v>157</v>
      </c>
      <c r="D2235" s="76">
        <v>43367.396192129629</v>
      </c>
      <c r="E2235" s="77">
        <v>43344</v>
      </c>
      <c r="F2235" s="78">
        <v>0.39619212962962963</v>
      </c>
      <c r="G2235" s="75">
        <v>2</v>
      </c>
      <c r="H2235" s="75">
        <v>30</v>
      </c>
      <c r="I2235" s="75">
        <v>31</v>
      </c>
    </row>
    <row r="2236" spans="1:9">
      <c r="A2236" s="75">
        <v>192</v>
      </c>
      <c r="B2236" s="75">
        <v>0</v>
      </c>
      <c r="C2236" s="75">
        <v>183</v>
      </c>
      <c r="D2236" s="76">
        <v>43367.406608796293</v>
      </c>
      <c r="E2236" s="77">
        <v>43344</v>
      </c>
      <c r="F2236" s="78">
        <v>0.40660879629629632</v>
      </c>
      <c r="G2236" s="75">
        <v>2</v>
      </c>
      <c r="H2236" s="75">
        <v>45</v>
      </c>
      <c r="I2236" s="75">
        <v>31</v>
      </c>
    </row>
    <row r="2237" spans="1:9">
      <c r="A2237" s="75">
        <v>143</v>
      </c>
      <c r="B2237" s="75">
        <v>0</v>
      </c>
      <c r="C2237" s="75">
        <v>143</v>
      </c>
      <c r="D2237" s="76">
        <v>43367.417025462964</v>
      </c>
      <c r="E2237" s="77">
        <v>43344</v>
      </c>
      <c r="F2237" s="78">
        <v>0.417025462962963</v>
      </c>
      <c r="G2237" s="75">
        <v>2</v>
      </c>
      <c r="H2237" s="75">
        <v>0</v>
      </c>
      <c r="I2237" s="75">
        <v>31</v>
      </c>
    </row>
    <row r="2238" spans="1:9">
      <c r="A2238" s="75">
        <v>164</v>
      </c>
      <c r="B2238" s="75">
        <v>0</v>
      </c>
      <c r="C2238" s="75">
        <v>164</v>
      </c>
      <c r="D2238" s="76">
        <v>43367.427442129629</v>
      </c>
      <c r="E2238" s="77">
        <v>43344</v>
      </c>
      <c r="F2238" s="78">
        <v>0.42744212962962963</v>
      </c>
      <c r="G2238" s="75">
        <v>2</v>
      </c>
      <c r="H2238" s="75">
        <v>15</v>
      </c>
      <c r="I2238" s="75">
        <v>31</v>
      </c>
    </row>
    <row r="2239" spans="1:9">
      <c r="A2239" s="75">
        <v>234</v>
      </c>
      <c r="B2239" s="75">
        <v>2</v>
      </c>
      <c r="C2239" s="75">
        <v>236</v>
      </c>
      <c r="D2239" s="76">
        <v>43367.43787037037</v>
      </c>
      <c r="E2239" s="77">
        <v>43344</v>
      </c>
      <c r="F2239" s="78">
        <v>0.43787037037037035</v>
      </c>
      <c r="G2239" s="75">
        <v>2</v>
      </c>
      <c r="H2239" s="75">
        <v>30</v>
      </c>
      <c r="I2239" s="75">
        <v>32</v>
      </c>
    </row>
    <row r="2240" spans="1:9">
      <c r="A2240" s="75">
        <v>298</v>
      </c>
      <c r="B2240" s="75">
        <v>3</v>
      </c>
      <c r="C2240" s="75">
        <v>301</v>
      </c>
      <c r="D2240" s="76">
        <v>43367.448275462964</v>
      </c>
      <c r="E2240" s="77">
        <v>43344</v>
      </c>
      <c r="F2240" s="78">
        <v>0.448275462962963</v>
      </c>
      <c r="G2240" s="75">
        <v>2</v>
      </c>
      <c r="H2240" s="75">
        <v>45</v>
      </c>
      <c r="I2240" s="75">
        <v>31</v>
      </c>
    </row>
    <row r="2241" spans="1:9">
      <c r="A2241" s="75">
        <v>199</v>
      </c>
      <c r="B2241" s="75">
        <v>3</v>
      </c>
      <c r="C2241" s="75">
        <v>202</v>
      </c>
      <c r="D2241" s="76">
        <v>43367.458703703705</v>
      </c>
      <c r="E2241" s="77">
        <v>43344</v>
      </c>
      <c r="F2241" s="78">
        <v>0.45870370370370367</v>
      </c>
      <c r="G2241" s="75">
        <v>2</v>
      </c>
      <c r="H2241" s="75">
        <v>0</v>
      </c>
      <c r="I2241" s="75">
        <v>32</v>
      </c>
    </row>
    <row r="2242" spans="1:9">
      <c r="A2242" s="75">
        <v>172</v>
      </c>
      <c r="B2242" s="75">
        <v>2</v>
      </c>
      <c r="C2242" s="75">
        <v>174</v>
      </c>
      <c r="D2242" s="76">
        <v>43367.469108796293</v>
      </c>
      <c r="E2242" s="77">
        <v>43344</v>
      </c>
      <c r="F2242" s="78">
        <v>0.46910879629629632</v>
      </c>
      <c r="G2242" s="75">
        <v>2</v>
      </c>
      <c r="H2242" s="75">
        <v>15</v>
      </c>
      <c r="I2242" s="75">
        <v>31</v>
      </c>
    </row>
    <row r="2243" spans="1:9">
      <c r="A2243" s="75">
        <v>170</v>
      </c>
      <c r="B2243" s="75">
        <v>2</v>
      </c>
      <c r="C2243" s="75">
        <v>172</v>
      </c>
      <c r="D2243" s="76">
        <v>43367.479513888888</v>
      </c>
      <c r="E2243" s="77">
        <v>43344</v>
      </c>
      <c r="F2243" s="78">
        <v>0.47951388888888885</v>
      </c>
      <c r="G2243" s="75">
        <v>2</v>
      </c>
      <c r="H2243" s="75">
        <v>30</v>
      </c>
      <c r="I2243" s="75">
        <v>30</v>
      </c>
    </row>
    <row r="2244" spans="1:9">
      <c r="A2244" s="75">
        <v>205</v>
      </c>
      <c r="B2244" s="75">
        <v>1</v>
      </c>
      <c r="C2244" s="75">
        <v>206</v>
      </c>
      <c r="D2244" s="76">
        <v>43367.489942129629</v>
      </c>
      <c r="E2244" s="77">
        <v>43344</v>
      </c>
      <c r="F2244" s="78">
        <v>0.48994212962962963</v>
      </c>
      <c r="G2244" s="75">
        <v>2</v>
      </c>
      <c r="H2244" s="75">
        <v>45</v>
      </c>
      <c r="I2244" s="75">
        <v>31</v>
      </c>
    </row>
    <row r="2245" spans="1:9">
      <c r="A2245" s="75">
        <v>212</v>
      </c>
      <c r="B2245" s="75">
        <v>2</v>
      </c>
      <c r="C2245" s="75">
        <v>214</v>
      </c>
      <c r="D2245" s="76">
        <v>43367.50037037037</v>
      </c>
      <c r="E2245" s="77">
        <v>43344</v>
      </c>
      <c r="F2245" s="78">
        <v>0.50037037037037035</v>
      </c>
      <c r="G2245" s="75">
        <v>2</v>
      </c>
      <c r="H2245" s="75">
        <v>0</v>
      </c>
      <c r="I2245" s="75">
        <v>32</v>
      </c>
    </row>
    <row r="2246" spans="1:9">
      <c r="A2246" s="75">
        <v>231</v>
      </c>
      <c r="B2246" s="75">
        <v>1</v>
      </c>
      <c r="C2246" s="75">
        <v>232</v>
      </c>
      <c r="D2246" s="76">
        <v>43367.510775462964</v>
      </c>
      <c r="E2246" s="77">
        <v>43344</v>
      </c>
      <c r="F2246" s="78">
        <v>0.51077546296296295</v>
      </c>
      <c r="G2246" s="75">
        <v>2</v>
      </c>
      <c r="H2246" s="75">
        <v>15</v>
      </c>
      <c r="I2246" s="75">
        <v>31</v>
      </c>
    </row>
    <row r="2247" spans="1:9">
      <c r="A2247" s="75">
        <v>247</v>
      </c>
      <c r="B2247" s="75">
        <v>0</v>
      </c>
      <c r="C2247" s="75">
        <v>246</v>
      </c>
      <c r="D2247" s="76">
        <v>43367.521192129629</v>
      </c>
      <c r="E2247" s="77">
        <v>43344</v>
      </c>
      <c r="F2247" s="78">
        <v>0.52119212962962969</v>
      </c>
      <c r="G2247" s="75">
        <v>2</v>
      </c>
      <c r="H2247" s="75">
        <v>30</v>
      </c>
      <c r="I2247" s="75">
        <v>31</v>
      </c>
    </row>
    <row r="2248" spans="1:9">
      <c r="A2248" s="75">
        <v>246</v>
      </c>
      <c r="B2248" s="75">
        <v>1</v>
      </c>
      <c r="C2248" s="75">
        <v>247</v>
      </c>
      <c r="D2248" s="76">
        <v>43367.531597222223</v>
      </c>
      <c r="E2248" s="77">
        <v>43344</v>
      </c>
      <c r="F2248" s="78">
        <v>0.53159722222222217</v>
      </c>
      <c r="G2248" s="75">
        <v>2</v>
      </c>
      <c r="H2248" s="75">
        <v>45</v>
      </c>
      <c r="I2248" s="75">
        <v>30</v>
      </c>
    </row>
    <row r="2249" spans="1:9">
      <c r="A2249" s="75">
        <v>243</v>
      </c>
      <c r="B2249" s="75">
        <v>0</v>
      </c>
      <c r="C2249" s="75">
        <v>242</v>
      </c>
      <c r="D2249" s="76">
        <v>43367.542025462964</v>
      </c>
      <c r="E2249" s="77">
        <v>43344</v>
      </c>
      <c r="F2249" s="78">
        <v>0.54202546296296295</v>
      </c>
      <c r="G2249" s="75">
        <v>2</v>
      </c>
      <c r="H2249" s="75">
        <v>0</v>
      </c>
      <c r="I2249" s="75">
        <v>31</v>
      </c>
    </row>
    <row r="2250" spans="1:9">
      <c r="A2250" s="75">
        <v>286</v>
      </c>
      <c r="B2250" s="75">
        <v>0</v>
      </c>
      <c r="C2250" s="75">
        <v>286</v>
      </c>
      <c r="D2250" s="76">
        <v>43367.552430555559</v>
      </c>
      <c r="E2250" s="77">
        <v>43344</v>
      </c>
      <c r="F2250" s="78">
        <v>0.55243055555555554</v>
      </c>
      <c r="G2250" s="75">
        <v>2</v>
      </c>
      <c r="H2250" s="75">
        <v>15</v>
      </c>
      <c r="I2250" s="75">
        <v>30</v>
      </c>
    </row>
    <row r="2251" spans="1:9">
      <c r="A2251" s="75">
        <v>264</v>
      </c>
      <c r="B2251" s="75">
        <v>1</v>
      </c>
      <c r="C2251" s="75">
        <v>265</v>
      </c>
      <c r="D2251" s="76">
        <v>43367.562858796293</v>
      </c>
      <c r="E2251" s="77">
        <v>43344</v>
      </c>
      <c r="F2251" s="78">
        <v>0.56285879629629632</v>
      </c>
      <c r="G2251" s="75">
        <v>2</v>
      </c>
      <c r="H2251" s="75">
        <v>30</v>
      </c>
      <c r="I2251" s="75">
        <v>31</v>
      </c>
    </row>
    <row r="2252" spans="1:9">
      <c r="A2252" s="75">
        <v>332</v>
      </c>
      <c r="B2252" s="75">
        <v>4</v>
      </c>
      <c r="C2252" s="75">
        <v>336</v>
      </c>
      <c r="D2252" s="76">
        <v>43367.573263888888</v>
      </c>
      <c r="E2252" s="77">
        <v>43344</v>
      </c>
      <c r="F2252" s="78">
        <v>0.57326388888888891</v>
      </c>
      <c r="G2252" s="75">
        <v>2</v>
      </c>
      <c r="H2252" s="75">
        <v>45</v>
      </c>
      <c r="I2252" s="75">
        <v>30</v>
      </c>
    </row>
    <row r="2253" spans="1:9">
      <c r="A2253" s="75">
        <v>311</v>
      </c>
      <c r="B2253" s="75">
        <v>3</v>
      </c>
      <c r="C2253" s="75">
        <v>314</v>
      </c>
      <c r="D2253" s="76">
        <v>43367.583692129629</v>
      </c>
      <c r="E2253" s="77">
        <v>43344</v>
      </c>
      <c r="F2253" s="78">
        <v>0.58369212962962969</v>
      </c>
      <c r="G2253" s="75">
        <v>2</v>
      </c>
      <c r="H2253" s="75">
        <v>0</v>
      </c>
      <c r="I2253" s="75">
        <v>31</v>
      </c>
    </row>
    <row r="2254" spans="1:9">
      <c r="A2254" s="75">
        <v>313</v>
      </c>
      <c r="B2254" s="75">
        <v>2</v>
      </c>
      <c r="C2254" s="75">
        <v>315</v>
      </c>
      <c r="D2254" s="76">
        <v>43367.594097222223</v>
      </c>
      <c r="E2254" s="77">
        <v>43344</v>
      </c>
      <c r="F2254" s="78">
        <v>0.59409722222222217</v>
      </c>
      <c r="G2254" s="75">
        <v>2</v>
      </c>
      <c r="H2254" s="75">
        <v>15</v>
      </c>
      <c r="I2254" s="75">
        <v>30</v>
      </c>
    </row>
    <row r="2255" spans="1:9">
      <c r="A2255" s="75">
        <v>360</v>
      </c>
      <c r="B2255" s="75">
        <v>3</v>
      </c>
      <c r="C2255" s="75">
        <v>363</v>
      </c>
      <c r="D2255" s="76">
        <v>43367.604525462964</v>
      </c>
      <c r="E2255" s="77">
        <v>43344</v>
      </c>
      <c r="F2255" s="78">
        <v>0.60452546296296295</v>
      </c>
      <c r="G2255" s="75">
        <v>2</v>
      </c>
      <c r="H2255" s="75">
        <v>30</v>
      </c>
      <c r="I2255" s="75">
        <v>31</v>
      </c>
    </row>
    <row r="2256" spans="1:9">
      <c r="A2256" s="75">
        <v>348</v>
      </c>
      <c r="B2256" s="75">
        <v>3</v>
      </c>
      <c r="C2256" s="75">
        <v>351</v>
      </c>
      <c r="D2256" s="76">
        <v>43367.614930555559</v>
      </c>
      <c r="E2256" s="77">
        <v>43344</v>
      </c>
      <c r="F2256" s="78">
        <v>0.61493055555555554</v>
      </c>
      <c r="G2256" s="75">
        <v>2</v>
      </c>
      <c r="H2256" s="75">
        <v>45</v>
      </c>
      <c r="I2256" s="75">
        <v>30</v>
      </c>
    </row>
    <row r="2257" spans="1:9">
      <c r="A2257" s="75">
        <v>323</v>
      </c>
      <c r="B2257" s="75">
        <v>3</v>
      </c>
      <c r="C2257" s="75">
        <v>326</v>
      </c>
      <c r="D2257" s="76">
        <v>43367.625358796293</v>
      </c>
      <c r="E2257" s="77">
        <v>43344</v>
      </c>
      <c r="F2257" s="78">
        <v>0.62535879629629632</v>
      </c>
      <c r="G2257" s="75">
        <v>2</v>
      </c>
      <c r="H2257" s="75">
        <v>0</v>
      </c>
      <c r="I2257" s="75">
        <v>31</v>
      </c>
    </row>
    <row r="2258" spans="1:9">
      <c r="A2258" s="75">
        <v>323</v>
      </c>
      <c r="B2258" s="75">
        <v>3</v>
      </c>
      <c r="C2258" s="75">
        <v>326</v>
      </c>
      <c r="D2258" s="76">
        <v>43367.635763888888</v>
      </c>
      <c r="E2258" s="77">
        <v>43344</v>
      </c>
      <c r="F2258" s="78">
        <v>0.63576388888888891</v>
      </c>
      <c r="G2258" s="75">
        <v>2</v>
      </c>
      <c r="H2258" s="75">
        <v>15</v>
      </c>
      <c r="I2258" s="75">
        <v>30</v>
      </c>
    </row>
    <row r="2259" spans="1:9">
      <c r="A2259" s="75">
        <v>340</v>
      </c>
      <c r="B2259" s="75">
        <v>3</v>
      </c>
      <c r="C2259" s="75">
        <v>343</v>
      </c>
      <c r="D2259" s="76">
        <v>43367.646180555559</v>
      </c>
      <c r="E2259" s="77">
        <v>43344</v>
      </c>
      <c r="F2259" s="78">
        <v>0.64618055555555554</v>
      </c>
      <c r="G2259" s="75">
        <v>2</v>
      </c>
      <c r="H2259" s="75">
        <v>30</v>
      </c>
      <c r="I2259" s="75">
        <v>30</v>
      </c>
    </row>
    <row r="2260" spans="1:9">
      <c r="A2260" s="75">
        <v>406</v>
      </c>
      <c r="B2260" s="75">
        <v>4</v>
      </c>
      <c r="C2260" s="75">
        <v>410</v>
      </c>
      <c r="D2260" s="76">
        <v>43367.656597222223</v>
      </c>
      <c r="E2260" s="77">
        <v>43344</v>
      </c>
      <c r="F2260" s="78">
        <v>0.65659722222222217</v>
      </c>
      <c r="G2260" s="75">
        <v>2</v>
      </c>
      <c r="H2260" s="75">
        <v>45</v>
      </c>
      <c r="I2260" s="75">
        <v>30</v>
      </c>
    </row>
    <row r="2261" spans="1:9">
      <c r="A2261" s="75">
        <v>382</v>
      </c>
      <c r="B2261" s="75">
        <v>5</v>
      </c>
      <c r="C2261" s="75">
        <v>384</v>
      </c>
      <c r="D2261" s="76">
        <v>43367.667013888888</v>
      </c>
      <c r="E2261" s="77">
        <v>43344</v>
      </c>
      <c r="F2261" s="78">
        <v>0.66701388888888891</v>
      </c>
      <c r="G2261" s="75">
        <v>2</v>
      </c>
      <c r="H2261" s="75">
        <v>0</v>
      </c>
      <c r="I2261" s="75">
        <v>30</v>
      </c>
    </row>
    <row r="2262" spans="1:9">
      <c r="A2262" s="75">
        <v>372</v>
      </c>
      <c r="B2262" s="75">
        <v>4</v>
      </c>
      <c r="C2262" s="75">
        <v>376</v>
      </c>
      <c r="D2262" s="76">
        <v>43367.677430555559</v>
      </c>
      <c r="E2262" s="77">
        <v>43344</v>
      </c>
      <c r="F2262" s="78">
        <v>0.67743055555555554</v>
      </c>
      <c r="G2262" s="75">
        <v>2</v>
      </c>
      <c r="H2262" s="75">
        <v>15</v>
      </c>
      <c r="I2262" s="75">
        <v>30</v>
      </c>
    </row>
    <row r="2263" spans="1:9">
      <c r="A2263" s="75">
        <v>349</v>
      </c>
      <c r="B2263" s="75">
        <v>7</v>
      </c>
      <c r="C2263" s="75">
        <v>356</v>
      </c>
      <c r="D2263" s="76">
        <v>43367.687858796293</v>
      </c>
      <c r="E2263" s="77">
        <v>43344</v>
      </c>
      <c r="F2263" s="78">
        <v>0.68785879629629632</v>
      </c>
      <c r="G2263" s="75">
        <v>2</v>
      </c>
      <c r="H2263" s="75">
        <v>30</v>
      </c>
      <c r="I2263" s="75">
        <v>31</v>
      </c>
    </row>
    <row r="2264" spans="1:9">
      <c r="A2264" s="75">
        <v>349</v>
      </c>
      <c r="B2264" s="75">
        <v>6</v>
      </c>
      <c r="C2264" s="75">
        <v>355</v>
      </c>
      <c r="D2264" s="76">
        <v>43367.698263888888</v>
      </c>
      <c r="E2264" s="77">
        <v>43344</v>
      </c>
      <c r="F2264" s="78">
        <v>0.69826388888888891</v>
      </c>
      <c r="G2264" s="75">
        <v>2</v>
      </c>
      <c r="H2264" s="75">
        <v>45</v>
      </c>
      <c r="I2264" s="75">
        <v>30</v>
      </c>
    </row>
    <row r="2265" spans="1:9">
      <c r="A2265" s="75">
        <v>337</v>
      </c>
      <c r="B2265" s="75">
        <v>1</v>
      </c>
      <c r="C2265" s="75">
        <v>338</v>
      </c>
      <c r="D2265" s="76">
        <v>43367.708680555559</v>
      </c>
      <c r="E2265" s="77">
        <v>43344</v>
      </c>
      <c r="F2265" s="78">
        <v>0.70868055555555554</v>
      </c>
      <c r="G2265" s="75">
        <v>2</v>
      </c>
      <c r="H2265" s="75">
        <v>0</v>
      </c>
      <c r="I2265" s="75">
        <v>30</v>
      </c>
    </row>
    <row r="2266" spans="1:9">
      <c r="A2266" s="75">
        <v>327</v>
      </c>
      <c r="B2266" s="75">
        <v>3</v>
      </c>
      <c r="C2266" s="75">
        <v>330</v>
      </c>
      <c r="D2266" s="76">
        <v>43367.719097222223</v>
      </c>
      <c r="E2266" s="77">
        <v>43344</v>
      </c>
      <c r="F2266" s="78">
        <v>0.71909722222222217</v>
      </c>
      <c r="G2266" s="75">
        <v>2</v>
      </c>
      <c r="H2266" s="75">
        <v>15</v>
      </c>
      <c r="I2266" s="75">
        <v>30</v>
      </c>
    </row>
    <row r="2267" spans="1:9">
      <c r="A2267" s="75">
        <v>293</v>
      </c>
      <c r="B2267" s="75">
        <v>0</v>
      </c>
      <c r="C2267" s="75">
        <v>293</v>
      </c>
      <c r="D2267" s="76">
        <v>43367.729513888888</v>
      </c>
      <c r="E2267" s="77">
        <v>43344</v>
      </c>
      <c r="F2267" s="78">
        <v>0.72951388888888891</v>
      </c>
      <c r="G2267" s="75">
        <v>2</v>
      </c>
      <c r="H2267" s="75">
        <v>30</v>
      </c>
      <c r="I2267" s="75">
        <v>30</v>
      </c>
    </row>
    <row r="2268" spans="1:9">
      <c r="A2268" s="75">
        <v>287</v>
      </c>
      <c r="B2268" s="75">
        <v>6</v>
      </c>
      <c r="C2268" s="75">
        <v>293</v>
      </c>
      <c r="D2268" s="76">
        <v>43367.739942129629</v>
      </c>
      <c r="E2268" s="77">
        <v>43344</v>
      </c>
      <c r="F2268" s="78">
        <v>0.73994212962962969</v>
      </c>
      <c r="G2268" s="75">
        <v>2</v>
      </c>
      <c r="H2268" s="75">
        <v>45</v>
      </c>
      <c r="I2268" s="75">
        <v>31</v>
      </c>
    </row>
    <row r="2269" spans="1:9">
      <c r="A2269" s="75">
        <v>292</v>
      </c>
      <c r="B2269" s="75">
        <v>2</v>
      </c>
      <c r="C2269" s="75">
        <v>294</v>
      </c>
      <c r="D2269" s="76">
        <v>43367.750347222223</v>
      </c>
      <c r="E2269" s="77">
        <v>43344</v>
      </c>
      <c r="F2269" s="78">
        <v>0.75034722222222217</v>
      </c>
      <c r="G2269" s="75">
        <v>2</v>
      </c>
      <c r="H2269" s="75">
        <v>0</v>
      </c>
      <c r="I2269" s="75">
        <v>30</v>
      </c>
    </row>
    <row r="2270" spans="1:9">
      <c r="A2270" s="75">
        <v>358</v>
      </c>
      <c r="B2270" s="75">
        <v>1</v>
      </c>
      <c r="C2270" s="75">
        <v>359</v>
      </c>
      <c r="D2270" s="76">
        <v>43367.760763888888</v>
      </c>
      <c r="E2270" s="77">
        <v>43344</v>
      </c>
      <c r="F2270" s="78">
        <v>0.76076388888888891</v>
      </c>
      <c r="G2270" s="75">
        <v>2</v>
      </c>
      <c r="H2270" s="75">
        <v>15</v>
      </c>
      <c r="I2270" s="75">
        <v>30</v>
      </c>
    </row>
    <row r="2271" spans="1:9">
      <c r="A2271" s="75">
        <v>358</v>
      </c>
      <c r="B2271" s="75">
        <v>2</v>
      </c>
      <c r="C2271" s="75">
        <v>360</v>
      </c>
      <c r="D2271" s="76">
        <v>43367.771180555559</v>
      </c>
      <c r="E2271" s="77">
        <v>43344</v>
      </c>
      <c r="F2271" s="78">
        <v>0.77118055555555554</v>
      </c>
      <c r="G2271" s="75">
        <v>2</v>
      </c>
      <c r="H2271" s="75">
        <v>30</v>
      </c>
      <c r="I2271" s="75">
        <v>30</v>
      </c>
    </row>
    <row r="2272" spans="1:9">
      <c r="A2272" s="75">
        <v>455</v>
      </c>
      <c r="B2272" s="75">
        <v>7</v>
      </c>
      <c r="C2272" s="75">
        <v>462</v>
      </c>
      <c r="D2272" s="76">
        <v>43367.781597222223</v>
      </c>
      <c r="E2272" s="77">
        <v>43344</v>
      </c>
      <c r="F2272" s="78">
        <v>0.78159722222222217</v>
      </c>
      <c r="G2272" s="75">
        <v>2</v>
      </c>
      <c r="H2272" s="75">
        <v>45</v>
      </c>
      <c r="I2272" s="75">
        <v>30</v>
      </c>
    </row>
    <row r="2273" spans="1:9">
      <c r="A2273" s="75">
        <v>409</v>
      </c>
      <c r="B2273" s="75">
        <v>6</v>
      </c>
      <c r="C2273" s="75">
        <v>415</v>
      </c>
      <c r="D2273" s="76">
        <v>43367.792013888888</v>
      </c>
      <c r="E2273" s="77">
        <v>43344</v>
      </c>
      <c r="F2273" s="78">
        <v>0.79201388888888891</v>
      </c>
      <c r="G2273" s="75">
        <v>2</v>
      </c>
      <c r="H2273" s="75">
        <v>0</v>
      </c>
      <c r="I2273" s="75">
        <v>30</v>
      </c>
    </row>
    <row r="2274" spans="1:9">
      <c r="A2274" s="75">
        <v>431</v>
      </c>
      <c r="B2274" s="75">
        <v>5</v>
      </c>
      <c r="C2274" s="75">
        <v>436</v>
      </c>
      <c r="D2274" s="76">
        <v>43367.802430555559</v>
      </c>
      <c r="E2274" s="77">
        <v>43344</v>
      </c>
      <c r="F2274" s="78">
        <v>0.80243055555555554</v>
      </c>
      <c r="G2274" s="75">
        <v>2</v>
      </c>
      <c r="H2274" s="75">
        <v>15</v>
      </c>
      <c r="I2274" s="75">
        <v>30</v>
      </c>
    </row>
    <row r="2275" spans="1:9">
      <c r="A2275" s="75">
        <v>446</v>
      </c>
      <c r="B2275" s="75">
        <v>4</v>
      </c>
      <c r="C2275" s="75">
        <v>450</v>
      </c>
      <c r="D2275" s="76">
        <v>43367.812847222223</v>
      </c>
      <c r="E2275" s="77">
        <v>43344</v>
      </c>
      <c r="F2275" s="78">
        <v>0.81284722222222217</v>
      </c>
      <c r="G2275" s="75">
        <v>2</v>
      </c>
      <c r="H2275" s="75">
        <v>30</v>
      </c>
      <c r="I2275" s="75">
        <v>30</v>
      </c>
    </row>
    <row r="2276" spans="1:9">
      <c r="A2276" s="75">
        <v>518</v>
      </c>
      <c r="B2276" s="75">
        <v>7</v>
      </c>
      <c r="C2276" s="75">
        <v>525</v>
      </c>
      <c r="D2276" s="76">
        <v>43367.823263888888</v>
      </c>
      <c r="E2276" s="77">
        <v>43344</v>
      </c>
      <c r="F2276" s="78">
        <v>0.82326388888888891</v>
      </c>
      <c r="G2276" s="75">
        <v>2</v>
      </c>
      <c r="H2276" s="75">
        <v>45</v>
      </c>
      <c r="I2276" s="75">
        <v>30</v>
      </c>
    </row>
    <row r="2277" spans="1:9">
      <c r="A2277" s="75">
        <v>505</v>
      </c>
      <c r="B2277" s="75">
        <v>6</v>
      </c>
      <c r="C2277" s="75">
        <v>511</v>
      </c>
      <c r="D2277" s="76">
        <v>43367.833680555559</v>
      </c>
      <c r="E2277" s="77">
        <v>43344</v>
      </c>
      <c r="F2277" s="78">
        <v>0.83368055555555554</v>
      </c>
      <c r="G2277" s="75">
        <v>2</v>
      </c>
      <c r="H2277" s="75">
        <v>0</v>
      </c>
      <c r="I2277" s="75">
        <v>30</v>
      </c>
    </row>
    <row r="2278" spans="1:9">
      <c r="A2278" s="75">
        <v>618</v>
      </c>
      <c r="B2278" s="75">
        <v>6</v>
      </c>
      <c r="C2278" s="75">
        <v>624</v>
      </c>
      <c r="D2278" s="76">
        <v>43367.844097222223</v>
      </c>
      <c r="E2278" s="77">
        <v>43344</v>
      </c>
      <c r="F2278" s="78">
        <v>0.84409722222222217</v>
      </c>
      <c r="G2278" s="75">
        <v>2</v>
      </c>
      <c r="H2278" s="75">
        <v>15</v>
      </c>
      <c r="I2278" s="75">
        <v>30</v>
      </c>
    </row>
    <row r="2279" spans="1:9">
      <c r="A2279" s="75">
        <v>529</v>
      </c>
      <c r="B2279" s="75">
        <v>6</v>
      </c>
      <c r="C2279" s="75">
        <v>535</v>
      </c>
      <c r="D2279" s="76">
        <v>43367.854525462964</v>
      </c>
      <c r="E2279" s="77">
        <v>43344</v>
      </c>
      <c r="F2279" s="78">
        <v>0.85452546296296295</v>
      </c>
      <c r="G2279" s="75">
        <v>2</v>
      </c>
      <c r="H2279" s="75">
        <v>30</v>
      </c>
      <c r="I2279" s="75">
        <v>31</v>
      </c>
    </row>
    <row r="2280" spans="1:9">
      <c r="A2280" s="75">
        <v>540</v>
      </c>
      <c r="B2280" s="75">
        <v>6</v>
      </c>
      <c r="C2280" s="75">
        <v>546</v>
      </c>
      <c r="D2280" s="76">
        <v>43367.864930555559</v>
      </c>
      <c r="E2280" s="77">
        <v>43344</v>
      </c>
      <c r="F2280" s="78">
        <v>0.86493055555555554</v>
      </c>
      <c r="G2280" s="75">
        <v>2</v>
      </c>
      <c r="H2280" s="75">
        <v>45</v>
      </c>
      <c r="I2280" s="75">
        <v>30</v>
      </c>
    </row>
    <row r="2281" spans="1:9">
      <c r="A2281" s="75">
        <v>512</v>
      </c>
      <c r="B2281" s="75">
        <v>8</v>
      </c>
      <c r="C2281" s="75">
        <v>520</v>
      </c>
      <c r="D2281" s="76">
        <v>43367.875358796293</v>
      </c>
      <c r="E2281" s="77">
        <v>43344</v>
      </c>
      <c r="F2281" s="78">
        <v>0.87535879629629632</v>
      </c>
      <c r="G2281" s="75">
        <v>2</v>
      </c>
      <c r="H2281" s="75">
        <v>0</v>
      </c>
      <c r="I2281" s="75">
        <v>31</v>
      </c>
    </row>
    <row r="2282" spans="1:9">
      <c r="A2282" s="75">
        <v>590</v>
      </c>
      <c r="B2282" s="75">
        <v>9</v>
      </c>
      <c r="C2282" s="75">
        <v>599</v>
      </c>
      <c r="D2282" s="76">
        <v>43367.885763888888</v>
      </c>
      <c r="E2282" s="77">
        <v>43344</v>
      </c>
      <c r="F2282" s="78">
        <v>0.88576388888888891</v>
      </c>
      <c r="G2282" s="75">
        <v>2</v>
      </c>
      <c r="H2282" s="75">
        <v>15</v>
      </c>
      <c r="I2282" s="75">
        <v>30</v>
      </c>
    </row>
    <row r="2283" spans="1:9">
      <c r="A2283" s="75">
        <v>547</v>
      </c>
      <c r="B2283" s="75">
        <v>9</v>
      </c>
      <c r="C2283" s="75">
        <v>548</v>
      </c>
      <c r="D2283" s="76">
        <v>43367.896192129629</v>
      </c>
      <c r="E2283" s="77">
        <v>43344</v>
      </c>
      <c r="F2283" s="78">
        <v>0.89619212962962969</v>
      </c>
      <c r="G2283" s="75">
        <v>2</v>
      </c>
      <c r="H2283" s="75">
        <v>30</v>
      </c>
      <c r="I2283" s="75">
        <v>31</v>
      </c>
    </row>
    <row r="2284" spans="1:9">
      <c r="A2284" s="75">
        <v>499</v>
      </c>
      <c r="B2284" s="75">
        <v>10</v>
      </c>
      <c r="C2284" s="75">
        <v>509</v>
      </c>
      <c r="D2284" s="76">
        <v>43367.906597222223</v>
      </c>
      <c r="E2284" s="77">
        <v>43344</v>
      </c>
      <c r="F2284" s="78">
        <v>0.90659722222222217</v>
      </c>
      <c r="G2284" s="75">
        <v>2</v>
      </c>
      <c r="H2284" s="75">
        <v>45</v>
      </c>
      <c r="I2284" s="75">
        <v>30</v>
      </c>
    </row>
    <row r="2285" spans="1:9">
      <c r="A2285" s="75">
        <v>492</v>
      </c>
      <c r="B2285" s="75">
        <v>5</v>
      </c>
      <c r="C2285" s="75">
        <v>497</v>
      </c>
      <c r="D2285" s="76">
        <v>43367.917025462964</v>
      </c>
      <c r="E2285" s="77">
        <v>43344</v>
      </c>
      <c r="F2285" s="78">
        <v>0.91702546296296295</v>
      </c>
      <c r="G2285" s="75">
        <v>2</v>
      </c>
      <c r="H2285" s="75">
        <v>0</v>
      </c>
      <c r="I2285" s="75">
        <v>31</v>
      </c>
    </row>
    <row r="2286" spans="1:9">
      <c r="A2286" s="75">
        <v>535</v>
      </c>
      <c r="B2286" s="75">
        <v>5</v>
      </c>
      <c r="C2286" s="75">
        <v>540</v>
      </c>
      <c r="D2286" s="76">
        <v>43367.927430555559</v>
      </c>
      <c r="E2286" s="77">
        <v>43344</v>
      </c>
      <c r="F2286" s="78">
        <v>0.92743055555555554</v>
      </c>
      <c r="G2286" s="75">
        <v>2</v>
      </c>
      <c r="H2286" s="75">
        <v>15</v>
      </c>
      <c r="I2286" s="75">
        <v>30</v>
      </c>
    </row>
    <row r="2287" spans="1:9">
      <c r="A2287" s="75">
        <v>511</v>
      </c>
      <c r="B2287" s="75">
        <v>3</v>
      </c>
      <c r="C2287" s="75">
        <v>514</v>
      </c>
      <c r="D2287" s="76">
        <v>43367.937858796293</v>
      </c>
      <c r="E2287" s="77">
        <v>43344</v>
      </c>
      <c r="F2287" s="78">
        <v>0.93785879629629632</v>
      </c>
      <c r="G2287" s="75">
        <v>2</v>
      </c>
      <c r="H2287" s="75">
        <v>30</v>
      </c>
      <c r="I2287" s="75">
        <v>31</v>
      </c>
    </row>
    <row r="2288" spans="1:9">
      <c r="A2288" s="75">
        <v>437</v>
      </c>
      <c r="B2288" s="75">
        <v>5</v>
      </c>
      <c r="C2288" s="75">
        <v>442</v>
      </c>
      <c r="D2288" s="76">
        <v>43367.948263888888</v>
      </c>
      <c r="E2288" s="77">
        <v>43344</v>
      </c>
      <c r="F2288" s="78">
        <v>0.94826388888888891</v>
      </c>
      <c r="G2288" s="75">
        <v>2</v>
      </c>
      <c r="H2288" s="75">
        <v>45</v>
      </c>
      <c r="I2288" s="75">
        <v>30</v>
      </c>
    </row>
    <row r="2289" spans="1:9">
      <c r="A2289" s="75">
        <v>460</v>
      </c>
      <c r="B2289" s="75">
        <v>2</v>
      </c>
      <c r="C2289" s="75">
        <v>462</v>
      </c>
      <c r="D2289" s="76">
        <v>43367.958692129629</v>
      </c>
      <c r="E2289" s="77">
        <v>43344</v>
      </c>
      <c r="F2289" s="78">
        <v>0.95869212962962969</v>
      </c>
      <c r="G2289" s="75">
        <v>2</v>
      </c>
      <c r="H2289" s="75">
        <v>0</v>
      </c>
      <c r="I2289" s="75">
        <v>31</v>
      </c>
    </row>
    <row r="2290" spans="1:9">
      <c r="A2290" s="75">
        <v>479</v>
      </c>
      <c r="B2290" s="75">
        <v>4</v>
      </c>
      <c r="C2290" s="75">
        <v>483</v>
      </c>
      <c r="D2290" s="76">
        <v>43367.969097222223</v>
      </c>
      <c r="E2290" s="77">
        <v>43344</v>
      </c>
      <c r="F2290" s="78">
        <v>0.96909722222222217</v>
      </c>
      <c r="G2290" s="75">
        <v>2</v>
      </c>
      <c r="H2290" s="75">
        <v>15</v>
      </c>
      <c r="I2290" s="75">
        <v>30</v>
      </c>
    </row>
    <row r="2291" spans="1:9">
      <c r="A2291" s="75">
        <v>472</v>
      </c>
      <c r="B2291" s="75">
        <v>5</v>
      </c>
      <c r="C2291" s="75">
        <v>477</v>
      </c>
      <c r="D2291" s="76">
        <v>43367.979513888888</v>
      </c>
      <c r="E2291" s="77">
        <v>43344</v>
      </c>
      <c r="F2291" s="78">
        <v>0.97951388888888891</v>
      </c>
      <c r="G2291" s="75">
        <v>2</v>
      </c>
      <c r="H2291" s="75">
        <v>30</v>
      </c>
      <c r="I2291" s="75">
        <v>30</v>
      </c>
    </row>
    <row r="2292" spans="1:9">
      <c r="A2292" s="75">
        <v>405</v>
      </c>
      <c r="B2292" s="75">
        <v>4</v>
      </c>
      <c r="C2292" s="75">
        <v>409</v>
      </c>
      <c r="D2292" s="76">
        <v>43367.989930555559</v>
      </c>
      <c r="E2292" s="77">
        <v>43344</v>
      </c>
      <c r="F2292" s="78">
        <v>0.98993055555555554</v>
      </c>
      <c r="G2292" s="75">
        <v>2</v>
      </c>
      <c r="H2292" s="75">
        <v>45</v>
      </c>
      <c r="I2292" s="75">
        <v>30</v>
      </c>
    </row>
    <row r="2293" spans="1:9">
      <c r="A2293" s="75">
        <v>352</v>
      </c>
      <c r="B2293" s="75">
        <v>2</v>
      </c>
      <c r="C2293" s="75">
        <v>354</v>
      </c>
      <c r="D2293" s="76">
        <v>43368.000358796293</v>
      </c>
      <c r="E2293" s="77">
        <v>43344</v>
      </c>
      <c r="F2293" s="78">
        <v>3.5879629629629635E-4</v>
      </c>
      <c r="G2293" s="75">
        <v>2</v>
      </c>
      <c r="H2293" s="75">
        <v>0</v>
      </c>
      <c r="I2293" s="75">
        <v>31</v>
      </c>
    </row>
    <row r="2294" spans="1:9">
      <c r="A2294" s="75">
        <v>338</v>
      </c>
      <c r="B2294" s="75">
        <v>3</v>
      </c>
      <c r="C2294" s="75">
        <v>341</v>
      </c>
      <c r="D2294" s="76">
        <v>43368.010763888888</v>
      </c>
      <c r="E2294" s="77">
        <v>43344</v>
      </c>
      <c r="F2294" s="78">
        <v>1.0763888888888891E-2</v>
      </c>
      <c r="G2294" s="75">
        <v>2</v>
      </c>
      <c r="H2294" s="75">
        <v>15</v>
      </c>
      <c r="I2294" s="75">
        <v>30</v>
      </c>
    </row>
    <row r="2295" spans="1:9">
      <c r="A2295" s="75">
        <v>316</v>
      </c>
      <c r="B2295" s="75">
        <v>1</v>
      </c>
      <c r="C2295" s="75">
        <v>317</v>
      </c>
      <c r="D2295" s="76">
        <v>43368.021168981482</v>
      </c>
      <c r="E2295" s="77">
        <v>43344</v>
      </c>
      <c r="F2295" s="78">
        <v>2.1168981481481483E-2</v>
      </c>
      <c r="G2295" s="75">
        <v>2</v>
      </c>
      <c r="H2295" s="75">
        <v>30</v>
      </c>
      <c r="I2295" s="75">
        <v>29</v>
      </c>
    </row>
    <row r="2296" spans="1:9">
      <c r="A2296" s="75">
        <v>399</v>
      </c>
      <c r="B2296" s="75">
        <v>5</v>
      </c>
      <c r="C2296" s="75">
        <v>404</v>
      </c>
      <c r="D2296" s="76">
        <v>43368.031597222223</v>
      </c>
      <c r="E2296" s="77">
        <v>43344</v>
      </c>
      <c r="F2296" s="78">
        <v>3.1597222222222221E-2</v>
      </c>
      <c r="G2296" s="75">
        <v>2</v>
      </c>
      <c r="H2296" s="75">
        <v>45</v>
      </c>
      <c r="I2296" s="75">
        <v>30</v>
      </c>
    </row>
    <row r="2297" spans="1:9">
      <c r="A2297" s="75">
        <v>501</v>
      </c>
      <c r="B2297" s="75">
        <v>9</v>
      </c>
      <c r="C2297" s="75">
        <v>510</v>
      </c>
      <c r="D2297" s="76">
        <v>43368.042025462964</v>
      </c>
      <c r="E2297" s="77">
        <v>43344</v>
      </c>
      <c r="F2297" s="78">
        <v>4.2025462962962966E-2</v>
      </c>
      <c r="G2297" s="75">
        <v>2</v>
      </c>
      <c r="H2297" s="75">
        <v>0</v>
      </c>
      <c r="I2297" s="75">
        <v>31</v>
      </c>
    </row>
    <row r="2298" spans="1:9">
      <c r="A2298" s="75">
        <v>437</v>
      </c>
      <c r="B2298" s="75">
        <v>7</v>
      </c>
      <c r="C2298" s="75">
        <v>444</v>
      </c>
      <c r="D2298" s="76">
        <v>43368.052430555559</v>
      </c>
      <c r="E2298" s="77">
        <v>43344</v>
      </c>
      <c r="F2298" s="78">
        <v>5.2430555555555557E-2</v>
      </c>
      <c r="G2298" s="75">
        <v>2</v>
      </c>
      <c r="H2298" s="75">
        <v>15</v>
      </c>
      <c r="I2298" s="75">
        <v>30</v>
      </c>
    </row>
    <row r="2299" spans="1:9">
      <c r="A2299" s="75">
        <v>325</v>
      </c>
      <c r="B2299" s="75">
        <v>4</v>
      </c>
      <c r="C2299" s="75">
        <v>329</v>
      </c>
      <c r="D2299" s="76">
        <v>43368.062847222223</v>
      </c>
      <c r="E2299" s="77">
        <v>43344</v>
      </c>
      <c r="F2299" s="78">
        <v>6.2847222222222221E-2</v>
      </c>
      <c r="G2299" s="75">
        <v>2</v>
      </c>
      <c r="H2299" s="75">
        <v>30</v>
      </c>
      <c r="I2299" s="75">
        <v>30</v>
      </c>
    </row>
    <row r="2300" spans="1:9">
      <c r="A2300" s="75">
        <v>254</v>
      </c>
      <c r="B2300" s="75">
        <v>5</v>
      </c>
      <c r="C2300" s="75">
        <v>259</v>
      </c>
      <c r="D2300" s="76">
        <v>43368.073263888888</v>
      </c>
      <c r="E2300" s="77">
        <v>43344</v>
      </c>
      <c r="F2300" s="78">
        <v>7.3263888888888892E-2</v>
      </c>
      <c r="G2300" s="75">
        <v>2</v>
      </c>
      <c r="H2300" s="75">
        <v>45</v>
      </c>
      <c r="I2300" s="75">
        <v>30</v>
      </c>
    </row>
    <row r="2301" spans="1:9">
      <c r="A2301" s="75">
        <v>215</v>
      </c>
      <c r="B2301" s="75">
        <v>1</v>
      </c>
      <c r="C2301" s="75">
        <v>216</v>
      </c>
      <c r="D2301" s="76">
        <v>43368.083761574075</v>
      </c>
      <c r="E2301" s="77">
        <v>43344</v>
      </c>
      <c r="F2301" s="78">
        <v>8.3761574074074072E-2</v>
      </c>
      <c r="G2301" s="75">
        <v>2</v>
      </c>
      <c r="H2301" s="75">
        <v>0</v>
      </c>
      <c r="I2301" s="75">
        <v>37</v>
      </c>
    </row>
    <row r="2302" spans="1:9">
      <c r="A2302" s="75">
        <v>220</v>
      </c>
      <c r="B2302" s="75">
        <v>1</v>
      </c>
      <c r="C2302" s="75">
        <v>221</v>
      </c>
      <c r="D2302" s="76">
        <v>43368.094097222223</v>
      </c>
      <c r="E2302" s="77">
        <v>43344</v>
      </c>
      <c r="F2302" s="78">
        <v>9.4097222222222221E-2</v>
      </c>
      <c r="G2302" s="75">
        <v>2</v>
      </c>
      <c r="H2302" s="75">
        <v>15</v>
      </c>
      <c r="I2302" s="75">
        <v>30</v>
      </c>
    </row>
    <row r="2303" spans="1:9">
      <c r="A2303" s="75">
        <v>201</v>
      </c>
      <c r="B2303" s="75">
        <v>4</v>
      </c>
      <c r="C2303" s="75">
        <v>205</v>
      </c>
      <c r="D2303" s="76">
        <v>43368.104502314818</v>
      </c>
      <c r="E2303" s="77">
        <v>43344</v>
      </c>
      <c r="F2303" s="78">
        <v>0.10450231481481481</v>
      </c>
      <c r="G2303" s="75">
        <v>2</v>
      </c>
      <c r="H2303" s="75">
        <v>30</v>
      </c>
      <c r="I2303" s="75">
        <v>29</v>
      </c>
    </row>
    <row r="2304" spans="1:9">
      <c r="A2304" s="75">
        <v>142</v>
      </c>
      <c r="B2304" s="75">
        <v>1</v>
      </c>
      <c r="C2304" s="75">
        <v>143</v>
      </c>
      <c r="D2304" s="76">
        <v>43368.114930555559</v>
      </c>
      <c r="E2304" s="77">
        <v>43344</v>
      </c>
      <c r="F2304" s="78">
        <v>0.11493055555555555</v>
      </c>
      <c r="G2304" s="75">
        <v>2</v>
      </c>
      <c r="H2304" s="75">
        <v>45</v>
      </c>
      <c r="I2304" s="75">
        <v>30</v>
      </c>
    </row>
    <row r="2305" spans="1:9">
      <c r="A2305" s="75">
        <v>126</v>
      </c>
      <c r="B2305" s="75">
        <v>0</v>
      </c>
      <c r="C2305" s="75">
        <v>125</v>
      </c>
      <c r="D2305" s="76">
        <v>43368.125347222223</v>
      </c>
      <c r="E2305" s="77">
        <v>43344</v>
      </c>
      <c r="F2305" s="78">
        <v>0.12534722222222222</v>
      </c>
      <c r="G2305" s="75">
        <v>2</v>
      </c>
      <c r="H2305" s="75">
        <v>0</v>
      </c>
      <c r="I2305" s="75">
        <v>30</v>
      </c>
    </row>
    <row r="2306" spans="1:9">
      <c r="A2306" s="75">
        <v>118</v>
      </c>
      <c r="B2306" s="75">
        <v>1</v>
      </c>
      <c r="C2306" s="75">
        <v>119</v>
      </c>
      <c r="D2306" s="76">
        <v>43368.135752314818</v>
      </c>
      <c r="E2306" s="77">
        <v>43344</v>
      </c>
      <c r="F2306" s="78">
        <v>0.13575231481481481</v>
      </c>
      <c r="G2306" s="75">
        <v>2</v>
      </c>
      <c r="H2306" s="75">
        <v>15</v>
      </c>
      <c r="I2306" s="75">
        <v>29</v>
      </c>
    </row>
    <row r="2307" spans="1:9">
      <c r="A2307" s="75">
        <v>91</v>
      </c>
      <c r="B2307" s="75">
        <v>1</v>
      </c>
      <c r="C2307" s="75">
        <v>92</v>
      </c>
      <c r="D2307" s="76">
        <v>43368.146180555559</v>
      </c>
      <c r="E2307" s="77">
        <v>43344</v>
      </c>
      <c r="F2307" s="78">
        <v>0.14618055555555556</v>
      </c>
      <c r="G2307" s="75">
        <v>2</v>
      </c>
      <c r="H2307" s="75">
        <v>30</v>
      </c>
      <c r="I2307" s="75">
        <v>30</v>
      </c>
    </row>
    <row r="2308" spans="1:9">
      <c r="A2308" s="75">
        <v>71</v>
      </c>
      <c r="B2308" s="75">
        <v>0</v>
      </c>
      <c r="C2308" s="75">
        <v>70</v>
      </c>
      <c r="D2308" s="76">
        <v>43368.156585648147</v>
      </c>
      <c r="E2308" s="77">
        <v>43344</v>
      </c>
      <c r="F2308" s="78">
        <v>0.15658564814814815</v>
      </c>
      <c r="G2308" s="75">
        <v>2</v>
      </c>
      <c r="H2308" s="75">
        <v>45</v>
      </c>
      <c r="I2308" s="75">
        <v>29</v>
      </c>
    </row>
    <row r="2309" spans="1:9">
      <c r="A2309" s="75">
        <v>75</v>
      </c>
      <c r="B2309" s="75">
        <v>0</v>
      </c>
      <c r="C2309" s="75">
        <v>64</v>
      </c>
      <c r="D2309" s="76">
        <v>43368.167002314818</v>
      </c>
      <c r="E2309" s="77">
        <v>43344</v>
      </c>
      <c r="F2309" s="78">
        <v>0.16700231481481484</v>
      </c>
      <c r="G2309" s="75">
        <v>2</v>
      </c>
      <c r="H2309" s="75">
        <v>0</v>
      </c>
      <c r="I2309" s="75">
        <v>29</v>
      </c>
    </row>
    <row r="2310" spans="1:9">
      <c r="A2310" s="75">
        <v>28</v>
      </c>
      <c r="B2310" s="75">
        <v>0</v>
      </c>
      <c r="C2310" s="75">
        <v>27</v>
      </c>
      <c r="D2310" s="76">
        <v>43368.177430555559</v>
      </c>
      <c r="E2310" s="77">
        <v>43344</v>
      </c>
      <c r="F2310" s="78">
        <v>0.17743055555555556</v>
      </c>
      <c r="G2310" s="75">
        <v>2</v>
      </c>
      <c r="H2310" s="75">
        <v>15</v>
      </c>
      <c r="I2310" s="75">
        <v>30</v>
      </c>
    </row>
    <row r="2311" spans="1:9">
      <c r="A2311" s="75">
        <v>19</v>
      </c>
      <c r="B2311" s="75">
        <v>0</v>
      </c>
      <c r="C2311" s="75">
        <v>18</v>
      </c>
      <c r="D2311" s="76">
        <v>43368.187835648147</v>
      </c>
      <c r="E2311" s="77">
        <v>43344</v>
      </c>
      <c r="F2311" s="78">
        <v>0.18783564814814815</v>
      </c>
      <c r="G2311" s="75">
        <v>2</v>
      </c>
      <c r="H2311" s="75">
        <v>30</v>
      </c>
      <c r="I2311" s="75">
        <v>29</v>
      </c>
    </row>
    <row r="2312" spans="1:9">
      <c r="A2312" s="75">
        <v>18</v>
      </c>
      <c r="B2312" s="75">
        <v>0</v>
      </c>
      <c r="C2312" s="75">
        <v>17</v>
      </c>
      <c r="D2312" s="76">
        <v>43368.198252314818</v>
      </c>
      <c r="E2312" s="77">
        <v>43344</v>
      </c>
      <c r="F2312" s="78">
        <v>0.19825231481481484</v>
      </c>
      <c r="G2312" s="75">
        <v>2</v>
      </c>
      <c r="H2312" s="75">
        <v>45</v>
      </c>
      <c r="I2312" s="75">
        <v>29</v>
      </c>
    </row>
    <row r="2313" spans="1:9">
      <c r="A2313" s="75">
        <v>17</v>
      </c>
      <c r="B2313" s="75">
        <v>0</v>
      </c>
      <c r="C2313" s="75">
        <v>16</v>
      </c>
      <c r="D2313" s="76">
        <v>43368.208668981482</v>
      </c>
      <c r="E2313" s="77">
        <v>43344</v>
      </c>
      <c r="F2313" s="78">
        <v>0.2086689814814815</v>
      </c>
      <c r="G2313" s="75">
        <v>2</v>
      </c>
      <c r="H2313" s="75">
        <v>0</v>
      </c>
      <c r="I2313" s="75">
        <v>29</v>
      </c>
    </row>
    <row r="2314" spans="1:9">
      <c r="A2314" s="75">
        <v>17</v>
      </c>
      <c r="B2314" s="75">
        <v>0</v>
      </c>
      <c r="C2314" s="75">
        <v>16</v>
      </c>
      <c r="D2314" s="76">
        <v>43368.219085648147</v>
      </c>
      <c r="E2314" s="77">
        <v>43344</v>
      </c>
      <c r="F2314" s="78">
        <v>0.21908564814814815</v>
      </c>
      <c r="G2314" s="75">
        <v>2</v>
      </c>
      <c r="H2314" s="75">
        <v>15</v>
      </c>
      <c r="I2314" s="75">
        <v>29</v>
      </c>
    </row>
    <row r="2315" spans="1:9">
      <c r="A2315" s="75">
        <v>20</v>
      </c>
      <c r="B2315" s="75">
        <v>0</v>
      </c>
      <c r="C2315" s="75">
        <v>16</v>
      </c>
      <c r="D2315" s="76">
        <v>43368.229502314818</v>
      </c>
      <c r="E2315" s="77">
        <v>43344</v>
      </c>
      <c r="F2315" s="78">
        <v>0.22950231481481484</v>
      </c>
      <c r="G2315" s="75">
        <v>2</v>
      </c>
      <c r="H2315" s="75">
        <v>30</v>
      </c>
      <c r="I2315" s="75">
        <v>29</v>
      </c>
    </row>
    <row r="2316" spans="1:9">
      <c r="A2316" s="75">
        <v>18</v>
      </c>
      <c r="B2316" s="75">
        <v>0</v>
      </c>
      <c r="C2316" s="75">
        <v>16</v>
      </c>
      <c r="D2316" s="76">
        <v>43368.239930555559</v>
      </c>
      <c r="E2316" s="77">
        <v>43344</v>
      </c>
      <c r="F2316" s="78">
        <v>0.23993055555555554</v>
      </c>
      <c r="G2316" s="75">
        <v>2</v>
      </c>
      <c r="H2316" s="75">
        <v>45</v>
      </c>
      <c r="I2316" s="75">
        <v>30</v>
      </c>
    </row>
    <row r="2317" spans="1:9">
      <c r="A2317" s="75">
        <v>16</v>
      </c>
      <c r="B2317" s="75">
        <v>0</v>
      </c>
      <c r="C2317" s="75">
        <v>15</v>
      </c>
      <c r="D2317" s="76">
        <v>43368.250335648147</v>
      </c>
      <c r="E2317" s="77">
        <v>43344</v>
      </c>
      <c r="F2317" s="78">
        <v>0.25033564814814818</v>
      </c>
      <c r="G2317" s="75">
        <v>2</v>
      </c>
      <c r="H2317" s="75">
        <v>0</v>
      </c>
      <c r="I2317" s="75">
        <v>29</v>
      </c>
    </row>
    <row r="2318" spans="1:9">
      <c r="A2318" s="75">
        <v>16</v>
      </c>
      <c r="B2318" s="75">
        <v>0</v>
      </c>
      <c r="C2318" s="75">
        <v>15</v>
      </c>
      <c r="D2318" s="76">
        <v>43368.260752314818</v>
      </c>
      <c r="E2318" s="77">
        <v>43344</v>
      </c>
      <c r="F2318" s="78">
        <v>0.26075231481481481</v>
      </c>
      <c r="G2318" s="75">
        <v>2</v>
      </c>
      <c r="H2318" s="75">
        <v>15</v>
      </c>
      <c r="I2318" s="75">
        <v>29</v>
      </c>
    </row>
    <row r="2319" spans="1:9">
      <c r="A2319" s="75">
        <v>16</v>
      </c>
      <c r="B2319" s="75">
        <v>0</v>
      </c>
      <c r="C2319" s="75">
        <v>15</v>
      </c>
      <c r="D2319" s="76">
        <v>43368.27380787037</v>
      </c>
      <c r="E2319" s="77">
        <v>43344</v>
      </c>
      <c r="F2319" s="78">
        <v>0.27380787037037035</v>
      </c>
      <c r="G2319" s="75">
        <v>2</v>
      </c>
      <c r="H2319" s="75">
        <v>34</v>
      </c>
      <c r="I2319" s="75">
        <v>17</v>
      </c>
    </row>
    <row r="2320" spans="1:9">
      <c r="A2320" s="75">
        <v>16</v>
      </c>
      <c r="B2320" s="75">
        <v>0</v>
      </c>
      <c r="C2320" s="75">
        <v>15</v>
      </c>
      <c r="D2320" s="76">
        <v>43368.281585648147</v>
      </c>
      <c r="E2320" s="77">
        <v>43344</v>
      </c>
      <c r="F2320" s="78">
        <v>0.28158564814814818</v>
      </c>
      <c r="G2320" s="75">
        <v>2</v>
      </c>
      <c r="H2320" s="75">
        <v>45</v>
      </c>
      <c r="I2320" s="75">
        <v>29</v>
      </c>
    </row>
    <row r="2321" spans="1:9">
      <c r="A2321" s="75">
        <v>16</v>
      </c>
      <c r="B2321" s="75">
        <v>0</v>
      </c>
      <c r="C2321" s="75">
        <v>15</v>
      </c>
      <c r="D2321" s="76">
        <v>43368.292013888888</v>
      </c>
      <c r="E2321" s="77">
        <v>43344</v>
      </c>
      <c r="F2321" s="78">
        <v>0.29201388888888891</v>
      </c>
      <c r="G2321" s="75">
        <v>2</v>
      </c>
      <c r="H2321" s="75">
        <v>0</v>
      </c>
      <c r="I2321" s="75">
        <v>30</v>
      </c>
    </row>
    <row r="2322" spans="1:9">
      <c r="A2322" s="75">
        <v>20</v>
      </c>
      <c r="B2322" s="75">
        <v>0</v>
      </c>
      <c r="C2322" s="75">
        <v>19</v>
      </c>
      <c r="D2322" s="76">
        <v>43368.302442129629</v>
      </c>
      <c r="E2322" s="77">
        <v>43344</v>
      </c>
      <c r="F2322" s="78">
        <v>0.30244212962962963</v>
      </c>
      <c r="G2322" s="75">
        <v>2</v>
      </c>
      <c r="H2322" s="75">
        <v>15</v>
      </c>
      <c r="I2322" s="75">
        <v>31</v>
      </c>
    </row>
    <row r="2323" spans="1:9">
      <c r="A2323" s="75">
        <v>31</v>
      </c>
      <c r="B2323" s="75">
        <v>0</v>
      </c>
      <c r="C2323" s="75">
        <v>30</v>
      </c>
      <c r="D2323" s="76">
        <v>43368.312858796293</v>
      </c>
      <c r="E2323" s="77">
        <v>43344</v>
      </c>
      <c r="F2323" s="78">
        <v>0.31285879629629632</v>
      </c>
      <c r="G2323" s="75">
        <v>2</v>
      </c>
      <c r="H2323" s="75">
        <v>30</v>
      </c>
      <c r="I2323" s="75">
        <v>31</v>
      </c>
    </row>
    <row r="2324" spans="1:9">
      <c r="A2324" s="75">
        <v>45</v>
      </c>
      <c r="B2324" s="75">
        <v>0</v>
      </c>
      <c r="C2324" s="75">
        <v>44</v>
      </c>
      <c r="D2324" s="76">
        <v>43368.323275462964</v>
      </c>
      <c r="E2324" s="77">
        <v>43344</v>
      </c>
      <c r="F2324" s="78">
        <v>0.323275462962963</v>
      </c>
      <c r="G2324" s="75">
        <v>2</v>
      </c>
      <c r="H2324" s="75">
        <v>45</v>
      </c>
      <c r="I2324" s="75">
        <v>31</v>
      </c>
    </row>
    <row r="2325" spans="1:9">
      <c r="A2325" s="75">
        <v>52</v>
      </c>
      <c r="B2325" s="75">
        <v>0</v>
      </c>
      <c r="C2325" s="75">
        <v>51</v>
      </c>
      <c r="D2325" s="76">
        <v>43368.333726851852</v>
      </c>
      <c r="E2325" s="77">
        <v>43344</v>
      </c>
      <c r="F2325" s="78">
        <v>0.33372685185185186</v>
      </c>
      <c r="G2325" s="75">
        <v>2</v>
      </c>
      <c r="H2325" s="75">
        <v>0</v>
      </c>
      <c r="I2325" s="75">
        <v>34</v>
      </c>
    </row>
    <row r="2326" spans="1:9">
      <c r="A2326" s="75">
        <v>72</v>
      </c>
      <c r="B2326" s="75">
        <v>0</v>
      </c>
      <c r="C2326" s="75">
        <v>71</v>
      </c>
      <c r="D2326" s="76">
        <v>43368.344097222223</v>
      </c>
      <c r="E2326" s="77">
        <v>43344</v>
      </c>
      <c r="F2326" s="78">
        <v>0.34409722222222222</v>
      </c>
      <c r="G2326" s="75">
        <v>2</v>
      </c>
      <c r="H2326" s="75">
        <v>15</v>
      </c>
      <c r="I2326" s="75">
        <v>30</v>
      </c>
    </row>
    <row r="2327" spans="1:9">
      <c r="A2327" s="75">
        <v>129</v>
      </c>
      <c r="B2327" s="75">
        <v>1</v>
      </c>
      <c r="C2327" s="75">
        <v>130</v>
      </c>
      <c r="D2327" s="76">
        <v>43368.354560185187</v>
      </c>
      <c r="E2327" s="77">
        <v>43344</v>
      </c>
      <c r="F2327" s="78">
        <v>0.35456018518518517</v>
      </c>
      <c r="G2327" s="75">
        <v>2</v>
      </c>
      <c r="H2327" s="75">
        <v>30</v>
      </c>
      <c r="I2327" s="75">
        <v>34</v>
      </c>
    </row>
    <row r="2328" spans="1:9">
      <c r="A2328" s="75">
        <v>198</v>
      </c>
      <c r="B2328" s="75">
        <v>1</v>
      </c>
      <c r="C2328" s="75">
        <v>199</v>
      </c>
      <c r="D2328" s="76">
        <v>43368.364942129629</v>
      </c>
      <c r="E2328" s="77">
        <v>43344</v>
      </c>
      <c r="F2328" s="78">
        <v>0.36494212962962963</v>
      </c>
      <c r="G2328" s="75">
        <v>2</v>
      </c>
      <c r="H2328" s="75">
        <v>45</v>
      </c>
      <c r="I2328" s="75">
        <v>31</v>
      </c>
    </row>
    <row r="2329" spans="1:9">
      <c r="A2329" s="75">
        <v>184</v>
      </c>
      <c r="B2329" s="75">
        <v>0</v>
      </c>
      <c r="C2329" s="75">
        <v>184</v>
      </c>
      <c r="D2329" s="76">
        <v>43368.375358796293</v>
      </c>
      <c r="E2329" s="77">
        <v>43344</v>
      </c>
      <c r="F2329" s="78">
        <v>0.37535879629629632</v>
      </c>
      <c r="G2329" s="75">
        <v>2</v>
      </c>
      <c r="H2329" s="75">
        <v>0</v>
      </c>
      <c r="I2329" s="75">
        <v>31</v>
      </c>
    </row>
    <row r="2330" spans="1:9">
      <c r="A2330" s="75">
        <v>311</v>
      </c>
      <c r="B2330" s="75">
        <v>0</v>
      </c>
      <c r="C2330" s="75">
        <v>311</v>
      </c>
      <c r="D2330" s="76">
        <v>43368.385775462964</v>
      </c>
      <c r="E2330" s="77">
        <v>43344</v>
      </c>
      <c r="F2330" s="78">
        <v>0.385775462962963</v>
      </c>
      <c r="G2330" s="75">
        <v>2</v>
      </c>
      <c r="H2330" s="75">
        <v>15</v>
      </c>
      <c r="I2330" s="75">
        <v>31</v>
      </c>
    </row>
    <row r="2331" spans="1:9">
      <c r="A2331" s="75">
        <v>492</v>
      </c>
      <c r="B2331" s="75">
        <v>4</v>
      </c>
      <c r="C2331" s="75">
        <v>496</v>
      </c>
      <c r="D2331" s="76">
        <v>43368.396192129629</v>
      </c>
      <c r="E2331" s="77">
        <v>43344</v>
      </c>
      <c r="F2331" s="78">
        <v>0.39619212962962963</v>
      </c>
      <c r="G2331" s="75">
        <v>2</v>
      </c>
      <c r="H2331" s="75">
        <v>30</v>
      </c>
      <c r="I2331" s="75">
        <v>31</v>
      </c>
    </row>
    <row r="2332" spans="1:9">
      <c r="A2332" s="75">
        <v>888</v>
      </c>
      <c r="B2332" s="75">
        <v>8</v>
      </c>
      <c r="C2332" s="75">
        <v>896</v>
      </c>
      <c r="D2332" s="76">
        <v>43368.406608796293</v>
      </c>
      <c r="E2332" s="77">
        <v>43344</v>
      </c>
      <c r="F2332" s="78">
        <v>0.40660879629629632</v>
      </c>
      <c r="G2332" s="75">
        <v>2</v>
      </c>
      <c r="H2332" s="75">
        <v>45</v>
      </c>
      <c r="I2332" s="75">
        <v>31</v>
      </c>
    </row>
    <row r="2333" spans="1:9">
      <c r="A2333" s="75">
        <v>803</v>
      </c>
      <c r="B2333" s="75">
        <v>6</v>
      </c>
      <c r="C2333" s="75">
        <v>809</v>
      </c>
      <c r="D2333" s="76">
        <v>43368.417025462964</v>
      </c>
      <c r="E2333" s="77">
        <v>43344</v>
      </c>
      <c r="F2333" s="78">
        <v>0.417025462962963</v>
      </c>
      <c r="G2333" s="75">
        <v>2</v>
      </c>
      <c r="H2333" s="75">
        <v>0</v>
      </c>
      <c r="I2333" s="75">
        <v>31</v>
      </c>
    </row>
    <row r="2334" spans="1:9">
      <c r="A2334" s="75">
        <v>833</v>
      </c>
      <c r="B2334" s="75">
        <v>12</v>
      </c>
      <c r="C2334" s="75">
        <v>845</v>
      </c>
      <c r="D2334" s="76">
        <v>43368.427430555559</v>
      </c>
      <c r="E2334" s="77">
        <v>43344</v>
      </c>
      <c r="F2334" s="78">
        <v>0.42743055555555554</v>
      </c>
      <c r="G2334" s="75">
        <v>2</v>
      </c>
      <c r="H2334" s="75">
        <v>15</v>
      </c>
      <c r="I2334" s="75">
        <v>30</v>
      </c>
    </row>
    <row r="2335" spans="1:9">
      <c r="A2335" s="75">
        <v>850</v>
      </c>
      <c r="B2335" s="75">
        <v>26</v>
      </c>
      <c r="C2335" s="75">
        <v>876</v>
      </c>
      <c r="D2335" s="76">
        <v>43368.437858796293</v>
      </c>
      <c r="E2335" s="77">
        <v>43344</v>
      </c>
      <c r="F2335" s="78">
        <v>0.43785879629629632</v>
      </c>
      <c r="G2335" s="75">
        <v>2</v>
      </c>
      <c r="H2335" s="75">
        <v>30</v>
      </c>
      <c r="I2335" s="75">
        <v>31</v>
      </c>
    </row>
    <row r="2336" spans="1:9">
      <c r="A2336" s="75">
        <v>1038</v>
      </c>
      <c r="B2336" s="75">
        <v>38</v>
      </c>
      <c r="C2336" s="75">
        <v>1076</v>
      </c>
      <c r="D2336" s="76">
        <v>43368.448263888888</v>
      </c>
      <c r="E2336" s="77">
        <v>43344</v>
      </c>
      <c r="F2336" s="78">
        <v>0.44826388888888885</v>
      </c>
      <c r="G2336" s="75">
        <v>2</v>
      </c>
      <c r="H2336" s="75">
        <v>45</v>
      </c>
      <c r="I2336" s="75">
        <v>30</v>
      </c>
    </row>
    <row r="2337" spans="1:9">
      <c r="A2337" s="75">
        <v>799</v>
      </c>
      <c r="B2337" s="75">
        <v>21</v>
      </c>
      <c r="C2337" s="75">
        <v>820</v>
      </c>
      <c r="D2337" s="76">
        <v>43368.458692129629</v>
      </c>
      <c r="E2337" s="77">
        <v>43344</v>
      </c>
      <c r="F2337" s="78">
        <v>0.45869212962962963</v>
      </c>
      <c r="G2337" s="75">
        <v>2</v>
      </c>
      <c r="H2337" s="75">
        <v>0</v>
      </c>
      <c r="I2337" s="75">
        <v>31</v>
      </c>
    </row>
    <row r="2338" spans="1:9">
      <c r="A2338" s="75">
        <v>725</v>
      </c>
      <c r="B2338" s="75">
        <v>16</v>
      </c>
      <c r="C2338" s="75">
        <v>741</v>
      </c>
      <c r="D2338" s="76">
        <v>43368.469143518516</v>
      </c>
      <c r="E2338" s="77">
        <v>43344</v>
      </c>
      <c r="F2338" s="78">
        <v>0.46914351851851849</v>
      </c>
      <c r="G2338" s="75">
        <v>2</v>
      </c>
      <c r="H2338" s="75">
        <v>15</v>
      </c>
      <c r="I2338" s="75">
        <v>34</v>
      </c>
    </row>
    <row r="2339" spans="1:9">
      <c r="A2339" s="75">
        <v>602</v>
      </c>
      <c r="B2339" s="75">
        <v>10</v>
      </c>
      <c r="C2339" s="75">
        <v>612</v>
      </c>
      <c r="D2339" s="76">
        <v>43368.479525462964</v>
      </c>
      <c r="E2339" s="77">
        <v>43344</v>
      </c>
      <c r="F2339" s="78">
        <v>0.479525462962963</v>
      </c>
      <c r="G2339" s="75">
        <v>2</v>
      </c>
      <c r="H2339" s="75">
        <v>30</v>
      </c>
      <c r="I2339" s="75">
        <v>31</v>
      </c>
    </row>
    <row r="2340" spans="1:9">
      <c r="A2340" s="75">
        <v>389</v>
      </c>
      <c r="B2340" s="75">
        <v>2</v>
      </c>
      <c r="C2340" s="75">
        <v>391</v>
      </c>
      <c r="D2340" s="76">
        <v>43368.500358796293</v>
      </c>
      <c r="E2340" s="77">
        <v>43344</v>
      </c>
      <c r="F2340" s="78">
        <v>0.50035879629629632</v>
      </c>
      <c r="G2340" s="75">
        <v>2</v>
      </c>
      <c r="H2340" s="75">
        <v>0</v>
      </c>
      <c r="I2340" s="75">
        <v>31</v>
      </c>
    </row>
    <row r="2341" spans="1:9">
      <c r="A2341" s="75">
        <v>350</v>
      </c>
      <c r="B2341" s="75">
        <v>1</v>
      </c>
      <c r="C2341" s="75">
        <v>351</v>
      </c>
      <c r="D2341" s="76">
        <v>43368.521203703705</v>
      </c>
      <c r="E2341" s="77">
        <v>43344</v>
      </c>
      <c r="F2341" s="78">
        <v>0.52120370370370372</v>
      </c>
      <c r="G2341" s="74"/>
      <c r="H2341" s="74"/>
      <c r="I2341" s="74"/>
    </row>
    <row r="2342" spans="1:9">
      <c r="A2342" s="75">
        <v>408</v>
      </c>
      <c r="B2342" s="75">
        <v>3</v>
      </c>
      <c r="C2342" s="75">
        <v>411</v>
      </c>
      <c r="D2342" s="76">
        <v>43368.531597222223</v>
      </c>
      <c r="E2342" s="77">
        <v>43344</v>
      </c>
      <c r="F2342" s="78">
        <v>0.53159722222222217</v>
      </c>
      <c r="G2342" s="74"/>
      <c r="H2342" s="74"/>
      <c r="I2342" s="74"/>
    </row>
    <row r="2343" spans="1:9">
      <c r="A2343" s="75">
        <v>346</v>
      </c>
      <c r="B2343" s="75">
        <v>0</v>
      </c>
      <c r="C2343" s="75">
        <v>346</v>
      </c>
      <c r="D2343" s="76">
        <v>43368.542025462964</v>
      </c>
      <c r="E2343" s="77">
        <v>43344</v>
      </c>
      <c r="F2343" s="78">
        <v>0.54202546296296295</v>
      </c>
      <c r="G2343" s="74"/>
      <c r="H2343" s="74"/>
      <c r="I2343" s="74"/>
    </row>
    <row r="2344" spans="1:9">
      <c r="A2344" s="75">
        <v>366</v>
      </c>
      <c r="B2344" s="75">
        <v>0</v>
      </c>
      <c r="C2344" s="75">
        <v>366</v>
      </c>
      <c r="D2344" s="76">
        <v>43368.552453703705</v>
      </c>
      <c r="E2344" s="77">
        <v>43344</v>
      </c>
      <c r="F2344" s="78">
        <v>0.55245370370370372</v>
      </c>
      <c r="G2344" s="74"/>
      <c r="H2344" s="74"/>
      <c r="I2344" s="74"/>
    </row>
    <row r="2345" spans="1:9">
      <c r="A2345" s="75">
        <v>330</v>
      </c>
      <c r="B2345" s="75">
        <v>1</v>
      </c>
      <c r="C2345" s="75">
        <v>331</v>
      </c>
      <c r="D2345" s="76">
        <v>43368.562858796293</v>
      </c>
      <c r="E2345" s="77">
        <v>43344</v>
      </c>
      <c r="F2345" s="78">
        <v>0.56285879629629632</v>
      </c>
      <c r="G2345" s="74"/>
      <c r="H2345" s="74"/>
      <c r="I2345" s="74"/>
    </row>
    <row r="2346" spans="1:9">
      <c r="A2346" s="75">
        <v>431</v>
      </c>
      <c r="B2346" s="75">
        <v>0</v>
      </c>
      <c r="C2346" s="75">
        <v>431</v>
      </c>
      <c r="D2346" s="76">
        <v>43368.573275462964</v>
      </c>
      <c r="E2346" s="77">
        <v>43344</v>
      </c>
      <c r="F2346" s="78">
        <v>0.57327546296296295</v>
      </c>
      <c r="G2346" s="74"/>
      <c r="H2346" s="74"/>
      <c r="I2346" s="74"/>
    </row>
    <row r="2347" spans="1:9">
      <c r="A2347" s="75">
        <v>406</v>
      </c>
      <c r="B2347" s="75">
        <v>0</v>
      </c>
      <c r="C2347" s="75">
        <v>406</v>
      </c>
      <c r="D2347" s="76">
        <v>43368.583680555559</v>
      </c>
      <c r="E2347" s="77">
        <v>43344</v>
      </c>
      <c r="F2347" s="78">
        <v>0.58368055555555554</v>
      </c>
      <c r="G2347" s="74"/>
      <c r="H2347" s="74"/>
      <c r="I2347" s="74"/>
    </row>
    <row r="2348" spans="1:9">
      <c r="A2348" s="75">
        <v>424</v>
      </c>
      <c r="B2348" s="75">
        <v>2</v>
      </c>
      <c r="C2348" s="75">
        <v>426</v>
      </c>
      <c r="D2348" s="76">
        <v>43368.594108796293</v>
      </c>
      <c r="E2348" s="77">
        <v>43344</v>
      </c>
      <c r="F2348" s="78">
        <v>0.59410879629629632</v>
      </c>
      <c r="G2348" s="74"/>
      <c r="H2348" s="74"/>
      <c r="I2348" s="74"/>
    </row>
    <row r="2349" spans="1:9">
      <c r="A2349" s="75">
        <v>453</v>
      </c>
      <c r="B2349" s="75">
        <v>1</v>
      </c>
      <c r="C2349" s="75">
        <v>454</v>
      </c>
      <c r="D2349" s="76">
        <v>43368.604525462964</v>
      </c>
      <c r="E2349" s="77">
        <v>43344</v>
      </c>
      <c r="F2349" s="78">
        <v>0.60452546296296295</v>
      </c>
      <c r="G2349" s="74"/>
      <c r="H2349" s="74"/>
      <c r="I2349" s="74"/>
    </row>
    <row r="2350" spans="1:9">
      <c r="A2350" s="75">
        <v>462</v>
      </c>
      <c r="B2350" s="75">
        <v>5</v>
      </c>
      <c r="C2350" s="75">
        <v>467</v>
      </c>
      <c r="D2350" s="76">
        <v>43368.625439814816</v>
      </c>
      <c r="E2350" s="77">
        <v>43344</v>
      </c>
      <c r="F2350" s="78">
        <v>0.62543981481481481</v>
      </c>
      <c r="G2350" s="74"/>
      <c r="H2350" s="74"/>
      <c r="I2350" s="74"/>
    </row>
    <row r="2351" spans="1:9">
      <c r="A2351" s="75">
        <v>589</v>
      </c>
      <c r="B2351" s="75">
        <v>14</v>
      </c>
      <c r="C2351" s="75">
        <v>603</v>
      </c>
      <c r="D2351" s="76">
        <v>43368.729525462964</v>
      </c>
      <c r="E2351" s="77">
        <v>43344</v>
      </c>
      <c r="F2351" s="78">
        <v>0.72952546296296295</v>
      </c>
      <c r="G2351" s="74"/>
      <c r="H2351" s="74"/>
      <c r="I2351" s="74"/>
    </row>
    <row r="2352" spans="1:9">
      <c r="A2352" s="75">
        <v>506</v>
      </c>
      <c r="B2352" s="75">
        <v>5</v>
      </c>
      <c r="C2352" s="75">
        <v>511</v>
      </c>
      <c r="D2352" s="76">
        <v>43368.751597222225</v>
      </c>
      <c r="E2352" s="77">
        <v>43344</v>
      </c>
      <c r="F2352" s="78">
        <v>0.75159722222222225</v>
      </c>
      <c r="G2352" s="74"/>
      <c r="H2352" s="74"/>
      <c r="I2352" s="74"/>
    </row>
    <row r="2353" spans="1:9">
      <c r="A2353" s="75">
        <v>548</v>
      </c>
      <c r="B2353" s="75">
        <v>1</v>
      </c>
      <c r="C2353" s="75">
        <v>549</v>
      </c>
      <c r="D2353" s="76">
        <v>43368.793842592589</v>
      </c>
      <c r="E2353" s="77">
        <v>43344</v>
      </c>
      <c r="F2353" s="78">
        <v>0.7938425925925926</v>
      </c>
      <c r="G2353" s="74"/>
      <c r="H2353" s="74"/>
      <c r="I2353" s="74"/>
    </row>
    <row r="2354" spans="1:9">
      <c r="A2354" s="75">
        <v>859</v>
      </c>
      <c r="B2354" s="75">
        <v>14</v>
      </c>
      <c r="C2354" s="75">
        <v>873</v>
      </c>
      <c r="D2354" s="76">
        <v>43368.823472222219</v>
      </c>
      <c r="E2354" s="77">
        <v>43344</v>
      </c>
      <c r="F2354" s="78">
        <v>0.82347222222222216</v>
      </c>
      <c r="G2354" s="74"/>
      <c r="H2354" s="74"/>
      <c r="I2354" s="74"/>
    </row>
    <row r="2355" spans="1:9">
      <c r="A2355" s="75">
        <v>875</v>
      </c>
      <c r="B2355" s="75">
        <v>9</v>
      </c>
      <c r="C2355" s="75">
        <v>884</v>
      </c>
      <c r="D2355" s="76">
        <v>43368.836122685185</v>
      </c>
      <c r="E2355" s="77">
        <v>43344</v>
      </c>
      <c r="F2355" s="78">
        <v>0.83612268518518518</v>
      </c>
      <c r="G2355" s="74"/>
      <c r="H2355" s="74"/>
      <c r="I2355" s="74"/>
    </row>
    <row r="2356" spans="1:9">
      <c r="A2356" s="75">
        <v>954</v>
      </c>
      <c r="B2356" s="75">
        <v>11</v>
      </c>
      <c r="C2356" s="75">
        <v>965</v>
      </c>
      <c r="D2356" s="76">
        <v>43368.877893518518</v>
      </c>
      <c r="E2356" s="77">
        <v>43344</v>
      </c>
      <c r="F2356" s="78">
        <v>0.87789351851851849</v>
      </c>
      <c r="G2356" s="74"/>
      <c r="H2356" s="74"/>
      <c r="I2356" s="74"/>
    </row>
    <row r="2357" spans="1:9">
      <c r="A2357" s="75">
        <v>858</v>
      </c>
      <c r="B2357" s="75">
        <v>15</v>
      </c>
      <c r="C2357" s="75">
        <v>873</v>
      </c>
      <c r="D2357" s="76">
        <v>43368.909074074072</v>
      </c>
      <c r="E2357" s="77">
        <v>43344</v>
      </c>
      <c r="F2357" s="78">
        <v>0.90907407407407403</v>
      </c>
      <c r="G2357" s="74"/>
      <c r="H2357" s="74"/>
      <c r="I2357" s="74"/>
    </row>
    <row r="2358" spans="1:9">
      <c r="A2358" s="75">
        <v>1123</v>
      </c>
      <c r="B2358" s="75">
        <v>31</v>
      </c>
      <c r="C2358" s="75">
        <v>1154</v>
      </c>
      <c r="D2358" s="76">
        <v>43369.451770833337</v>
      </c>
      <c r="E2358" s="77">
        <v>43344</v>
      </c>
      <c r="F2358" s="78">
        <v>0.45177083333333329</v>
      </c>
      <c r="G2358" s="74"/>
      <c r="H2358" s="74"/>
      <c r="I2358" s="74"/>
    </row>
    <row r="2359" spans="1:9">
      <c r="A2359" s="75">
        <v>860</v>
      </c>
      <c r="B2359" s="75">
        <v>25</v>
      </c>
      <c r="C2359" s="75">
        <v>885</v>
      </c>
      <c r="D2359" s="76">
        <v>43369.460833333331</v>
      </c>
      <c r="E2359" s="77">
        <v>43344</v>
      </c>
      <c r="F2359" s="78">
        <v>0.46083333333333337</v>
      </c>
      <c r="G2359" s="74"/>
      <c r="H2359" s="74"/>
      <c r="I2359" s="74"/>
    </row>
    <row r="2360" spans="1:9">
      <c r="A2360" s="75">
        <v>766</v>
      </c>
      <c r="B2360" s="75">
        <v>17</v>
      </c>
      <c r="C2360" s="75">
        <v>783</v>
      </c>
      <c r="D2360" s="76">
        <v>43369.471203703702</v>
      </c>
      <c r="E2360" s="77">
        <v>43344</v>
      </c>
      <c r="F2360" s="78">
        <v>0.47120370370370374</v>
      </c>
      <c r="G2360" s="74"/>
      <c r="H2360" s="74"/>
      <c r="I2360" s="74"/>
    </row>
    <row r="2361" spans="1:9">
      <c r="A2361" s="75">
        <v>336</v>
      </c>
      <c r="B2361" s="75">
        <v>3</v>
      </c>
      <c r="C2361" s="75">
        <v>339</v>
      </c>
      <c r="D2361" s="76">
        <v>43369.543877314813</v>
      </c>
      <c r="E2361" s="77">
        <v>43344</v>
      </c>
      <c r="F2361" s="78">
        <v>0.54387731481481483</v>
      </c>
      <c r="G2361" s="74"/>
      <c r="H2361" s="74"/>
      <c r="I2361" s="74"/>
    </row>
    <row r="2362" spans="1:9">
      <c r="A2362" s="75">
        <v>569</v>
      </c>
      <c r="B2362" s="75">
        <v>3</v>
      </c>
      <c r="C2362" s="75">
        <v>571</v>
      </c>
      <c r="D2362" s="76">
        <v>43369.667013888888</v>
      </c>
      <c r="E2362" s="77">
        <v>43344</v>
      </c>
      <c r="F2362" s="78">
        <v>0.66701388888888891</v>
      </c>
      <c r="G2362" s="74"/>
      <c r="H2362" s="74"/>
      <c r="I2362" s="74"/>
    </row>
    <row r="2363" spans="1:9">
      <c r="A2363" s="75">
        <v>637</v>
      </c>
      <c r="B2363" s="75">
        <v>7</v>
      </c>
      <c r="C2363" s="75">
        <v>644</v>
      </c>
      <c r="D2363" s="76">
        <v>43369.781585648147</v>
      </c>
      <c r="E2363" s="77">
        <v>43344</v>
      </c>
      <c r="F2363" s="78">
        <v>0.78158564814814813</v>
      </c>
      <c r="G2363" s="74"/>
      <c r="H2363" s="74"/>
      <c r="I2363" s="74"/>
    </row>
    <row r="2364" spans="1:9">
      <c r="A2364" s="75">
        <v>409</v>
      </c>
      <c r="B2364" s="75">
        <v>4</v>
      </c>
      <c r="C2364" s="75">
        <v>411</v>
      </c>
      <c r="D2364" s="76">
        <v>43370.531608796293</v>
      </c>
      <c r="E2364" s="77">
        <v>43344</v>
      </c>
      <c r="F2364" s="78">
        <v>0.53160879629629632</v>
      </c>
      <c r="G2364" s="74"/>
      <c r="H2364" s="74"/>
      <c r="I2364" s="74"/>
    </row>
    <row r="2365" spans="1:9">
      <c r="A2365" s="75">
        <v>355</v>
      </c>
      <c r="B2365" s="75">
        <v>2</v>
      </c>
      <c r="C2365" s="75">
        <v>357</v>
      </c>
      <c r="D2365" s="76">
        <v>43370.542442129627</v>
      </c>
      <c r="E2365" s="77">
        <v>43344</v>
      </c>
      <c r="F2365" s="78">
        <v>0.54244212962962968</v>
      </c>
      <c r="G2365" s="74"/>
      <c r="H2365" s="74"/>
      <c r="I2365" s="74"/>
    </row>
    <row r="2366" spans="1:9">
      <c r="A2366" s="75">
        <v>474</v>
      </c>
      <c r="B2366" s="75">
        <v>4</v>
      </c>
      <c r="C2366" s="75">
        <v>478</v>
      </c>
      <c r="D2366" s="76">
        <v>43370.579479166663</v>
      </c>
      <c r="E2366" s="77">
        <v>43344</v>
      </c>
      <c r="F2366" s="78">
        <v>0.57947916666666666</v>
      </c>
      <c r="G2366" s="74"/>
      <c r="H2366" s="74"/>
      <c r="I2366" s="74"/>
    </row>
    <row r="2367" spans="1:9">
      <c r="A2367" s="75">
        <v>495</v>
      </c>
      <c r="B2367" s="75">
        <v>3</v>
      </c>
      <c r="C2367" s="75">
        <v>498</v>
      </c>
      <c r="D2367" s="76">
        <v>43370.617118055554</v>
      </c>
      <c r="E2367" s="77">
        <v>43344</v>
      </c>
      <c r="F2367" s="78">
        <v>0.61711805555555554</v>
      </c>
      <c r="G2367" s="74"/>
      <c r="H2367" s="74"/>
      <c r="I2367" s="74"/>
    </row>
    <row r="2368" spans="1:9">
      <c r="A2368" s="75">
        <v>755</v>
      </c>
      <c r="B2368" s="75">
        <v>6</v>
      </c>
      <c r="C2368" s="75">
        <v>761</v>
      </c>
      <c r="D2368" s="76">
        <v>43370.813263888886</v>
      </c>
      <c r="E2368" s="77">
        <v>43344</v>
      </c>
      <c r="F2368" s="78">
        <v>0.8132638888888889</v>
      </c>
      <c r="G2368" s="74"/>
      <c r="H2368" s="74"/>
      <c r="I2368" s="74"/>
    </row>
    <row r="2369" spans="1:9">
      <c r="A2369" s="74"/>
      <c r="B2369" s="74"/>
      <c r="C2369" s="74"/>
      <c r="D2369" s="74"/>
      <c r="E2369" s="74"/>
      <c r="F2369" s="74"/>
      <c r="G2369" s="74"/>
      <c r="H2369" s="74"/>
      <c r="I2369" s="74"/>
    </row>
    <row r="2370" spans="1:9">
      <c r="A2370" s="74"/>
      <c r="B2370" s="74"/>
      <c r="C2370" s="74"/>
      <c r="D2370" s="74"/>
      <c r="E2370" s="74"/>
      <c r="F2370" s="74"/>
      <c r="G2370" s="74"/>
      <c r="H2370" s="74"/>
      <c r="I2370" s="74"/>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34"/>
  <sheetViews>
    <sheetView workbookViewId="0">
      <selection activeCell="K13" sqref="K13"/>
    </sheetView>
  </sheetViews>
  <sheetFormatPr baseColWidth="10" defaultRowHeight="15" x14ac:dyDescent="0"/>
  <sheetData>
    <row r="1" spans="1:9">
      <c r="A1" s="79" t="s">
        <v>111</v>
      </c>
      <c r="B1" s="79" t="s">
        <v>112</v>
      </c>
      <c r="C1" s="79" t="s">
        <v>113</v>
      </c>
      <c r="D1" s="79" t="s">
        <v>114</v>
      </c>
      <c r="E1" s="79" t="s">
        <v>115</v>
      </c>
      <c r="F1" s="79" t="s">
        <v>116</v>
      </c>
      <c r="G1" s="79" t="s">
        <v>117</v>
      </c>
      <c r="H1" s="79" t="s">
        <v>118</v>
      </c>
      <c r="I1" s="79" t="s">
        <v>119</v>
      </c>
    </row>
    <row r="2" spans="1:9">
      <c r="A2" s="79">
        <v>645</v>
      </c>
      <c r="B2" s="79">
        <v>14</v>
      </c>
      <c r="C2" s="79">
        <v>659</v>
      </c>
      <c r="D2" s="80">
        <v>43313.821655092594</v>
      </c>
      <c r="E2" s="81">
        <f t="shared" ref="E2:E2834" ca="1" si="0">IFERROR(__xludf.DUMMYFUNCTION("SPLIT(D2, "" "")"),43313)</f>
        <v>43313</v>
      </c>
      <c r="F2" s="82">
        <f ca="1">IFERROR(__xludf.DUMMYFUNCTION("""COMPUTED_VALUE"""),0.821655092592592)</f>
        <v>0.82165509259259195</v>
      </c>
      <c r="G2" s="83">
        <f t="shared" ref="G2:G2834" ca="1" si="1">IFERROR(__xludf.DUMMYFUNCTION("SPLIT(F2, "":"")"),19)</f>
        <v>19</v>
      </c>
      <c r="H2" s="83">
        <f ca="1">IFERROR(__xludf.DUMMYFUNCTION("""COMPUTED_VALUE"""),43)</f>
        <v>43</v>
      </c>
      <c r="I2" s="83">
        <f ca="1">IFERROR(__xludf.DUMMYFUNCTION("""COMPUTED_VALUE"""),11)</f>
        <v>11</v>
      </c>
    </row>
    <row r="3" spans="1:9">
      <c r="A3" s="79">
        <v>650</v>
      </c>
      <c r="B3" s="79">
        <v>16</v>
      </c>
      <c r="C3" s="79">
        <v>666</v>
      </c>
      <c r="D3" s="80">
        <v>43313.823194444441</v>
      </c>
      <c r="E3" s="81">
        <f t="shared" ca="1" si="0"/>
        <v>43313</v>
      </c>
      <c r="F3" s="82">
        <f ca="1">IFERROR(__xludf.DUMMYFUNCTION("""COMPUTED_VALUE"""),0.823194444444444)</f>
        <v>0.82319444444444401</v>
      </c>
      <c r="G3" s="83">
        <f t="shared" ca="1" si="1"/>
        <v>19</v>
      </c>
      <c r="H3" s="83">
        <f ca="1">IFERROR(__xludf.DUMMYFUNCTION("""COMPUTED_VALUE"""),45)</f>
        <v>45</v>
      </c>
      <c r="I3" s="83">
        <f ca="1">IFERROR(__xludf.DUMMYFUNCTION("""COMPUTED_VALUE"""),24)</f>
        <v>24</v>
      </c>
    </row>
    <row r="4" spans="1:9">
      <c r="A4" s="79">
        <v>637</v>
      </c>
      <c r="B4" s="79">
        <v>11</v>
      </c>
      <c r="C4" s="79">
        <v>648</v>
      </c>
      <c r="D4" s="80">
        <v>43313.833634259259</v>
      </c>
      <c r="E4" s="81">
        <f t="shared" ca="1" si="0"/>
        <v>43313</v>
      </c>
      <c r="F4" s="82">
        <f ca="1">IFERROR(__xludf.DUMMYFUNCTION("""COMPUTED_VALUE"""),0.833634259259259)</f>
        <v>0.83363425925925905</v>
      </c>
      <c r="G4" s="83">
        <f t="shared" ca="1" si="1"/>
        <v>19</v>
      </c>
      <c r="H4" s="83">
        <f ca="1">IFERROR(__xludf.DUMMYFUNCTION("""COMPUTED_VALUE"""),0)</f>
        <v>0</v>
      </c>
      <c r="I4" s="83">
        <f ca="1">IFERROR(__xludf.DUMMYFUNCTION("""COMPUTED_VALUE"""),26)</f>
        <v>26</v>
      </c>
    </row>
    <row r="5" spans="1:9">
      <c r="A5" s="79">
        <v>832</v>
      </c>
      <c r="B5" s="79">
        <v>13</v>
      </c>
      <c r="C5" s="79">
        <v>845</v>
      </c>
      <c r="D5" s="80">
        <v>43313.844027777777</v>
      </c>
      <c r="E5" s="81">
        <f t="shared" ca="1" si="0"/>
        <v>43313</v>
      </c>
      <c r="F5" s="82">
        <f ca="1">IFERROR(__xludf.DUMMYFUNCTION("""COMPUTED_VALUE"""),0.844027777777777)</f>
        <v>0.84402777777777704</v>
      </c>
      <c r="G5" s="83">
        <f t="shared" ca="1" si="1"/>
        <v>19</v>
      </c>
      <c r="H5" s="83">
        <f ca="1">IFERROR(__xludf.DUMMYFUNCTION("""COMPUTED_VALUE"""),15)</f>
        <v>15</v>
      </c>
      <c r="I5" s="83">
        <f ca="1">IFERROR(__xludf.DUMMYFUNCTION("""COMPUTED_VALUE"""),24)</f>
        <v>24</v>
      </c>
    </row>
    <row r="6" spans="1:9">
      <c r="A6" s="79">
        <v>876</v>
      </c>
      <c r="B6" s="79">
        <v>13</v>
      </c>
      <c r="C6" s="79">
        <v>889</v>
      </c>
      <c r="D6" s="80">
        <v>43313.854444444441</v>
      </c>
      <c r="E6" s="81">
        <f t="shared" ca="1" si="0"/>
        <v>43313</v>
      </c>
      <c r="F6" s="82">
        <f ca="1">IFERROR(__xludf.DUMMYFUNCTION("""COMPUTED_VALUE"""),0.854444444444444)</f>
        <v>0.85444444444444401</v>
      </c>
      <c r="G6" s="83">
        <f t="shared" ca="1" si="1"/>
        <v>19</v>
      </c>
      <c r="H6" s="83">
        <f ca="1">IFERROR(__xludf.DUMMYFUNCTION("""COMPUTED_VALUE"""),30)</f>
        <v>30</v>
      </c>
      <c r="I6" s="83">
        <f ca="1">IFERROR(__xludf.DUMMYFUNCTION("""COMPUTED_VALUE"""),24)</f>
        <v>24</v>
      </c>
    </row>
    <row r="7" spans="1:9">
      <c r="A7" s="79">
        <v>805</v>
      </c>
      <c r="B7" s="79">
        <v>12</v>
      </c>
      <c r="C7" s="79">
        <v>817</v>
      </c>
      <c r="D7" s="80">
        <v>43313.864861111113</v>
      </c>
      <c r="E7" s="81">
        <f t="shared" ca="1" si="0"/>
        <v>43313</v>
      </c>
      <c r="F7" s="82">
        <f ca="1">IFERROR(__xludf.DUMMYFUNCTION("""COMPUTED_VALUE"""),0.864861111111111)</f>
        <v>0.86486111111111097</v>
      </c>
      <c r="G7" s="83">
        <f t="shared" ca="1" si="1"/>
        <v>19</v>
      </c>
      <c r="H7" s="83">
        <f ca="1">IFERROR(__xludf.DUMMYFUNCTION("""COMPUTED_VALUE"""),45)</f>
        <v>45</v>
      </c>
      <c r="I7" s="83">
        <f ca="1">IFERROR(__xludf.DUMMYFUNCTION("""COMPUTED_VALUE"""),24)</f>
        <v>24</v>
      </c>
    </row>
    <row r="8" spans="1:9">
      <c r="A8" s="79">
        <v>729</v>
      </c>
      <c r="B8" s="79">
        <v>8</v>
      </c>
      <c r="C8" s="79">
        <v>737</v>
      </c>
      <c r="D8" s="80">
        <v>43313.875300925924</v>
      </c>
      <c r="E8" s="81">
        <f t="shared" ca="1" si="0"/>
        <v>43313</v>
      </c>
      <c r="F8" s="82">
        <f ca="1">IFERROR(__xludf.DUMMYFUNCTION("""COMPUTED_VALUE"""),0.875300925925925)</f>
        <v>0.87530092592592501</v>
      </c>
      <c r="G8" s="83">
        <f t="shared" ca="1" si="1"/>
        <v>19</v>
      </c>
      <c r="H8" s="83">
        <f ca="1">IFERROR(__xludf.DUMMYFUNCTION("""COMPUTED_VALUE"""),0)</f>
        <v>0</v>
      </c>
      <c r="I8" s="83">
        <f ca="1">IFERROR(__xludf.DUMMYFUNCTION("""COMPUTED_VALUE"""),26)</f>
        <v>26</v>
      </c>
    </row>
    <row r="9" spans="1:9">
      <c r="A9" s="79">
        <v>766</v>
      </c>
      <c r="B9" s="79">
        <v>7</v>
      </c>
      <c r="C9" s="79">
        <v>773</v>
      </c>
      <c r="D9" s="80">
        <v>43313.885694444441</v>
      </c>
      <c r="E9" s="81">
        <f t="shared" ca="1" si="0"/>
        <v>43313</v>
      </c>
      <c r="F9" s="82">
        <f ca="1">IFERROR(__xludf.DUMMYFUNCTION("""COMPUTED_VALUE"""),0.885694444444444)</f>
        <v>0.88569444444444401</v>
      </c>
      <c r="G9" s="83">
        <f t="shared" ca="1" si="1"/>
        <v>19</v>
      </c>
      <c r="H9" s="83">
        <f ca="1">IFERROR(__xludf.DUMMYFUNCTION("""COMPUTED_VALUE"""),15)</f>
        <v>15</v>
      </c>
      <c r="I9" s="83">
        <f ca="1">IFERROR(__xludf.DUMMYFUNCTION("""COMPUTED_VALUE"""),24)</f>
        <v>24</v>
      </c>
    </row>
    <row r="10" spans="1:9">
      <c r="A10" s="79">
        <v>758</v>
      </c>
      <c r="B10" s="79">
        <v>4</v>
      </c>
      <c r="C10" s="79">
        <v>762</v>
      </c>
      <c r="D10" s="80">
        <v>43313.896111111113</v>
      </c>
      <c r="E10" s="81">
        <f t="shared" ca="1" si="0"/>
        <v>43313</v>
      </c>
      <c r="F10" s="82">
        <f ca="1">IFERROR(__xludf.DUMMYFUNCTION("""COMPUTED_VALUE"""),0.896111111111111)</f>
        <v>0.89611111111111097</v>
      </c>
      <c r="G10" s="83">
        <f t="shared" ca="1" si="1"/>
        <v>19</v>
      </c>
      <c r="H10" s="83">
        <f ca="1">IFERROR(__xludf.DUMMYFUNCTION("""COMPUTED_VALUE"""),30)</f>
        <v>30</v>
      </c>
      <c r="I10" s="83">
        <f ca="1">IFERROR(__xludf.DUMMYFUNCTION("""COMPUTED_VALUE"""),24)</f>
        <v>24</v>
      </c>
    </row>
    <row r="11" spans="1:9">
      <c r="A11" s="79">
        <v>755</v>
      </c>
      <c r="B11" s="79">
        <v>1</v>
      </c>
      <c r="C11" s="79">
        <v>747</v>
      </c>
      <c r="D11" s="80">
        <v>43313.9065162037</v>
      </c>
      <c r="E11" s="81">
        <f t="shared" ca="1" si="0"/>
        <v>43313</v>
      </c>
      <c r="F11" s="82">
        <f ca="1">IFERROR(__xludf.DUMMYFUNCTION("""COMPUTED_VALUE"""),0.906516203703703)</f>
        <v>0.90651620370370301</v>
      </c>
      <c r="G11" s="83">
        <f t="shared" ca="1" si="1"/>
        <v>19</v>
      </c>
      <c r="H11" s="83">
        <f ca="1">IFERROR(__xludf.DUMMYFUNCTION("""COMPUTED_VALUE"""),45)</f>
        <v>45</v>
      </c>
      <c r="I11" s="83">
        <f ca="1">IFERROR(__xludf.DUMMYFUNCTION("""COMPUTED_VALUE"""),23)</f>
        <v>23</v>
      </c>
    </row>
    <row r="12" spans="1:9">
      <c r="A12" s="79">
        <v>643</v>
      </c>
      <c r="B12" s="79">
        <v>8</v>
      </c>
      <c r="C12" s="79">
        <v>651</v>
      </c>
      <c r="D12" s="80">
        <v>43313.916967592595</v>
      </c>
      <c r="E12" s="81">
        <f t="shared" ca="1" si="0"/>
        <v>43313</v>
      </c>
      <c r="F12" s="82">
        <f ca="1">IFERROR(__xludf.DUMMYFUNCTION("""COMPUTED_VALUE"""),0.916967592592592)</f>
        <v>0.91696759259259197</v>
      </c>
      <c r="G12" s="83">
        <f t="shared" ca="1" si="1"/>
        <v>19</v>
      </c>
      <c r="H12" s="83">
        <f ca="1">IFERROR(__xludf.DUMMYFUNCTION("""COMPUTED_VALUE"""),0)</f>
        <v>0</v>
      </c>
      <c r="I12" s="83">
        <f ca="1">IFERROR(__xludf.DUMMYFUNCTION("""COMPUTED_VALUE"""),26)</f>
        <v>26</v>
      </c>
    </row>
    <row r="13" spans="1:9">
      <c r="A13" s="79">
        <v>722</v>
      </c>
      <c r="B13" s="79">
        <v>6</v>
      </c>
      <c r="C13" s="79">
        <v>723</v>
      </c>
      <c r="D13" s="80">
        <v>43313.927361111113</v>
      </c>
      <c r="E13" s="81">
        <f t="shared" ca="1" si="0"/>
        <v>43313</v>
      </c>
      <c r="F13" s="82">
        <f ca="1">IFERROR(__xludf.DUMMYFUNCTION("""COMPUTED_VALUE"""),0.927361111111111)</f>
        <v>0.92736111111111097</v>
      </c>
      <c r="G13" s="83">
        <f t="shared" ca="1" si="1"/>
        <v>19</v>
      </c>
      <c r="H13" s="83">
        <f ca="1">IFERROR(__xludf.DUMMYFUNCTION("""COMPUTED_VALUE"""),15)</f>
        <v>15</v>
      </c>
      <c r="I13" s="83">
        <f ca="1">IFERROR(__xludf.DUMMYFUNCTION("""COMPUTED_VALUE"""),24)</f>
        <v>24</v>
      </c>
    </row>
    <row r="14" spans="1:9">
      <c r="A14" s="79">
        <v>698</v>
      </c>
      <c r="B14" s="79">
        <v>8</v>
      </c>
      <c r="C14" s="79">
        <v>706</v>
      </c>
      <c r="D14" s="80">
        <v>43313.9377662037</v>
      </c>
      <c r="E14" s="81">
        <f t="shared" ca="1" si="0"/>
        <v>43313</v>
      </c>
      <c r="F14" s="82">
        <f ca="1">IFERROR(__xludf.DUMMYFUNCTION("""COMPUTED_VALUE"""),0.937766203703703)</f>
        <v>0.93776620370370301</v>
      </c>
      <c r="G14" s="83">
        <f t="shared" ca="1" si="1"/>
        <v>19</v>
      </c>
      <c r="H14" s="83">
        <f ca="1">IFERROR(__xludf.DUMMYFUNCTION("""COMPUTED_VALUE"""),30)</f>
        <v>30</v>
      </c>
      <c r="I14" s="83">
        <f ca="1">IFERROR(__xludf.DUMMYFUNCTION("""COMPUTED_VALUE"""),23)</f>
        <v>23</v>
      </c>
    </row>
    <row r="15" spans="1:9">
      <c r="A15" s="79">
        <v>635</v>
      </c>
      <c r="B15" s="79">
        <v>6</v>
      </c>
      <c r="C15" s="79">
        <v>636</v>
      </c>
      <c r="D15" s="80">
        <v>43313.948194444441</v>
      </c>
      <c r="E15" s="81">
        <f t="shared" ca="1" si="0"/>
        <v>43313</v>
      </c>
      <c r="F15" s="82">
        <f ca="1">IFERROR(__xludf.DUMMYFUNCTION("""COMPUTED_VALUE"""),0.948194444444444)</f>
        <v>0.94819444444444401</v>
      </c>
      <c r="G15" s="83">
        <f t="shared" ca="1" si="1"/>
        <v>19</v>
      </c>
      <c r="H15" s="83">
        <f ca="1">IFERROR(__xludf.DUMMYFUNCTION("""COMPUTED_VALUE"""),45)</f>
        <v>45</v>
      </c>
      <c r="I15" s="83">
        <f ca="1">IFERROR(__xludf.DUMMYFUNCTION("""COMPUTED_VALUE"""),24)</f>
        <v>24</v>
      </c>
    </row>
    <row r="16" spans="1:9">
      <c r="A16" s="79">
        <v>593</v>
      </c>
      <c r="B16" s="79">
        <v>7</v>
      </c>
      <c r="C16" s="79">
        <v>600</v>
      </c>
      <c r="D16" s="80">
        <v>43313.958611111113</v>
      </c>
      <c r="E16" s="81">
        <f t="shared" ca="1" si="0"/>
        <v>43313</v>
      </c>
      <c r="F16" s="82">
        <f ca="1">IFERROR(__xludf.DUMMYFUNCTION("""COMPUTED_VALUE"""),0.958611111111111)</f>
        <v>0.95861111111111097</v>
      </c>
      <c r="G16" s="83">
        <f t="shared" ca="1" si="1"/>
        <v>19</v>
      </c>
      <c r="H16" s="83">
        <f ca="1">IFERROR(__xludf.DUMMYFUNCTION("""COMPUTED_VALUE"""),0)</f>
        <v>0</v>
      </c>
      <c r="I16" s="83">
        <f ca="1">IFERROR(__xludf.DUMMYFUNCTION("""COMPUTED_VALUE"""),24)</f>
        <v>24</v>
      </c>
    </row>
    <row r="17" spans="1:9">
      <c r="A17" s="79">
        <v>645</v>
      </c>
      <c r="B17" s="79">
        <v>5</v>
      </c>
      <c r="C17" s="79">
        <v>650</v>
      </c>
      <c r="D17" s="80">
        <v>43313.969027777777</v>
      </c>
      <c r="E17" s="81">
        <f t="shared" ca="1" si="0"/>
        <v>43313</v>
      </c>
      <c r="F17" s="82">
        <f ca="1">IFERROR(__xludf.DUMMYFUNCTION("""COMPUTED_VALUE"""),0.969027777777777)</f>
        <v>0.96902777777777704</v>
      </c>
      <c r="G17" s="83">
        <f t="shared" ca="1" si="1"/>
        <v>19</v>
      </c>
      <c r="H17" s="83">
        <f ca="1">IFERROR(__xludf.DUMMYFUNCTION("""COMPUTED_VALUE"""),15)</f>
        <v>15</v>
      </c>
      <c r="I17" s="83">
        <f ca="1">IFERROR(__xludf.DUMMYFUNCTION("""COMPUTED_VALUE"""),24)</f>
        <v>24</v>
      </c>
    </row>
    <row r="18" spans="1:9">
      <c r="A18" s="79">
        <v>548</v>
      </c>
      <c r="B18" s="79">
        <v>3</v>
      </c>
      <c r="C18" s="79">
        <v>551</v>
      </c>
      <c r="D18" s="80">
        <v>43313.979432870372</v>
      </c>
      <c r="E18" s="81">
        <f t="shared" ca="1" si="0"/>
        <v>43313</v>
      </c>
      <c r="F18" s="82">
        <f ca="1">IFERROR(__xludf.DUMMYFUNCTION("""COMPUTED_VALUE"""),0.97943287037037)</f>
        <v>0.97943287037036997</v>
      </c>
      <c r="G18" s="83">
        <f t="shared" ca="1" si="1"/>
        <v>19</v>
      </c>
      <c r="H18" s="83">
        <f ca="1">IFERROR(__xludf.DUMMYFUNCTION("""COMPUTED_VALUE"""),30)</f>
        <v>30</v>
      </c>
      <c r="I18" s="83">
        <f ca="1">IFERROR(__xludf.DUMMYFUNCTION("""COMPUTED_VALUE"""),23)</f>
        <v>23</v>
      </c>
    </row>
    <row r="19" spans="1:9">
      <c r="A19" s="79">
        <v>504</v>
      </c>
      <c r="B19" s="79">
        <v>5</v>
      </c>
      <c r="C19" s="79">
        <v>509</v>
      </c>
      <c r="D19" s="80">
        <v>43313.989861111113</v>
      </c>
      <c r="E19" s="81">
        <f t="shared" ca="1" si="0"/>
        <v>43313</v>
      </c>
      <c r="F19" s="82">
        <f ca="1">IFERROR(__xludf.DUMMYFUNCTION("""COMPUTED_VALUE"""),0.989861111111111)</f>
        <v>0.98986111111111097</v>
      </c>
      <c r="G19" s="83">
        <f t="shared" ca="1" si="1"/>
        <v>19</v>
      </c>
      <c r="H19" s="83">
        <f ca="1">IFERROR(__xludf.DUMMYFUNCTION("""COMPUTED_VALUE"""),45)</f>
        <v>45</v>
      </c>
      <c r="I19" s="83">
        <f ca="1">IFERROR(__xludf.DUMMYFUNCTION("""COMPUTED_VALUE"""),24)</f>
        <v>24</v>
      </c>
    </row>
    <row r="20" spans="1:9">
      <c r="A20" s="79">
        <v>398</v>
      </c>
      <c r="B20" s="79">
        <v>3</v>
      </c>
      <c r="C20" s="79">
        <v>401</v>
      </c>
      <c r="D20" s="80">
        <v>43314.000277777777</v>
      </c>
      <c r="E20" s="81">
        <f t="shared" ca="1" si="0"/>
        <v>43313</v>
      </c>
      <c r="F20" s="82">
        <f ca="1">IFERROR(__xludf.DUMMYFUNCTION("""COMPUTED_VALUE"""),0.000277777777777777)</f>
        <v>2.7777777777777702E-4</v>
      </c>
      <c r="G20" s="83">
        <f t="shared" ca="1" si="1"/>
        <v>19</v>
      </c>
      <c r="H20" s="83">
        <f ca="1">IFERROR(__xludf.DUMMYFUNCTION("""COMPUTED_VALUE"""),0)</f>
        <v>0</v>
      </c>
      <c r="I20" s="83">
        <f ca="1">IFERROR(__xludf.DUMMYFUNCTION("""COMPUTED_VALUE"""),24)</f>
        <v>24</v>
      </c>
    </row>
    <row r="21" spans="1:9">
      <c r="A21" s="79">
        <v>449</v>
      </c>
      <c r="B21" s="79">
        <v>2</v>
      </c>
      <c r="C21" s="79">
        <v>451</v>
      </c>
      <c r="D21" s="80">
        <v>43314.010694444441</v>
      </c>
      <c r="E21" s="81">
        <f t="shared" ca="1" si="0"/>
        <v>43313</v>
      </c>
      <c r="F21" s="82">
        <f ca="1">IFERROR(__xludf.DUMMYFUNCTION("""COMPUTED_VALUE"""),0.0106944444444444)</f>
        <v>1.0694444444444401E-2</v>
      </c>
      <c r="G21" s="83">
        <f t="shared" ca="1" si="1"/>
        <v>19</v>
      </c>
      <c r="H21" s="83">
        <f ca="1">IFERROR(__xludf.DUMMYFUNCTION("""COMPUTED_VALUE"""),15)</f>
        <v>15</v>
      </c>
      <c r="I21" s="83">
        <f ca="1">IFERROR(__xludf.DUMMYFUNCTION("""COMPUTED_VALUE"""),24)</f>
        <v>24</v>
      </c>
    </row>
    <row r="22" spans="1:9">
      <c r="A22" s="79">
        <v>396</v>
      </c>
      <c r="B22" s="79">
        <v>4</v>
      </c>
      <c r="C22" s="79">
        <v>400</v>
      </c>
      <c r="D22" s="80">
        <v>43314.021099537036</v>
      </c>
      <c r="E22" s="81">
        <f t="shared" ca="1" si="0"/>
        <v>43313</v>
      </c>
      <c r="F22" s="82">
        <f ca="1">IFERROR(__xludf.DUMMYFUNCTION("""COMPUTED_VALUE"""),0.021099537037037)</f>
        <v>2.1099537037037E-2</v>
      </c>
      <c r="G22" s="83">
        <f t="shared" ca="1" si="1"/>
        <v>19</v>
      </c>
      <c r="H22" s="83">
        <f ca="1">IFERROR(__xludf.DUMMYFUNCTION("""COMPUTED_VALUE"""),30)</f>
        <v>30</v>
      </c>
      <c r="I22" s="83">
        <f ca="1">IFERROR(__xludf.DUMMYFUNCTION("""COMPUTED_VALUE"""),23)</f>
        <v>23</v>
      </c>
    </row>
    <row r="23" spans="1:9">
      <c r="A23" s="79">
        <v>330</v>
      </c>
      <c r="B23" s="79">
        <v>3</v>
      </c>
      <c r="C23" s="79">
        <v>333</v>
      </c>
      <c r="D23" s="80">
        <v>43314.0315162037</v>
      </c>
      <c r="E23" s="81">
        <f t="shared" ca="1" si="0"/>
        <v>43313</v>
      </c>
      <c r="F23" s="82">
        <f ca="1">IFERROR(__xludf.DUMMYFUNCTION("""COMPUTED_VALUE"""),0.0315162037037037)</f>
        <v>3.1516203703703699E-2</v>
      </c>
      <c r="G23" s="83">
        <f t="shared" ca="1" si="1"/>
        <v>19</v>
      </c>
      <c r="H23" s="83">
        <f ca="1">IFERROR(__xludf.DUMMYFUNCTION("""COMPUTED_VALUE"""),45)</f>
        <v>45</v>
      </c>
      <c r="I23" s="83">
        <f ca="1">IFERROR(__xludf.DUMMYFUNCTION("""COMPUTED_VALUE"""),23)</f>
        <v>23</v>
      </c>
    </row>
    <row r="24" spans="1:9">
      <c r="A24" s="79">
        <v>279</v>
      </c>
      <c r="B24" s="79">
        <v>4</v>
      </c>
      <c r="C24" s="79">
        <v>283</v>
      </c>
      <c r="D24" s="80">
        <v>43314.041944444441</v>
      </c>
      <c r="E24" s="81">
        <f t="shared" ca="1" si="0"/>
        <v>43313</v>
      </c>
      <c r="F24" s="82">
        <f ca="1">IFERROR(__xludf.DUMMYFUNCTION("""COMPUTED_VALUE"""),0.0419444444444444)</f>
        <v>4.1944444444444402E-2</v>
      </c>
      <c r="G24" s="83">
        <f t="shared" ca="1" si="1"/>
        <v>19</v>
      </c>
      <c r="H24" s="83">
        <f ca="1">IFERROR(__xludf.DUMMYFUNCTION("""COMPUTED_VALUE"""),0)</f>
        <v>0</v>
      </c>
      <c r="I24" s="83">
        <f ca="1">IFERROR(__xludf.DUMMYFUNCTION("""COMPUTED_VALUE"""),24)</f>
        <v>24</v>
      </c>
    </row>
    <row r="25" spans="1:9">
      <c r="A25" s="79">
        <v>342</v>
      </c>
      <c r="B25" s="79">
        <v>4</v>
      </c>
      <c r="C25" s="79">
        <v>346</v>
      </c>
      <c r="D25" s="80">
        <v>43314.052349537036</v>
      </c>
      <c r="E25" s="81">
        <f t="shared" ca="1" si="0"/>
        <v>43313</v>
      </c>
      <c r="F25" s="82">
        <f ca="1">IFERROR(__xludf.DUMMYFUNCTION("""COMPUTED_VALUE"""),0.052349537037037)</f>
        <v>5.2349537037037E-2</v>
      </c>
      <c r="G25" s="83">
        <f t="shared" ca="1" si="1"/>
        <v>19</v>
      </c>
      <c r="H25" s="83">
        <f ca="1">IFERROR(__xludf.DUMMYFUNCTION("""COMPUTED_VALUE"""),15)</f>
        <v>15</v>
      </c>
      <c r="I25" s="83">
        <f ca="1">IFERROR(__xludf.DUMMYFUNCTION("""COMPUTED_VALUE"""),23)</f>
        <v>23</v>
      </c>
    </row>
    <row r="26" spans="1:9">
      <c r="A26" s="79">
        <v>309</v>
      </c>
      <c r="B26" s="79">
        <v>5</v>
      </c>
      <c r="C26" s="79">
        <v>314</v>
      </c>
      <c r="D26" s="80">
        <v>43314.062777777777</v>
      </c>
      <c r="E26" s="81">
        <f t="shared" ca="1" si="0"/>
        <v>43313</v>
      </c>
      <c r="F26" s="82">
        <f ca="1">IFERROR(__xludf.DUMMYFUNCTION("""COMPUTED_VALUE"""),0.0627777777777777)</f>
        <v>6.2777777777777696E-2</v>
      </c>
      <c r="G26" s="83">
        <f t="shared" ca="1" si="1"/>
        <v>19</v>
      </c>
      <c r="H26" s="83">
        <f ca="1">IFERROR(__xludf.DUMMYFUNCTION("""COMPUTED_VALUE"""),30)</f>
        <v>30</v>
      </c>
      <c r="I26" s="83">
        <f ca="1">IFERROR(__xludf.DUMMYFUNCTION("""COMPUTED_VALUE"""),24)</f>
        <v>24</v>
      </c>
    </row>
    <row r="27" spans="1:9">
      <c r="A27" s="79">
        <v>344</v>
      </c>
      <c r="B27" s="79">
        <v>3</v>
      </c>
      <c r="C27" s="79">
        <v>347</v>
      </c>
      <c r="D27" s="80">
        <v>43314.073182870372</v>
      </c>
      <c r="E27" s="81">
        <f t="shared" ca="1" si="0"/>
        <v>43313</v>
      </c>
      <c r="F27" s="82">
        <f ca="1">IFERROR(__xludf.DUMMYFUNCTION("""COMPUTED_VALUE"""),0.0731828703703703)</f>
        <v>7.3182870370370301E-2</v>
      </c>
      <c r="G27" s="83">
        <f t="shared" ca="1" si="1"/>
        <v>19</v>
      </c>
      <c r="H27" s="83">
        <f ca="1">IFERROR(__xludf.DUMMYFUNCTION("""COMPUTED_VALUE"""),45)</f>
        <v>45</v>
      </c>
      <c r="I27" s="83">
        <f ca="1">IFERROR(__xludf.DUMMYFUNCTION("""COMPUTED_VALUE"""),23)</f>
        <v>23</v>
      </c>
    </row>
    <row r="28" spans="1:9">
      <c r="A28" s="79">
        <v>306</v>
      </c>
      <c r="B28" s="79">
        <v>4</v>
      </c>
      <c r="C28" s="79">
        <v>310</v>
      </c>
      <c r="D28" s="80">
        <v>43314.083611111113</v>
      </c>
      <c r="E28" s="81">
        <f t="shared" ca="1" si="0"/>
        <v>43313</v>
      </c>
      <c r="F28" s="82">
        <f ca="1">IFERROR(__xludf.DUMMYFUNCTION("""COMPUTED_VALUE"""),0.0836111111111111)</f>
        <v>8.3611111111111094E-2</v>
      </c>
      <c r="G28" s="83">
        <f t="shared" ca="1" si="1"/>
        <v>19</v>
      </c>
      <c r="H28" s="83">
        <f ca="1">IFERROR(__xludf.DUMMYFUNCTION("""COMPUTED_VALUE"""),0)</f>
        <v>0</v>
      </c>
      <c r="I28" s="83">
        <f ca="1">IFERROR(__xludf.DUMMYFUNCTION("""COMPUTED_VALUE"""),24)</f>
        <v>24</v>
      </c>
    </row>
    <row r="29" spans="1:9">
      <c r="A29" s="79">
        <v>381</v>
      </c>
      <c r="B29" s="79">
        <v>2</v>
      </c>
      <c r="C29" s="79">
        <v>383</v>
      </c>
      <c r="D29" s="80">
        <v>43314.094027777777</v>
      </c>
      <c r="E29" s="81">
        <f t="shared" ca="1" si="0"/>
        <v>43313</v>
      </c>
      <c r="F29" s="82">
        <f ca="1">IFERROR(__xludf.DUMMYFUNCTION("""COMPUTED_VALUE"""),0.0940277777777777)</f>
        <v>9.4027777777777696E-2</v>
      </c>
      <c r="G29" s="83">
        <f t="shared" ca="1" si="1"/>
        <v>19</v>
      </c>
      <c r="H29" s="83">
        <f ca="1">IFERROR(__xludf.DUMMYFUNCTION("""COMPUTED_VALUE"""),15)</f>
        <v>15</v>
      </c>
      <c r="I29" s="83">
        <f ca="1">IFERROR(__xludf.DUMMYFUNCTION("""COMPUTED_VALUE"""),24)</f>
        <v>24</v>
      </c>
    </row>
    <row r="30" spans="1:9">
      <c r="A30" s="79">
        <v>328</v>
      </c>
      <c r="B30" s="79">
        <v>2</v>
      </c>
      <c r="C30" s="79">
        <v>330</v>
      </c>
      <c r="D30" s="80">
        <v>43314.104432870372</v>
      </c>
      <c r="E30" s="81">
        <f t="shared" ca="1" si="0"/>
        <v>43313</v>
      </c>
      <c r="F30" s="82">
        <f ca="1">IFERROR(__xludf.DUMMYFUNCTION("""COMPUTED_VALUE"""),0.10443287037037)</f>
        <v>0.10443287037037</v>
      </c>
      <c r="G30" s="83">
        <f t="shared" ca="1" si="1"/>
        <v>19</v>
      </c>
      <c r="H30" s="83">
        <f ca="1">IFERROR(__xludf.DUMMYFUNCTION("""COMPUTED_VALUE"""),30)</f>
        <v>30</v>
      </c>
      <c r="I30" s="83">
        <f ca="1">IFERROR(__xludf.DUMMYFUNCTION("""COMPUTED_VALUE"""),23)</f>
        <v>23</v>
      </c>
    </row>
    <row r="31" spans="1:9">
      <c r="A31" s="79">
        <v>288</v>
      </c>
      <c r="B31" s="79">
        <v>3</v>
      </c>
      <c r="C31" s="79">
        <v>291</v>
      </c>
      <c r="D31" s="80">
        <v>43314.114849537036</v>
      </c>
      <c r="E31" s="81">
        <f t="shared" ca="1" si="0"/>
        <v>43313</v>
      </c>
      <c r="F31" s="82">
        <f ca="1">IFERROR(__xludf.DUMMYFUNCTION("""COMPUTED_VALUE"""),0.114849537037037)</f>
        <v>0.114849537037037</v>
      </c>
      <c r="G31" s="83">
        <f t="shared" ca="1" si="1"/>
        <v>19</v>
      </c>
      <c r="H31" s="83">
        <f ca="1">IFERROR(__xludf.DUMMYFUNCTION("""COMPUTED_VALUE"""),45)</f>
        <v>45</v>
      </c>
      <c r="I31" s="83">
        <f ca="1">IFERROR(__xludf.DUMMYFUNCTION("""COMPUTED_VALUE"""),23)</f>
        <v>23</v>
      </c>
    </row>
    <row r="32" spans="1:9">
      <c r="A32" s="79">
        <v>265</v>
      </c>
      <c r="B32" s="79">
        <v>2</v>
      </c>
      <c r="C32" s="79">
        <v>267</v>
      </c>
      <c r="D32" s="80">
        <v>43314.1252662037</v>
      </c>
      <c r="E32" s="81">
        <f t="shared" ca="1" si="0"/>
        <v>43313</v>
      </c>
      <c r="F32" s="82">
        <f ca="1">IFERROR(__xludf.DUMMYFUNCTION("""COMPUTED_VALUE"""),0.125266203703703)</f>
        <v>0.12526620370370301</v>
      </c>
      <c r="G32" s="83">
        <f t="shared" ca="1" si="1"/>
        <v>19</v>
      </c>
      <c r="H32" s="83">
        <f ca="1">IFERROR(__xludf.DUMMYFUNCTION("""COMPUTED_VALUE"""),0)</f>
        <v>0</v>
      </c>
      <c r="I32" s="83">
        <f ca="1">IFERROR(__xludf.DUMMYFUNCTION("""COMPUTED_VALUE"""),23)</f>
        <v>23</v>
      </c>
    </row>
    <row r="33" spans="1:9">
      <c r="A33" s="79">
        <v>232</v>
      </c>
      <c r="B33" s="79">
        <v>2</v>
      </c>
      <c r="C33" s="79">
        <v>234</v>
      </c>
      <c r="D33" s="80">
        <v>43314.135682870372</v>
      </c>
      <c r="E33" s="81">
        <f t="shared" ca="1" si="0"/>
        <v>43313</v>
      </c>
      <c r="F33" s="82">
        <f ca="1">IFERROR(__xludf.DUMMYFUNCTION("""COMPUTED_VALUE"""),0.13568287037037)</f>
        <v>0.13568287037037</v>
      </c>
      <c r="G33" s="83">
        <f t="shared" ca="1" si="1"/>
        <v>19</v>
      </c>
      <c r="H33" s="83">
        <f ca="1">IFERROR(__xludf.DUMMYFUNCTION("""COMPUTED_VALUE"""),15)</f>
        <v>15</v>
      </c>
      <c r="I33" s="83">
        <f ca="1">IFERROR(__xludf.DUMMYFUNCTION("""COMPUTED_VALUE"""),23)</f>
        <v>23</v>
      </c>
    </row>
    <row r="34" spans="1:9">
      <c r="A34" s="79">
        <v>204</v>
      </c>
      <c r="B34" s="79">
        <v>2</v>
      </c>
      <c r="C34" s="79">
        <v>206</v>
      </c>
      <c r="D34" s="80">
        <v>43314.146111111113</v>
      </c>
      <c r="E34" s="81">
        <f t="shared" ca="1" si="0"/>
        <v>43313</v>
      </c>
      <c r="F34" s="82">
        <f ca="1">IFERROR(__xludf.DUMMYFUNCTION("""COMPUTED_VALUE"""),0.146111111111111)</f>
        <v>0.146111111111111</v>
      </c>
      <c r="G34" s="83">
        <f t="shared" ca="1" si="1"/>
        <v>19</v>
      </c>
      <c r="H34" s="83">
        <f ca="1">IFERROR(__xludf.DUMMYFUNCTION("""COMPUTED_VALUE"""),30)</f>
        <v>30</v>
      </c>
      <c r="I34" s="83">
        <f ca="1">IFERROR(__xludf.DUMMYFUNCTION("""COMPUTED_VALUE"""),24)</f>
        <v>24</v>
      </c>
    </row>
    <row r="35" spans="1:9">
      <c r="A35" s="79">
        <v>202</v>
      </c>
      <c r="B35" s="79">
        <v>2</v>
      </c>
      <c r="C35" s="79">
        <v>204</v>
      </c>
      <c r="D35" s="80">
        <v>43314.1565162037</v>
      </c>
      <c r="E35" s="81">
        <f t="shared" ca="1" si="0"/>
        <v>43313</v>
      </c>
      <c r="F35" s="82">
        <f ca="1">IFERROR(__xludf.DUMMYFUNCTION("""COMPUTED_VALUE"""),0.156516203703703)</f>
        <v>0.15651620370370301</v>
      </c>
      <c r="G35" s="83">
        <f t="shared" ca="1" si="1"/>
        <v>19</v>
      </c>
      <c r="H35" s="83">
        <f ca="1">IFERROR(__xludf.DUMMYFUNCTION("""COMPUTED_VALUE"""),45)</f>
        <v>45</v>
      </c>
      <c r="I35" s="83">
        <f ca="1">IFERROR(__xludf.DUMMYFUNCTION("""COMPUTED_VALUE"""),23)</f>
        <v>23</v>
      </c>
    </row>
    <row r="36" spans="1:9">
      <c r="A36" s="79">
        <v>202</v>
      </c>
      <c r="B36" s="79">
        <v>1</v>
      </c>
      <c r="C36" s="79">
        <v>197</v>
      </c>
      <c r="D36" s="80">
        <v>43314.166979166665</v>
      </c>
      <c r="E36" s="81">
        <f t="shared" ca="1" si="0"/>
        <v>43313</v>
      </c>
      <c r="F36" s="82">
        <f ca="1">IFERROR(__xludf.DUMMYFUNCTION("""COMPUTED_VALUE"""),0.166979166666666)</f>
        <v>0.16697916666666601</v>
      </c>
      <c r="G36" s="83">
        <f t="shared" ca="1" si="1"/>
        <v>19</v>
      </c>
      <c r="H36" s="83">
        <f ca="1">IFERROR(__xludf.DUMMYFUNCTION("""COMPUTED_VALUE"""),0)</f>
        <v>0</v>
      </c>
      <c r="I36" s="83">
        <f ca="1">IFERROR(__xludf.DUMMYFUNCTION("""COMPUTED_VALUE"""),27)</f>
        <v>27</v>
      </c>
    </row>
    <row r="37" spans="1:9">
      <c r="A37" s="79">
        <v>68</v>
      </c>
      <c r="B37" s="79">
        <v>0</v>
      </c>
      <c r="C37" s="79">
        <v>68</v>
      </c>
      <c r="D37" s="80">
        <v>43314.177349537036</v>
      </c>
      <c r="E37" s="81">
        <f t="shared" ca="1" si="0"/>
        <v>43313</v>
      </c>
      <c r="F37" s="82">
        <f ca="1">IFERROR(__xludf.DUMMYFUNCTION("""COMPUTED_VALUE"""),0.177349537037037)</f>
        <v>0.17734953703703699</v>
      </c>
      <c r="G37" s="83">
        <f t="shared" ca="1" si="1"/>
        <v>19</v>
      </c>
      <c r="H37" s="83">
        <f ca="1">IFERROR(__xludf.DUMMYFUNCTION("""COMPUTED_VALUE"""),15)</f>
        <v>15</v>
      </c>
      <c r="I37" s="83">
        <f ca="1">IFERROR(__xludf.DUMMYFUNCTION("""COMPUTED_VALUE"""),23)</f>
        <v>23</v>
      </c>
    </row>
    <row r="38" spans="1:9">
      <c r="A38" s="79">
        <v>43</v>
      </c>
      <c r="B38" s="79">
        <v>0</v>
      </c>
      <c r="C38" s="79">
        <v>42</v>
      </c>
      <c r="D38" s="80">
        <v>43314.187777777777</v>
      </c>
      <c r="E38" s="81">
        <f t="shared" ca="1" si="0"/>
        <v>43313</v>
      </c>
      <c r="F38" s="82">
        <f ca="1">IFERROR(__xludf.DUMMYFUNCTION("""COMPUTED_VALUE"""),0.187777777777777)</f>
        <v>0.18777777777777699</v>
      </c>
      <c r="G38" s="83">
        <f t="shared" ca="1" si="1"/>
        <v>19</v>
      </c>
      <c r="H38" s="83">
        <f ca="1">IFERROR(__xludf.DUMMYFUNCTION("""COMPUTED_VALUE"""),30)</f>
        <v>30</v>
      </c>
      <c r="I38" s="83">
        <f ca="1">IFERROR(__xludf.DUMMYFUNCTION("""COMPUTED_VALUE"""),24)</f>
        <v>24</v>
      </c>
    </row>
    <row r="39" spans="1:9">
      <c r="A39" s="79">
        <v>34</v>
      </c>
      <c r="B39" s="79">
        <v>0</v>
      </c>
      <c r="C39" s="79">
        <v>34</v>
      </c>
      <c r="D39" s="80">
        <v>43314.198182870372</v>
      </c>
      <c r="E39" s="81">
        <f t="shared" ca="1" si="0"/>
        <v>43313</v>
      </c>
      <c r="F39" s="82">
        <f ca="1">IFERROR(__xludf.DUMMYFUNCTION("""COMPUTED_VALUE"""),0.19818287037037)</f>
        <v>0.19818287037037</v>
      </c>
      <c r="G39" s="83">
        <f t="shared" ca="1" si="1"/>
        <v>19</v>
      </c>
      <c r="H39" s="83">
        <f ca="1">IFERROR(__xludf.DUMMYFUNCTION("""COMPUTED_VALUE"""),45)</f>
        <v>45</v>
      </c>
      <c r="I39" s="83">
        <f ca="1">IFERROR(__xludf.DUMMYFUNCTION("""COMPUTED_VALUE"""),23)</f>
        <v>23</v>
      </c>
    </row>
    <row r="40" spans="1:9">
      <c r="A40" s="79">
        <v>32</v>
      </c>
      <c r="B40" s="79">
        <v>0</v>
      </c>
      <c r="C40" s="79">
        <v>32</v>
      </c>
      <c r="D40" s="80">
        <v>43314.208634259259</v>
      </c>
      <c r="E40" s="81">
        <f t="shared" ca="1" si="0"/>
        <v>43313</v>
      </c>
      <c r="F40" s="82">
        <f ca="1">IFERROR(__xludf.DUMMYFUNCTION("""COMPUTED_VALUE"""),0.208634259259259)</f>
        <v>0.20863425925925899</v>
      </c>
      <c r="G40" s="83">
        <f t="shared" ca="1" si="1"/>
        <v>19</v>
      </c>
      <c r="H40" s="83">
        <f ca="1">IFERROR(__xludf.DUMMYFUNCTION("""COMPUTED_VALUE"""),0)</f>
        <v>0</v>
      </c>
      <c r="I40" s="83">
        <f ca="1">IFERROR(__xludf.DUMMYFUNCTION("""COMPUTED_VALUE"""),26)</f>
        <v>26</v>
      </c>
    </row>
    <row r="41" spans="1:9">
      <c r="A41" s="79">
        <v>29</v>
      </c>
      <c r="B41" s="79">
        <v>0</v>
      </c>
      <c r="C41" s="79">
        <v>29</v>
      </c>
      <c r="D41" s="80">
        <v>43314.2190162037</v>
      </c>
      <c r="E41" s="81">
        <f t="shared" ca="1" si="0"/>
        <v>43313</v>
      </c>
      <c r="F41" s="82">
        <f ca="1">IFERROR(__xludf.DUMMYFUNCTION("""COMPUTED_VALUE"""),0.219016203703703)</f>
        <v>0.21901620370370301</v>
      </c>
      <c r="G41" s="83">
        <f t="shared" ca="1" si="1"/>
        <v>19</v>
      </c>
      <c r="H41" s="83">
        <f ca="1">IFERROR(__xludf.DUMMYFUNCTION("""COMPUTED_VALUE"""),15)</f>
        <v>15</v>
      </c>
      <c r="I41" s="83">
        <f ca="1">IFERROR(__xludf.DUMMYFUNCTION("""COMPUTED_VALUE"""),23)</f>
        <v>23</v>
      </c>
    </row>
    <row r="42" spans="1:9">
      <c r="A42" s="79">
        <v>38</v>
      </c>
      <c r="B42" s="79">
        <v>0</v>
      </c>
      <c r="C42" s="79">
        <v>29</v>
      </c>
      <c r="D42" s="80">
        <v>43314.229432870372</v>
      </c>
      <c r="E42" s="81">
        <f t="shared" ca="1" si="0"/>
        <v>43313</v>
      </c>
      <c r="F42" s="82">
        <f ca="1">IFERROR(__xludf.DUMMYFUNCTION("""COMPUTED_VALUE"""),0.22943287037037)</f>
        <v>0.22943287037037</v>
      </c>
      <c r="G42" s="83">
        <f t="shared" ca="1" si="1"/>
        <v>19</v>
      </c>
      <c r="H42" s="83">
        <f ca="1">IFERROR(__xludf.DUMMYFUNCTION("""COMPUTED_VALUE"""),30)</f>
        <v>30</v>
      </c>
      <c r="I42" s="83">
        <f ca="1">IFERROR(__xludf.DUMMYFUNCTION("""COMPUTED_VALUE"""),23)</f>
        <v>23</v>
      </c>
    </row>
    <row r="43" spans="1:9">
      <c r="A43" s="79">
        <v>26</v>
      </c>
      <c r="B43" s="79">
        <v>0</v>
      </c>
      <c r="C43" s="79">
        <v>26</v>
      </c>
      <c r="D43" s="80">
        <v>43314.239849537036</v>
      </c>
      <c r="E43" s="81">
        <f t="shared" ca="1" si="0"/>
        <v>43313</v>
      </c>
      <c r="F43" s="82">
        <f ca="1">IFERROR(__xludf.DUMMYFUNCTION("""COMPUTED_VALUE"""),0.239849537037037)</f>
        <v>0.23984953703703699</v>
      </c>
      <c r="G43" s="83">
        <f t="shared" ca="1" si="1"/>
        <v>19</v>
      </c>
      <c r="H43" s="83">
        <f ca="1">IFERROR(__xludf.DUMMYFUNCTION("""COMPUTED_VALUE"""),45)</f>
        <v>45</v>
      </c>
      <c r="I43" s="83">
        <f ca="1">IFERROR(__xludf.DUMMYFUNCTION("""COMPUTED_VALUE"""),23)</f>
        <v>23</v>
      </c>
    </row>
    <row r="44" spans="1:9">
      <c r="A44" s="79">
        <v>26</v>
      </c>
      <c r="B44" s="79">
        <v>0</v>
      </c>
      <c r="C44" s="79">
        <v>26</v>
      </c>
      <c r="D44" s="80">
        <v>43314.250289351854</v>
      </c>
      <c r="E44" s="81">
        <f t="shared" ca="1" si="0"/>
        <v>43313</v>
      </c>
      <c r="F44" s="82">
        <f ca="1">IFERROR(__xludf.DUMMYFUNCTION("""COMPUTED_VALUE"""),0.250289351851851)</f>
        <v>0.25028935185185103</v>
      </c>
      <c r="G44" s="83">
        <f t="shared" ca="1" si="1"/>
        <v>19</v>
      </c>
      <c r="H44" s="83">
        <f ca="1">IFERROR(__xludf.DUMMYFUNCTION("""COMPUTED_VALUE"""),0)</f>
        <v>0</v>
      </c>
      <c r="I44" s="83">
        <f ca="1">IFERROR(__xludf.DUMMYFUNCTION("""COMPUTED_VALUE"""),25)</f>
        <v>25</v>
      </c>
    </row>
    <row r="45" spans="1:9">
      <c r="A45" s="79">
        <v>24</v>
      </c>
      <c r="B45" s="79">
        <v>0</v>
      </c>
      <c r="C45" s="79">
        <v>24</v>
      </c>
      <c r="D45" s="80">
        <v>43314.260682870372</v>
      </c>
      <c r="E45" s="81">
        <f t="shared" ca="1" si="0"/>
        <v>43313</v>
      </c>
      <c r="F45" s="82">
        <f ca="1">IFERROR(__xludf.DUMMYFUNCTION("""COMPUTED_VALUE"""),0.26068287037037)</f>
        <v>0.26068287037037002</v>
      </c>
      <c r="G45" s="83">
        <f t="shared" ca="1" si="1"/>
        <v>19</v>
      </c>
      <c r="H45" s="83">
        <f ca="1">IFERROR(__xludf.DUMMYFUNCTION("""COMPUTED_VALUE"""),15)</f>
        <v>15</v>
      </c>
      <c r="I45" s="83">
        <f ca="1">IFERROR(__xludf.DUMMYFUNCTION("""COMPUTED_VALUE"""),23)</f>
        <v>23</v>
      </c>
    </row>
    <row r="46" spans="1:9">
      <c r="A46" s="79">
        <v>22</v>
      </c>
      <c r="B46" s="79">
        <v>0</v>
      </c>
      <c r="C46" s="79">
        <v>22</v>
      </c>
      <c r="D46" s="80">
        <v>43314.27375</v>
      </c>
      <c r="E46" s="81">
        <f t="shared" ca="1" si="0"/>
        <v>43313</v>
      </c>
      <c r="F46" s="82">
        <f ca="1">IFERROR(__xludf.DUMMYFUNCTION("""COMPUTED_VALUE"""),0.27375)</f>
        <v>0.27374999999999999</v>
      </c>
      <c r="G46" s="83">
        <f t="shared" ca="1" si="1"/>
        <v>19</v>
      </c>
      <c r="H46" s="83">
        <f ca="1">IFERROR(__xludf.DUMMYFUNCTION("""COMPUTED_VALUE"""),34)</f>
        <v>34</v>
      </c>
      <c r="I46" s="83">
        <f ca="1">IFERROR(__xludf.DUMMYFUNCTION("""COMPUTED_VALUE"""),12)</f>
        <v>12</v>
      </c>
    </row>
    <row r="47" spans="1:9">
      <c r="A47" s="79">
        <v>21</v>
      </c>
      <c r="B47" s="79">
        <v>0</v>
      </c>
      <c r="C47" s="79">
        <v>21</v>
      </c>
      <c r="D47" s="80">
        <v>43314.2815162037</v>
      </c>
      <c r="E47" s="81">
        <f t="shared" ca="1" si="0"/>
        <v>43313</v>
      </c>
      <c r="F47" s="82">
        <f ca="1">IFERROR(__xludf.DUMMYFUNCTION("""COMPUTED_VALUE"""),0.281516203703703)</f>
        <v>0.28151620370370301</v>
      </c>
      <c r="G47" s="83">
        <f t="shared" ca="1" si="1"/>
        <v>19</v>
      </c>
      <c r="H47" s="83">
        <f ca="1">IFERROR(__xludf.DUMMYFUNCTION("""COMPUTED_VALUE"""),45)</f>
        <v>45</v>
      </c>
      <c r="I47" s="83">
        <f ca="1">IFERROR(__xludf.DUMMYFUNCTION("""COMPUTED_VALUE"""),23)</f>
        <v>23</v>
      </c>
    </row>
    <row r="48" spans="1:9">
      <c r="A48" s="79">
        <v>30</v>
      </c>
      <c r="B48" s="79">
        <v>0</v>
      </c>
      <c r="C48" s="79">
        <v>30</v>
      </c>
      <c r="D48" s="80">
        <v>43314.291956018518</v>
      </c>
      <c r="E48" s="81">
        <f t="shared" ca="1" si="0"/>
        <v>43313</v>
      </c>
      <c r="F48" s="82">
        <f ca="1">IFERROR(__xludf.DUMMYFUNCTION("""COMPUTED_VALUE"""),0.291956018518518)</f>
        <v>0.29195601851851799</v>
      </c>
      <c r="G48" s="83">
        <f t="shared" ca="1" si="1"/>
        <v>19</v>
      </c>
      <c r="H48" s="83">
        <f ca="1">IFERROR(__xludf.DUMMYFUNCTION("""COMPUTED_VALUE"""),0)</f>
        <v>0</v>
      </c>
      <c r="I48" s="83">
        <f ca="1">IFERROR(__xludf.DUMMYFUNCTION("""COMPUTED_VALUE"""),25)</f>
        <v>25</v>
      </c>
    </row>
    <row r="49" spans="1:9">
      <c r="A49" s="79">
        <v>63</v>
      </c>
      <c r="B49" s="79">
        <v>0</v>
      </c>
      <c r="C49" s="79">
        <v>54</v>
      </c>
      <c r="D49" s="80">
        <v>43314.302361111113</v>
      </c>
      <c r="E49" s="81">
        <f t="shared" ca="1" si="0"/>
        <v>43313</v>
      </c>
      <c r="F49" s="82">
        <f ca="1">IFERROR(__xludf.DUMMYFUNCTION("""COMPUTED_VALUE"""),0.302361111111111)</f>
        <v>0.30236111111111103</v>
      </c>
      <c r="G49" s="83">
        <f t="shared" ca="1" si="1"/>
        <v>19</v>
      </c>
      <c r="H49" s="83">
        <f ca="1">IFERROR(__xludf.DUMMYFUNCTION("""COMPUTED_VALUE"""),15)</f>
        <v>15</v>
      </c>
      <c r="I49" s="83">
        <f ca="1">IFERROR(__xludf.DUMMYFUNCTION("""COMPUTED_VALUE"""),24)</f>
        <v>24</v>
      </c>
    </row>
    <row r="50" spans="1:9">
      <c r="A50" s="79">
        <v>52</v>
      </c>
      <c r="B50" s="79">
        <v>0</v>
      </c>
      <c r="C50" s="79">
        <v>52</v>
      </c>
      <c r="D50" s="80">
        <v>43314.312777777777</v>
      </c>
      <c r="E50" s="81">
        <f t="shared" ca="1" si="0"/>
        <v>43313</v>
      </c>
      <c r="F50" s="82">
        <f ca="1">IFERROR(__xludf.DUMMYFUNCTION("""COMPUTED_VALUE"""),0.312777777777777)</f>
        <v>0.31277777777777699</v>
      </c>
      <c r="G50" s="83">
        <f t="shared" ca="1" si="1"/>
        <v>19</v>
      </c>
      <c r="H50" s="83">
        <f ca="1">IFERROR(__xludf.DUMMYFUNCTION("""COMPUTED_VALUE"""),30)</f>
        <v>30</v>
      </c>
      <c r="I50" s="83">
        <f ca="1">IFERROR(__xludf.DUMMYFUNCTION("""COMPUTED_VALUE"""),24)</f>
        <v>24</v>
      </c>
    </row>
    <row r="51" spans="1:9">
      <c r="A51" s="79">
        <v>73</v>
      </c>
      <c r="B51" s="79">
        <v>0</v>
      </c>
      <c r="C51" s="79">
        <v>73</v>
      </c>
      <c r="D51" s="80">
        <v>43314.323194444441</v>
      </c>
      <c r="E51" s="81">
        <f t="shared" ca="1" si="0"/>
        <v>43313</v>
      </c>
      <c r="F51" s="82">
        <f ca="1">IFERROR(__xludf.DUMMYFUNCTION("""COMPUTED_VALUE"""),0.323194444444444)</f>
        <v>0.32319444444444401</v>
      </c>
      <c r="G51" s="83">
        <f t="shared" ca="1" si="1"/>
        <v>19</v>
      </c>
      <c r="H51" s="83">
        <f ca="1">IFERROR(__xludf.DUMMYFUNCTION("""COMPUTED_VALUE"""),45)</f>
        <v>45</v>
      </c>
      <c r="I51" s="83">
        <f ca="1">IFERROR(__xludf.DUMMYFUNCTION("""COMPUTED_VALUE"""),24)</f>
        <v>24</v>
      </c>
    </row>
    <row r="52" spans="1:9">
      <c r="A52" s="79">
        <v>69</v>
      </c>
      <c r="B52" s="79">
        <v>0</v>
      </c>
      <c r="C52" s="79">
        <v>69</v>
      </c>
      <c r="D52" s="80">
        <v>43314.333622685182</v>
      </c>
      <c r="E52" s="81">
        <f t="shared" ca="1" si="0"/>
        <v>43313</v>
      </c>
      <c r="F52" s="82">
        <f ca="1">IFERROR(__xludf.DUMMYFUNCTION("""COMPUTED_VALUE"""),0.333622685185185)</f>
        <v>0.33362268518518501</v>
      </c>
      <c r="G52" s="83">
        <f t="shared" ca="1" si="1"/>
        <v>19</v>
      </c>
      <c r="H52" s="83">
        <f ca="1">IFERROR(__xludf.DUMMYFUNCTION("""COMPUTED_VALUE"""),0)</f>
        <v>0</v>
      </c>
      <c r="I52" s="83">
        <f ca="1">IFERROR(__xludf.DUMMYFUNCTION("""COMPUTED_VALUE"""),25)</f>
        <v>25</v>
      </c>
    </row>
    <row r="53" spans="1:9">
      <c r="A53" s="79">
        <v>76</v>
      </c>
      <c r="B53" s="79">
        <v>1</v>
      </c>
      <c r="C53" s="79">
        <v>77</v>
      </c>
      <c r="D53" s="80">
        <v>43314.344027777777</v>
      </c>
      <c r="E53" s="81">
        <f t="shared" ca="1" si="0"/>
        <v>43313</v>
      </c>
      <c r="F53" s="82">
        <f ca="1">IFERROR(__xludf.DUMMYFUNCTION("""COMPUTED_VALUE"""),0.344027777777777)</f>
        <v>0.34402777777777699</v>
      </c>
      <c r="G53" s="83">
        <f t="shared" ca="1" si="1"/>
        <v>19</v>
      </c>
      <c r="H53" s="83">
        <f ca="1">IFERROR(__xludf.DUMMYFUNCTION("""COMPUTED_VALUE"""),15)</f>
        <v>15</v>
      </c>
      <c r="I53" s="83">
        <f ca="1">IFERROR(__xludf.DUMMYFUNCTION("""COMPUTED_VALUE"""),24)</f>
        <v>24</v>
      </c>
    </row>
    <row r="54" spans="1:9">
      <c r="A54" s="79">
        <v>128</v>
      </c>
      <c r="B54" s="79">
        <v>1</v>
      </c>
      <c r="C54" s="79">
        <v>127</v>
      </c>
      <c r="D54" s="80">
        <v>43314.354444444441</v>
      </c>
      <c r="E54" s="81">
        <f t="shared" ca="1" si="0"/>
        <v>43313</v>
      </c>
      <c r="F54" s="82">
        <f ca="1">IFERROR(__xludf.DUMMYFUNCTION("""COMPUTED_VALUE"""),0.354444444444444)</f>
        <v>0.35444444444444401</v>
      </c>
      <c r="G54" s="83">
        <f t="shared" ca="1" si="1"/>
        <v>19</v>
      </c>
      <c r="H54" s="83">
        <f ca="1">IFERROR(__xludf.DUMMYFUNCTION("""COMPUTED_VALUE"""),30)</f>
        <v>30</v>
      </c>
      <c r="I54" s="83">
        <f ca="1">IFERROR(__xludf.DUMMYFUNCTION("""COMPUTED_VALUE"""),24)</f>
        <v>24</v>
      </c>
    </row>
    <row r="55" spans="1:9">
      <c r="A55" s="79">
        <v>218</v>
      </c>
      <c r="B55" s="79">
        <v>1</v>
      </c>
      <c r="C55" s="79">
        <v>219</v>
      </c>
      <c r="D55" s="80">
        <v>43314.364872685182</v>
      </c>
      <c r="E55" s="81">
        <f t="shared" ca="1" si="0"/>
        <v>43313</v>
      </c>
      <c r="F55" s="82">
        <f ca="1">IFERROR(__xludf.DUMMYFUNCTION("""COMPUTED_VALUE"""),0.364872685185185)</f>
        <v>0.36487268518518501</v>
      </c>
      <c r="G55" s="83">
        <f t="shared" ca="1" si="1"/>
        <v>19</v>
      </c>
      <c r="H55" s="83">
        <f ca="1">IFERROR(__xludf.DUMMYFUNCTION("""COMPUTED_VALUE"""),45)</f>
        <v>45</v>
      </c>
      <c r="I55" s="83">
        <f ca="1">IFERROR(__xludf.DUMMYFUNCTION("""COMPUTED_VALUE"""),25)</f>
        <v>25</v>
      </c>
    </row>
    <row r="56" spans="1:9">
      <c r="A56" s="79">
        <v>181</v>
      </c>
      <c r="B56" s="79">
        <v>0</v>
      </c>
      <c r="C56" s="79">
        <v>181</v>
      </c>
      <c r="D56" s="80">
        <v>43314.375289351854</v>
      </c>
      <c r="E56" s="81">
        <f t="shared" ca="1" si="0"/>
        <v>43313</v>
      </c>
      <c r="F56" s="82">
        <f ca="1">IFERROR(__xludf.DUMMYFUNCTION("""COMPUTED_VALUE"""),0.375289351851851)</f>
        <v>0.37528935185185103</v>
      </c>
      <c r="G56" s="83">
        <f t="shared" ca="1" si="1"/>
        <v>19</v>
      </c>
      <c r="H56" s="83">
        <f ca="1">IFERROR(__xludf.DUMMYFUNCTION("""COMPUTED_VALUE"""),0)</f>
        <v>0</v>
      </c>
      <c r="I56" s="83">
        <f ca="1">IFERROR(__xludf.DUMMYFUNCTION("""COMPUTED_VALUE"""),25)</f>
        <v>25</v>
      </c>
    </row>
    <row r="57" spans="1:9">
      <c r="A57" s="79">
        <v>264</v>
      </c>
      <c r="B57" s="79">
        <v>1</v>
      </c>
      <c r="C57" s="79">
        <v>265</v>
      </c>
      <c r="D57" s="80">
        <v>43314.385694444441</v>
      </c>
      <c r="E57" s="81">
        <f t="shared" ca="1" si="0"/>
        <v>43313</v>
      </c>
      <c r="F57" s="82">
        <f ca="1">IFERROR(__xludf.DUMMYFUNCTION("""COMPUTED_VALUE"""),0.385694444444444)</f>
        <v>0.38569444444444401</v>
      </c>
      <c r="G57" s="83">
        <f t="shared" ca="1" si="1"/>
        <v>19</v>
      </c>
      <c r="H57" s="83">
        <f ca="1">IFERROR(__xludf.DUMMYFUNCTION("""COMPUTED_VALUE"""),15)</f>
        <v>15</v>
      </c>
      <c r="I57" s="83">
        <f ca="1">IFERROR(__xludf.DUMMYFUNCTION("""COMPUTED_VALUE"""),24)</f>
        <v>24</v>
      </c>
    </row>
    <row r="58" spans="1:9">
      <c r="A58" s="79">
        <v>404</v>
      </c>
      <c r="B58" s="79">
        <v>4</v>
      </c>
      <c r="C58" s="79">
        <v>408</v>
      </c>
      <c r="D58" s="80">
        <v>43314.396122685182</v>
      </c>
      <c r="E58" s="81">
        <f t="shared" ca="1" si="0"/>
        <v>43313</v>
      </c>
      <c r="F58" s="82">
        <f ca="1">IFERROR(__xludf.DUMMYFUNCTION("""COMPUTED_VALUE"""),0.396122685185185)</f>
        <v>0.39612268518518501</v>
      </c>
      <c r="G58" s="83">
        <f t="shared" ca="1" si="1"/>
        <v>19</v>
      </c>
      <c r="H58" s="83">
        <f ca="1">IFERROR(__xludf.DUMMYFUNCTION("""COMPUTED_VALUE"""),30)</f>
        <v>30</v>
      </c>
      <c r="I58" s="83">
        <f ca="1">IFERROR(__xludf.DUMMYFUNCTION("""COMPUTED_VALUE"""),25)</f>
        <v>25</v>
      </c>
    </row>
    <row r="59" spans="1:9">
      <c r="A59" s="79">
        <v>711</v>
      </c>
      <c r="B59" s="79">
        <v>6</v>
      </c>
      <c r="C59" s="79">
        <v>710</v>
      </c>
      <c r="D59" s="80">
        <v>43314.406527777777</v>
      </c>
      <c r="E59" s="81">
        <f t="shared" ca="1" si="0"/>
        <v>43313</v>
      </c>
      <c r="F59" s="82">
        <f ca="1">IFERROR(__xludf.DUMMYFUNCTION("""COMPUTED_VALUE"""),0.406527777777777)</f>
        <v>0.40652777777777699</v>
      </c>
      <c r="G59" s="83">
        <f t="shared" ca="1" si="1"/>
        <v>19</v>
      </c>
      <c r="H59" s="83">
        <f ca="1">IFERROR(__xludf.DUMMYFUNCTION("""COMPUTED_VALUE"""),45)</f>
        <v>45</v>
      </c>
      <c r="I59" s="83">
        <f ca="1">IFERROR(__xludf.DUMMYFUNCTION("""COMPUTED_VALUE"""),24)</f>
        <v>24</v>
      </c>
    </row>
    <row r="60" spans="1:9">
      <c r="A60" s="79">
        <v>654</v>
      </c>
      <c r="B60" s="79">
        <v>9</v>
      </c>
      <c r="C60" s="79">
        <v>663</v>
      </c>
      <c r="D60" s="80">
        <v>43314.416944444441</v>
      </c>
      <c r="E60" s="81">
        <f t="shared" ca="1" si="0"/>
        <v>43313</v>
      </c>
      <c r="F60" s="82">
        <f ca="1">IFERROR(__xludf.DUMMYFUNCTION("""COMPUTED_VALUE"""),0.416944444444444)</f>
        <v>0.41694444444444401</v>
      </c>
      <c r="G60" s="83">
        <f t="shared" ca="1" si="1"/>
        <v>19</v>
      </c>
      <c r="H60" s="83">
        <f ca="1">IFERROR(__xludf.DUMMYFUNCTION("""COMPUTED_VALUE"""),0)</f>
        <v>0</v>
      </c>
      <c r="I60" s="83">
        <f ca="1">IFERROR(__xludf.DUMMYFUNCTION("""COMPUTED_VALUE"""),24)</f>
        <v>24</v>
      </c>
    </row>
    <row r="61" spans="1:9">
      <c r="A61" s="79">
        <v>635</v>
      </c>
      <c r="B61" s="79">
        <v>9</v>
      </c>
      <c r="C61" s="79">
        <v>644</v>
      </c>
      <c r="D61" s="80">
        <v>43314.427361111113</v>
      </c>
      <c r="E61" s="81">
        <f t="shared" ca="1" si="0"/>
        <v>43313</v>
      </c>
      <c r="F61" s="82">
        <f ca="1">IFERROR(__xludf.DUMMYFUNCTION("""COMPUTED_VALUE"""),0.427361111111111)</f>
        <v>0.42736111111111103</v>
      </c>
      <c r="G61" s="83">
        <f t="shared" ca="1" si="1"/>
        <v>19</v>
      </c>
      <c r="H61" s="83">
        <f ca="1">IFERROR(__xludf.DUMMYFUNCTION("""COMPUTED_VALUE"""),15)</f>
        <v>15</v>
      </c>
      <c r="I61" s="83">
        <f ca="1">IFERROR(__xludf.DUMMYFUNCTION("""COMPUTED_VALUE"""),24)</f>
        <v>24</v>
      </c>
    </row>
    <row r="62" spans="1:9">
      <c r="A62" s="79">
        <v>640</v>
      </c>
      <c r="B62" s="79">
        <v>9</v>
      </c>
      <c r="C62" s="79">
        <v>649</v>
      </c>
      <c r="D62" s="80">
        <v>43314.437777777777</v>
      </c>
      <c r="E62" s="81">
        <f t="shared" ca="1" si="0"/>
        <v>43313</v>
      </c>
      <c r="F62" s="82">
        <f ca="1">IFERROR(__xludf.DUMMYFUNCTION("""COMPUTED_VALUE"""),0.437777777777777)</f>
        <v>0.43777777777777699</v>
      </c>
      <c r="G62" s="83">
        <f t="shared" ca="1" si="1"/>
        <v>19</v>
      </c>
      <c r="H62" s="83">
        <f ca="1">IFERROR(__xludf.DUMMYFUNCTION("""COMPUTED_VALUE"""),30)</f>
        <v>30</v>
      </c>
      <c r="I62" s="83">
        <f ca="1">IFERROR(__xludf.DUMMYFUNCTION("""COMPUTED_VALUE"""),24)</f>
        <v>24</v>
      </c>
    </row>
    <row r="63" spans="1:9">
      <c r="A63" s="79">
        <v>783</v>
      </c>
      <c r="B63" s="79">
        <v>19</v>
      </c>
      <c r="C63" s="79">
        <v>802</v>
      </c>
      <c r="D63" s="80">
        <v>43314.448194444441</v>
      </c>
      <c r="E63" s="81">
        <f t="shared" ca="1" si="0"/>
        <v>43313</v>
      </c>
      <c r="F63" s="82">
        <f ca="1">IFERROR(__xludf.DUMMYFUNCTION("""COMPUTED_VALUE"""),0.448194444444444)</f>
        <v>0.44819444444444401</v>
      </c>
      <c r="G63" s="83">
        <f t="shared" ca="1" si="1"/>
        <v>19</v>
      </c>
      <c r="H63" s="83">
        <f ca="1">IFERROR(__xludf.DUMMYFUNCTION("""COMPUTED_VALUE"""),45)</f>
        <v>45</v>
      </c>
      <c r="I63" s="83">
        <f ca="1">IFERROR(__xludf.DUMMYFUNCTION("""COMPUTED_VALUE"""),24)</f>
        <v>24</v>
      </c>
    </row>
    <row r="64" spans="1:9">
      <c r="A64" s="79">
        <v>606</v>
      </c>
      <c r="B64" s="79">
        <v>18</v>
      </c>
      <c r="C64" s="79">
        <v>624</v>
      </c>
      <c r="D64" s="80">
        <v>43314.458611111113</v>
      </c>
      <c r="E64" s="81">
        <f t="shared" ca="1" si="0"/>
        <v>43313</v>
      </c>
      <c r="F64" s="82">
        <f ca="1">IFERROR(__xludf.DUMMYFUNCTION("""COMPUTED_VALUE"""),0.458611111111111)</f>
        <v>0.45861111111111103</v>
      </c>
      <c r="G64" s="83">
        <f t="shared" ca="1" si="1"/>
        <v>19</v>
      </c>
      <c r="H64" s="83">
        <f ca="1">IFERROR(__xludf.DUMMYFUNCTION("""COMPUTED_VALUE"""),0)</f>
        <v>0</v>
      </c>
      <c r="I64" s="83">
        <f ca="1">IFERROR(__xludf.DUMMYFUNCTION("""COMPUTED_VALUE"""),24)</f>
        <v>24</v>
      </c>
    </row>
    <row r="65" spans="1:9">
      <c r="A65" s="79">
        <v>452</v>
      </c>
      <c r="B65" s="79">
        <v>12</v>
      </c>
      <c r="C65" s="79">
        <v>464</v>
      </c>
      <c r="D65" s="80">
        <v>43314.469027777777</v>
      </c>
      <c r="E65" s="81">
        <f t="shared" ca="1" si="0"/>
        <v>43313</v>
      </c>
      <c r="F65" s="82">
        <f ca="1">IFERROR(__xludf.DUMMYFUNCTION("""COMPUTED_VALUE"""),0.469027777777777)</f>
        <v>0.46902777777777699</v>
      </c>
      <c r="G65" s="83">
        <f t="shared" ca="1" si="1"/>
        <v>19</v>
      </c>
      <c r="H65" s="83">
        <f ca="1">IFERROR(__xludf.DUMMYFUNCTION("""COMPUTED_VALUE"""),15)</f>
        <v>15</v>
      </c>
      <c r="I65" s="83">
        <f ca="1">IFERROR(__xludf.DUMMYFUNCTION("""COMPUTED_VALUE"""),24)</f>
        <v>24</v>
      </c>
    </row>
    <row r="66" spans="1:9">
      <c r="A66" s="79">
        <v>421</v>
      </c>
      <c r="B66" s="79">
        <v>10</v>
      </c>
      <c r="C66" s="79">
        <v>431</v>
      </c>
      <c r="D66" s="80">
        <v>43314.479444444441</v>
      </c>
      <c r="E66" s="81">
        <f t="shared" ca="1" si="0"/>
        <v>43313</v>
      </c>
      <c r="F66" s="82">
        <f ca="1">IFERROR(__xludf.DUMMYFUNCTION("""COMPUTED_VALUE"""),0.479444444444444)</f>
        <v>0.47944444444444401</v>
      </c>
      <c r="G66" s="83">
        <f t="shared" ca="1" si="1"/>
        <v>19</v>
      </c>
      <c r="H66" s="83">
        <f ca="1">IFERROR(__xludf.DUMMYFUNCTION("""COMPUTED_VALUE"""),30)</f>
        <v>30</v>
      </c>
      <c r="I66" s="83">
        <f ca="1">IFERROR(__xludf.DUMMYFUNCTION("""COMPUTED_VALUE"""),24)</f>
        <v>24</v>
      </c>
    </row>
    <row r="67" spans="1:9">
      <c r="A67" s="79">
        <v>429</v>
      </c>
      <c r="B67" s="79">
        <v>1</v>
      </c>
      <c r="C67" s="79">
        <v>430</v>
      </c>
      <c r="D67" s="80">
        <v>43314.489861111113</v>
      </c>
      <c r="E67" s="81">
        <f t="shared" ca="1" si="0"/>
        <v>43313</v>
      </c>
      <c r="F67" s="82">
        <f ca="1">IFERROR(__xludf.DUMMYFUNCTION("""COMPUTED_VALUE"""),0.489861111111111)</f>
        <v>0.48986111111111103</v>
      </c>
      <c r="G67" s="83">
        <f t="shared" ca="1" si="1"/>
        <v>19</v>
      </c>
      <c r="H67" s="83">
        <f ca="1">IFERROR(__xludf.DUMMYFUNCTION("""COMPUTED_VALUE"""),45)</f>
        <v>45</v>
      </c>
      <c r="I67" s="83">
        <f ca="1">IFERROR(__xludf.DUMMYFUNCTION("""COMPUTED_VALUE"""),24)</f>
        <v>24</v>
      </c>
    </row>
    <row r="68" spans="1:9">
      <c r="A68" s="79">
        <v>319</v>
      </c>
      <c r="B68" s="79">
        <v>3</v>
      </c>
      <c r="C68" s="79">
        <v>322</v>
      </c>
      <c r="D68" s="80">
        <v>43314.500277777777</v>
      </c>
      <c r="E68" s="81">
        <f t="shared" ca="1" si="0"/>
        <v>43313</v>
      </c>
      <c r="F68" s="82">
        <f ca="1">IFERROR(__xludf.DUMMYFUNCTION("""COMPUTED_VALUE"""),0.500277777777777)</f>
        <v>0.50027777777777704</v>
      </c>
      <c r="G68" s="83">
        <f t="shared" ca="1" si="1"/>
        <v>19</v>
      </c>
      <c r="H68" s="83">
        <f ca="1">IFERROR(__xludf.DUMMYFUNCTION("""COMPUTED_VALUE"""),0)</f>
        <v>0</v>
      </c>
      <c r="I68" s="83">
        <f ca="1">IFERROR(__xludf.DUMMYFUNCTION("""COMPUTED_VALUE"""),24)</f>
        <v>24</v>
      </c>
    </row>
    <row r="69" spans="1:9">
      <c r="A69" s="79">
        <v>297</v>
      </c>
      <c r="B69" s="79">
        <v>2</v>
      </c>
      <c r="C69" s="79">
        <v>299</v>
      </c>
      <c r="D69" s="80">
        <v>43314.510706018518</v>
      </c>
      <c r="E69" s="81">
        <f t="shared" ca="1" si="0"/>
        <v>43313</v>
      </c>
      <c r="F69" s="82">
        <f ca="1">IFERROR(__xludf.DUMMYFUNCTION("""COMPUTED_VALUE"""),0.510706018518518)</f>
        <v>0.51070601851851805</v>
      </c>
      <c r="G69" s="83">
        <f t="shared" ca="1" si="1"/>
        <v>19</v>
      </c>
      <c r="H69" s="83">
        <f ca="1">IFERROR(__xludf.DUMMYFUNCTION("""COMPUTED_VALUE"""),15)</f>
        <v>15</v>
      </c>
      <c r="I69" s="83">
        <f ca="1">IFERROR(__xludf.DUMMYFUNCTION("""COMPUTED_VALUE"""),25)</f>
        <v>25</v>
      </c>
    </row>
    <row r="70" spans="1:9">
      <c r="A70" s="79">
        <v>308</v>
      </c>
      <c r="B70" s="79">
        <v>2</v>
      </c>
      <c r="C70" s="79">
        <v>310</v>
      </c>
      <c r="D70" s="80">
        <v>43314.521111111113</v>
      </c>
      <c r="E70" s="81">
        <f t="shared" ca="1" si="0"/>
        <v>43313</v>
      </c>
      <c r="F70" s="82">
        <f ca="1">IFERROR(__xludf.DUMMYFUNCTION("""COMPUTED_VALUE"""),0.521111111111111)</f>
        <v>0.52111111111111097</v>
      </c>
      <c r="G70" s="83">
        <f t="shared" ca="1" si="1"/>
        <v>19</v>
      </c>
      <c r="H70" s="83">
        <f ca="1">IFERROR(__xludf.DUMMYFUNCTION("""COMPUTED_VALUE"""),30)</f>
        <v>30</v>
      </c>
      <c r="I70" s="83">
        <f ca="1">IFERROR(__xludf.DUMMYFUNCTION("""COMPUTED_VALUE"""),24)</f>
        <v>24</v>
      </c>
    </row>
    <row r="71" spans="1:9">
      <c r="A71" s="79">
        <v>294</v>
      </c>
      <c r="B71" s="79">
        <v>3</v>
      </c>
      <c r="C71" s="79">
        <v>297</v>
      </c>
      <c r="D71" s="80">
        <v>43314.531527777777</v>
      </c>
      <c r="E71" s="81">
        <f t="shared" ca="1" si="0"/>
        <v>43313</v>
      </c>
      <c r="F71" s="82">
        <f ca="1">IFERROR(__xludf.DUMMYFUNCTION("""COMPUTED_VALUE"""),0.531527777777777)</f>
        <v>0.53152777777777704</v>
      </c>
      <c r="G71" s="83">
        <f t="shared" ca="1" si="1"/>
        <v>19</v>
      </c>
      <c r="H71" s="83">
        <f ca="1">IFERROR(__xludf.DUMMYFUNCTION("""COMPUTED_VALUE"""),45)</f>
        <v>45</v>
      </c>
      <c r="I71" s="83">
        <f ca="1">IFERROR(__xludf.DUMMYFUNCTION("""COMPUTED_VALUE"""),24)</f>
        <v>24</v>
      </c>
    </row>
    <row r="72" spans="1:9">
      <c r="A72" s="79">
        <v>268</v>
      </c>
      <c r="B72" s="79">
        <v>4</v>
      </c>
      <c r="C72" s="79">
        <v>272</v>
      </c>
      <c r="D72" s="80">
        <v>43314.541956018518</v>
      </c>
      <c r="E72" s="81">
        <f t="shared" ca="1" si="0"/>
        <v>43313</v>
      </c>
      <c r="F72" s="82">
        <f ca="1">IFERROR(__xludf.DUMMYFUNCTION("""COMPUTED_VALUE"""),0.541956018518518)</f>
        <v>0.54195601851851805</v>
      </c>
      <c r="G72" s="83">
        <f t="shared" ca="1" si="1"/>
        <v>19</v>
      </c>
      <c r="H72" s="83">
        <f ca="1">IFERROR(__xludf.DUMMYFUNCTION("""COMPUTED_VALUE"""),0)</f>
        <v>0</v>
      </c>
      <c r="I72" s="83">
        <f ca="1">IFERROR(__xludf.DUMMYFUNCTION("""COMPUTED_VALUE"""),25)</f>
        <v>25</v>
      </c>
    </row>
    <row r="73" spans="1:9">
      <c r="A73" s="79">
        <v>285</v>
      </c>
      <c r="B73" s="79">
        <v>3</v>
      </c>
      <c r="C73" s="79">
        <v>288</v>
      </c>
      <c r="D73" s="80">
        <v>43314.552361111113</v>
      </c>
      <c r="E73" s="81">
        <f t="shared" ca="1" si="0"/>
        <v>43313</v>
      </c>
      <c r="F73" s="82">
        <f ca="1">IFERROR(__xludf.DUMMYFUNCTION("""COMPUTED_VALUE"""),0.552361111111111)</f>
        <v>0.55236111111111097</v>
      </c>
      <c r="G73" s="83">
        <f t="shared" ca="1" si="1"/>
        <v>19</v>
      </c>
      <c r="H73" s="83">
        <f ca="1">IFERROR(__xludf.DUMMYFUNCTION("""COMPUTED_VALUE"""),15)</f>
        <v>15</v>
      </c>
      <c r="I73" s="83">
        <f ca="1">IFERROR(__xludf.DUMMYFUNCTION("""COMPUTED_VALUE"""),24)</f>
        <v>24</v>
      </c>
    </row>
    <row r="74" spans="1:9">
      <c r="A74" s="79">
        <v>308</v>
      </c>
      <c r="B74" s="79">
        <v>4</v>
      </c>
      <c r="C74" s="79">
        <v>302</v>
      </c>
      <c r="D74" s="80">
        <v>43314.562789351854</v>
      </c>
      <c r="E74" s="81">
        <f t="shared" ca="1" si="0"/>
        <v>43313</v>
      </c>
      <c r="F74" s="82">
        <f ca="1">IFERROR(__xludf.DUMMYFUNCTION("""COMPUTED_VALUE"""),0.562789351851851)</f>
        <v>0.56278935185185097</v>
      </c>
      <c r="G74" s="83">
        <f t="shared" ca="1" si="1"/>
        <v>19</v>
      </c>
      <c r="H74" s="83">
        <f ca="1">IFERROR(__xludf.DUMMYFUNCTION("""COMPUTED_VALUE"""),30)</f>
        <v>30</v>
      </c>
      <c r="I74" s="83">
        <f ca="1">IFERROR(__xludf.DUMMYFUNCTION("""COMPUTED_VALUE"""),25)</f>
        <v>25</v>
      </c>
    </row>
    <row r="75" spans="1:9">
      <c r="A75" s="79">
        <v>317</v>
      </c>
      <c r="B75" s="79">
        <v>1</v>
      </c>
      <c r="C75" s="79">
        <v>318</v>
      </c>
      <c r="D75" s="80">
        <v>43314.573194444441</v>
      </c>
      <c r="E75" s="81">
        <f t="shared" ca="1" si="0"/>
        <v>43313</v>
      </c>
      <c r="F75" s="82">
        <f ca="1">IFERROR(__xludf.DUMMYFUNCTION("""COMPUTED_VALUE"""),0.573194444444444)</f>
        <v>0.57319444444444401</v>
      </c>
      <c r="G75" s="83">
        <f t="shared" ca="1" si="1"/>
        <v>19</v>
      </c>
      <c r="H75" s="83">
        <f ca="1">IFERROR(__xludf.DUMMYFUNCTION("""COMPUTED_VALUE"""),45)</f>
        <v>45</v>
      </c>
      <c r="I75" s="83">
        <f ca="1">IFERROR(__xludf.DUMMYFUNCTION("""COMPUTED_VALUE"""),24)</f>
        <v>24</v>
      </c>
    </row>
    <row r="76" spans="1:9">
      <c r="A76" s="79">
        <v>272</v>
      </c>
      <c r="B76" s="79">
        <v>0</v>
      </c>
      <c r="C76" s="79">
        <v>272</v>
      </c>
      <c r="D76" s="80">
        <v>43314.583611111113</v>
      </c>
      <c r="E76" s="81">
        <f t="shared" ca="1" si="0"/>
        <v>43313</v>
      </c>
      <c r="F76" s="82">
        <f ca="1">IFERROR(__xludf.DUMMYFUNCTION("""COMPUTED_VALUE"""),0.583611111111111)</f>
        <v>0.58361111111111097</v>
      </c>
      <c r="G76" s="83">
        <f t="shared" ca="1" si="1"/>
        <v>19</v>
      </c>
      <c r="H76" s="83">
        <f ca="1">IFERROR(__xludf.DUMMYFUNCTION("""COMPUTED_VALUE"""),0)</f>
        <v>0</v>
      </c>
      <c r="I76" s="83">
        <f ca="1">IFERROR(__xludf.DUMMYFUNCTION("""COMPUTED_VALUE"""),24)</f>
        <v>24</v>
      </c>
    </row>
    <row r="77" spans="1:9">
      <c r="A77" s="79">
        <v>281</v>
      </c>
      <c r="B77" s="79">
        <v>1</v>
      </c>
      <c r="C77" s="79">
        <v>282</v>
      </c>
      <c r="D77" s="80">
        <v>43314.594027777777</v>
      </c>
      <c r="E77" s="81">
        <f t="shared" ca="1" si="0"/>
        <v>43313</v>
      </c>
      <c r="F77" s="82">
        <f ca="1">IFERROR(__xludf.DUMMYFUNCTION("""COMPUTED_VALUE"""),0.594027777777777)</f>
        <v>0.59402777777777704</v>
      </c>
      <c r="G77" s="83">
        <f t="shared" ca="1" si="1"/>
        <v>19</v>
      </c>
      <c r="H77" s="83">
        <f ca="1">IFERROR(__xludf.DUMMYFUNCTION("""COMPUTED_VALUE"""),15)</f>
        <v>15</v>
      </c>
      <c r="I77" s="83">
        <f ca="1">IFERROR(__xludf.DUMMYFUNCTION("""COMPUTED_VALUE"""),24)</f>
        <v>24</v>
      </c>
    </row>
    <row r="78" spans="1:9">
      <c r="A78" s="79">
        <v>315</v>
      </c>
      <c r="B78" s="79">
        <v>2</v>
      </c>
      <c r="C78" s="79">
        <v>317</v>
      </c>
      <c r="D78" s="80">
        <v>43314.604444444441</v>
      </c>
      <c r="E78" s="81">
        <f t="shared" ca="1" si="0"/>
        <v>43313</v>
      </c>
      <c r="F78" s="82">
        <f ca="1">IFERROR(__xludf.DUMMYFUNCTION("""COMPUTED_VALUE"""),0.604444444444444)</f>
        <v>0.60444444444444401</v>
      </c>
      <c r="G78" s="83">
        <f t="shared" ca="1" si="1"/>
        <v>19</v>
      </c>
      <c r="H78" s="83">
        <f ca="1">IFERROR(__xludf.DUMMYFUNCTION("""COMPUTED_VALUE"""),30)</f>
        <v>30</v>
      </c>
      <c r="I78" s="83">
        <f ca="1">IFERROR(__xludf.DUMMYFUNCTION("""COMPUTED_VALUE"""),24)</f>
        <v>24</v>
      </c>
    </row>
    <row r="79" spans="1:9">
      <c r="A79" s="79">
        <v>356</v>
      </c>
      <c r="B79" s="79">
        <v>1</v>
      </c>
      <c r="C79" s="79">
        <v>357</v>
      </c>
      <c r="D79" s="80">
        <v>43314.614861111113</v>
      </c>
      <c r="E79" s="81">
        <f t="shared" ca="1" si="0"/>
        <v>43313</v>
      </c>
      <c r="F79" s="82">
        <f ca="1">IFERROR(__xludf.DUMMYFUNCTION("""COMPUTED_VALUE"""),0.614861111111111)</f>
        <v>0.61486111111111097</v>
      </c>
      <c r="G79" s="83">
        <f t="shared" ca="1" si="1"/>
        <v>19</v>
      </c>
      <c r="H79" s="83">
        <f ca="1">IFERROR(__xludf.DUMMYFUNCTION("""COMPUTED_VALUE"""),45)</f>
        <v>45</v>
      </c>
      <c r="I79" s="83">
        <f ca="1">IFERROR(__xludf.DUMMYFUNCTION("""COMPUTED_VALUE"""),24)</f>
        <v>24</v>
      </c>
    </row>
    <row r="80" spans="1:9">
      <c r="A80" s="79">
        <v>332</v>
      </c>
      <c r="B80" s="79">
        <v>4</v>
      </c>
      <c r="C80" s="79">
        <v>336</v>
      </c>
      <c r="D80" s="80">
        <v>43314.625277777777</v>
      </c>
      <c r="E80" s="81">
        <f t="shared" ca="1" si="0"/>
        <v>43313</v>
      </c>
      <c r="F80" s="82">
        <f ca="1">IFERROR(__xludf.DUMMYFUNCTION("""COMPUTED_VALUE"""),0.625277777777777)</f>
        <v>0.62527777777777704</v>
      </c>
      <c r="G80" s="83">
        <f t="shared" ca="1" si="1"/>
        <v>19</v>
      </c>
      <c r="H80" s="83">
        <f ca="1">IFERROR(__xludf.DUMMYFUNCTION("""COMPUTED_VALUE"""),0)</f>
        <v>0</v>
      </c>
      <c r="I80" s="83">
        <f ca="1">IFERROR(__xludf.DUMMYFUNCTION("""COMPUTED_VALUE"""),24)</f>
        <v>24</v>
      </c>
    </row>
    <row r="81" spans="1:9">
      <c r="A81" s="79">
        <v>342</v>
      </c>
      <c r="B81" s="79">
        <v>8</v>
      </c>
      <c r="C81" s="79">
        <v>350</v>
      </c>
      <c r="D81" s="80">
        <v>43314.635694444441</v>
      </c>
      <c r="E81" s="81">
        <f t="shared" ca="1" si="0"/>
        <v>43313</v>
      </c>
      <c r="F81" s="82">
        <f ca="1">IFERROR(__xludf.DUMMYFUNCTION("""COMPUTED_VALUE"""),0.635694444444444)</f>
        <v>0.63569444444444401</v>
      </c>
      <c r="G81" s="83">
        <f t="shared" ca="1" si="1"/>
        <v>19</v>
      </c>
      <c r="H81" s="83">
        <f ca="1">IFERROR(__xludf.DUMMYFUNCTION("""COMPUTED_VALUE"""),15)</f>
        <v>15</v>
      </c>
      <c r="I81" s="83">
        <f ca="1">IFERROR(__xludf.DUMMYFUNCTION("""COMPUTED_VALUE"""),24)</f>
        <v>24</v>
      </c>
    </row>
    <row r="82" spans="1:9">
      <c r="A82" s="79">
        <v>336</v>
      </c>
      <c r="B82" s="79">
        <v>6</v>
      </c>
      <c r="C82" s="79">
        <v>342</v>
      </c>
      <c r="D82" s="80">
        <v>43314.646111111113</v>
      </c>
      <c r="E82" s="81">
        <f t="shared" ca="1" si="0"/>
        <v>43313</v>
      </c>
      <c r="F82" s="82">
        <f ca="1">IFERROR(__xludf.DUMMYFUNCTION("""COMPUTED_VALUE"""),0.646111111111111)</f>
        <v>0.64611111111111097</v>
      </c>
      <c r="G82" s="83">
        <f t="shared" ca="1" si="1"/>
        <v>19</v>
      </c>
      <c r="H82" s="83">
        <f ca="1">IFERROR(__xludf.DUMMYFUNCTION("""COMPUTED_VALUE"""),30)</f>
        <v>30</v>
      </c>
      <c r="I82" s="83">
        <f ca="1">IFERROR(__xludf.DUMMYFUNCTION("""COMPUTED_VALUE"""),24)</f>
        <v>24</v>
      </c>
    </row>
    <row r="83" spans="1:9">
      <c r="A83" s="79">
        <v>377</v>
      </c>
      <c r="B83" s="79">
        <v>5</v>
      </c>
      <c r="C83" s="79">
        <v>382</v>
      </c>
      <c r="D83" s="80">
        <v>43314.656527777777</v>
      </c>
      <c r="E83" s="81">
        <f t="shared" ca="1" si="0"/>
        <v>43313</v>
      </c>
      <c r="F83" s="82">
        <f ca="1">IFERROR(__xludf.DUMMYFUNCTION("""COMPUTED_VALUE"""),0.656527777777777)</f>
        <v>0.65652777777777704</v>
      </c>
      <c r="G83" s="83">
        <f t="shared" ca="1" si="1"/>
        <v>19</v>
      </c>
      <c r="H83" s="83">
        <f ca="1">IFERROR(__xludf.DUMMYFUNCTION("""COMPUTED_VALUE"""),45)</f>
        <v>45</v>
      </c>
      <c r="I83" s="83">
        <f ca="1">IFERROR(__xludf.DUMMYFUNCTION("""COMPUTED_VALUE"""),24)</f>
        <v>24</v>
      </c>
    </row>
    <row r="84" spans="1:9">
      <c r="A84" s="79">
        <v>340</v>
      </c>
      <c r="B84" s="79">
        <v>2</v>
      </c>
      <c r="C84" s="79">
        <v>342</v>
      </c>
      <c r="D84" s="80">
        <v>43314.666932870372</v>
      </c>
      <c r="E84" s="81">
        <f t="shared" ca="1" si="0"/>
        <v>43313</v>
      </c>
      <c r="F84" s="82">
        <f ca="1">IFERROR(__xludf.DUMMYFUNCTION("""COMPUTED_VALUE"""),0.66693287037037)</f>
        <v>0.66693287037036997</v>
      </c>
      <c r="G84" s="83">
        <f t="shared" ca="1" si="1"/>
        <v>19</v>
      </c>
      <c r="H84" s="83">
        <f ca="1">IFERROR(__xludf.DUMMYFUNCTION("""COMPUTED_VALUE"""),0)</f>
        <v>0</v>
      </c>
      <c r="I84" s="83">
        <f ca="1">IFERROR(__xludf.DUMMYFUNCTION("""COMPUTED_VALUE"""),23)</f>
        <v>23</v>
      </c>
    </row>
    <row r="85" spans="1:9">
      <c r="A85" s="79">
        <v>434</v>
      </c>
      <c r="B85" s="79">
        <v>3</v>
      </c>
      <c r="C85" s="79">
        <v>437</v>
      </c>
      <c r="D85" s="80">
        <v>43314.677361111113</v>
      </c>
      <c r="E85" s="81">
        <f t="shared" ca="1" si="0"/>
        <v>43313</v>
      </c>
      <c r="F85" s="82">
        <f ca="1">IFERROR(__xludf.DUMMYFUNCTION("""COMPUTED_VALUE"""),0.677361111111111)</f>
        <v>0.67736111111111097</v>
      </c>
      <c r="G85" s="83">
        <f t="shared" ca="1" si="1"/>
        <v>19</v>
      </c>
      <c r="H85" s="83">
        <f ca="1">IFERROR(__xludf.DUMMYFUNCTION("""COMPUTED_VALUE"""),15)</f>
        <v>15</v>
      </c>
      <c r="I85" s="83">
        <f ca="1">IFERROR(__xludf.DUMMYFUNCTION("""COMPUTED_VALUE"""),24)</f>
        <v>24</v>
      </c>
    </row>
    <row r="86" spans="1:9">
      <c r="A86" s="79">
        <v>368</v>
      </c>
      <c r="B86" s="79">
        <v>7</v>
      </c>
      <c r="C86" s="79">
        <v>375</v>
      </c>
      <c r="D86" s="80">
        <v>43314.687777777777</v>
      </c>
      <c r="E86" s="81">
        <f t="shared" ca="1" si="0"/>
        <v>43313</v>
      </c>
      <c r="F86" s="82">
        <f ca="1">IFERROR(__xludf.DUMMYFUNCTION("""COMPUTED_VALUE"""),0.687777777777777)</f>
        <v>0.68777777777777704</v>
      </c>
      <c r="G86" s="83">
        <f t="shared" ca="1" si="1"/>
        <v>19</v>
      </c>
      <c r="H86" s="83">
        <f ca="1">IFERROR(__xludf.DUMMYFUNCTION("""COMPUTED_VALUE"""),30)</f>
        <v>30</v>
      </c>
      <c r="I86" s="83">
        <f ca="1">IFERROR(__xludf.DUMMYFUNCTION("""COMPUTED_VALUE"""),24)</f>
        <v>24</v>
      </c>
    </row>
    <row r="87" spans="1:9">
      <c r="A87" s="79">
        <v>390</v>
      </c>
      <c r="B87" s="79">
        <v>7</v>
      </c>
      <c r="C87" s="79">
        <v>397</v>
      </c>
      <c r="D87" s="80">
        <v>43314.698194444441</v>
      </c>
      <c r="E87" s="81">
        <f t="shared" ca="1" si="0"/>
        <v>43313</v>
      </c>
      <c r="F87" s="82">
        <f ca="1">IFERROR(__xludf.DUMMYFUNCTION("""COMPUTED_VALUE"""),0.698194444444444)</f>
        <v>0.69819444444444401</v>
      </c>
      <c r="G87" s="83">
        <f t="shared" ca="1" si="1"/>
        <v>19</v>
      </c>
      <c r="H87" s="83">
        <f ca="1">IFERROR(__xludf.DUMMYFUNCTION("""COMPUTED_VALUE"""),45)</f>
        <v>45</v>
      </c>
      <c r="I87" s="83">
        <f ca="1">IFERROR(__xludf.DUMMYFUNCTION("""COMPUTED_VALUE"""),24)</f>
        <v>24</v>
      </c>
    </row>
    <row r="88" spans="1:9">
      <c r="A88" s="79">
        <v>350</v>
      </c>
      <c r="B88" s="79">
        <v>6</v>
      </c>
      <c r="C88" s="79">
        <v>356</v>
      </c>
      <c r="D88" s="80">
        <v>43314.708622685182</v>
      </c>
      <c r="E88" s="81">
        <f t="shared" ca="1" si="0"/>
        <v>43313</v>
      </c>
      <c r="F88" s="82">
        <f ca="1">IFERROR(__xludf.DUMMYFUNCTION("""COMPUTED_VALUE"""),0.708622685185185)</f>
        <v>0.70862268518518501</v>
      </c>
      <c r="G88" s="83">
        <f t="shared" ca="1" si="1"/>
        <v>19</v>
      </c>
      <c r="H88" s="83">
        <f ca="1">IFERROR(__xludf.DUMMYFUNCTION("""COMPUTED_VALUE"""),0)</f>
        <v>0</v>
      </c>
      <c r="I88" s="83">
        <f ca="1">IFERROR(__xludf.DUMMYFUNCTION("""COMPUTED_VALUE"""),25)</f>
        <v>25</v>
      </c>
    </row>
    <row r="89" spans="1:9">
      <c r="A89" s="79">
        <v>561</v>
      </c>
      <c r="B89" s="79">
        <v>7</v>
      </c>
      <c r="C89" s="79">
        <v>568</v>
      </c>
      <c r="D89" s="80">
        <v>43314.719027777777</v>
      </c>
      <c r="E89" s="81">
        <f t="shared" ca="1" si="0"/>
        <v>43313</v>
      </c>
      <c r="F89" s="82">
        <f ca="1">IFERROR(__xludf.DUMMYFUNCTION("""COMPUTED_VALUE"""),0.719027777777777)</f>
        <v>0.71902777777777704</v>
      </c>
      <c r="G89" s="83">
        <f t="shared" ca="1" si="1"/>
        <v>19</v>
      </c>
      <c r="H89" s="83">
        <f ca="1">IFERROR(__xludf.DUMMYFUNCTION("""COMPUTED_VALUE"""),15)</f>
        <v>15</v>
      </c>
      <c r="I89" s="83">
        <f ca="1">IFERROR(__xludf.DUMMYFUNCTION("""COMPUTED_VALUE"""),24)</f>
        <v>24</v>
      </c>
    </row>
    <row r="90" spans="1:9">
      <c r="A90" s="79">
        <v>484</v>
      </c>
      <c r="B90" s="79">
        <v>3</v>
      </c>
      <c r="C90" s="79">
        <v>487</v>
      </c>
      <c r="D90" s="80">
        <v>43314.729444444441</v>
      </c>
      <c r="E90" s="81">
        <f t="shared" ca="1" si="0"/>
        <v>43313</v>
      </c>
      <c r="F90" s="82">
        <f ca="1">IFERROR(__xludf.DUMMYFUNCTION("""COMPUTED_VALUE"""),0.729444444444444)</f>
        <v>0.72944444444444401</v>
      </c>
      <c r="G90" s="83">
        <f t="shared" ca="1" si="1"/>
        <v>19</v>
      </c>
      <c r="H90" s="83">
        <f ca="1">IFERROR(__xludf.DUMMYFUNCTION("""COMPUTED_VALUE"""),30)</f>
        <v>30</v>
      </c>
      <c r="I90" s="83">
        <f ca="1">IFERROR(__xludf.DUMMYFUNCTION("""COMPUTED_VALUE"""),24)</f>
        <v>24</v>
      </c>
    </row>
    <row r="91" spans="1:9">
      <c r="A91" s="79">
        <v>446</v>
      </c>
      <c r="B91" s="79">
        <v>6</v>
      </c>
      <c r="C91" s="79">
        <v>452</v>
      </c>
      <c r="D91" s="80">
        <v>43314.739861111113</v>
      </c>
      <c r="E91" s="81">
        <f t="shared" ca="1" si="0"/>
        <v>43313</v>
      </c>
      <c r="F91" s="82">
        <f ca="1">IFERROR(__xludf.DUMMYFUNCTION("""COMPUTED_VALUE"""),0.739861111111111)</f>
        <v>0.73986111111111097</v>
      </c>
      <c r="G91" s="83">
        <f t="shared" ca="1" si="1"/>
        <v>19</v>
      </c>
      <c r="H91" s="83">
        <f ca="1">IFERROR(__xludf.DUMMYFUNCTION("""COMPUTED_VALUE"""),45)</f>
        <v>45</v>
      </c>
      <c r="I91" s="83">
        <f ca="1">IFERROR(__xludf.DUMMYFUNCTION("""COMPUTED_VALUE"""),24)</f>
        <v>24</v>
      </c>
    </row>
    <row r="92" spans="1:9">
      <c r="A92" s="79">
        <v>401</v>
      </c>
      <c r="B92" s="79">
        <v>3</v>
      </c>
      <c r="C92" s="79">
        <v>404</v>
      </c>
      <c r="D92" s="80">
        <v>43314.750289351854</v>
      </c>
      <c r="E92" s="81">
        <f t="shared" ca="1" si="0"/>
        <v>43313</v>
      </c>
      <c r="F92" s="82">
        <f ca="1">IFERROR(__xludf.DUMMYFUNCTION("""COMPUTED_VALUE"""),0.750289351851851)</f>
        <v>0.75028935185185097</v>
      </c>
      <c r="G92" s="83">
        <f t="shared" ca="1" si="1"/>
        <v>19</v>
      </c>
      <c r="H92" s="83">
        <f ca="1">IFERROR(__xludf.DUMMYFUNCTION("""COMPUTED_VALUE"""),0)</f>
        <v>0</v>
      </c>
      <c r="I92" s="83">
        <f ca="1">IFERROR(__xludf.DUMMYFUNCTION("""COMPUTED_VALUE"""),25)</f>
        <v>25</v>
      </c>
    </row>
    <row r="93" spans="1:9">
      <c r="A93" s="79">
        <v>469</v>
      </c>
      <c r="B93" s="79">
        <v>3</v>
      </c>
      <c r="C93" s="79">
        <v>472</v>
      </c>
      <c r="D93" s="80">
        <v>43314.760682870372</v>
      </c>
      <c r="E93" s="81">
        <f t="shared" ca="1" si="0"/>
        <v>43313</v>
      </c>
      <c r="F93" s="82">
        <f ca="1">IFERROR(__xludf.DUMMYFUNCTION("""COMPUTED_VALUE"""),0.76068287037037)</f>
        <v>0.76068287037036997</v>
      </c>
      <c r="G93" s="83">
        <f t="shared" ca="1" si="1"/>
        <v>19</v>
      </c>
      <c r="H93" s="83">
        <f ca="1">IFERROR(__xludf.DUMMYFUNCTION("""COMPUTED_VALUE"""),15)</f>
        <v>15</v>
      </c>
      <c r="I93" s="83">
        <f ca="1">IFERROR(__xludf.DUMMYFUNCTION("""COMPUTED_VALUE"""),23)</f>
        <v>23</v>
      </c>
    </row>
    <row r="94" spans="1:9">
      <c r="A94" s="79">
        <v>475</v>
      </c>
      <c r="B94" s="79">
        <v>5</v>
      </c>
      <c r="C94" s="79">
        <v>478</v>
      </c>
      <c r="D94" s="80">
        <v>43314.771111111113</v>
      </c>
      <c r="E94" s="81">
        <f t="shared" ca="1" si="0"/>
        <v>43313</v>
      </c>
      <c r="F94" s="82">
        <f ca="1">IFERROR(__xludf.DUMMYFUNCTION("""COMPUTED_VALUE"""),0.771111111111111)</f>
        <v>0.77111111111111097</v>
      </c>
      <c r="G94" s="83">
        <f t="shared" ca="1" si="1"/>
        <v>19</v>
      </c>
      <c r="H94" s="83">
        <f ca="1">IFERROR(__xludf.DUMMYFUNCTION("""COMPUTED_VALUE"""),30)</f>
        <v>30</v>
      </c>
      <c r="I94" s="83">
        <f ca="1">IFERROR(__xludf.DUMMYFUNCTION("""COMPUTED_VALUE"""),24)</f>
        <v>24</v>
      </c>
    </row>
    <row r="95" spans="1:9">
      <c r="A95" s="79">
        <v>492</v>
      </c>
      <c r="B95" s="79">
        <v>4</v>
      </c>
      <c r="C95" s="79">
        <v>496</v>
      </c>
      <c r="D95" s="80">
        <v>43314.7815162037</v>
      </c>
      <c r="E95" s="81">
        <f t="shared" ca="1" si="0"/>
        <v>43313</v>
      </c>
      <c r="F95" s="82">
        <f ca="1">IFERROR(__xludf.DUMMYFUNCTION("""COMPUTED_VALUE"""),0.781516203703703)</f>
        <v>0.78151620370370301</v>
      </c>
      <c r="G95" s="83">
        <f t="shared" ca="1" si="1"/>
        <v>19</v>
      </c>
      <c r="H95" s="83">
        <f ca="1">IFERROR(__xludf.DUMMYFUNCTION("""COMPUTED_VALUE"""),45)</f>
        <v>45</v>
      </c>
      <c r="I95" s="83">
        <f ca="1">IFERROR(__xludf.DUMMYFUNCTION("""COMPUTED_VALUE"""),23)</f>
        <v>23</v>
      </c>
    </row>
    <row r="96" spans="1:9">
      <c r="A96" s="79">
        <v>452</v>
      </c>
      <c r="B96" s="79">
        <v>6</v>
      </c>
      <c r="C96" s="79">
        <v>452</v>
      </c>
      <c r="D96" s="80">
        <v>43314.791944444441</v>
      </c>
      <c r="E96" s="81">
        <f t="shared" ca="1" si="0"/>
        <v>43313</v>
      </c>
      <c r="F96" s="82">
        <f ca="1">IFERROR(__xludf.DUMMYFUNCTION("""COMPUTED_VALUE"""),0.791944444444444)</f>
        <v>0.79194444444444401</v>
      </c>
      <c r="G96" s="83">
        <f t="shared" ca="1" si="1"/>
        <v>19</v>
      </c>
      <c r="H96" s="83">
        <f ca="1">IFERROR(__xludf.DUMMYFUNCTION("""COMPUTED_VALUE"""),0)</f>
        <v>0</v>
      </c>
      <c r="I96" s="83">
        <f ca="1">IFERROR(__xludf.DUMMYFUNCTION("""COMPUTED_VALUE"""),24)</f>
        <v>24</v>
      </c>
    </row>
    <row r="97" spans="1:9">
      <c r="A97" s="79">
        <v>576</v>
      </c>
      <c r="B97" s="79">
        <v>9</v>
      </c>
      <c r="C97" s="79">
        <v>585</v>
      </c>
      <c r="D97" s="80">
        <v>43314.802361111113</v>
      </c>
      <c r="E97" s="81">
        <f t="shared" ca="1" si="0"/>
        <v>43313</v>
      </c>
      <c r="F97" s="82">
        <f ca="1">IFERROR(__xludf.DUMMYFUNCTION("""COMPUTED_VALUE"""),0.802361111111111)</f>
        <v>0.80236111111111097</v>
      </c>
      <c r="G97" s="83">
        <f t="shared" ca="1" si="1"/>
        <v>19</v>
      </c>
      <c r="H97" s="83">
        <f ca="1">IFERROR(__xludf.DUMMYFUNCTION("""COMPUTED_VALUE"""),15)</f>
        <v>15</v>
      </c>
      <c r="I97" s="83">
        <f ca="1">IFERROR(__xludf.DUMMYFUNCTION("""COMPUTED_VALUE"""),24)</f>
        <v>24</v>
      </c>
    </row>
    <row r="98" spans="1:9">
      <c r="A98" s="79">
        <v>579</v>
      </c>
      <c r="B98" s="79">
        <v>9</v>
      </c>
      <c r="C98" s="79">
        <v>588</v>
      </c>
      <c r="D98" s="80">
        <v>43314.812777777777</v>
      </c>
      <c r="E98" s="81">
        <f t="shared" ca="1" si="0"/>
        <v>43313</v>
      </c>
      <c r="F98" s="82">
        <f ca="1">IFERROR(__xludf.DUMMYFUNCTION("""COMPUTED_VALUE"""),0.812777777777777)</f>
        <v>0.81277777777777704</v>
      </c>
      <c r="G98" s="83">
        <f t="shared" ca="1" si="1"/>
        <v>19</v>
      </c>
      <c r="H98" s="83">
        <f ca="1">IFERROR(__xludf.DUMMYFUNCTION("""COMPUTED_VALUE"""),30)</f>
        <v>30</v>
      </c>
      <c r="I98" s="83">
        <f ca="1">IFERROR(__xludf.DUMMYFUNCTION("""COMPUTED_VALUE"""),24)</f>
        <v>24</v>
      </c>
    </row>
    <row r="99" spans="1:9">
      <c r="A99" s="79">
        <v>634</v>
      </c>
      <c r="B99" s="79">
        <v>6</v>
      </c>
      <c r="C99" s="79">
        <v>631</v>
      </c>
      <c r="D99" s="80">
        <v>43314.823182870372</v>
      </c>
      <c r="E99" s="81">
        <f t="shared" ca="1" si="0"/>
        <v>43313</v>
      </c>
      <c r="F99" s="82">
        <f ca="1">IFERROR(__xludf.DUMMYFUNCTION("""COMPUTED_VALUE"""),0.82318287037037)</f>
        <v>0.82318287037036997</v>
      </c>
      <c r="G99" s="83">
        <f t="shared" ca="1" si="1"/>
        <v>19</v>
      </c>
      <c r="H99" s="83">
        <f ca="1">IFERROR(__xludf.DUMMYFUNCTION("""COMPUTED_VALUE"""),45)</f>
        <v>45</v>
      </c>
      <c r="I99" s="83">
        <f ca="1">IFERROR(__xludf.DUMMYFUNCTION("""COMPUTED_VALUE"""),23)</f>
        <v>23</v>
      </c>
    </row>
    <row r="100" spans="1:9">
      <c r="A100" s="79">
        <v>628</v>
      </c>
      <c r="B100" s="79">
        <v>4</v>
      </c>
      <c r="C100" s="79">
        <v>632</v>
      </c>
      <c r="D100" s="80">
        <v>43314.833611111113</v>
      </c>
      <c r="E100" s="81">
        <f t="shared" ca="1" si="0"/>
        <v>43313</v>
      </c>
      <c r="F100" s="82">
        <f ca="1">IFERROR(__xludf.DUMMYFUNCTION("""COMPUTED_VALUE"""),0.833611111111111)</f>
        <v>0.83361111111111097</v>
      </c>
      <c r="G100" s="83">
        <f t="shared" ca="1" si="1"/>
        <v>19</v>
      </c>
      <c r="H100" s="83">
        <f ca="1">IFERROR(__xludf.DUMMYFUNCTION("""COMPUTED_VALUE"""),0)</f>
        <v>0</v>
      </c>
      <c r="I100" s="83">
        <f ca="1">IFERROR(__xludf.DUMMYFUNCTION("""COMPUTED_VALUE"""),24)</f>
        <v>24</v>
      </c>
    </row>
    <row r="101" spans="1:9">
      <c r="A101" s="79">
        <v>832</v>
      </c>
      <c r="B101" s="79">
        <v>7</v>
      </c>
      <c r="C101" s="79">
        <v>839</v>
      </c>
      <c r="D101" s="80">
        <v>43314.844039351854</v>
      </c>
      <c r="E101" s="81">
        <f t="shared" ca="1" si="0"/>
        <v>43313</v>
      </c>
      <c r="F101" s="82">
        <f ca="1">IFERROR(__xludf.DUMMYFUNCTION("""COMPUTED_VALUE"""),0.844039351851851)</f>
        <v>0.84403935185185097</v>
      </c>
      <c r="G101" s="83">
        <f t="shared" ca="1" si="1"/>
        <v>19</v>
      </c>
      <c r="H101" s="83">
        <f ca="1">IFERROR(__xludf.DUMMYFUNCTION("""COMPUTED_VALUE"""),15)</f>
        <v>15</v>
      </c>
      <c r="I101" s="83">
        <f ca="1">IFERROR(__xludf.DUMMYFUNCTION("""COMPUTED_VALUE"""),25)</f>
        <v>25</v>
      </c>
    </row>
    <row r="102" spans="1:9">
      <c r="A102" s="79">
        <v>842</v>
      </c>
      <c r="B102" s="79">
        <v>12</v>
      </c>
      <c r="C102" s="79">
        <v>854</v>
      </c>
      <c r="D102" s="80">
        <v>43314.854432870372</v>
      </c>
      <c r="E102" s="81">
        <f t="shared" ca="1" si="0"/>
        <v>43313</v>
      </c>
      <c r="F102" s="82">
        <f ca="1">IFERROR(__xludf.DUMMYFUNCTION("""COMPUTED_VALUE"""),0.85443287037037)</f>
        <v>0.85443287037036997</v>
      </c>
      <c r="G102" s="83">
        <f t="shared" ca="1" si="1"/>
        <v>19</v>
      </c>
      <c r="H102" s="83">
        <f ca="1">IFERROR(__xludf.DUMMYFUNCTION("""COMPUTED_VALUE"""),30)</f>
        <v>30</v>
      </c>
      <c r="I102" s="83">
        <f ca="1">IFERROR(__xludf.DUMMYFUNCTION("""COMPUTED_VALUE"""),23)</f>
        <v>23</v>
      </c>
    </row>
    <row r="103" spans="1:9">
      <c r="A103" s="79">
        <v>837</v>
      </c>
      <c r="B103" s="79">
        <v>7</v>
      </c>
      <c r="C103" s="79">
        <v>844</v>
      </c>
      <c r="D103" s="80">
        <v>43314.864861111113</v>
      </c>
      <c r="E103" s="81">
        <f t="shared" ca="1" si="0"/>
        <v>43313</v>
      </c>
      <c r="F103" s="82">
        <f ca="1">IFERROR(__xludf.DUMMYFUNCTION("""COMPUTED_VALUE"""),0.864861111111111)</f>
        <v>0.86486111111111097</v>
      </c>
      <c r="G103" s="83">
        <f t="shared" ca="1" si="1"/>
        <v>19</v>
      </c>
      <c r="H103" s="83">
        <f ca="1">IFERROR(__xludf.DUMMYFUNCTION("""COMPUTED_VALUE"""),45)</f>
        <v>45</v>
      </c>
      <c r="I103" s="83">
        <f ca="1">IFERROR(__xludf.DUMMYFUNCTION("""COMPUTED_VALUE"""),24)</f>
        <v>24</v>
      </c>
    </row>
    <row r="104" spans="1:9">
      <c r="A104" s="79">
        <v>730</v>
      </c>
      <c r="B104" s="79">
        <v>5</v>
      </c>
      <c r="C104" s="79">
        <v>735</v>
      </c>
      <c r="D104" s="80">
        <v>43314.8752662037</v>
      </c>
      <c r="E104" s="81">
        <f t="shared" ca="1" si="0"/>
        <v>43313</v>
      </c>
      <c r="F104" s="82">
        <f ca="1">IFERROR(__xludf.DUMMYFUNCTION("""COMPUTED_VALUE"""),0.875266203703703)</f>
        <v>0.87526620370370301</v>
      </c>
      <c r="G104" s="83">
        <f t="shared" ca="1" si="1"/>
        <v>19</v>
      </c>
      <c r="H104" s="83">
        <f ca="1">IFERROR(__xludf.DUMMYFUNCTION("""COMPUTED_VALUE"""),0)</f>
        <v>0</v>
      </c>
      <c r="I104" s="83">
        <f ca="1">IFERROR(__xludf.DUMMYFUNCTION("""COMPUTED_VALUE"""),23)</f>
        <v>23</v>
      </c>
    </row>
    <row r="105" spans="1:9">
      <c r="A105" s="79">
        <v>762</v>
      </c>
      <c r="B105" s="79">
        <v>12</v>
      </c>
      <c r="C105" s="79">
        <v>774</v>
      </c>
      <c r="D105" s="80">
        <v>43314.885694444441</v>
      </c>
      <c r="E105" s="81">
        <f t="shared" ca="1" si="0"/>
        <v>43313</v>
      </c>
      <c r="F105" s="82">
        <f ca="1">IFERROR(__xludf.DUMMYFUNCTION("""COMPUTED_VALUE"""),0.885694444444444)</f>
        <v>0.88569444444444401</v>
      </c>
      <c r="G105" s="83">
        <f t="shared" ca="1" si="1"/>
        <v>19</v>
      </c>
      <c r="H105" s="83">
        <f ca="1">IFERROR(__xludf.DUMMYFUNCTION("""COMPUTED_VALUE"""),15)</f>
        <v>15</v>
      </c>
      <c r="I105" s="83">
        <f ca="1">IFERROR(__xludf.DUMMYFUNCTION("""COMPUTED_VALUE"""),24)</f>
        <v>24</v>
      </c>
    </row>
    <row r="106" spans="1:9">
      <c r="A106" s="79">
        <v>712</v>
      </c>
      <c r="B106" s="79">
        <v>15</v>
      </c>
      <c r="C106" s="79">
        <v>727</v>
      </c>
      <c r="D106" s="80">
        <v>43314.896099537036</v>
      </c>
      <c r="E106" s="81">
        <f t="shared" ca="1" si="0"/>
        <v>43313</v>
      </c>
      <c r="F106" s="82">
        <f ca="1">IFERROR(__xludf.DUMMYFUNCTION("""COMPUTED_VALUE"""),0.896099537037037)</f>
        <v>0.89609953703703704</v>
      </c>
      <c r="G106" s="83">
        <f t="shared" ca="1" si="1"/>
        <v>19</v>
      </c>
      <c r="H106" s="83">
        <f ca="1">IFERROR(__xludf.DUMMYFUNCTION("""COMPUTED_VALUE"""),30)</f>
        <v>30</v>
      </c>
      <c r="I106" s="83">
        <f ca="1">IFERROR(__xludf.DUMMYFUNCTION("""COMPUTED_VALUE"""),23)</f>
        <v>23</v>
      </c>
    </row>
    <row r="107" spans="1:9">
      <c r="A107" s="79">
        <v>719</v>
      </c>
      <c r="B107" s="79">
        <v>9</v>
      </c>
      <c r="C107" s="79">
        <v>728</v>
      </c>
      <c r="D107" s="80">
        <v>43314.9065162037</v>
      </c>
      <c r="E107" s="81">
        <f t="shared" ca="1" si="0"/>
        <v>43313</v>
      </c>
      <c r="F107" s="82">
        <f ca="1">IFERROR(__xludf.DUMMYFUNCTION("""COMPUTED_VALUE"""),0.906516203703703)</f>
        <v>0.90651620370370301</v>
      </c>
      <c r="G107" s="83">
        <f t="shared" ca="1" si="1"/>
        <v>19</v>
      </c>
      <c r="H107" s="83">
        <f ca="1">IFERROR(__xludf.DUMMYFUNCTION("""COMPUTED_VALUE"""),45)</f>
        <v>45</v>
      </c>
      <c r="I107" s="83">
        <f ca="1">IFERROR(__xludf.DUMMYFUNCTION("""COMPUTED_VALUE"""),23)</f>
        <v>23</v>
      </c>
    </row>
    <row r="108" spans="1:9">
      <c r="A108" s="79">
        <v>700</v>
      </c>
      <c r="B108" s="79">
        <v>5</v>
      </c>
      <c r="C108" s="79">
        <v>705</v>
      </c>
      <c r="D108" s="80">
        <v>43314.916932870372</v>
      </c>
      <c r="E108" s="81">
        <f t="shared" ca="1" si="0"/>
        <v>43313</v>
      </c>
      <c r="F108" s="82">
        <f ca="1">IFERROR(__xludf.DUMMYFUNCTION("""COMPUTED_VALUE"""),0.91693287037037)</f>
        <v>0.91693287037036997</v>
      </c>
      <c r="G108" s="83">
        <f t="shared" ca="1" si="1"/>
        <v>19</v>
      </c>
      <c r="H108" s="83">
        <f ca="1">IFERROR(__xludf.DUMMYFUNCTION("""COMPUTED_VALUE"""),0)</f>
        <v>0</v>
      </c>
      <c r="I108" s="83">
        <f ca="1">IFERROR(__xludf.DUMMYFUNCTION("""COMPUTED_VALUE"""),23)</f>
        <v>23</v>
      </c>
    </row>
    <row r="109" spans="1:9">
      <c r="A109" s="79">
        <v>770</v>
      </c>
      <c r="B109" s="79">
        <v>9</v>
      </c>
      <c r="C109" s="79">
        <v>779</v>
      </c>
      <c r="D109" s="80">
        <v>43314.927349537036</v>
      </c>
      <c r="E109" s="81">
        <f t="shared" ca="1" si="0"/>
        <v>43313</v>
      </c>
      <c r="F109" s="82">
        <f ca="1">IFERROR(__xludf.DUMMYFUNCTION("""COMPUTED_VALUE"""),0.927349537037037)</f>
        <v>0.92734953703703704</v>
      </c>
      <c r="G109" s="83">
        <f t="shared" ca="1" si="1"/>
        <v>19</v>
      </c>
      <c r="H109" s="83">
        <f ca="1">IFERROR(__xludf.DUMMYFUNCTION("""COMPUTED_VALUE"""),15)</f>
        <v>15</v>
      </c>
      <c r="I109" s="83">
        <f ca="1">IFERROR(__xludf.DUMMYFUNCTION("""COMPUTED_VALUE"""),23)</f>
        <v>23</v>
      </c>
    </row>
    <row r="110" spans="1:9">
      <c r="A110" s="79">
        <v>695</v>
      </c>
      <c r="B110" s="79">
        <v>8</v>
      </c>
      <c r="C110" s="79">
        <v>703</v>
      </c>
      <c r="D110" s="80">
        <v>43314.9377662037</v>
      </c>
      <c r="E110" s="81">
        <f t="shared" ca="1" si="0"/>
        <v>43313</v>
      </c>
      <c r="F110" s="82">
        <f ca="1">IFERROR(__xludf.DUMMYFUNCTION("""COMPUTED_VALUE"""),0.937766203703703)</f>
        <v>0.93776620370370301</v>
      </c>
      <c r="G110" s="83">
        <f t="shared" ca="1" si="1"/>
        <v>19</v>
      </c>
      <c r="H110" s="83">
        <f ca="1">IFERROR(__xludf.DUMMYFUNCTION("""COMPUTED_VALUE"""),30)</f>
        <v>30</v>
      </c>
      <c r="I110" s="83">
        <f ca="1">IFERROR(__xludf.DUMMYFUNCTION("""COMPUTED_VALUE"""),23)</f>
        <v>23</v>
      </c>
    </row>
    <row r="111" spans="1:9">
      <c r="A111" s="79">
        <v>629</v>
      </c>
      <c r="B111" s="79">
        <v>8</v>
      </c>
      <c r="C111" s="79">
        <v>637</v>
      </c>
      <c r="D111" s="80">
        <v>43314.948182870372</v>
      </c>
      <c r="E111" s="81">
        <f t="shared" ca="1" si="0"/>
        <v>43313</v>
      </c>
      <c r="F111" s="82">
        <f ca="1">IFERROR(__xludf.DUMMYFUNCTION("""COMPUTED_VALUE"""),0.94818287037037)</f>
        <v>0.94818287037036997</v>
      </c>
      <c r="G111" s="83">
        <f t="shared" ca="1" si="1"/>
        <v>19</v>
      </c>
      <c r="H111" s="83">
        <f ca="1">IFERROR(__xludf.DUMMYFUNCTION("""COMPUTED_VALUE"""),45)</f>
        <v>45</v>
      </c>
      <c r="I111" s="83">
        <f ca="1">IFERROR(__xludf.DUMMYFUNCTION("""COMPUTED_VALUE"""),23)</f>
        <v>23</v>
      </c>
    </row>
    <row r="112" spans="1:9">
      <c r="A112" s="79">
        <v>576</v>
      </c>
      <c r="B112" s="79">
        <v>8</v>
      </c>
      <c r="C112" s="79">
        <v>584</v>
      </c>
      <c r="D112" s="80">
        <v>43314.958622685182</v>
      </c>
      <c r="E112" s="81">
        <f t="shared" ca="1" si="0"/>
        <v>43313</v>
      </c>
      <c r="F112" s="82">
        <f ca="1">IFERROR(__xludf.DUMMYFUNCTION("""COMPUTED_VALUE"""),0.958622685185185)</f>
        <v>0.95862268518518501</v>
      </c>
      <c r="G112" s="83">
        <f t="shared" ca="1" si="1"/>
        <v>19</v>
      </c>
      <c r="H112" s="83">
        <f ca="1">IFERROR(__xludf.DUMMYFUNCTION("""COMPUTED_VALUE"""),0)</f>
        <v>0</v>
      </c>
      <c r="I112" s="83">
        <f ca="1">IFERROR(__xludf.DUMMYFUNCTION("""COMPUTED_VALUE"""),25)</f>
        <v>25</v>
      </c>
    </row>
    <row r="113" spans="1:9">
      <c r="A113" s="79">
        <v>563</v>
      </c>
      <c r="B113" s="79">
        <v>3</v>
      </c>
      <c r="C113" s="79">
        <v>566</v>
      </c>
      <c r="D113" s="80">
        <v>43314.9690162037</v>
      </c>
      <c r="E113" s="81">
        <f t="shared" ca="1" si="0"/>
        <v>43313</v>
      </c>
      <c r="F113" s="82">
        <f ca="1">IFERROR(__xludf.DUMMYFUNCTION("""COMPUTED_VALUE"""),0.969016203703703)</f>
        <v>0.96901620370370301</v>
      </c>
      <c r="G113" s="83">
        <f t="shared" ca="1" si="1"/>
        <v>19</v>
      </c>
      <c r="H113" s="83">
        <f ca="1">IFERROR(__xludf.DUMMYFUNCTION("""COMPUTED_VALUE"""),15)</f>
        <v>15</v>
      </c>
      <c r="I113" s="83">
        <f ca="1">IFERROR(__xludf.DUMMYFUNCTION("""COMPUTED_VALUE"""),23)</f>
        <v>23</v>
      </c>
    </row>
    <row r="114" spans="1:9">
      <c r="A114" s="79">
        <v>551</v>
      </c>
      <c r="B114" s="79">
        <v>3</v>
      </c>
      <c r="C114" s="79">
        <v>554</v>
      </c>
      <c r="D114" s="80">
        <v>43314.979432870372</v>
      </c>
      <c r="E114" s="81">
        <f t="shared" ca="1" si="0"/>
        <v>43313</v>
      </c>
      <c r="F114" s="82">
        <f ca="1">IFERROR(__xludf.DUMMYFUNCTION("""COMPUTED_VALUE"""),0.97943287037037)</f>
        <v>0.97943287037036997</v>
      </c>
      <c r="G114" s="83">
        <f t="shared" ca="1" si="1"/>
        <v>19</v>
      </c>
      <c r="H114" s="83">
        <f ca="1">IFERROR(__xludf.DUMMYFUNCTION("""COMPUTED_VALUE"""),30)</f>
        <v>30</v>
      </c>
      <c r="I114" s="83">
        <f ca="1">IFERROR(__xludf.DUMMYFUNCTION("""COMPUTED_VALUE"""),23)</f>
        <v>23</v>
      </c>
    </row>
    <row r="115" spans="1:9">
      <c r="A115" s="79">
        <v>443</v>
      </c>
      <c r="B115" s="79">
        <v>2</v>
      </c>
      <c r="C115" s="79">
        <v>445</v>
      </c>
      <c r="D115" s="80">
        <v>43314.989849537036</v>
      </c>
      <c r="E115" s="81">
        <f t="shared" ca="1" si="0"/>
        <v>43313</v>
      </c>
      <c r="F115" s="82">
        <f ca="1">IFERROR(__xludf.DUMMYFUNCTION("""COMPUTED_VALUE"""),0.989849537037037)</f>
        <v>0.98984953703703704</v>
      </c>
      <c r="G115" s="83">
        <f t="shared" ca="1" si="1"/>
        <v>19</v>
      </c>
      <c r="H115" s="83">
        <f ca="1">IFERROR(__xludf.DUMMYFUNCTION("""COMPUTED_VALUE"""),45)</f>
        <v>45</v>
      </c>
      <c r="I115" s="83">
        <f ca="1">IFERROR(__xludf.DUMMYFUNCTION("""COMPUTED_VALUE"""),23)</f>
        <v>23</v>
      </c>
    </row>
    <row r="116" spans="1:9">
      <c r="A116" s="79">
        <v>390</v>
      </c>
      <c r="B116" s="79">
        <v>5</v>
      </c>
      <c r="C116" s="79">
        <v>395</v>
      </c>
      <c r="D116" s="80">
        <v>43315.000324074077</v>
      </c>
      <c r="E116" s="81">
        <f t="shared" ca="1" si="0"/>
        <v>43313</v>
      </c>
      <c r="F116" s="82">
        <f ca="1">IFERROR(__xludf.DUMMYFUNCTION("""COMPUTED_VALUE"""),0.000324074074074074)</f>
        <v>3.2407407407407401E-4</v>
      </c>
      <c r="G116" s="83">
        <f t="shared" ca="1" si="1"/>
        <v>19</v>
      </c>
      <c r="H116" s="83">
        <f ca="1">IFERROR(__xludf.DUMMYFUNCTION("""COMPUTED_VALUE"""),0)</f>
        <v>0</v>
      </c>
      <c r="I116" s="83">
        <f ca="1">IFERROR(__xludf.DUMMYFUNCTION("""COMPUTED_VALUE"""),28)</f>
        <v>28</v>
      </c>
    </row>
    <row r="117" spans="1:9">
      <c r="A117" s="79">
        <v>466</v>
      </c>
      <c r="B117" s="79">
        <v>4</v>
      </c>
      <c r="C117" s="79">
        <v>470</v>
      </c>
      <c r="D117" s="80">
        <v>43315.010682870372</v>
      </c>
      <c r="E117" s="81">
        <f t="shared" ca="1" si="0"/>
        <v>43313</v>
      </c>
      <c r="F117" s="82">
        <f ca="1">IFERROR(__xludf.DUMMYFUNCTION("""COMPUTED_VALUE"""),0.0106828703703703)</f>
        <v>1.0682870370370299E-2</v>
      </c>
      <c r="G117" s="83">
        <f t="shared" ca="1" si="1"/>
        <v>19</v>
      </c>
      <c r="H117" s="83">
        <f ca="1">IFERROR(__xludf.DUMMYFUNCTION("""COMPUTED_VALUE"""),15)</f>
        <v>15</v>
      </c>
      <c r="I117" s="83">
        <f ca="1">IFERROR(__xludf.DUMMYFUNCTION("""COMPUTED_VALUE"""),23)</f>
        <v>23</v>
      </c>
    </row>
    <row r="118" spans="1:9">
      <c r="A118" s="79">
        <v>373</v>
      </c>
      <c r="B118" s="79">
        <v>1</v>
      </c>
      <c r="C118" s="79">
        <v>374</v>
      </c>
      <c r="D118" s="80">
        <v>43315.021099537036</v>
      </c>
      <c r="E118" s="81">
        <f t="shared" ca="1" si="0"/>
        <v>43313</v>
      </c>
      <c r="F118" s="82">
        <f ca="1">IFERROR(__xludf.DUMMYFUNCTION("""COMPUTED_VALUE"""),0.021099537037037)</f>
        <v>2.1099537037037E-2</v>
      </c>
      <c r="G118" s="83">
        <f t="shared" ca="1" si="1"/>
        <v>19</v>
      </c>
      <c r="H118" s="83">
        <f ca="1">IFERROR(__xludf.DUMMYFUNCTION("""COMPUTED_VALUE"""),30)</f>
        <v>30</v>
      </c>
      <c r="I118" s="83">
        <f ca="1">IFERROR(__xludf.DUMMYFUNCTION("""COMPUTED_VALUE"""),23)</f>
        <v>23</v>
      </c>
    </row>
    <row r="119" spans="1:9">
      <c r="A119" s="79">
        <v>331</v>
      </c>
      <c r="B119" s="79">
        <v>0</v>
      </c>
      <c r="C119" s="79">
        <v>331</v>
      </c>
      <c r="D119" s="80">
        <v>43315.0315162037</v>
      </c>
      <c r="E119" s="81">
        <f t="shared" ca="1" si="0"/>
        <v>43313</v>
      </c>
      <c r="F119" s="82">
        <f ca="1">IFERROR(__xludf.DUMMYFUNCTION("""COMPUTED_VALUE"""),0.0315162037037037)</f>
        <v>3.1516203703703699E-2</v>
      </c>
      <c r="G119" s="83">
        <f t="shared" ca="1" si="1"/>
        <v>19</v>
      </c>
      <c r="H119" s="83">
        <f ca="1">IFERROR(__xludf.DUMMYFUNCTION("""COMPUTED_VALUE"""),45)</f>
        <v>45</v>
      </c>
      <c r="I119" s="83">
        <f ca="1">IFERROR(__xludf.DUMMYFUNCTION("""COMPUTED_VALUE"""),23)</f>
        <v>23</v>
      </c>
    </row>
    <row r="120" spans="1:9">
      <c r="A120" s="79">
        <v>307</v>
      </c>
      <c r="B120" s="79">
        <v>4</v>
      </c>
      <c r="C120" s="79">
        <v>311</v>
      </c>
      <c r="D120" s="80">
        <v>43315.041967592595</v>
      </c>
      <c r="E120" s="81">
        <f t="shared" ca="1" si="0"/>
        <v>43313</v>
      </c>
      <c r="F120" s="82">
        <f ca="1">IFERROR(__xludf.DUMMYFUNCTION("""COMPUTED_VALUE"""),0.0419675925925925)</f>
        <v>4.1967592592592501E-2</v>
      </c>
      <c r="G120" s="83">
        <f t="shared" ca="1" si="1"/>
        <v>19</v>
      </c>
      <c r="H120" s="83">
        <f ca="1">IFERROR(__xludf.DUMMYFUNCTION("""COMPUTED_VALUE"""),0)</f>
        <v>0</v>
      </c>
      <c r="I120" s="83">
        <f ca="1">IFERROR(__xludf.DUMMYFUNCTION("""COMPUTED_VALUE"""),26)</f>
        <v>26</v>
      </c>
    </row>
    <row r="121" spans="1:9">
      <c r="A121" s="79">
        <v>339</v>
      </c>
      <c r="B121" s="79">
        <v>5</v>
      </c>
      <c r="C121" s="79">
        <v>344</v>
      </c>
      <c r="D121" s="80">
        <v>43315.052349537036</v>
      </c>
      <c r="E121" s="81">
        <f t="shared" ca="1" si="0"/>
        <v>43313</v>
      </c>
      <c r="F121" s="82">
        <f ca="1">IFERROR(__xludf.DUMMYFUNCTION("""COMPUTED_VALUE"""),0.052349537037037)</f>
        <v>5.2349537037037E-2</v>
      </c>
      <c r="G121" s="83">
        <f t="shared" ca="1" si="1"/>
        <v>19</v>
      </c>
      <c r="H121" s="83">
        <f ca="1">IFERROR(__xludf.DUMMYFUNCTION("""COMPUTED_VALUE"""),15)</f>
        <v>15</v>
      </c>
      <c r="I121" s="83">
        <f ca="1">IFERROR(__xludf.DUMMYFUNCTION("""COMPUTED_VALUE"""),23)</f>
        <v>23</v>
      </c>
    </row>
    <row r="122" spans="1:9">
      <c r="A122" s="79">
        <v>304</v>
      </c>
      <c r="B122" s="79">
        <v>3</v>
      </c>
      <c r="C122" s="79">
        <v>307</v>
      </c>
      <c r="D122" s="80">
        <v>43315.0627662037</v>
      </c>
      <c r="E122" s="81">
        <f t="shared" ca="1" si="0"/>
        <v>43313</v>
      </c>
      <c r="F122" s="82">
        <f ca="1">IFERROR(__xludf.DUMMYFUNCTION("""COMPUTED_VALUE"""),0.0627662037037037)</f>
        <v>6.2766203703703699E-2</v>
      </c>
      <c r="G122" s="83">
        <f t="shared" ca="1" si="1"/>
        <v>19</v>
      </c>
      <c r="H122" s="83">
        <f ca="1">IFERROR(__xludf.DUMMYFUNCTION("""COMPUTED_VALUE"""),30)</f>
        <v>30</v>
      </c>
      <c r="I122" s="83">
        <f ca="1">IFERROR(__xludf.DUMMYFUNCTION("""COMPUTED_VALUE"""),23)</f>
        <v>23</v>
      </c>
    </row>
    <row r="123" spans="1:9">
      <c r="A123" s="79">
        <v>320</v>
      </c>
      <c r="B123" s="79">
        <v>2</v>
      </c>
      <c r="C123" s="79">
        <v>322</v>
      </c>
      <c r="D123" s="80">
        <v>43315.073182870372</v>
      </c>
      <c r="E123" s="81">
        <f t="shared" ca="1" si="0"/>
        <v>43313</v>
      </c>
      <c r="F123" s="82">
        <f ca="1">IFERROR(__xludf.DUMMYFUNCTION("""COMPUTED_VALUE"""),0.0731828703703703)</f>
        <v>7.3182870370370301E-2</v>
      </c>
      <c r="G123" s="83">
        <f t="shared" ca="1" si="1"/>
        <v>19</v>
      </c>
      <c r="H123" s="83">
        <f ca="1">IFERROR(__xludf.DUMMYFUNCTION("""COMPUTED_VALUE"""),45)</f>
        <v>45</v>
      </c>
      <c r="I123" s="83">
        <f ca="1">IFERROR(__xludf.DUMMYFUNCTION("""COMPUTED_VALUE"""),23)</f>
        <v>23</v>
      </c>
    </row>
    <row r="124" spans="1:9">
      <c r="A124" s="79">
        <v>398</v>
      </c>
      <c r="B124" s="79">
        <v>2</v>
      </c>
      <c r="C124" s="79">
        <v>392</v>
      </c>
      <c r="D124" s="80">
        <v>43315.083622685182</v>
      </c>
      <c r="E124" s="81">
        <f t="shared" ca="1" si="0"/>
        <v>43313</v>
      </c>
      <c r="F124" s="82">
        <f ca="1">IFERROR(__xludf.DUMMYFUNCTION("""COMPUTED_VALUE"""),0.0836226851851851)</f>
        <v>8.3622685185185106E-2</v>
      </c>
      <c r="G124" s="83">
        <f t="shared" ca="1" si="1"/>
        <v>19</v>
      </c>
      <c r="H124" s="83">
        <f ca="1">IFERROR(__xludf.DUMMYFUNCTION("""COMPUTED_VALUE"""),0)</f>
        <v>0</v>
      </c>
      <c r="I124" s="83">
        <f ca="1">IFERROR(__xludf.DUMMYFUNCTION("""COMPUTED_VALUE"""),25)</f>
        <v>25</v>
      </c>
    </row>
    <row r="125" spans="1:9">
      <c r="A125" s="79">
        <v>341</v>
      </c>
      <c r="B125" s="79">
        <v>2</v>
      </c>
      <c r="C125" s="79">
        <v>343</v>
      </c>
      <c r="D125" s="80">
        <v>43315.0940162037</v>
      </c>
      <c r="E125" s="81">
        <f t="shared" ca="1" si="0"/>
        <v>43313</v>
      </c>
      <c r="F125" s="82">
        <f ca="1">IFERROR(__xludf.DUMMYFUNCTION("""COMPUTED_VALUE"""),0.0940162037037037)</f>
        <v>9.4016203703703699E-2</v>
      </c>
      <c r="G125" s="83">
        <f t="shared" ca="1" si="1"/>
        <v>19</v>
      </c>
      <c r="H125" s="83">
        <f ca="1">IFERROR(__xludf.DUMMYFUNCTION("""COMPUTED_VALUE"""),15)</f>
        <v>15</v>
      </c>
      <c r="I125" s="83">
        <f ca="1">IFERROR(__xludf.DUMMYFUNCTION("""COMPUTED_VALUE"""),23)</f>
        <v>23</v>
      </c>
    </row>
    <row r="126" spans="1:9">
      <c r="A126" s="79">
        <v>336</v>
      </c>
      <c r="B126" s="79">
        <v>5</v>
      </c>
      <c r="C126" s="79">
        <v>333</v>
      </c>
      <c r="D126" s="80">
        <v>43315.104421296295</v>
      </c>
      <c r="E126" s="81">
        <f t="shared" ca="1" si="0"/>
        <v>43313</v>
      </c>
      <c r="F126" s="82">
        <f ca="1">IFERROR(__xludf.DUMMYFUNCTION("""COMPUTED_VALUE"""),0.104421296296296)</f>
        <v>0.104421296296296</v>
      </c>
      <c r="G126" s="83">
        <f t="shared" ca="1" si="1"/>
        <v>19</v>
      </c>
      <c r="H126" s="83">
        <f ca="1">IFERROR(__xludf.DUMMYFUNCTION("""COMPUTED_VALUE"""),30)</f>
        <v>30</v>
      </c>
      <c r="I126" s="83">
        <f ca="1">IFERROR(__xludf.DUMMYFUNCTION("""COMPUTED_VALUE"""),22)</f>
        <v>22</v>
      </c>
    </row>
    <row r="127" spans="1:9">
      <c r="A127" s="79">
        <v>244</v>
      </c>
      <c r="B127" s="79">
        <v>3</v>
      </c>
      <c r="C127" s="79">
        <v>247</v>
      </c>
      <c r="D127" s="80">
        <v>43315.114849537036</v>
      </c>
      <c r="E127" s="81">
        <f t="shared" ca="1" si="0"/>
        <v>43313</v>
      </c>
      <c r="F127" s="82">
        <f ca="1">IFERROR(__xludf.DUMMYFUNCTION("""COMPUTED_VALUE"""),0.114849537037037)</f>
        <v>0.114849537037037</v>
      </c>
      <c r="G127" s="83">
        <f t="shared" ca="1" si="1"/>
        <v>19</v>
      </c>
      <c r="H127" s="83">
        <f ca="1">IFERROR(__xludf.DUMMYFUNCTION("""COMPUTED_VALUE"""),45)</f>
        <v>45</v>
      </c>
      <c r="I127" s="83">
        <f ca="1">IFERROR(__xludf.DUMMYFUNCTION("""COMPUTED_VALUE"""),23)</f>
        <v>23</v>
      </c>
    </row>
    <row r="128" spans="1:9">
      <c r="A128" s="79">
        <v>201</v>
      </c>
      <c r="B128" s="79">
        <v>4</v>
      </c>
      <c r="C128" s="79">
        <v>205</v>
      </c>
      <c r="D128" s="80">
        <v>43315.125277777777</v>
      </c>
      <c r="E128" s="81">
        <f t="shared" ca="1" si="0"/>
        <v>43313</v>
      </c>
      <c r="F128" s="82">
        <f ca="1">IFERROR(__xludf.DUMMYFUNCTION("""COMPUTED_VALUE"""),0.125277777777777)</f>
        <v>0.12527777777777699</v>
      </c>
      <c r="G128" s="83">
        <f t="shared" ca="1" si="1"/>
        <v>19</v>
      </c>
      <c r="H128" s="83">
        <f ca="1">IFERROR(__xludf.DUMMYFUNCTION("""COMPUTED_VALUE"""),0)</f>
        <v>0</v>
      </c>
      <c r="I128" s="83">
        <f ca="1">IFERROR(__xludf.DUMMYFUNCTION("""COMPUTED_VALUE"""),24)</f>
        <v>24</v>
      </c>
    </row>
    <row r="129" spans="1:9">
      <c r="A129" s="79">
        <v>179</v>
      </c>
      <c r="B129" s="79">
        <v>2</v>
      </c>
      <c r="C129" s="79">
        <v>181</v>
      </c>
      <c r="D129" s="80">
        <v>43315.135671296295</v>
      </c>
      <c r="E129" s="81">
        <f t="shared" ca="1" si="0"/>
        <v>43313</v>
      </c>
      <c r="F129" s="82">
        <f ca="1">IFERROR(__xludf.DUMMYFUNCTION("""COMPUTED_VALUE"""),0.135671296296296)</f>
        <v>0.13567129629629601</v>
      </c>
      <c r="G129" s="83">
        <f t="shared" ca="1" si="1"/>
        <v>19</v>
      </c>
      <c r="H129" s="83">
        <f ca="1">IFERROR(__xludf.DUMMYFUNCTION("""COMPUTED_VALUE"""),15)</f>
        <v>15</v>
      </c>
      <c r="I129" s="83">
        <f ca="1">IFERROR(__xludf.DUMMYFUNCTION("""COMPUTED_VALUE"""),22)</f>
        <v>22</v>
      </c>
    </row>
    <row r="130" spans="1:9">
      <c r="A130" s="79">
        <v>168</v>
      </c>
      <c r="B130" s="79">
        <v>1</v>
      </c>
      <c r="C130" s="79">
        <v>169</v>
      </c>
      <c r="D130" s="80">
        <v>43315.146087962959</v>
      </c>
      <c r="E130" s="81">
        <f t="shared" ca="1" si="0"/>
        <v>43313</v>
      </c>
      <c r="F130" s="82">
        <f ca="1">IFERROR(__xludf.DUMMYFUNCTION("""COMPUTED_VALUE"""),0.146087962962962)</f>
        <v>0.146087962962962</v>
      </c>
      <c r="G130" s="83">
        <f t="shared" ca="1" si="1"/>
        <v>19</v>
      </c>
      <c r="H130" s="83">
        <f ca="1">IFERROR(__xludf.DUMMYFUNCTION("""COMPUTED_VALUE"""),30)</f>
        <v>30</v>
      </c>
      <c r="I130" s="83">
        <f ca="1">IFERROR(__xludf.DUMMYFUNCTION("""COMPUTED_VALUE"""),22)</f>
        <v>22</v>
      </c>
    </row>
    <row r="131" spans="1:9">
      <c r="A131" s="79">
        <v>154</v>
      </c>
      <c r="B131" s="79">
        <v>1</v>
      </c>
      <c r="C131" s="79">
        <v>147</v>
      </c>
      <c r="D131" s="80">
        <v>43315.1565162037</v>
      </c>
      <c r="E131" s="81">
        <f t="shared" ca="1" si="0"/>
        <v>43313</v>
      </c>
      <c r="F131" s="82">
        <f ca="1">IFERROR(__xludf.DUMMYFUNCTION("""COMPUTED_VALUE"""),0.156516203703703)</f>
        <v>0.15651620370370301</v>
      </c>
      <c r="G131" s="83">
        <f t="shared" ca="1" si="1"/>
        <v>19</v>
      </c>
      <c r="H131" s="83">
        <f ca="1">IFERROR(__xludf.DUMMYFUNCTION("""COMPUTED_VALUE"""),45)</f>
        <v>45</v>
      </c>
      <c r="I131" s="83">
        <f ca="1">IFERROR(__xludf.DUMMYFUNCTION("""COMPUTED_VALUE"""),23)</f>
        <v>23</v>
      </c>
    </row>
    <row r="132" spans="1:9">
      <c r="A132" s="79">
        <v>159</v>
      </c>
      <c r="B132" s="79">
        <v>2</v>
      </c>
      <c r="C132" s="79">
        <v>161</v>
      </c>
      <c r="D132" s="80">
        <v>43315.166932870372</v>
      </c>
      <c r="E132" s="81">
        <f t="shared" ca="1" si="0"/>
        <v>43313</v>
      </c>
      <c r="F132" s="82">
        <f ca="1">IFERROR(__xludf.DUMMYFUNCTION("""COMPUTED_VALUE"""),0.16693287037037)</f>
        <v>0.16693287037037</v>
      </c>
      <c r="G132" s="83">
        <f t="shared" ca="1" si="1"/>
        <v>19</v>
      </c>
      <c r="H132" s="83">
        <f ca="1">IFERROR(__xludf.DUMMYFUNCTION("""COMPUTED_VALUE"""),0)</f>
        <v>0</v>
      </c>
      <c r="I132" s="83">
        <f ca="1">IFERROR(__xludf.DUMMYFUNCTION("""COMPUTED_VALUE"""),23)</f>
        <v>23</v>
      </c>
    </row>
    <row r="133" spans="1:9">
      <c r="A133" s="79">
        <v>87</v>
      </c>
      <c r="B133" s="79">
        <v>1</v>
      </c>
      <c r="C133" s="79">
        <v>88</v>
      </c>
      <c r="D133" s="80">
        <v>43315.177337962959</v>
      </c>
      <c r="E133" s="81">
        <f t="shared" ca="1" si="0"/>
        <v>43313</v>
      </c>
      <c r="F133" s="82">
        <f ca="1">IFERROR(__xludf.DUMMYFUNCTION("""COMPUTED_VALUE"""),0.177337962962962)</f>
        <v>0.177337962962962</v>
      </c>
      <c r="G133" s="83">
        <f t="shared" ca="1" si="1"/>
        <v>19</v>
      </c>
      <c r="H133" s="83">
        <f ca="1">IFERROR(__xludf.DUMMYFUNCTION("""COMPUTED_VALUE"""),15)</f>
        <v>15</v>
      </c>
      <c r="I133" s="83">
        <f ca="1">IFERROR(__xludf.DUMMYFUNCTION("""COMPUTED_VALUE"""),22)</f>
        <v>22</v>
      </c>
    </row>
    <row r="134" spans="1:9">
      <c r="A134" s="79">
        <v>70</v>
      </c>
      <c r="B134" s="79">
        <v>1</v>
      </c>
      <c r="C134" s="79">
        <v>71</v>
      </c>
      <c r="D134" s="80">
        <v>43315.1877662037</v>
      </c>
      <c r="E134" s="81">
        <f t="shared" ca="1" si="0"/>
        <v>43313</v>
      </c>
      <c r="F134" s="82">
        <f ca="1">IFERROR(__xludf.DUMMYFUNCTION("""COMPUTED_VALUE"""),0.187766203703703)</f>
        <v>0.18776620370370301</v>
      </c>
      <c r="G134" s="83">
        <f t="shared" ca="1" si="1"/>
        <v>19</v>
      </c>
      <c r="H134" s="83">
        <f ca="1">IFERROR(__xludf.DUMMYFUNCTION("""COMPUTED_VALUE"""),30)</f>
        <v>30</v>
      </c>
      <c r="I134" s="83">
        <f ca="1">IFERROR(__xludf.DUMMYFUNCTION("""COMPUTED_VALUE"""),23)</f>
        <v>23</v>
      </c>
    </row>
    <row r="135" spans="1:9">
      <c r="A135" s="79">
        <v>63</v>
      </c>
      <c r="B135" s="79">
        <v>0</v>
      </c>
      <c r="C135" s="79">
        <v>63</v>
      </c>
      <c r="D135" s="80">
        <v>43315.198182870372</v>
      </c>
      <c r="E135" s="81">
        <f t="shared" ca="1" si="0"/>
        <v>43313</v>
      </c>
      <c r="F135" s="82">
        <f ca="1">IFERROR(__xludf.DUMMYFUNCTION("""COMPUTED_VALUE"""),0.19818287037037)</f>
        <v>0.19818287037037</v>
      </c>
      <c r="G135" s="83">
        <f t="shared" ca="1" si="1"/>
        <v>19</v>
      </c>
      <c r="H135" s="83">
        <f ca="1">IFERROR(__xludf.DUMMYFUNCTION("""COMPUTED_VALUE"""),45)</f>
        <v>45</v>
      </c>
      <c r="I135" s="83">
        <f ca="1">IFERROR(__xludf.DUMMYFUNCTION("""COMPUTED_VALUE"""),23)</f>
        <v>23</v>
      </c>
    </row>
    <row r="136" spans="1:9">
      <c r="A136" s="79">
        <v>55</v>
      </c>
      <c r="B136" s="79">
        <v>0</v>
      </c>
      <c r="C136" s="79">
        <v>55</v>
      </c>
      <c r="D136" s="80">
        <v>43315.208587962959</v>
      </c>
      <c r="E136" s="81">
        <f t="shared" ca="1" si="0"/>
        <v>43313</v>
      </c>
      <c r="F136" s="82">
        <f ca="1">IFERROR(__xludf.DUMMYFUNCTION("""COMPUTED_VALUE"""),0.208587962962962)</f>
        <v>0.208587962962962</v>
      </c>
      <c r="G136" s="83">
        <f t="shared" ca="1" si="1"/>
        <v>19</v>
      </c>
      <c r="H136" s="83">
        <f ca="1">IFERROR(__xludf.DUMMYFUNCTION("""COMPUTED_VALUE"""),0)</f>
        <v>0</v>
      </c>
      <c r="I136" s="83">
        <f ca="1">IFERROR(__xludf.DUMMYFUNCTION("""COMPUTED_VALUE"""),22)</f>
        <v>22</v>
      </c>
    </row>
    <row r="137" spans="1:9">
      <c r="A137" s="79">
        <v>34</v>
      </c>
      <c r="B137" s="79">
        <v>0</v>
      </c>
      <c r="C137" s="79">
        <v>34</v>
      </c>
      <c r="D137" s="80">
        <v>43315.2190162037</v>
      </c>
      <c r="E137" s="81">
        <f t="shared" ca="1" si="0"/>
        <v>43313</v>
      </c>
      <c r="F137" s="82">
        <f ca="1">IFERROR(__xludf.DUMMYFUNCTION("""COMPUTED_VALUE"""),0.219016203703703)</f>
        <v>0.21901620370370301</v>
      </c>
      <c r="G137" s="83">
        <f t="shared" ca="1" si="1"/>
        <v>19</v>
      </c>
      <c r="H137" s="83">
        <f ca="1">IFERROR(__xludf.DUMMYFUNCTION("""COMPUTED_VALUE"""),15)</f>
        <v>15</v>
      </c>
      <c r="I137" s="83">
        <f ca="1">IFERROR(__xludf.DUMMYFUNCTION("""COMPUTED_VALUE"""),23)</f>
        <v>23</v>
      </c>
    </row>
    <row r="138" spans="1:9">
      <c r="A138" s="79">
        <v>25</v>
      </c>
      <c r="B138" s="79">
        <v>0</v>
      </c>
      <c r="C138" s="79">
        <v>25</v>
      </c>
      <c r="D138" s="80">
        <v>43315.229421296295</v>
      </c>
      <c r="E138" s="81">
        <f t="shared" ca="1" si="0"/>
        <v>43313</v>
      </c>
      <c r="F138" s="82">
        <f ca="1">IFERROR(__xludf.DUMMYFUNCTION("""COMPUTED_VALUE"""),0.229421296296296)</f>
        <v>0.22942129629629601</v>
      </c>
      <c r="G138" s="83">
        <f t="shared" ca="1" si="1"/>
        <v>19</v>
      </c>
      <c r="H138" s="83">
        <f ca="1">IFERROR(__xludf.DUMMYFUNCTION("""COMPUTED_VALUE"""),30)</f>
        <v>30</v>
      </c>
      <c r="I138" s="83">
        <f ca="1">IFERROR(__xludf.DUMMYFUNCTION("""COMPUTED_VALUE"""),22)</f>
        <v>22</v>
      </c>
    </row>
    <row r="139" spans="1:9">
      <c r="A139" s="79">
        <v>24</v>
      </c>
      <c r="B139" s="79">
        <v>0</v>
      </c>
      <c r="C139" s="79">
        <v>24</v>
      </c>
      <c r="D139" s="80">
        <v>43315.239849537036</v>
      </c>
      <c r="E139" s="81">
        <f t="shared" ca="1" si="0"/>
        <v>43313</v>
      </c>
      <c r="F139" s="82">
        <f ca="1">IFERROR(__xludf.DUMMYFUNCTION("""COMPUTED_VALUE"""),0.239849537037037)</f>
        <v>0.23984953703703699</v>
      </c>
      <c r="G139" s="83">
        <f t="shared" ca="1" si="1"/>
        <v>19</v>
      </c>
      <c r="H139" s="83">
        <f ca="1">IFERROR(__xludf.DUMMYFUNCTION("""COMPUTED_VALUE"""),45)</f>
        <v>45</v>
      </c>
      <c r="I139" s="83">
        <f ca="1">IFERROR(__xludf.DUMMYFUNCTION("""COMPUTED_VALUE"""),23)</f>
        <v>23</v>
      </c>
    </row>
    <row r="140" spans="1:9">
      <c r="A140" s="79">
        <v>23</v>
      </c>
      <c r="B140" s="79">
        <v>0</v>
      </c>
      <c r="C140" s="79">
        <v>23</v>
      </c>
      <c r="D140" s="80">
        <v>43315.2502662037</v>
      </c>
      <c r="E140" s="81">
        <f t="shared" ca="1" si="0"/>
        <v>43313</v>
      </c>
      <c r="F140" s="82">
        <f ca="1">IFERROR(__xludf.DUMMYFUNCTION("""COMPUTED_VALUE"""),0.250266203703703)</f>
        <v>0.25026620370370301</v>
      </c>
      <c r="G140" s="83">
        <f t="shared" ca="1" si="1"/>
        <v>19</v>
      </c>
      <c r="H140" s="83">
        <f ca="1">IFERROR(__xludf.DUMMYFUNCTION("""COMPUTED_VALUE"""),0)</f>
        <v>0</v>
      </c>
      <c r="I140" s="83">
        <f ca="1">IFERROR(__xludf.DUMMYFUNCTION("""COMPUTED_VALUE"""),23)</f>
        <v>23</v>
      </c>
    </row>
    <row r="141" spans="1:9">
      <c r="A141" s="79">
        <v>23</v>
      </c>
      <c r="B141" s="79">
        <v>0</v>
      </c>
      <c r="C141" s="79">
        <v>23</v>
      </c>
      <c r="D141" s="80">
        <v>43315.260671296295</v>
      </c>
      <c r="E141" s="81">
        <f t="shared" ca="1" si="0"/>
        <v>43313</v>
      </c>
      <c r="F141" s="82">
        <f ca="1">IFERROR(__xludf.DUMMYFUNCTION("""COMPUTED_VALUE"""),0.260671296296296)</f>
        <v>0.26067129629629598</v>
      </c>
      <c r="G141" s="83">
        <f t="shared" ca="1" si="1"/>
        <v>19</v>
      </c>
      <c r="H141" s="83">
        <f ca="1">IFERROR(__xludf.DUMMYFUNCTION("""COMPUTED_VALUE"""),15)</f>
        <v>15</v>
      </c>
      <c r="I141" s="83">
        <f ca="1">IFERROR(__xludf.DUMMYFUNCTION("""COMPUTED_VALUE"""),22)</f>
        <v>22</v>
      </c>
    </row>
    <row r="142" spans="1:9">
      <c r="A142" s="79">
        <v>22</v>
      </c>
      <c r="B142" s="79">
        <v>0</v>
      </c>
      <c r="C142" s="79">
        <v>22</v>
      </c>
      <c r="D142" s="80">
        <v>43315.273773148147</v>
      </c>
      <c r="E142" s="81">
        <f t="shared" ca="1" si="0"/>
        <v>43313</v>
      </c>
      <c r="F142" s="82">
        <f ca="1">IFERROR(__xludf.DUMMYFUNCTION("""COMPUTED_VALUE"""),0.273773148148148)</f>
        <v>0.27377314814814802</v>
      </c>
      <c r="G142" s="83">
        <f t="shared" ca="1" si="1"/>
        <v>19</v>
      </c>
      <c r="H142" s="83">
        <f ca="1">IFERROR(__xludf.DUMMYFUNCTION("""COMPUTED_VALUE"""),34)</f>
        <v>34</v>
      </c>
      <c r="I142" s="83">
        <f ca="1">IFERROR(__xludf.DUMMYFUNCTION("""COMPUTED_VALUE"""),14)</f>
        <v>14</v>
      </c>
    </row>
    <row r="143" spans="1:9">
      <c r="A143" s="79">
        <v>21</v>
      </c>
      <c r="B143" s="79">
        <v>0</v>
      </c>
      <c r="C143" s="79">
        <v>21</v>
      </c>
      <c r="D143" s="80">
        <v>43315.2815162037</v>
      </c>
      <c r="E143" s="81">
        <f t="shared" ca="1" si="0"/>
        <v>43313</v>
      </c>
      <c r="F143" s="82">
        <f ca="1">IFERROR(__xludf.DUMMYFUNCTION("""COMPUTED_VALUE"""),0.281516203703703)</f>
        <v>0.28151620370370301</v>
      </c>
      <c r="G143" s="83">
        <f t="shared" ca="1" si="1"/>
        <v>19</v>
      </c>
      <c r="H143" s="83">
        <f ca="1">IFERROR(__xludf.DUMMYFUNCTION("""COMPUTED_VALUE"""),45)</f>
        <v>45</v>
      </c>
      <c r="I143" s="83">
        <f ca="1">IFERROR(__xludf.DUMMYFUNCTION("""COMPUTED_VALUE"""),23)</f>
        <v>23</v>
      </c>
    </row>
    <row r="144" spans="1:9">
      <c r="A144" s="79">
        <v>27</v>
      </c>
      <c r="B144" s="79">
        <v>0</v>
      </c>
      <c r="C144" s="79">
        <v>27</v>
      </c>
      <c r="D144" s="80">
        <v>43315.291921296295</v>
      </c>
      <c r="E144" s="81">
        <f t="shared" ca="1" si="0"/>
        <v>43313</v>
      </c>
      <c r="F144" s="82">
        <f ca="1">IFERROR(__xludf.DUMMYFUNCTION("""COMPUTED_VALUE"""),0.291921296296296)</f>
        <v>0.29192129629629598</v>
      </c>
      <c r="G144" s="83">
        <f t="shared" ca="1" si="1"/>
        <v>19</v>
      </c>
      <c r="H144" s="83">
        <f ca="1">IFERROR(__xludf.DUMMYFUNCTION("""COMPUTED_VALUE"""),0)</f>
        <v>0</v>
      </c>
      <c r="I144" s="83">
        <f ca="1">IFERROR(__xludf.DUMMYFUNCTION("""COMPUTED_VALUE"""),22)</f>
        <v>22</v>
      </c>
    </row>
    <row r="145" spans="1:9">
      <c r="A145" s="79">
        <v>55</v>
      </c>
      <c r="B145" s="79">
        <v>1</v>
      </c>
      <c r="C145" s="79">
        <v>56</v>
      </c>
      <c r="D145" s="80">
        <v>43315.302361111113</v>
      </c>
      <c r="E145" s="81">
        <f t="shared" ca="1" si="0"/>
        <v>43313</v>
      </c>
      <c r="F145" s="82">
        <f ca="1">IFERROR(__xludf.DUMMYFUNCTION("""COMPUTED_VALUE"""),0.302361111111111)</f>
        <v>0.30236111111111103</v>
      </c>
      <c r="G145" s="83">
        <f t="shared" ca="1" si="1"/>
        <v>19</v>
      </c>
      <c r="H145" s="83">
        <f ca="1">IFERROR(__xludf.DUMMYFUNCTION("""COMPUTED_VALUE"""),15)</f>
        <v>15</v>
      </c>
      <c r="I145" s="83">
        <f ca="1">IFERROR(__xludf.DUMMYFUNCTION("""COMPUTED_VALUE"""),24)</f>
        <v>24</v>
      </c>
    </row>
    <row r="146" spans="1:9">
      <c r="A146" s="79">
        <v>62</v>
      </c>
      <c r="B146" s="79">
        <v>1</v>
      </c>
      <c r="C146" s="79">
        <v>63</v>
      </c>
      <c r="D146" s="80">
        <v>43315.312777777777</v>
      </c>
      <c r="E146" s="81">
        <f t="shared" ca="1" si="0"/>
        <v>43313</v>
      </c>
      <c r="F146" s="82">
        <f ca="1">IFERROR(__xludf.DUMMYFUNCTION("""COMPUTED_VALUE"""),0.312777777777777)</f>
        <v>0.31277777777777699</v>
      </c>
      <c r="G146" s="83">
        <f t="shared" ca="1" si="1"/>
        <v>19</v>
      </c>
      <c r="H146" s="83">
        <f ca="1">IFERROR(__xludf.DUMMYFUNCTION("""COMPUTED_VALUE"""),30)</f>
        <v>30</v>
      </c>
      <c r="I146" s="83">
        <f ca="1">IFERROR(__xludf.DUMMYFUNCTION("""COMPUTED_VALUE"""),24)</f>
        <v>24</v>
      </c>
    </row>
    <row r="147" spans="1:9">
      <c r="A147" s="79">
        <v>59</v>
      </c>
      <c r="B147" s="79">
        <v>0</v>
      </c>
      <c r="C147" s="79">
        <v>59</v>
      </c>
      <c r="D147" s="80">
        <v>43315.323194444441</v>
      </c>
      <c r="E147" s="81">
        <f t="shared" ca="1" si="0"/>
        <v>43313</v>
      </c>
      <c r="F147" s="82">
        <f ca="1">IFERROR(__xludf.DUMMYFUNCTION("""COMPUTED_VALUE"""),0.323194444444444)</f>
        <v>0.32319444444444401</v>
      </c>
      <c r="G147" s="83">
        <f t="shared" ca="1" si="1"/>
        <v>19</v>
      </c>
      <c r="H147" s="83">
        <f ca="1">IFERROR(__xludf.DUMMYFUNCTION("""COMPUTED_VALUE"""),45)</f>
        <v>45</v>
      </c>
      <c r="I147" s="83">
        <f ca="1">IFERROR(__xludf.DUMMYFUNCTION("""COMPUTED_VALUE"""),24)</f>
        <v>24</v>
      </c>
    </row>
    <row r="148" spans="1:9">
      <c r="A148" s="79">
        <v>61</v>
      </c>
      <c r="B148" s="79">
        <v>0</v>
      </c>
      <c r="C148" s="79">
        <v>61</v>
      </c>
      <c r="D148" s="80">
        <v>43315.333634259259</v>
      </c>
      <c r="E148" s="81">
        <f t="shared" ca="1" si="0"/>
        <v>43313</v>
      </c>
      <c r="F148" s="82">
        <f ca="1">IFERROR(__xludf.DUMMYFUNCTION("""COMPUTED_VALUE"""),0.333634259259259)</f>
        <v>0.33363425925925899</v>
      </c>
      <c r="G148" s="83">
        <f t="shared" ca="1" si="1"/>
        <v>19</v>
      </c>
      <c r="H148" s="83">
        <f ca="1">IFERROR(__xludf.DUMMYFUNCTION("""COMPUTED_VALUE"""),0)</f>
        <v>0</v>
      </c>
      <c r="I148" s="83">
        <f ca="1">IFERROR(__xludf.DUMMYFUNCTION("""COMPUTED_VALUE"""),26)</f>
        <v>26</v>
      </c>
    </row>
    <row r="149" spans="1:9">
      <c r="A149" s="79">
        <v>90</v>
      </c>
      <c r="B149" s="79">
        <v>2</v>
      </c>
      <c r="C149" s="79">
        <v>89</v>
      </c>
      <c r="D149" s="80">
        <v>43315.344027777777</v>
      </c>
      <c r="E149" s="81">
        <f t="shared" ca="1" si="0"/>
        <v>43313</v>
      </c>
      <c r="F149" s="82">
        <f ca="1">IFERROR(__xludf.DUMMYFUNCTION("""COMPUTED_VALUE"""),0.344027777777777)</f>
        <v>0.34402777777777699</v>
      </c>
      <c r="G149" s="83">
        <f t="shared" ca="1" si="1"/>
        <v>19</v>
      </c>
      <c r="H149" s="83">
        <f ca="1">IFERROR(__xludf.DUMMYFUNCTION("""COMPUTED_VALUE"""),15)</f>
        <v>15</v>
      </c>
      <c r="I149" s="83">
        <f ca="1">IFERROR(__xludf.DUMMYFUNCTION("""COMPUTED_VALUE"""),24)</f>
        <v>24</v>
      </c>
    </row>
    <row r="150" spans="1:9">
      <c r="A150" s="79">
        <v>110</v>
      </c>
      <c r="B150" s="79">
        <v>1</v>
      </c>
      <c r="C150" s="79">
        <v>111</v>
      </c>
      <c r="D150" s="80">
        <v>43315.354444444441</v>
      </c>
      <c r="E150" s="81">
        <f t="shared" ca="1" si="0"/>
        <v>43313</v>
      </c>
      <c r="F150" s="82">
        <f ca="1">IFERROR(__xludf.DUMMYFUNCTION("""COMPUTED_VALUE"""),0.354444444444444)</f>
        <v>0.35444444444444401</v>
      </c>
      <c r="G150" s="83">
        <f t="shared" ca="1" si="1"/>
        <v>19</v>
      </c>
      <c r="H150" s="83">
        <f ca="1">IFERROR(__xludf.DUMMYFUNCTION("""COMPUTED_VALUE"""),30)</f>
        <v>30</v>
      </c>
      <c r="I150" s="83">
        <f ca="1">IFERROR(__xludf.DUMMYFUNCTION("""COMPUTED_VALUE"""),24)</f>
        <v>24</v>
      </c>
    </row>
    <row r="151" spans="1:9">
      <c r="A151" s="79">
        <v>177</v>
      </c>
      <c r="B151" s="79">
        <v>1</v>
      </c>
      <c r="C151" s="79">
        <v>178</v>
      </c>
      <c r="D151" s="80">
        <v>43315.364861111113</v>
      </c>
      <c r="E151" s="81">
        <f t="shared" ca="1" si="0"/>
        <v>43313</v>
      </c>
      <c r="F151" s="82">
        <f ca="1">IFERROR(__xludf.DUMMYFUNCTION("""COMPUTED_VALUE"""),0.364861111111111)</f>
        <v>0.36486111111111103</v>
      </c>
      <c r="G151" s="83">
        <f t="shared" ca="1" si="1"/>
        <v>19</v>
      </c>
      <c r="H151" s="83">
        <f ca="1">IFERROR(__xludf.DUMMYFUNCTION("""COMPUTED_VALUE"""),45)</f>
        <v>45</v>
      </c>
      <c r="I151" s="83">
        <f ca="1">IFERROR(__xludf.DUMMYFUNCTION("""COMPUTED_VALUE"""),24)</f>
        <v>24</v>
      </c>
    </row>
    <row r="152" spans="1:9">
      <c r="A152" s="79">
        <v>162</v>
      </c>
      <c r="B152" s="79">
        <v>0</v>
      </c>
      <c r="C152" s="79">
        <v>162</v>
      </c>
      <c r="D152" s="80">
        <v>43315.375277777777</v>
      </c>
      <c r="E152" s="81">
        <f t="shared" ca="1" si="0"/>
        <v>43313</v>
      </c>
      <c r="F152" s="82">
        <f ca="1">IFERROR(__xludf.DUMMYFUNCTION("""COMPUTED_VALUE"""),0.375277777777777)</f>
        <v>0.37527777777777699</v>
      </c>
      <c r="G152" s="83">
        <f t="shared" ca="1" si="1"/>
        <v>19</v>
      </c>
      <c r="H152" s="83">
        <f ca="1">IFERROR(__xludf.DUMMYFUNCTION("""COMPUTED_VALUE"""),0)</f>
        <v>0</v>
      </c>
      <c r="I152" s="83">
        <f ca="1">IFERROR(__xludf.DUMMYFUNCTION("""COMPUTED_VALUE"""),24)</f>
        <v>24</v>
      </c>
    </row>
    <row r="153" spans="1:9">
      <c r="A153" s="79">
        <v>232</v>
      </c>
      <c r="B153" s="79">
        <v>0</v>
      </c>
      <c r="C153" s="79">
        <v>232</v>
      </c>
      <c r="D153" s="80">
        <v>43315.385694444441</v>
      </c>
      <c r="E153" s="81">
        <f t="shared" ca="1" si="0"/>
        <v>43313</v>
      </c>
      <c r="F153" s="82">
        <f ca="1">IFERROR(__xludf.DUMMYFUNCTION("""COMPUTED_VALUE"""),0.385694444444444)</f>
        <v>0.38569444444444401</v>
      </c>
      <c r="G153" s="83">
        <f t="shared" ca="1" si="1"/>
        <v>19</v>
      </c>
      <c r="H153" s="83">
        <f ca="1">IFERROR(__xludf.DUMMYFUNCTION("""COMPUTED_VALUE"""),15)</f>
        <v>15</v>
      </c>
      <c r="I153" s="83">
        <f ca="1">IFERROR(__xludf.DUMMYFUNCTION("""COMPUTED_VALUE"""),24)</f>
        <v>24</v>
      </c>
    </row>
    <row r="154" spans="1:9">
      <c r="A154" s="79">
        <v>372</v>
      </c>
      <c r="B154" s="79">
        <v>7</v>
      </c>
      <c r="C154" s="79">
        <v>379</v>
      </c>
      <c r="D154" s="80">
        <v>43315.396111111113</v>
      </c>
      <c r="E154" s="81">
        <f t="shared" ca="1" si="0"/>
        <v>43313</v>
      </c>
      <c r="F154" s="82">
        <f ca="1">IFERROR(__xludf.DUMMYFUNCTION("""COMPUTED_VALUE"""),0.396111111111111)</f>
        <v>0.39611111111111103</v>
      </c>
      <c r="G154" s="83">
        <f t="shared" ca="1" si="1"/>
        <v>19</v>
      </c>
      <c r="H154" s="83">
        <f ca="1">IFERROR(__xludf.DUMMYFUNCTION("""COMPUTED_VALUE"""),30)</f>
        <v>30</v>
      </c>
      <c r="I154" s="83">
        <f ca="1">IFERROR(__xludf.DUMMYFUNCTION("""COMPUTED_VALUE"""),24)</f>
        <v>24</v>
      </c>
    </row>
    <row r="155" spans="1:9">
      <c r="A155" s="79">
        <v>650</v>
      </c>
      <c r="B155" s="79">
        <v>8</v>
      </c>
      <c r="C155" s="79">
        <v>658</v>
      </c>
      <c r="D155" s="80">
        <v>43315.406527777777</v>
      </c>
      <c r="E155" s="81">
        <f t="shared" ca="1" si="0"/>
        <v>43313</v>
      </c>
      <c r="F155" s="82">
        <f ca="1">IFERROR(__xludf.DUMMYFUNCTION("""COMPUTED_VALUE"""),0.406527777777777)</f>
        <v>0.40652777777777699</v>
      </c>
      <c r="G155" s="83">
        <f t="shared" ca="1" si="1"/>
        <v>19</v>
      </c>
      <c r="H155" s="83">
        <f ca="1">IFERROR(__xludf.DUMMYFUNCTION("""COMPUTED_VALUE"""),45)</f>
        <v>45</v>
      </c>
      <c r="I155" s="83">
        <f ca="1">IFERROR(__xludf.DUMMYFUNCTION("""COMPUTED_VALUE"""),24)</f>
        <v>24</v>
      </c>
    </row>
    <row r="156" spans="1:9">
      <c r="A156" s="79">
        <v>589</v>
      </c>
      <c r="B156" s="79">
        <v>5</v>
      </c>
      <c r="C156" s="79">
        <v>594</v>
      </c>
      <c r="D156" s="80">
        <v>43315.416944444441</v>
      </c>
      <c r="E156" s="81">
        <f t="shared" ca="1" si="0"/>
        <v>43313</v>
      </c>
      <c r="F156" s="82">
        <f ca="1">IFERROR(__xludf.DUMMYFUNCTION("""COMPUTED_VALUE"""),0.416944444444444)</f>
        <v>0.41694444444444401</v>
      </c>
      <c r="G156" s="83">
        <f t="shared" ca="1" si="1"/>
        <v>19</v>
      </c>
      <c r="H156" s="83">
        <f ca="1">IFERROR(__xludf.DUMMYFUNCTION("""COMPUTED_VALUE"""),0)</f>
        <v>0</v>
      </c>
      <c r="I156" s="83">
        <f ca="1">IFERROR(__xludf.DUMMYFUNCTION("""COMPUTED_VALUE"""),24)</f>
        <v>24</v>
      </c>
    </row>
    <row r="157" spans="1:9">
      <c r="A157" s="79">
        <v>562</v>
      </c>
      <c r="B157" s="79">
        <v>10</v>
      </c>
      <c r="C157" s="79">
        <v>572</v>
      </c>
      <c r="D157" s="80">
        <v>43315.427361111113</v>
      </c>
      <c r="E157" s="81">
        <f t="shared" ca="1" si="0"/>
        <v>43313</v>
      </c>
      <c r="F157" s="82">
        <f ca="1">IFERROR(__xludf.DUMMYFUNCTION("""COMPUTED_VALUE"""),0.427361111111111)</f>
        <v>0.42736111111111103</v>
      </c>
      <c r="G157" s="83">
        <f t="shared" ca="1" si="1"/>
        <v>19</v>
      </c>
      <c r="H157" s="83">
        <f ca="1">IFERROR(__xludf.DUMMYFUNCTION("""COMPUTED_VALUE"""),15)</f>
        <v>15</v>
      </c>
      <c r="I157" s="83">
        <f ca="1">IFERROR(__xludf.DUMMYFUNCTION("""COMPUTED_VALUE"""),24)</f>
        <v>24</v>
      </c>
    </row>
    <row r="158" spans="1:9">
      <c r="A158" s="79">
        <v>593</v>
      </c>
      <c r="B158" s="79">
        <v>16</v>
      </c>
      <c r="C158" s="79">
        <v>609</v>
      </c>
      <c r="D158" s="80">
        <v>43315.4377662037</v>
      </c>
      <c r="E158" s="81">
        <f t="shared" ca="1" si="0"/>
        <v>43313</v>
      </c>
      <c r="F158" s="82">
        <f ca="1">IFERROR(__xludf.DUMMYFUNCTION("""COMPUTED_VALUE"""),0.437766203703703)</f>
        <v>0.43776620370370301</v>
      </c>
      <c r="G158" s="83">
        <f t="shared" ca="1" si="1"/>
        <v>19</v>
      </c>
      <c r="H158" s="83">
        <f ca="1">IFERROR(__xludf.DUMMYFUNCTION("""COMPUTED_VALUE"""),30)</f>
        <v>30</v>
      </c>
      <c r="I158" s="83">
        <f ca="1">IFERROR(__xludf.DUMMYFUNCTION("""COMPUTED_VALUE"""),23)</f>
        <v>23</v>
      </c>
    </row>
    <row r="159" spans="1:9">
      <c r="A159" s="79">
        <v>749</v>
      </c>
      <c r="B159" s="79">
        <v>12</v>
      </c>
      <c r="C159" s="79">
        <v>761</v>
      </c>
      <c r="D159" s="80">
        <v>43315.448206018518</v>
      </c>
      <c r="E159" s="81">
        <f t="shared" ca="1" si="0"/>
        <v>43313</v>
      </c>
      <c r="F159" s="82">
        <f ca="1">IFERROR(__xludf.DUMMYFUNCTION("""COMPUTED_VALUE"""),0.448206018518518)</f>
        <v>0.44820601851851799</v>
      </c>
      <c r="G159" s="83">
        <f t="shared" ca="1" si="1"/>
        <v>19</v>
      </c>
      <c r="H159" s="83">
        <f ca="1">IFERROR(__xludf.DUMMYFUNCTION("""COMPUTED_VALUE"""),45)</f>
        <v>45</v>
      </c>
      <c r="I159" s="83">
        <f ca="1">IFERROR(__xludf.DUMMYFUNCTION("""COMPUTED_VALUE"""),25)</f>
        <v>25</v>
      </c>
    </row>
    <row r="160" spans="1:9">
      <c r="A160" s="79">
        <v>557</v>
      </c>
      <c r="B160" s="79">
        <v>9</v>
      </c>
      <c r="C160" s="79">
        <v>566</v>
      </c>
      <c r="D160" s="80">
        <v>43315.458622685182</v>
      </c>
      <c r="E160" s="81">
        <f t="shared" ca="1" si="0"/>
        <v>43313</v>
      </c>
      <c r="F160" s="82">
        <f ca="1">IFERROR(__xludf.DUMMYFUNCTION("""COMPUTED_VALUE"""),0.458622685185185)</f>
        <v>0.45862268518518501</v>
      </c>
      <c r="G160" s="83">
        <f t="shared" ca="1" si="1"/>
        <v>19</v>
      </c>
      <c r="H160" s="83">
        <f ca="1">IFERROR(__xludf.DUMMYFUNCTION("""COMPUTED_VALUE"""),0)</f>
        <v>0</v>
      </c>
      <c r="I160" s="83">
        <f ca="1">IFERROR(__xludf.DUMMYFUNCTION("""COMPUTED_VALUE"""),25)</f>
        <v>25</v>
      </c>
    </row>
    <row r="161" spans="1:9">
      <c r="A161" s="79">
        <v>442</v>
      </c>
      <c r="B161" s="79">
        <v>7</v>
      </c>
      <c r="C161" s="79">
        <v>449</v>
      </c>
      <c r="D161" s="80">
        <v>43315.469027777777</v>
      </c>
      <c r="E161" s="81">
        <f t="shared" ca="1" si="0"/>
        <v>43313</v>
      </c>
      <c r="F161" s="82">
        <f ca="1">IFERROR(__xludf.DUMMYFUNCTION("""COMPUTED_VALUE"""),0.469027777777777)</f>
        <v>0.46902777777777699</v>
      </c>
      <c r="G161" s="83">
        <f t="shared" ca="1" si="1"/>
        <v>19</v>
      </c>
      <c r="H161" s="83">
        <f ca="1">IFERROR(__xludf.DUMMYFUNCTION("""COMPUTED_VALUE"""),15)</f>
        <v>15</v>
      </c>
      <c r="I161" s="83">
        <f ca="1">IFERROR(__xludf.DUMMYFUNCTION("""COMPUTED_VALUE"""),24)</f>
        <v>24</v>
      </c>
    </row>
    <row r="162" spans="1:9">
      <c r="A162" s="79">
        <v>387</v>
      </c>
      <c r="B162" s="79">
        <v>8</v>
      </c>
      <c r="C162" s="79">
        <v>395</v>
      </c>
      <c r="D162" s="80">
        <v>43315.479444444441</v>
      </c>
      <c r="E162" s="81">
        <f t="shared" ca="1" si="0"/>
        <v>43313</v>
      </c>
      <c r="F162" s="82">
        <f ca="1">IFERROR(__xludf.DUMMYFUNCTION("""COMPUTED_VALUE"""),0.479444444444444)</f>
        <v>0.47944444444444401</v>
      </c>
      <c r="G162" s="83">
        <f t="shared" ca="1" si="1"/>
        <v>19</v>
      </c>
      <c r="H162" s="83">
        <f ca="1">IFERROR(__xludf.DUMMYFUNCTION("""COMPUTED_VALUE"""),30)</f>
        <v>30</v>
      </c>
      <c r="I162" s="83">
        <f ca="1">IFERROR(__xludf.DUMMYFUNCTION("""COMPUTED_VALUE"""),24)</f>
        <v>24</v>
      </c>
    </row>
    <row r="163" spans="1:9">
      <c r="A163" s="79">
        <v>346</v>
      </c>
      <c r="B163" s="79">
        <v>4</v>
      </c>
      <c r="C163" s="79">
        <v>350</v>
      </c>
      <c r="D163" s="80">
        <v>43315.489861111113</v>
      </c>
      <c r="E163" s="81">
        <f t="shared" ca="1" si="0"/>
        <v>43313</v>
      </c>
      <c r="F163" s="82">
        <f ca="1">IFERROR(__xludf.DUMMYFUNCTION("""COMPUTED_VALUE"""),0.489861111111111)</f>
        <v>0.48986111111111103</v>
      </c>
      <c r="G163" s="83">
        <f t="shared" ca="1" si="1"/>
        <v>19</v>
      </c>
      <c r="H163" s="83">
        <f ca="1">IFERROR(__xludf.DUMMYFUNCTION("""COMPUTED_VALUE"""),45)</f>
        <v>45</v>
      </c>
      <c r="I163" s="83">
        <f ca="1">IFERROR(__xludf.DUMMYFUNCTION("""COMPUTED_VALUE"""),24)</f>
        <v>24</v>
      </c>
    </row>
    <row r="164" spans="1:9">
      <c r="A164" s="79">
        <v>285</v>
      </c>
      <c r="B164" s="79">
        <v>3</v>
      </c>
      <c r="C164" s="79">
        <v>288</v>
      </c>
      <c r="D164" s="80">
        <v>43315.5002662037</v>
      </c>
      <c r="E164" s="81">
        <f t="shared" ca="1" si="0"/>
        <v>43313</v>
      </c>
      <c r="F164" s="82">
        <f ca="1">IFERROR(__xludf.DUMMYFUNCTION("""COMPUTED_VALUE"""),0.500266203703703)</f>
        <v>0.50026620370370301</v>
      </c>
      <c r="G164" s="83">
        <f t="shared" ca="1" si="1"/>
        <v>19</v>
      </c>
      <c r="H164" s="83">
        <f ca="1">IFERROR(__xludf.DUMMYFUNCTION("""COMPUTED_VALUE"""),0)</f>
        <v>0</v>
      </c>
      <c r="I164" s="83">
        <f ca="1">IFERROR(__xludf.DUMMYFUNCTION("""COMPUTED_VALUE"""),23)</f>
        <v>23</v>
      </c>
    </row>
    <row r="165" spans="1:9">
      <c r="A165" s="79">
        <v>260</v>
      </c>
      <c r="B165" s="79">
        <v>2</v>
      </c>
      <c r="C165" s="79">
        <v>262</v>
      </c>
      <c r="D165" s="80">
        <v>43315.510694444441</v>
      </c>
      <c r="E165" s="81">
        <f t="shared" ca="1" si="0"/>
        <v>43313</v>
      </c>
      <c r="F165" s="82">
        <f ca="1">IFERROR(__xludf.DUMMYFUNCTION("""COMPUTED_VALUE"""),0.510694444444444)</f>
        <v>0.51069444444444401</v>
      </c>
      <c r="G165" s="83">
        <f t="shared" ca="1" si="1"/>
        <v>19</v>
      </c>
      <c r="H165" s="83">
        <f ca="1">IFERROR(__xludf.DUMMYFUNCTION("""COMPUTED_VALUE"""),15)</f>
        <v>15</v>
      </c>
      <c r="I165" s="83">
        <f ca="1">IFERROR(__xludf.DUMMYFUNCTION("""COMPUTED_VALUE"""),24)</f>
        <v>24</v>
      </c>
    </row>
    <row r="166" spans="1:9">
      <c r="A166" s="79">
        <v>293</v>
      </c>
      <c r="B166" s="79">
        <v>1</v>
      </c>
      <c r="C166" s="79">
        <v>294</v>
      </c>
      <c r="D166" s="80">
        <v>43315.521099537036</v>
      </c>
      <c r="E166" s="81">
        <f t="shared" ca="1" si="0"/>
        <v>43313</v>
      </c>
      <c r="F166" s="82">
        <f ca="1">IFERROR(__xludf.DUMMYFUNCTION("""COMPUTED_VALUE"""),0.521099537037037)</f>
        <v>0.52109953703703704</v>
      </c>
      <c r="G166" s="83">
        <f t="shared" ca="1" si="1"/>
        <v>19</v>
      </c>
      <c r="H166" s="83">
        <f ca="1">IFERROR(__xludf.DUMMYFUNCTION("""COMPUTED_VALUE"""),30)</f>
        <v>30</v>
      </c>
      <c r="I166" s="83">
        <f ca="1">IFERROR(__xludf.DUMMYFUNCTION("""COMPUTED_VALUE"""),23)</f>
        <v>23</v>
      </c>
    </row>
    <row r="167" spans="1:9">
      <c r="A167" s="79">
        <v>313</v>
      </c>
      <c r="B167" s="79">
        <v>3</v>
      </c>
      <c r="C167" s="79">
        <v>316</v>
      </c>
      <c r="D167" s="80">
        <v>43315.5315162037</v>
      </c>
      <c r="E167" s="81">
        <f t="shared" ca="1" si="0"/>
        <v>43313</v>
      </c>
      <c r="F167" s="82">
        <f ca="1">IFERROR(__xludf.DUMMYFUNCTION("""COMPUTED_VALUE"""),0.531516203703703)</f>
        <v>0.53151620370370301</v>
      </c>
      <c r="G167" s="83">
        <f t="shared" ca="1" si="1"/>
        <v>19</v>
      </c>
      <c r="H167" s="83">
        <f ca="1">IFERROR(__xludf.DUMMYFUNCTION("""COMPUTED_VALUE"""),45)</f>
        <v>45</v>
      </c>
      <c r="I167" s="83">
        <f ca="1">IFERROR(__xludf.DUMMYFUNCTION("""COMPUTED_VALUE"""),23)</f>
        <v>23</v>
      </c>
    </row>
    <row r="168" spans="1:9">
      <c r="A168" s="79">
        <v>292</v>
      </c>
      <c r="B168" s="79">
        <v>1</v>
      </c>
      <c r="C168" s="79">
        <v>293</v>
      </c>
      <c r="D168" s="80">
        <v>43315.541967592595</v>
      </c>
      <c r="E168" s="81">
        <f t="shared" ca="1" si="0"/>
        <v>43313</v>
      </c>
      <c r="F168" s="82">
        <f ca="1">IFERROR(__xludf.DUMMYFUNCTION("""COMPUTED_VALUE"""),0.541967592592592)</f>
        <v>0.54196759259259197</v>
      </c>
      <c r="G168" s="83">
        <f t="shared" ca="1" si="1"/>
        <v>19</v>
      </c>
      <c r="H168" s="83">
        <f ca="1">IFERROR(__xludf.DUMMYFUNCTION("""COMPUTED_VALUE"""),0)</f>
        <v>0</v>
      </c>
      <c r="I168" s="83">
        <f ca="1">IFERROR(__xludf.DUMMYFUNCTION("""COMPUTED_VALUE"""),26)</f>
        <v>26</v>
      </c>
    </row>
    <row r="169" spans="1:9">
      <c r="A169" s="79">
        <v>308</v>
      </c>
      <c r="B169" s="79">
        <v>1</v>
      </c>
      <c r="C169" s="79">
        <v>309</v>
      </c>
      <c r="D169" s="80">
        <v>43315.552349537036</v>
      </c>
      <c r="E169" s="81">
        <f t="shared" ca="1" si="0"/>
        <v>43313</v>
      </c>
      <c r="F169" s="82">
        <f ca="1">IFERROR(__xludf.DUMMYFUNCTION("""COMPUTED_VALUE"""),0.552349537037037)</f>
        <v>0.55234953703703704</v>
      </c>
      <c r="G169" s="83">
        <f t="shared" ca="1" si="1"/>
        <v>19</v>
      </c>
      <c r="H169" s="83">
        <f ca="1">IFERROR(__xludf.DUMMYFUNCTION("""COMPUTED_VALUE"""),15)</f>
        <v>15</v>
      </c>
      <c r="I169" s="83">
        <f ca="1">IFERROR(__xludf.DUMMYFUNCTION("""COMPUTED_VALUE"""),23)</f>
        <v>23</v>
      </c>
    </row>
    <row r="170" spans="1:9">
      <c r="A170" s="79">
        <v>288</v>
      </c>
      <c r="B170" s="79">
        <v>3</v>
      </c>
      <c r="C170" s="79">
        <v>291</v>
      </c>
      <c r="D170" s="80">
        <v>43315.562777777777</v>
      </c>
      <c r="E170" s="81">
        <f t="shared" ca="1" si="0"/>
        <v>43313</v>
      </c>
      <c r="F170" s="82">
        <f ca="1">IFERROR(__xludf.DUMMYFUNCTION("""COMPUTED_VALUE"""),0.562777777777777)</f>
        <v>0.56277777777777704</v>
      </c>
      <c r="G170" s="83">
        <f t="shared" ca="1" si="1"/>
        <v>19</v>
      </c>
      <c r="H170" s="83">
        <f ca="1">IFERROR(__xludf.DUMMYFUNCTION("""COMPUTED_VALUE"""),30)</f>
        <v>30</v>
      </c>
      <c r="I170" s="83">
        <f ca="1">IFERROR(__xludf.DUMMYFUNCTION("""COMPUTED_VALUE"""),24)</f>
        <v>24</v>
      </c>
    </row>
    <row r="171" spans="1:9">
      <c r="A171" s="79">
        <v>343</v>
      </c>
      <c r="B171" s="79">
        <v>7</v>
      </c>
      <c r="C171" s="79">
        <v>350</v>
      </c>
      <c r="D171" s="80">
        <v>43315.573194444441</v>
      </c>
      <c r="E171" s="81">
        <f t="shared" ca="1" si="0"/>
        <v>43313</v>
      </c>
      <c r="F171" s="82">
        <f ca="1">IFERROR(__xludf.DUMMYFUNCTION("""COMPUTED_VALUE"""),0.573194444444444)</f>
        <v>0.57319444444444401</v>
      </c>
      <c r="G171" s="83">
        <f t="shared" ca="1" si="1"/>
        <v>19</v>
      </c>
      <c r="H171" s="83">
        <f ca="1">IFERROR(__xludf.DUMMYFUNCTION("""COMPUTED_VALUE"""),45)</f>
        <v>45</v>
      </c>
      <c r="I171" s="83">
        <f ca="1">IFERROR(__xludf.DUMMYFUNCTION("""COMPUTED_VALUE"""),24)</f>
        <v>24</v>
      </c>
    </row>
    <row r="172" spans="1:9">
      <c r="A172" s="79">
        <v>302</v>
      </c>
      <c r="B172" s="79">
        <v>2</v>
      </c>
      <c r="C172" s="79">
        <v>304</v>
      </c>
      <c r="D172" s="80">
        <v>43315.583634259259</v>
      </c>
      <c r="E172" s="81">
        <f t="shared" ca="1" si="0"/>
        <v>43313</v>
      </c>
      <c r="F172" s="82">
        <f ca="1">IFERROR(__xludf.DUMMYFUNCTION("""COMPUTED_VALUE"""),0.583634259259259)</f>
        <v>0.58363425925925905</v>
      </c>
      <c r="G172" s="83">
        <f t="shared" ca="1" si="1"/>
        <v>19</v>
      </c>
      <c r="H172" s="83">
        <f ca="1">IFERROR(__xludf.DUMMYFUNCTION("""COMPUTED_VALUE"""),0)</f>
        <v>0</v>
      </c>
      <c r="I172" s="83">
        <f ca="1">IFERROR(__xludf.DUMMYFUNCTION("""COMPUTED_VALUE"""),26)</f>
        <v>26</v>
      </c>
    </row>
    <row r="173" spans="1:9">
      <c r="A173" s="79">
        <v>322</v>
      </c>
      <c r="B173" s="79">
        <v>2</v>
      </c>
      <c r="C173" s="79">
        <v>324</v>
      </c>
      <c r="D173" s="80">
        <v>43315.5940162037</v>
      </c>
      <c r="E173" s="81">
        <f t="shared" ca="1" si="0"/>
        <v>43313</v>
      </c>
      <c r="F173" s="82">
        <f ca="1">IFERROR(__xludf.DUMMYFUNCTION("""COMPUTED_VALUE"""),0.594016203703703)</f>
        <v>0.59401620370370301</v>
      </c>
      <c r="G173" s="83">
        <f t="shared" ca="1" si="1"/>
        <v>19</v>
      </c>
      <c r="H173" s="83">
        <f ca="1">IFERROR(__xludf.DUMMYFUNCTION("""COMPUTED_VALUE"""),15)</f>
        <v>15</v>
      </c>
      <c r="I173" s="83">
        <f ca="1">IFERROR(__xludf.DUMMYFUNCTION("""COMPUTED_VALUE"""),23)</f>
        <v>23</v>
      </c>
    </row>
    <row r="174" spans="1:9">
      <c r="A174" s="79">
        <v>351</v>
      </c>
      <c r="B174" s="79">
        <v>3</v>
      </c>
      <c r="C174" s="79">
        <v>354</v>
      </c>
      <c r="D174" s="80">
        <v>43315.604444444441</v>
      </c>
      <c r="E174" s="81">
        <f t="shared" ca="1" si="0"/>
        <v>43313</v>
      </c>
      <c r="F174" s="82">
        <f ca="1">IFERROR(__xludf.DUMMYFUNCTION("""COMPUTED_VALUE"""),0.604444444444444)</f>
        <v>0.60444444444444401</v>
      </c>
      <c r="G174" s="83">
        <f t="shared" ca="1" si="1"/>
        <v>19</v>
      </c>
      <c r="H174" s="83">
        <f ca="1">IFERROR(__xludf.DUMMYFUNCTION("""COMPUTED_VALUE"""),30)</f>
        <v>30</v>
      </c>
      <c r="I174" s="83">
        <f ca="1">IFERROR(__xludf.DUMMYFUNCTION("""COMPUTED_VALUE"""),24)</f>
        <v>24</v>
      </c>
    </row>
    <row r="175" spans="1:9">
      <c r="A175" s="79">
        <v>351</v>
      </c>
      <c r="B175" s="79">
        <v>3</v>
      </c>
      <c r="C175" s="79">
        <v>354</v>
      </c>
      <c r="D175" s="80">
        <v>43315.614849537036</v>
      </c>
      <c r="E175" s="81">
        <f t="shared" ca="1" si="0"/>
        <v>43313</v>
      </c>
      <c r="F175" s="82">
        <f ca="1">IFERROR(__xludf.DUMMYFUNCTION("""COMPUTED_VALUE"""),0.614849537037037)</f>
        <v>0.61484953703703704</v>
      </c>
      <c r="G175" s="83">
        <f t="shared" ca="1" si="1"/>
        <v>19</v>
      </c>
      <c r="H175" s="83">
        <f ca="1">IFERROR(__xludf.DUMMYFUNCTION("""COMPUTED_VALUE"""),45)</f>
        <v>45</v>
      </c>
      <c r="I175" s="83">
        <f ca="1">IFERROR(__xludf.DUMMYFUNCTION("""COMPUTED_VALUE"""),23)</f>
        <v>23</v>
      </c>
    </row>
    <row r="176" spans="1:9">
      <c r="A176" s="79">
        <v>352</v>
      </c>
      <c r="B176" s="79">
        <v>5</v>
      </c>
      <c r="C176" s="79">
        <v>357</v>
      </c>
      <c r="D176" s="80">
        <v>43315.625289351854</v>
      </c>
      <c r="E176" s="81">
        <f t="shared" ca="1" si="0"/>
        <v>43313</v>
      </c>
      <c r="F176" s="82">
        <f ca="1">IFERROR(__xludf.DUMMYFUNCTION("""COMPUTED_VALUE"""),0.625289351851851)</f>
        <v>0.62528935185185097</v>
      </c>
      <c r="G176" s="83">
        <f t="shared" ca="1" si="1"/>
        <v>19</v>
      </c>
      <c r="H176" s="83">
        <f ca="1">IFERROR(__xludf.DUMMYFUNCTION("""COMPUTED_VALUE"""),0)</f>
        <v>0</v>
      </c>
      <c r="I176" s="83">
        <f ca="1">IFERROR(__xludf.DUMMYFUNCTION("""COMPUTED_VALUE"""),25)</f>
        <v>25</v>
      </c>
    </row>
    <row r="177" spans="1:9">
      <c r="A177" s="79">
        <v>378</v>
      </c>
      <c r="B177" s="79">
        <v>3</v>
      </c>
      <c r="C177" s="79">
        <v>373</v>
      </c>
      <c r="D177" s="80">
        <v>43315.635694444441</v>
      </c>
      <c r="E177" s="81">
        <f t="shared" ca="1" si="0"/>
        <v>43313</v>
      </c>
      <c r="F177" s="82">
        <f ca="1">IFERROR(__xludf.DUMMYFUNCTION("""COMPUTED_VALUE"""),0.635694444444444)</f>
        <v>0.63569444444444401</v>
      </c>
      <c r="G177" s="83">
        <f t="shared" ca="1" si="1"/>
        <v>19</v>
      </c>
      <c r="H177" s="83">
        <f ca="1">IFERROR(__xludf.DUMMYFUNCTION("""COMPUTED_VALUE"""),15)</f>
        <v>15</v>
      </c>
      <c r="I177" s="83">
        <f ca="1">IFERROR(__xludf.DUMMYFUNCTION("""COMPUTED_VALUE"""),24)</f>
        <v>24</v>
      </c>
    </row>
    <row r="178" spans="1:9">
      <c r="A178" s="79">
        <v>383</v>
      </c>
      <c r="B178" s="79">
        <v>3</v>
      </c>
      <c r="C178" s="79">
        <v>386</v>
      </c>
      <c r="D178" s="80">
        <v>43315.646099537036</v>
      </c>
      <c r="E178" s="81">
        <f t="shared" ca="1" si="0"/>
        <v>43313</v>
      </c>
      <c r="F178" s="82">
        <f ca="1">IFERROR(__xludf.DUMMYFUNCTION("""COMPUTED_VALUE"""),0.646099537037037)</f>
        <v>0.64609953703703704</v>
      </c>
      <c r="G178" s="83">
        <f t="shared" ca="1" si="1"/>
        <v>19</v>
      </c>
      <c r="H178" s="83">
        <f ca="1">IFERROR(__xludf.DUMMYFUNCTION("""COMPUTED_VALUE"""),30)</f>
        <v>30</v>
      </c>
      <c r="I178" s="83">
        <f ca="1">IFERROR(__xludf.DUMMYFUNCTION("""COMPUTED_VALUE"""),23)</f>
        <v>23</v>
      </c>
    </row>
    <row r="179" spans="1:9">
      <c r="A179" s="79">
        <v>412</v>
      </c>
      <c r="B179" s="79">
        <v>1</v>
      </c>
      <c r="C179" s="79">
        <v>413</v>
      </c>
      <c r="D179" s="80">
        <v>43315.656527777777</v>
      </c>
      <c r="E179" s="81">
        <f t="shared" ca="1" si="0"/>
        <v>43313</v>
      </c>
      <c r="F179" s="82">
        <f ca="1">IFERROR(__xludf.DUMMYFUNCTION("""COMPUTED_VALUE"""),0.656527777777777)</f>
        <v>0.65652777777777704</v>
      </c>
      <c r="G179" s="83">
        <f t="shared" ca="1" si="1"/>
        <v>19</v>
      </c>
      <c r="H179" s="83">
        <f ca="1">IFERROR(__xludf.DUMMYFUNCTION("""COMPUTED_VALUE"""),45)</f>
        <v>45</v>
      </c>
      <c r="I179" s="83">
        <f ca="1">IFERROR(__xludf.DUMMYFUNCTION("""COMPUTED_VALUE"""),24)</f>
        <v>24</v>
      </c>
    </row>
    <row r="180" spans="1:9">
      <c r="A180" s="79">
        <v>390</v>
      </c>
      <c r="B180" s="79">
        <v>4</v>
      </c>
      <c r="C180" s="79">
        <v>394</v>
      </c>
      <c r="D180" s="80">
        <v>43315.666944444441</v>
      </c>
      <c r="E180" s="81">
        <f t="shared" ca="1" si="0"/>
        <v>43313</v>
      </c>
      <c r="F180" s="82">
        <f ca="1">IFERROR(__xludf.DUMMYFUNCTION("""COMPUTED_VALUE"""),0.666944444444444)</f>
        <v>0.66694444444444401</v>
      </c>
      <c r="G180" s="83">
        <f t="shared" ca="1" si="1"/>
        <v>19</v>
      </c>
      <c r="H180" s="83">
        <f ca="1">IFERROR(__xludf.DUMMYFUNCTION("""COMPUTED_VALUE"""),0)</f>
        <v>0</v>
      </c>
      <c r="I180" s="83">
        <f ca="1">IFERROR(__xludf.DUMMYFUNCTION("""COMPUTED_VALUE"""),24)</f>
        <v>24</v>
      </c>
    </row>
    <row r="181" spans="1:9">
      <c r="A181" s="79">
        <v>504</v>
      </c>
      <c r="B181" s="79">
        <v>1</v>
      </c>
      <c r="C181" s="79">
        <v>505</v>
      </c>
      <c r="D181" s="80">
        <v>43315.677349537036</v>
      </c>
      <c r="E181" s="81">
        <f t="shared" ca="1" si="0"/>
        <v>43313</v>
      </c>
      <c r="F181" s="82">
        <f ca="1">IFERROR(__xludf.DUMMYFUNCTION("""COMPUTED_VALUE"""),0.677349537037037)</f>
        <v>0.67734953703703704</v>
      </c>
      <c r="G181" s="83">
        <f t="shared" ca="1" si="1"/>
        <v>19</v>
      </c>
      <c r="H181" s="83">
        <f ca="1">IFERROR(__xludf.DUMMYFUNCTION("""COMPUTED_VALUE"""),15)</f>
        <v>15</v>
      </c>
      <c r="I181" s="83">
        <f ca="1">IFERROR(__xludf.DUMMYFUNCTION("""COMPUTED_VALUE"""),23)</f>
        <v>23</v>
      </c>
    </row>
    <row r="182" spans="1:9">
      <c r="A182" s="79">
        <v>501</v>
      </c>
      <c r="B182" s="79">
        <v>4</v>
      </c>
      <c r="C182" s="79">
        <v>505</v>
      </c>
      <c r="D182" s="80">
        <v>43315.6877662037</v>
      </c>
      <c r="E182" s="81">
        <f t="shared" ca="1" si="0"/>
        <v>43313</v>
      </c>
      <c r="F182" s="82">
        <f ca="1">IFERROR(__xludf.DUMMYFUNCTION("""COMPUTED_VALUE"""),0.687766203703703)</f>
        <v>0.68776620370370301</v>
      </c>
      <c r="G182" s="83">
        <f t="shared" ca="1" si="1"/>
        <v>19</v>
      </c>
      <c r="H182" s="83">
        <f ca="1">IFERROR(__xludf.DUMMYFUNCTION("""COMPUTED_VALUE"""),30)</f>
        <v>30</v>
      </c>
      <c r="I182" s="83">
        <f ca="1">IFERROR(__xludf.DUMMYFUNCTION("""COMPUTED_VALUE"""),23)</f>
        <v>23</v>
      </c>
    </row>
    <row r="183" spans="1:9">
      <c r="A183" s="79">
        <v>508</v>
      </c>
      <c r="B183" s="79">
        <v>11</v>
      </c>
      <c r="C183" s="79">
        <v>514</v>
      </c>
      <c r="D183" s="80">
        <v>43315.698194444441</v>
      </c>
      <c r="E183" s="81">
        <f t="shared" ca="1" si="0"/>
        <v>43313</v>
      </c>
      <c r="F183" s="82">
        <f ca="1">IFERROR(__xludf.DUMMYFUNCTION("""COMPUTED_VALUE"""),0.698194444444444)</f>
        <v>0.69819444444444401</v>
      </c>
      <c r="G183" s="83">
        <f t="shared" ca="1" si="1"/>
        <v>19</v>
      </c>
      <c r="H183" s="83">
        <f ca="1">IFERROR(__xludf.DUMMYFUNCTION("""COMPUTED_VALUE"""),45)</f>
        <v>45</v>
      </c>
      <c r="I183" s="83">
        <f ca="1">IFERROR(__xludf.DUMMYFUNCTION("""COMPUTED_VALUE"""),24)</f>
        <v>24</v>
      </c>
    </row>
    <row r="184" spans="1:9">
      <c r="A184" s="79">
        <v>447</v>
      </c>
      <c r="B184" s="79">
        <v>9</v>
      </c>
      <c r="C184" s="79">
        <v>456</v>
      </c>
      <c r="D184" s="80">
        <v>43315.708611111113</v>
      </c>
      <c r="E184" s="81">
        <f t="shared" ca="1" si="0"/>
        <v>43313</v>
      </c>
      <c r="F184" s="82">
        <f ca="1">IFERROR(__xludf.DUMMYFUNCTION("""COMPUTED_VALUE"""),0.708611111111111)</f>
        <v>0.70861111111111097</v>
      </c>
      <c r="G184" s="83">
        <f t="shared" ca="1" si="1"/>
        <v>19</v>
      </c>
      <c r="H184" s="83">
        <f ca="1">IFERROR(__xludf.DUMMYFUNCTION("""COMPUTED_VALUE"""),0)</f>
        <v>0</v>
      </c>
      <c r="I184" s="83">
        <f ca="1">IFERROR(__xludf.DUMMYFUNCTION("""COMPUTED_VALUE"""),24)</f>
        <v>24</v>
      </c>
    </row>
    <row r="185" spans="1:9">
      <c r="A185" s="79">
        <v>657</v>
      </c>
      <c r="B185" s="79">
        <v>8</v>
      </c>
      <c r="C185" s="79">
        <v>665</v>
      </c>
      <c r="D185" s="80">
        <v>43315.719027777777</v>
      </c>
      <c r="E185" s="81">
        <f t="shared" ca="1" si="0"/>
        <v>43313</v>
      </c>
      <c r="F185" s="82">
        <f ca="1">IFERROR(__xludf.DUMMYFUNCTION("""COMPUTED_VALUE"""),0.719027777777777)</f>
        <v>0.71902777777777704</v>
      </c>
      <c r="G185" s="83">
        <f t="shared" ca="1" si="1"/>
        <v>19</v>
      </c>
      <c r="H185" s="83">
        <f ca="1">IFERROR(__xludf.DUMMYFUNCTION("""COMPUTED_VALUE"""),15)</f>
        <v>15</v>
      </c>
      <c r="I185" s="83">
        <f ca="1">IFERROR(__xludf.DUMMYFUNCTION("""COMPUTED_VALUE"""),24)</f>
        <v>24</v>
      </c>
    </row>
    <row r="186" spans="1:9">
      <c r="A186" s="79">
        <v>586</v>
      </c>
      <c r="B186" s="79">
        <v>6</v>
      </c>
      <c r="C186" s="79">
        <v>592</v>
      </c>
      <c r="D186" s="80">
        <v>43315.729432870372</v>
      </c>
      <c r="E186" s="81">
        <f t="shared" ca="1" si="0"/>
        <v>43313</v>
      </c>
      <c r="F186" s="82">
        <f ca="1">IFERROR(__xludf.DUMMYFUNCTION("""COMPUTED_VALUE"""),0.72943287037037)</f>
        <v>0.72943287037036997</v>
      </c>
      <c r="G186" s="83">
        <f t="shared" ca="1" si="1"/>
        <v>19</v>
      </c>
      <c r="H186" s="83">
        <f ca="1">IFERROR(__xludf.DUMMYFUNCTION("""COMPUTED_VALUE"""),30)</f>
        <v>30</v>
      </c>
      <c r="I186" s="83">
        <f ca="1">IFERROR(__xludf.DUMMYFUNCTION("""COMPUTED_VALUE"""),23)</f>
        <v>23</v>
      </c>
    </row>
    <row r="187" spans="1:9">
      <c r="A187" s="79">
        <v>473</v>
      </c>
      <c r="B187" s="79">
        <v>7</v>
      </c>
      <c r="C187" s="79">
        <v>480</v>
      </c>
      <c r="D187" s="80">
        <v>43315.739861111113</v>
      </c>
      <c r="E187" s="81">
        <f t="shared" ca="1" si="0"/>
        <v>43313</v>
      </c>
      <c r="F187" s="82">
        <f ca="1">IFERROR(__xludf.DUMMYFUNCTION("""COMPUTED_VALUE"""),0.739861111111111)</f>
        <v>0.73986111111111097</v>
      </c>
      <c r="G187" s="83">
        <f t="shared" ca="1" si="1"/>
        <v>19</v>
      </c>
      <c r="H187" s="83">
        <f ca="1">IFERROR(__xludf.DUMMYFUNCTION("""COMPUTED_VALUE"""),45)</f>
        <v>45</v>
      </c>
      <c r="I187" s="83">
        <f ca="1">IFERROR(__xludf.DUMMYFUNCTION("""COMPUTED_VALUE"""),24)</f>
        <v>24</v>
      </c>
    </row>
    <row r="188" spans="1:9">
      <c r="A188" s="79">
        <v>434</v>
      </c>
      <c r="B188" s="79">
        <v>6</v>
      </c>
      <c r="C188" s="79">
        <v>440</v>
      </c>
      <c r="D188" s="80">
        <v>43315.7502662037</v>
      </c>
      <c r="E188" s="81">
        <f t="shared" ca="1" si="0"/>
        <v>43313</v>
      </c>
      <c r="F188" s="82">
        <f ca="1">IFERROR(__xludf.DUMMYFUNCTION("""COMPUTED_VALUE"""),0.750266203703703)</f>
        <v>0.75026620370370301</v>
      </c>
      <c r="G188" s="83">
        <f t="shared" ca="1" si="1"/>
        <v>19</v>
      </c>
      <c r="H188" s="83">
        <f ca="1">IFERROR(__xludf.DUMMYFUNCTION("""COMPUTED_VALUE"""),0)</f>
        <v>0</v>
      </c>
      <c r="I188" s="83">
        <f ca="1">IFERROR(__xludf.DUMMYFUNCTION("""COMPUTED_VALUE"""),23)</f>
        <v>23</v>
      </c>
    </row>
    <row r="189" spans="1:9">
      <c r="A189" s="79">
        <v>496</v>
      </c>
      <c r="B189" s="79">
        <v>4</v>
      </c>
      <c r="C189" s="79">
        <v>500</v>
      </c>
      <c r="D189" s="80">
        <v>43315.760682870372</v>
      </c>
      <c r="E189" s="81">
        <f t="shared" ca="1" si="0"/>
        <v>43313</v>
      </c>
      <c r="F189" s="82">
        <f ca="1">IFERROR(__xludf.DUMMYFUNCTION("""COMPUTED_VALUE"""),0.76068287037037)</f>
        <v>0.76068287037036997</v>
      </c>
      <c r="G189" s="83">
        <f t="shared" ca="1" si="1"/>
        <v>19</v>
      </c>
      <c r="H189" s="83">
        <f ca="1">IFERROR(__xludf.DUMMYFUNCTION("""COMPUTED_VALUE"""),15)</f>
        <v>15</v>
      </c>
      <c r="I189" s="83">
        <f ca="1">IFERROR(__xludf.DUMMYFUNCTION("""COMPUTED_VALUE"""),23)</f>
        <v>23</v>
      </c>
    </row>
    <row r="190" spans="1:9">
      <c r="A190" s="79">
        <v>505</v>
      </c>
      <c r="B190" s="79">
        <v>4</v>
      </c>
      <c r="C190" s="79">
        <v>509</v>
      </c>
      <c r="D190" s="80">
        <v>43315.771099537036</v>
      </c>
      <c r="E190" s="81">
        <f t="shared" ca="1" si="0"/>
        <v>43313</v>
      </c>
      <c r="F190" s="82">
        <f ca="1">IFERROR(__xludf.DUMMYFUNCTION("""COMPUTED_VALUE"""),0.771099537037037)</f>
        <v>0.77109953703703704</v>
      </c>
      <c r="G190" s="83">
        <f t="shared" ca="1" si="1"/>
        <v>19</v>
      </c>
      <c r="H190" s="83">
        <f ca="1">IFERROR(__xludf.DUMMYFUNCTION("""COMPUTED_VALUE"""),30)</f>
        <v>30</v>
      </c>
      <c r="I190" s="83">
        <f ca="1">IFERROR(__xludf.DUMMYFUNCTION("""COMPUTED_VALUE"""),23)</f>
        <v>23</v>
      </c>
    </row>
    <row r="191" spans="1:9">
      <c r="A191" s="79">
        <v>499</v>
      </c>
      <c r="B191" s="79">
        <v>4</v>
      </c>
      <c r="C191" s="79">
        <v>503</v>
      </c>
      <c r="D191" s="80">
        <v>43315.7815162037</v>
      </c>
      <c r="E191" s="81">
        <f t="shared" ca="1" si="0"/>
        <v>43313</v>
      </c>
      <c r="F191" s="82">
        <f ca="1">IFERROR(__xludf.DUMMYFUNCTION("""COMPUTED_VALUE"""),0.781516203703703)</f>
        <v>0.78151620370370301</v>
      </c>
      <c r="G191" s="83">
        <f t="shared" ca="1" si="1"/>
        <v>19</v>
      </c>
      <c r="H191" s="83">
        <f ca="1">IFERROR(__xludf.DUMMYFUNCTION("""COMPUTED_VALUE"""),45)</f>
        <v>45</v>
      </c>
      <c r="I191" s="83">
        <f ca="1">IFERROR(__xludf.DUMMYFUNCTION("""COMPUTED_VALUE"""),23)</f>
        <v>23</v>
      </c>
    </row>
    <row r="192" spans="1:9">
      <c r="A192" s="79">
        <v>463</v>
      </c>
      <c r="B192" s="79">
        <v>6</v>
      </c>
      <c r="C192" s="79">
        <v>469</v>
      </c>
      <c r="D192" s="80">
        <v>43315.791932870372</v>
      </c>
      <c r="E192" s="81">
        <f t="shared" ca="1" si="0"/>
        <v>43313</v>
      </c>
      <c r="F192" s="82">
        <f ca="1">IFERROR(__xludf.DUMMYFUNCTION("""COMPUTED_VALUE"""),0.79193287037037)</f>
        <v>0.79193287037036997</v>
      </c>
      <c r="G192" s="83">
        <f t="shared" ca="1" si="1"/>
        <v>19</v>
      </c>
      <c r="H192" s="83">
        <f ca="1">IFERROR(__xludf.DUMMYFUNCTION("""COMPUTED_VALUE"""),0)</f>
        <v>0</v>
      </c>
      <c r="I192" s="83">
        <f ca="1">IFERROR(__xludf.DUMMYFUNCTION("""COMPUTED_VALUE"""),23)</f>
        <v>23</v>
      </c>
    </row>
    <row r="193" spans="1:9">
      <c r="A193" s="79">
        <v>553</v>
      </c>
      <c r="B193" s="79">
        <v>5</v>
      </c>
      <c r="C193" s="79">
        <v>558</v>
      </c>
      <c r="D193" s="80">
        <v>43315.802349537036</v>
      </c>
      <c r="E193" s="81">
        <f t="shared" ca="1" si="0"/>
        <v>43313</v>
      </c>
      <c r="F193" s="82">
        <f ca="1">IFERROR(__xludf.DUMMYFUNCTION("""COMPUTED_VALUE"""),0.802349537037037)</f>
        <v>0.80234953703703704</v>
      </c>
      <c r="G193" s="83">
        <f t="shared" ca="1" si="1"/>
        <v>19</v>
      </c>
      <c r="H193" s="83">
        <f ca="1">IFERROR(__xludf.DUMMYFUNCTION("""COMPUTED_VALUE"""),15)</f>
        <v>15</v>
      </c>
      <c r="I193" s="83">
        <f ca="1">IFERROR(__xludf.DUMMYFUNCTION("""COMPUTED_VALUE"""),23)</f>
        <v>23</v>
      </c>
    </row>
    <row r="194" spans="1:9">
      <c r="A194" s="79">
        <v>536</v>
      </c>
      <c r="B194" s="79">
        <v>7</v>
      </c>
      <c r="C194" s="79">
        <v>543</v>
      </c>
      <c r="D194" s="80">
        <v>43315.8127662037</v>
      </c>
      <c r="E194" s="81">
        <f t="shared" ca="1" si="0"/>
        <v>43313</v>
      </c>
      <c r="F194" s="82">
        <f ca="1">IFERROR(__xludf.DUMMYFUNCTION("""COMPUTED_VALUE"""),0.812766203703703)</f>
        <v>0.81276620370370301</v>
      </c>
      <c r="G194" s="83">
        <f t="shared" ca="1" si="1"/>
        <v>19</v>
      </c>
      <c r="H194" s="83">
        <f ca="1">IFERROR(__xludf.DUMMYFUNCTION("""COMPUTED_VALUE"""),30)</f>
        <v>30</v>
      </c>
      <c r="I194" s="83">
        <f ca="1">IFERROR(__xludf.DUMMYFUNCTION("""COMPUTED_VALUE"""),23)</f>
        <v>23</v>
      </c>
    </row>
    <row r="195" spans="1:9">
      <c r="A195" s="79">
        <v>523</v>
      </c>
      <c r="B195" s="79">
        <v>9</v>
      </c>
      <c r="C195" s="79">
        <v>532</v>
      </c>
      <c r="D195" s="80">
        <v>43315.823182870372</v>
      </c>
      <c r="E195" s="81">
        <f t="shared" ca="1" si="0"/>
        <v>43313</v>
      </c>
      <c r="F195" s="82">
        <f ca="1">IFERROR(__xludf.DUMMYFUNCTION("""COMPUTED_VALUE"""),0.82318287037037)</f>
        <v>0.82318287037036997</v>
      </c>
      <c r="G195" s="83">
        <f t="shared" ca="1" si="1"/>
        <v>19</v>
      </c>
      <c r="H195" s="83">
        <f ca="1">IFERROR(__xludf.DUMMYFUNCTION("""COMPUTED_VALUE"""),45)</f>
        <v>45</v>
      </c>
      <c r="I195" s="83">
        <f ca="1">IFERROR(__xludf.DUMMYFUNCTION("""COMPUTED_VALUE"""),23)</f>
        <v>23</v>
      </c>
    </row>
    <row r="196" spans="1:9">
      <c r="A196" s="79">
        <v>500</v>
      </c>
      <c r="B196" s="79">
        <v>6</v>
      </c>
      <c r="C196" s="79">
        <v>506</v>
      </c>
      <c r="D196" s="80">
        <v>43315.833611111113</v>
      </c>
      <c r="E196" s="81">
        <f t="shared" ca="1" si="0"/>
        <v>43313</v>
      </c>
      <c r="F196" s="82">
        <f ca="1">IFERROR(__xludf.DUMMYFUNCTION("""COMPUTED_VALUE"""),0.833611111111111)</f>
        <v>0.83361111111111097</v>
      </c>
      <c r="G196" s="83">
        <f t="shared" ca="1" si="1"/>
        <v>19</v>
      </c>
      <c r="H196" s="83">
        <f ca="1">IFERROR(__xludf.DUMMYFUNCTION("""COMPUTED_VALUE"""),0)</f>
        <v>0</v>
      </c>
      <c r="I196" s="83">
        <f ca="1">IFERROR(__xludf.DUMMYFUNCTION("""COMPUTED_VALUE"""),24)</f>
        <v>24</v>
      </c>
    </row>
    <row r="197" spans="1:9">
      <c r="A197" s="79">
        <v>612</v>
      </c>
      <c r="B197" s="79">
        <v>6</v>
      </c>
      <c r="C197" s="79">
        <v>618</v>
      </c>
      <c r="D197" s="80">
        <v>43315.8440162037</v>
      </c>
      <c r="E197" s="81">
        <f t="shared" ca="1" si="0"/>
        <v>43313</v>
      </c>
      <c r="F197" s="82">
        <f ca="1">IFERROR(__xludf.DUMMYFUNCTION("""COMPUTED_VALUE"""),0.844016203703703)</f>
        <v>0.84401620370370301</v>
      </c>
      <c r="G197" s="83">
        <f t="shared" ca="1" si="1"/>
        <v>19</v>
      </c>
      <c r="H197" s="83">
        <f ca="1">IFERROR(__xludf.DUMMYFUNCTION("""COMPUTED_VALUE"""),15)</f>
        <v>15</v>
      </c>
      <c r="I197" s="83">
        <f ca="1">IFERROR(__xludf.DUMMYFUNCTION("""COMPUTED_VALUE"""),23)</f>
        <v>23</v>
      </c>
    </row>
    <row r="198" spans="1:9">
      <c r="A198" s="79">
        <v>551</v>
      </c>
      <c r="B198" s="79">
        <v>6</v>
      </c>
      <c r="C198" s="79">
        <v>557</v>
      </c>
      <c r="D198" s="80">
        <v>43315.854421296295</v>
      </c>
      <c r="E198" s="81">
        <f t="shared" ca="1" si="0"/>
        <v>43313</v>
      </c>
      <c r="F198" s="82">
        <f ca="1">IFERROR(__xludf.DUMMYFUNCTION("""COMPUTED_VALUE"""),0.854421296296296)</f>
        <v>0.85442129629629604</v>
      </c>
      <c r="G198" s="83">
        <f t="shared" ca="1" si="1"/>
        <v>19</v>
      </c>
      <c r="H198" s="83">
        <f ca="1">IFERROR(__xludf.DUMMYFUNCTION("""COMPUTED_VALUE"""),30)</f>
        <v>30</v>
      </c>
      <c r="I198" s="83">
        <f ca="1">IFERROR(__xludf.DUMMYFUNCTION("""COMPUTED_VALUE"""),22)</f>
        <v>22</v>
      </c>
    </row>
    <row r="199" spans="1:9">
      <c r="A199" s="79">
        <v>568</v>
      </c>
      <c r="B199" s="79">
        <v>8</v>
      </c>
      <c r="C199" s="79">
        <v>576</v>
      </c>
      <c r="D199" s="80">
        <v>43315.864849537036</v>
      </c>
      <c r="E199" s="81">
        <f t="shared" ca="1" si="0"/>
        <v>43313</v>
      </c>
      <c r="F199" s="82">
        <f ca="1">IFERROR(__xludf.DUMMYFUNCTION("""COMPUTED_VALUE"""),0.864849537037037)</f>
        <v>0.86484953703703704</v>
      </c>
      <c r="G199" s="83">
        <f t="shared" ca="1" si="1"/>
        <v>19</v>
      </c>
      <c r="H199" s="83">
        <f ca="1">IFERROR(__xludf.DUMMYFUNCTION("""COMPUTED_VALUE"""),45)</f>
        <v>45</v>
      </c>
      <c r="I199" s="83">
        <f ca="1">IFERROR(__xludf.DUMMYFUNCTION("""COMPUTED_VALUE"""),23)</f>
        <v>23</v>
      </c>
    </row>
    <row r="200" spans="1:9">
      <c r="A200" s="79">
        <v>522</v>
      </c>
      <c r="B200" s="79">
        <v>3</v>
      </c>
      <c r="C200" s="79">
        <v>525</v>
      </c>
      <c r="D200" s="80">
        <v>43315.8752662037</v>
      </c>
      <c r="E200" s="81">
        <f t="shared" ca="1" si="0"/>
        <v>43313</v>
      </c>
      <c r="F200" s="82">
        <f ca="1">IFERROR(__xludf.DUMMYFUNCTION("""COMPUTED_VALUE"""),0.875266203703703)</f>
        <v>0.87526620370370301</v>
      </c>
      <c r="G200" s="83">
        <f t="shared" ca="1" si="1"/>
        <v>19</v>
      </c>
      <c r="H200" s="83">
        <f ca="1">IFERROR(__xludf.DUMMYFUNCTION("""COMPUTED_VALUE"""),0)</f>
        <v>0</v>
      </c>
      <c r="I200" s="83">
        <f ca="1">IFERROR(__xludf.DUMMYFUNCTION("""COMPUTED_VALUE"""),23)</f>
        <v>23</v>
      </c>
    </row>
    <row r="201" spans="1:9">
      <c r="A201" s="79">
        <v>545</v>
      </c>
      <c r="B201" s="79">
        <v>3</v>
      </c>
      <c r="C201" s="79">
        <v>548</v>
      </c>
      <c r="D201" s="80">
        <v>43315.885682870372</v>
      </c>
      <c r="E201" s="81">
        <f t="shared" ca="1" si="0"/>
        <v>43313</v>
      </c>
      <c r="F201" s="82">
        <f ca="1">IFERROR(__xludf.DUMMYFUNCTION("""COMPUTED_VALUE"""),0.88568287037037)</f>
        <v>0.88568287037036997</v>
      </c>
      <c r="G201" s="83">
        <f t="shared" ca="1" si="1"/>
        <v>19</v>
      </c>
      <c r="H201" s="83">
        <f ca="1">IFERROR(__xludf.DUMMYFUNCTION("""COMPUTED_VALUE"""),15)</f>
        <v>15</v>
      </c>
      <c r="I201" s="83">
        <f ca="1">IFERROR(__xludf.DUMMYFUNCTION("""COMPUTED_VALUE"""),23)</f>
        <v>23</v>
      </c>
    </row>
    <row r="202" spans="1:9">
      <c r="A202" s="79">
        <v>557</v>
      </c>
      <c r="B202" s="79">
        <v>6</v>
      </c>
      <c r="C202" s="79">
        <v>563</v>
      </c>
      <c r="D202" s="80">
        <v>43315.896099537036</v>
      </c>
      <c r="E202" s="81">
        <f t="shared" ca="1" si="0"/>
        <v>43313</v>
      </c>
      <c r="F202" s="82">
        <f ca="1">IFERROR(__xludf.DUMMYFUNCTION("""COMPUTED_VALUE"""),0.896099537037037)</f>
        <v>0.89609953703703704</v>
      </c>
      <c r="G202" s="83">
        <f t="shared" ca="1" si="1"/>
        <v>19</v>
      </c>
      <c r="H202" s="83">
        <f ca="1">IFERROR(__xludf.DUMMYFUNCTION("""COMPUTED_VALUE"""),30)</f>
        <v>30</v>
      </c>
      <c r="I202" s="83">
        <f ca="1">IFERROR(__xludf.DUMMYFUNCTION("""COMPUTED_VALUE"""),23)</f>
        <v>23</v>
      </c>
    </row>
    <row r="203" spans="1:9">
      <c r="A203" s="79">
        <v>600</v>
      </c>
      <c r="B203" s="79">
        <v>4</v>
      </c>
      <c r="C203" s="79">
        <v>604</v>
      </c>
      <c r="D203" s="80">
        <v>43315.9065162037</v>
      </c>
      <c r="E203" s="81">
        <f t="shared" ca="1" si="0"/>
        <v>43313</v>
      </c>
      <c r="F203" s="82">
        <f ca="1">IFERROR(__xludf.DUMMYFUNCTION("""COMPUTED_VALUE"""),0.906516203703703)</f>
        <v>0.90651620370370301</v>
      </c>
      <c r="G203" s="83">
        <f t="shared" ca="1" si="1"/>
        <v>19</v>
      </c>
      <c r="H203" s="83">
        <f ca="1">IFERROR(__xludf.DUMMYFUNCTION("""COMPUTED_VALUE"""),45)</f>
        <v>45</v>
      </c>
      <c r="I203" s="83">
        <f ca="1">IFERROR(__xludf.DUMMYFUNCTION("""COMPUTED_VALUE"""),23)</f>
        <v>23</v>
      </c>
    </row>
    <row r="204" spans="1:9">
      <c r="A204" s="79">
        <v>526</v>
      </c>
      <c r="B204" s="79">
        <v>2</v>
      </c>
      <c r="C204" s="79">
        <v>528</v>
      </c>
      <c r="D204" s="80">
        <v>43315.916956018518</v>
      </c>
      <c r="E204" s="81">
        <f t="shared" ca="1" si="0"/>
        <v>43313</v>
      </c>
      <c r="F204" s="82">
        <f ca="1">IFERROR(__xludf.DUMMYFUNCTION("""COMPUTED_VALUE"""),0.916956018518518)</f>
        <v>0.91695601851851805</v>
      </c>
      <c r="G204" s="83">
        <f t="shared" ca="1" si="1"/>
        <v>19</v>
      </c>
      <c r="H204" s="83">
        <f ca="1">IFERROR(__xludf.DUMMYFUNCTION("""COMPUTED_VALUE"""),0)</f>
        <v>0</v>
      </c>
      <c r="I204" s="83">
        <f ca="1">IFERROR(__xludf.DUMMYFUNCTION("""COMPUTED_VALUE"""),25)</f>
        <v>25</v>
      </c>
    </row>
    <row r="205" spans="1:9">
      <c r="A205" s="79">
        <v>576</v>
      </c>
      <c r="B205" s="79">
        <v>6</v>
      </c>
      <c r="C205" s="79">
        <v>582</v>
      </c>
      <c r="D205" s="80">
        <v>43315.927337962959</v>
      </c>
      <c r="E205" s="81">
        <f t="shared" ca="1" si="0"/>
        <v>43313</v>
      </c>
      <c r="F205" s="82">
        <f ca="1">IFERROR(__xludf.DUMMYFUNCTION("""COMPUTED_VALUE"""),0.927337962962963)</f>
        <v>0.927337962962963</v>
      </c>
      <c r="G205" s="83">
        <f t="shared" ca="1" si="1"/>
        <v>19</v>
      </c>
      <c r="H205" s="83">
        <f ca="1">IFERROR(__xludf.DUMMYFUNCTION("""COMPUTED_VALUE"""),15)</f>
        <v>15</v>
      </c>
      <c r="I205" s="83">
        <f ca="1">IFERROR(__xludf.DUMMYFUNCTION("""COMPUTED_VALUE"""),22)</f>
        <v>22</v>
      </c>
    </row>
    <row r="206" spans="1:9">
      <c r="A206" s="79">
        <v>549</v>
      </c>
      <c r="B206" s="79">
        <v>4</v>
      </c>
      <c r="C206" s="79">
        <v>553</v>
      </c>
      <c r="D206" s="80">
        <v>43315.937754629631</v>
      </c>
      <c r="E206" s="81">
        <f t="shared" ca="1" si="0"/>
        <v>43313</v>
      </c>
      <c r="F206" s="82">
        <f ca="1">IFERROR(__xludf.DUMMYFUNCTION("""COMPUTED_VALUE"""),0.937754629629629)</f>
        <v>0.93775462962962897</v>
      </c>
      <c r="G206" s="83">
        <f t="shared" ca="1" si="1"/>
        <v>19</v>
      </c>
      <c r="H206" s="83">
        <f ca="1">IFERROR(__xludf.DUMMYFUNCTION("""COMPUTED_VALUE"""),30)</f>
        <v>30</v>
      </c>
      <c r="I206" s="83">
        <f ca="1">IFERROR(__xludf.DUMMYFUNCTION("""COMPUTED_VALUE"""),22)</f>
        <v>22</v>
      </c>
    </row>
    <row r="207" spans="1:9">
      <c r="A207" s="79">
        <v>531</v>
      </c>
      <c r="B207" s="79">
        <v>3</v>
      </c>
      <c r="C207" s="79">
        <v>531</v>
      </c>
      <c r="D207" s="80">
        <v>43315.948182870372</v>
      </c>
      <c r="E207" s="81">
        <f t="shared" ca="1" si="0"/>
        <v>43313</v>
      </c>
      <c r="F207" s="82">
        <f ca="1">IFERROR(__xludf.DUMMYFUNCTION("""COMPUTED_VALUE"""),0.94818287037037)</f>
        <v>0.94818287037036997</v>
      </c>
      <c r="G207" s="83">
        <f t="shared" ca="1" si="1"/>
        <v>19</v>
      </c>
      <c r="H207" s="83">
        <f ca="1">IFERROR(__xludf.DUMMYFUNCTION("""COMPUTED_VALUE"""),45)</f>
        <v>45</v>
      </c>
      <c r="I207" s="83">
        <f ca="1">IFERROR(__xludf.DUMMYFUNCTION("""COMPUTED_VALUE"""),23)</f>
        <v>23</v>
      </c>
    </row>
    <row r="208" spans="1:9">
      <c r="A208" s="79">
        <v>467</v>
      </c>
      <c r="B208" s="79">
        <v>7</v>
      </c>
      <c r="C208" s="79">
        <v>474</v>
      </c>
      <c r="D208" s="80">
        <v>43315.958622685182</v>
      </c>
      <c r="E208" s="81">
        <f t="shared" ca="1" si="0"/>
        <v>43313</v>
      </c>
      <c r="F208" s="82">
        <f ca="1">IFERROR(__xludf.DUMMYFUNCTION("""COMPUTED_VALUE"""),0.958622685185185)</f>
        <v>0.95862268518518501</v>
      </c>
      <c r="G208" s="83">
        <f t="shared" ca="1" si="1"/>
        <v>19</v>
      </c>
      <c r="H208" s="83">
        <f ca="1">IFERROR(__xludf.DUMMYFUNCTION("""COMPUTED_VALUE"""),0)</f>
        <v>0</v>
      </c>
      <c r="I208" s="83">
        <f ca="1">IFERROR(__xludf.DUMMYFUNCTION("""COMPUTED_VALUE"""),25)</f>
        <v>25</v>
      </c>
    </row>
    <row r="209" spans="1:9">
      <c r="A209" s="79">
        <v>539</v>
      </c>
      <c r="B209" s="79">
        <v>8</v>
      </c>
      <c r="C209" s="79">
        <v>547</v>
      </c>
      <c r="D209" s="80">
        <v>43315.9690162037</v>
      </c>
      <c r="E209" s="81">
        <f t="shared" ca="1" si="0"/>
        <v>43313</v>
      </c>
      <c r="F209" s="82">
        <f ca="1">IFERROR(__xludf.DUMMYFUNCTION("""COMPUTED_VALUE"""),0.969016203703703)</f>
        <v>0.96901620370370301</v>
      </c>
      <c r="G209" s="83">
        <f t="shared" ca="1" si="1"/>
        <v>19</v>
      </c>
      <c r="H209" s="83">
        <f ca="1">IFERROR(__xludf.DUMMYFUNCTION("""COMPUTED_VALUE"""),15)</f>
        <v>15</v>
      </c>
      <c r="I209" s="83">
        <f ca="1">IFERROR(__xludf.DUMMYFUNCTION("""COMPUTED_VALUE"""),23)</f>
        <v>23</v>
      </c>
    </row>
    <row r="210" spans="1:9">
      <c r="A210" s="79">
        <v>476</v>
      </c>
      <c r="B210" s="79">
        <v>3</v>
      </c>
      <c r="C210" s="79">
        <v>479</v>
      </c>
      <c r="D210" s="80">
        <v>43315.979432870372</v>
      </c>
      <c r="E210" s="81">
        <f t="shared" ca="1" si="0"/>
        <v>43313</v>
      </c>
      <c r="F210" s="82">
        <f ca="1">IFERROR(__xludf.DUMMYFUNCTION("""COMPUTED_VALUE"""),0.97943287037037)</f>
        <v>0.97943287037036997</v>
      </c>
      <c r="G210" s="83">
        <f t="shared" ca="1" si="1"/>
        <v>19</v>
      </c>
      <c r="H210" s="83">
        <f ca="1">IFERROR(__xludf.DUMMYFUNCTION("""COMPUTED_VALUE"""),30)</f>
        <v>30</v>
      </c>
      <c r="I210" s="83">
        <f ca="1">IFERROR(__xludf.DUMMYFUNCTION("""COMPUTED_VALUE"""),23)</f>
        <v>23</v>
      </c>
    </row>
    <row r="211" spans="1:9">
      <c r="A211" s="79">
        <v>467</v>
      </c>
      <c r="B211" s="79">
        <v>4</v>
      </c>
      <c r="C211" s="79">
        <v>471</v>
      </c>
      <c r="D211" s="80">
        <v>43315.989849537036</v>
      </c>
      <c r="E211" s="81">
        <f t="shared" ca="1" si="0"/>
        <v>43313</v>
      </c>
      <c r="F211" s="82">
        <f ca="1">IFERROR(__xludf.DUMMYFUNCTION("""COMPUTED_VALUE"""),0.989849537037037)</f>
        <v>0.98984953703703704</v>
      </c>
      <c r="G211" s="83">
        <f t="shared" ca="1" si="1"/>
        <v>19</v>
      </c>
      <c r="H211" s="83">
        <f ca="1">IFERROR(__xludf.DUMMYFUNCTION("""COMPUTED_VALUE"""),45)</f>
        <v>45</v>
      </c>
      <c r="I211" s="83">
        <f ca="1">IFERROR(__xludf.DUMMYFUNCTION("""COMPUTED_VALUE"""),23)</f>
        <v>23</v>
      </c>
    </row>
    <row r="212" spans="1:9">
      <c r="A212" s="79">
        <v>498</v>
      </c>
      <c r="B212" s="79">
        <v>2</v>
      </c>
      <c r="C212" s="79">
        <v>500</v>
      </c>
      <c r="D212" s="80">
        <v>43316.000277777777</v>
      </c>
      <c r="E212" s="81">
        <f t="shared" ca="1" si="0"/>
        <v>43313</v>
      </c>
      <c r="F212" s="82">
        <f ca="1">IFERROR(__xludf.DUMMYFUNCTION("""COMPUTED_VALUE"""),0.000277777777777777)</f>
        <v>2.7777777777777702E-4</v>
      </c>
      <c r="G212" s="83">
        <f t="shared" ca="1" si="1"/>
        <v>19</v>
      </c>
      <c r="H212" s="83">
        <f ca="1">IFERROR(__xludf.DUMMYFUNCTION("""COMPUTED_VALUE"""),0)</f>
        <v>0</v>
      </c>
      <c r="I212" s="83">
        <f ca="1">IFERROR(__xludf.DUMMYFUNCTION("""COMPUTED_VALUE"""),24)</f>
        <v>24</v>
      </c>
    </row>
    <row r="213" spans="1:9">
      <c r="A213" s="79">
        <v>454</v>
      </c>
      <c r="B213" s="79">
        <v>4</v>
      </c>
      <c r="C213" s="79">
        <v>458</v>
      </c>
      <c r="D213" s="80">
        <v>43316.010682870372</v>
      </c>
      <c r="E213" s="81">
        <f t="shared" ca="1" si="0"/>
        <v>43313</v>
      </c>
      <c r="F213" s="82">
        <f ca="1">IFERROR(__xludf.DUMMYFUNCTION("""COMPUTED_VALUE"""),0.0106828703703703)</f>
        <v>1.0682870370370299E-2</v>
      </c>
      <c r="G213" s="83">
        <f t="shared" ca="1" si="1"/>
        <v>19</v>
      </c>
      <c r="H213" s="83">
        <f ca="1">IFERROR(__xludf.DUMMYFUNCTION("""COMPUTED_VALUE"""),15)</f>
        <v>15</v>
      </c>
      <c r="I213" s="83">
        <f ca="1">IFERROR(__xludf.DUMMYFUNCTION("""COMPUTED_VALUE"""),23)</f>
        <v>23</v>
      </c>
    </row>
    <row r="214" spans="1:9">
      <c r="A214" s="79">
        <v>377</v>
      </c>
      <c r="B214" s="79">
        <v>2</v>
      </c>
      <c r="C214" s="79">
        <v>373</v>
      </c>
      <c r="D214" s="80">
        <v>43316.021099537036</v>
      </c>
      <c r="E214" s="81">
        <f t="shared" ca="1" si="0"/>
        <v>43313</v>
      </c>
      <c r="F214" s="82">
        <f ca="1">IFERROR(__xludf.DUMMYFUNCTION("""COMPUTED_VALUE"""),0.021099537037037)</f>
        <v>2.1099537037037E-2</v>
      </c>
      <c r="G214" s="83">
        <f t="shared" ca="1" si="1"/>
        <v>19</v>
      </c>
      <c r="H214" s="83">
        <f ca="1">IFERROR(__xludf.DUMMYFUNCTION("""COMPUTED_VALUE"""),30)</f>
        <v>30</v>
      </c>
      <c r="I214" s="83">
        <f ca="1">IFERROR(__xludf.DUMMYFUNCTION("""COMPUTED_VALUE"""),23)</f>
        <v>23</v>
      </c>
    </row>
    <row r="215" spans="1:9">
      <c r="A215" s="79">
        <v>304</v>
      </c>
      <c r="B215" s="79">
        <v>1</v>
      </c>
      <c r="C215" s="79">
        <v>305</v>
      </c>
      <c r="D215" s="80">
        <v>43316.031504629631</v>
      </c>
      <c r="E215" s="81">
        <f t="shared" ca="1" si="0"/>
        <v>43313</v>
      </c>
      <c r="F215" s="82">
        <f ca="1">IFERROR(__xludf.DUMMYFUNCTION("""COMPUTED_VALUE"""),0.0315046296296296)</f>
        <v>3.1504629629629598E-2</v>
      </c>
      <c r="G215" s="83">
        <f t="shared" ca="1" si="1"/>
        <v>19</v>
      </c>
      <c r="H215" s="83">
        <f ca="1">IFERROR(__xludf.DUMMYFUNCTION("""COMPUTED_VALUE"""),45)</f>
        <v>45</v>
      </c>
      <c r="I215" s="83">
        <f ca="1">IFERROR(__xludf.DUMMYFUNCTION("""COMPUTED_VALUE"""),22)</f>
        <v>22</v>
      </c>
    </row>
    <row r="216" spans="1:9">
      <c r="A216" s="79">
        <v>282</v>
      </c>
      <c r="B216" s="79">
        <v>3</v>
      </c>
      <c r="C216" s="79">
        <v>285</v>
      </c>
      <c r="D216" s="80">
        <v>43316.041967592595</v>
      </c>
      <c r="E216" s="81">
        <f t="shared" ca="1" si="0"/>
        <v>43313</v>
      </c>
      <c r="F216" s="82">
        <f ca="1">IFERROR(__xludf.DUMMYFUNCTION("""COMPUTED_VALUE"""),0.0419675925925925)</f>
        <v>4.1967592592592501E-2</v>
      </c>
      <c r="G216" s="83">
        <f t="shared" ca="1" si="1"/>
        <v>19</v>
      </c>
      <c r="H216" s="83">
        <f ca="1">IFERROR(__xludf.DUMMYFUNCTION("""COMPUTED_VALUE"""),0)</f>
        <v>0</v>
      </c>
      <c r="I216" s="83">
        <f ca="1">IFERROR(__xludf.DUMMYFUNCTION("""COMPUTED_VALUE"""),26)</f>
        <v>26</v>
      </c>
    </row>
    <row r="217" spans="1:9">
      <c r="A217" s="79">
        <v>292</v>
      </c>
      <c r="B217" s="79">
        <v>4</v>
      </c>
      <c r="C217" s="79">
        <v>296</v>
      </c>
      <c r="D217" s="80">
        <v>43316.052337962959</v>
      </c>
      <c r="E217" s="81">
        <f t="shared" ca="1" si="0"/>
        <v>43313</v>
      </c>
      <c r="F217" s="82">
        <f ca="1">IFERROR(__xludf.DUMMYFUNCTION("""COMPUTED_VALUE"""),0.0523379629629629)</f>
        <v>5.2337962962962899E-2</v>
      </c>
      <c r="G217" s="83">
        <f t="shared" ca="1" si="1"/>
        <v>19</v>
      </c>
      <c r="H217" s="83">
        <f ca="1">IFERROR(__xludf.DUMMYFUNCTION("""COMPUTED_VALUE"""),15)</f>
        <v>15</v>
      </c>
      <c r="I217" s="83">
        <f ca="1">IFERROR(__xludf.DUMMYFUNCTION("""COMPUTED_VALUE"""),22)</f>
        <v>22</v>
      </c>
    </row>
    <row r="218" spans="1:9">
      <c r="A218" s="79">
        <v>301</v>
      </c>
      <c r="B218" s="79">
        <v>5</v>
      </c>
      <c r="C218" s="79">
        <v>306</v>
      </c>
      <c r="D218" s="80">
        <v>43316.0627662037</v>
      </c>
      <c r="E218" s="81">
        <f t="shared" ca="1" si="0"/>
        <v>43313</v>
      </c>
      <c r="F218" s="82">
        <f ca="1">IFERROR(__xludf.DUMMYFUNCTION("""COMPUTED_VALUE"""),0.0627662037037037)</f>
        <v>6.2766203703703699E-2</v>
      </c>
      <c r="G218" s="83">
        <f t="shared" ca="1" si="1"/>
        <v>19</v>
      </c>
      <c r="H218" s="83">
        <f ca="1">IFERROR(__xludf.DUMMYFUNCTION("""COMPUTED_VALUE"""),30)</f>
        <v>30</v>
      </c>
      <c r="I218" s="83">
        <f ca="1">IFERROR(__xludf.DUMMYFUNCTION("""COMPUTED_VALUE"""),23)</f>
        <v>23</v>
      </c>
    </row>
    <row r="219" spans="1:9">
      <c r="A219" s="79">
        <v>259</v>
      </c>
      <c r="B219" s="79">
        <v>5</v>
      </c>
      <c r="C219" s="79">
        <v>264</v>
      </c>
      <c r="D219" s="80">
        <v>43316.073171296295</v>
      </c>
      <c r="E219" s="81">
        <f t="shared" ca="1" si="0"/>
        <v>43313</v>
      </c>
      <c r="F219" s="82">
        <f ca="1">IFERROR(__xludf.DUMMYFUNCTION("""COMPUTED_VALUE"""),0.0731712962962962)</f>
        <v>7.3171296296296207E-2</v>
      </c>
      <c r="G219" s="83">
        <f t="shared" ca="1" si="1"/>
        <v>19</v>
      </c>
      <c r="H219" s="83">
        <f ca="1">IFERROR(__xludf.DUMMYFUNCTION("""COMPUTED_VALUE"""),45)</f>
        <v>45</v>
      </c>
      <c r="I219" s="83">
        <f ca="1">IFERROR(__xludf.DUMMYFUNCTION("""COMPUTED_VALUE"""),22)</f>
        <v>22</v>
      </c>
    </row>
    <row r="220" spans="1:9">
      <c r="A220" s="79">
        <v>277</v>
      </c>
      <c r="B220" s="79">
        <v>4</v>
      </c>
      <c r="C220" s="79">
        <v>281</v>
      </c>
      <c r="D220" s="80">
        <v>43316.083599537036</v>
      </c>
      <c r="E220" s="81">
        <f t="shared" ca="1" si="0"/>
        <v>43313</v>
      </c>
      <c r="F220" s="82">
        <f ca="1">IFERROR(__xludf.DUMMYFUNCTION("""COMPUTED_VALUE"""),0.083599537037037)</f>
        <v>8.3599537037037E-2</v>
      </c>
      <c r="G220" s="83">
        <f t="shared" ca="1" si="1"/>
        <v>19</v>
      </c>
      <c r="H220" s="83">
        <f ca="1">IFERROR(__xludf.DUMMYFUNCTION("""COMPUTED_VALUE"""),0)</f>
        <v>0</v>
      </c>
      <c r="I220" s="83">
        <f ca="1">IFERROR(__xludf.DUMMYFUNCTION("""COMPUTED_VALUE"""),23)</f>
        <v>23</v>
      </c>
    </row>
    <row r="221" spans="1:9">
      <c r="A221" s="79">
        <v>294</v>
      </c>
      <c r="B221" s="79">
        <v>8</v>
      </c>
      <c r="C221" s="79">
        <v>302</v>
      </c>
      <c r="D221" s="80">
        <v>43316.0940162037</v>
      </c>
      <c r="E221" s="81">
        <f t="shared" ca="1" si="0"/>
        <v>43313</v>
      </c>
      <c r="F221" s="82">
        <f ca="1">IFERROR(__xludf.DUMMYFUNCTION("""COMPUTED_VALUE"""),0.0940162037037037)</f>
        <v>9.4016203703703699E-2</v>
      </c>
      <c r="G221" s="83">
        <f t="shared" ca="1" si="1"/>
        <v>19</v>
      </c>
      <c r="H221" s="83">
        <f ca="1">IFERROR(__xludf.DUMMYFUNCTION("""COMPUTED_VALUE"""),15)</f>
        <v>15</v>
      </c>
      <c r="I221" s="83">
        <f ca="1">IFERROR(__xludf.DUMMYFUNCTION("""COMPUTED_VALUE"""),23)</f>
        <v>23</v>
      </c>
    </row>
    <row r="222" spans="1:9">
      <c r="A222" s="79">
        <v>280</v>
      </c>
      <c r="B222" s="79">
        <v>3</v>
      </c>
      <c r="C222" s="79">
        <v>283</v>
      </c>
      <c r="D222" s="80">
        <v>43316.104432870372</v>
      </c>
      <c r="E222" s="81">
        <f t="shared" ca="1" si="0"/>
        <v>43313</v>
      </c>
      <c r="F222" s="82">
        <f ca="1">IFERROR(__xludf.DUMMYFUNCTION("""COMPUTED_VALUE"""),0.10443287037037)</f>
        <v>0.10443287037037</v>
      </c>
      <c r="G222" s="83">
        <f t="shared" ca="1" si="1"/>
        <v>19</v>
      </c>
      <c r="H222" s="83">
        <f ca="1">IFERROR(__xludf.DUMMYFUNCTION("""COMPUTED_VALUE"""),30)</f>
        <v>30</v>
      </c>
      <c r="I222" s="83">
        <f ca="1">IFERROR(__xludf.DUMMYFUNCTION("""COMPUTED_VALUE"""),23)</f>
        <v>23</v>
      </c>
    </row>
    <row r="223" spans="1:9">
      <c r="A223" s="79">
        <v>296</v>
      </c>
      <c r="B223" s="79">
        <v>2</v>
      </c>
      <c r="C223" s="79">
        <v>298</v>
      </c>
      <c r="D223" s="80">
        <v>43316.114837962959</v>
      </c>
      <c r="E223" s="81">
        <f t="shared" ca="1" si="0"/>
        <v>43313</v>
      </c>
      <c r="F223" s="82">
        <f ca="1">IFERROR(__xludf.DUMMYFUNCTION("""COMPUTED_VALUE"""),0.114837962962962)</f>
        <v>0.114837962962962</v>
      </c>
      <c r="G223" s="83">
        <f t="shared" ca="1" si="1"/>
        <v>19</v>
      </c>
      <c r="H223" s="83">
        <f ca="1">IFERROR(__xludf.DUMMYFUNCTION("""COMPUTED_VALUE"""),45)</f>
        <v>45</v>
      </c>
      <c r="I223" s="83">
        <f ca="1">IFERROR(__xludf.DUMMYFUNCTION("""COMPUTED_VALUE"""),22)</f>
        <v>22</v>
      </c>
    </row>
    <row r="224" spans="1:9">
      <c r="A224" s="79">
        <v>283</v>
      </c>
      <c r="B224" s="79">
        <v>4</v>
      </c>
      <c r="C224" s="79">
        <v>287</v>
      </c>
      <c r="D224" s="80">
        <v>43316.1252662037</v>
      </c>
      <c r="E224" s="81">
        <f t="shared" ca="1" si="0"/>
        <v>43313</v>
      </c>
      <c r="F224" s="82">
        <f ca="1">IFERROR(__xludf.DUMMYFUNCTION("""COMPUTED_VALUE"""),0.125266203703703)</f>
        <v>0.12526620370370301</v>
      </c>
      <c r="G224" s="83">
        <f t="shared" ca="1" si="1"/>
        <v>19</v>
      </c>
      <c r="H224" s="83">
        <f ca="1">IFERROR(__xludf.DUMMYFUNCTION("""COMPUTED_VALUE"""),0)</f>
        <v>0</v>
      </c>
      <c r="I224" s="83">
        <f ca="1">IFERROR(__xludf.DUMMYFUNCTION("""COMPUTED_VALUE"""),23)</f>
        <v>23</v>
      </c>
    </row>
    <row r="225" spans="1:9">
      <c r="A225" s="79">
        <v>270</v>
      </c>
      <c r="B225" s="79">
        <v>7</v>
      </c>
      <c r="C225" s="79">
        <v>277</v>
      </c>
      <c r="D225" s="80">
        <v>43316.135682870372</v>
      </c>
      <c r="E225" s="81">
        <f t="shared" ca="1" si="0"/>
        <v>43313</v>
      </c>
      <c r="F225" s="82">
        <f ca="1">IFERROR(__xludf.DUMMYFUNCTION("""COMPUTED_VALUE"""),0.13568287037037)</f>
        <v>0.13568287037037</v>
      </c>
      <c r="G225" s="83">
        <f t="shared" ca="1" si="1"/>
        <v>19</v>
      </c>
      <c r="H225" s="83">
        <f ca="1">IFERROR(__xludf.DUMMYFUNCTION("""COMPUTED_VALUE"""),15)</f>
        <v>15</v>
      </c>
      <c r="I225" s="83">
        <f ca="1">IFERROR(__xludf.DUMMYFUNCTION("""COMPUTED_VALUE"""),23)</f>
        <v>23</v>
      </c>
    </row>
    <row r="226" spans="1:9">
      <c r="A226" s="79">
        <v>236</v>
      </c>
      <c r="B226" s="79">
        <v>6</v>
      </c>
      <c r="C226" s="79">
        <v>242</v>
      </c>
      <c r="D226" s="80">
        <v>43316.146099537036</v>
      </c>
      <c r="E226" s="81">
        <f t="shared" ca="1" si="0"/>
        <v>43313</v>
      </c>
      <c r="F226" s="82">
        <f ca="1">IFERROR(__xludf.DUMMYFUNCTION("""COMPUTED_VALUE"""),0.146099537037037)</f>
        <v>0.14609953703703699</v>
      </c>
      <c r="G226" s="83">
        <f t="shared" ca="1" si="1"/>
        <v>19</v>
      </c>
      <c r="H226" s="83">
        <f ca="1">IFERROR(__xludf.DUMMYFUNCTION("""COMPUTED_VALUE"""),30)</f>
        <v>30</v>
      </c>
      <c r="I226" s="83">
        <f ca="1">IFERROR(__xludf.DUMMYFUNCTION("""COMPUTED_VALUE"""),23)</f>
        <v>23</v>
      </c>
    </row>
    <row r="227" spans="1:9">
      <c r="A227" s="79">
        <v>200</v>
      </c>
      <c r="B227" s="79">
        <v>2</v>
      </c>
      <c r="C227" s="79">
        <v>202</v>
      </c>
      <c r="D227" s="80">
        <v>43316.156504629631</v>
      </c>
      <c r="E227" s="81">
        <f t="shared" ca="1" si="0"/>
        <v>43313</v>
      </c>
      <c r="F227" s="82">
        <f ca="1">IFERROR(__xludf.DUMMYFUNCTION("""COMPUTED_VALUE"""),0.156504629629629)</f>
        <v>0.15650462962962899</v>
      </c>
      <c r="G227" s="83">
        <f t="shared" ca="1" si="1"/>
        <v>19</v>
      </c>
      <c r="H227" s="83">
        <f ca="1">IFERROR(__xludf.DUMMYFUNCTION("""COMPUTED_VALUE"""),45)</f>
        <v>45</v>
      </c>
      <c r="I227" s="83">
        <f ca="1">IFERROR(__xludf.DUMMYFUNCTION("""COMPUTED_VALUE"""),22)</f>
        <v>22</v>
      </c>
    </row>
    <row r="228" spans="1:9">
      <c r="A228" s="79">
        <v>179</v>
      </c>
      <c r="B228" s="79">
        <v>0</v>
      </c>
      <c r="C228" s="79">
        <v>179</v>
      </c>
      <c r="D228" s="80">
        <v>43316.166932870372</v>
      </c>
      <c r="E228" s="81">
        <f t="shared" ca="1" si="0"/>
        <v>43313</v>
      </c>
      <c r="F228" s="82">
        <f ca="1">IFERROR(__xludf.DUMMYFUNCTION("""COMPUTED_VALUE"""),0.16693287037037)</f>
        <v>0.16693287037037</v>
      </c>
      <c r="G228" s="83">
        <f t="shared" ca="1" si="1"/>
        <v>19</v>
      </c>
      <c r="H228" s="83">
        <f ca="1">IFERROR(__xludf.DUMMYFUNCTION("""COMPUTED_VALUE"""),0)</f>
        <v>0</v>
      </c>
      <c r="I228" s="83">
        <f ca="1">IFERROR(__xludf.DUMMYFUNCTION("""COMPUTED_VALUE"""),23)</f>
        <v>23</v>
      </c>
    </row>
    <row r="229" spans="1:9">
      <c r="A229" s="79">
        <v>153</v>
      </c>
      <c r="B229" s="79">
        <v>0</v>
      </c>
      <c r="C229" s="79">
        <v>153</v>
      </c>
      <c r="D229" s="80">
        <v>43316.177349537036</v>
      </c>
      <c r="E229" s="81">
        <f t="shared" ca="1" si="0"/>
        <v>43313</v>
      </c>
      <c r="F229" s="82">
        <f ca="1">IFERROR(__xludf.DUMMYFUNCTION("""COMPUTED_VALUE"""),0.177349537037037)</f>
        <v>0.17734953703703699</v>
      </c>
      <c r="G229" s="83">
        <f t="shared" ca="1" si="1"/>
        <v>19</v>
      </c>
      <c r="H229" s="83">
        <f ca="1">IFERROR(__xludf.DUMMYFUNCTION("""COMPUTED_VALUE"""),15)</f>
        <v>15</v>
      </c>
      <c r="I229" s="83">
        <f ca="1">IFERROR(__xludf.DUMMYFUNCTION("""COMPUTED_VALUE"""),23)</f>
        <v>23</v>
      </c>
    </row>
    <row r="230" spans="1:9">
      <c r="A230" s="79">
        <v>149</v>
      </c>
      <c r="B230" s="79">
        <v>1</v>
      </c>
      <c r="C230" s="79">
        <v>150</v>
      </c>
      <c r="D230" s="80">
        <v>43316.187754629631</v>
      </c>
      <c r="E230" s="81">
        <f t="shared" ca="1" si="0"/>
        <v>43313</v>
      </c>
      <c r="F230" s="82">
        <f ca="1">IFERROR(__xludf.DUMMYFUNCTION("""COMPUTED_VALUE"""),0.187754629629629)</f>
        <v>0.18775462962962899</v>
      </c>
      <c r="G230" s="83">
        <f t="shared" ca="1" si="1"/>
        <v>19</v>
      </c>
      <c r="H230" s="83">
        <f ca="1">IFERROR(__xludf.DUMMYFUNCTION("""COMPUTED_VALUE"""),30)</f>
        <v>30</v>
      </c>
      <c r="I230" s="83">
        <f ca="1">IFERROR(__xludf.DUMMYFUNCTION("""COMPUTED_VALUE"""),22)</f>
        <v>22</v>
      </c>
    </row>
    <row r="231" spans="1:9">
      <c r="A231" s="79">
        <v>118</v>
      </c>
      <c r="B231" s="79">
        <v>0</v>
      </c>
      <c r="C231" s="79">
        <v>118</v>
      </c>
      <c r="D231" s="80">
        <v>43316.198171296295</v>
      </c>
      <c r="E231" s="81">
        <f t="shared" ca="1" si="0"/>
        <v>43313</v>
      </c>
      <c r="F231" s="82">
        <f ca="1">IFERROR(__xludf.DUMMYFUNCTION("""COMPUTED_VALUE"""),0.198171296296296)</f>
        <v>0.19817129629629601</v>
      </c>
      <c r="G231" s="83">
        <f t="shared" ca="1" si="1"/>
        <v>19</v>
      </c>
      <c r="H231" s="83">
        <f ca="1">IFERROR(__xludf.DUMMYFUNCTION("""COMPUTED_VALUE"""),45)</f>
        <v>45</v>
      </c>
      <c r="I231" s="83">
        <f ca="1">IFERROR(__xludf.DUMMYFUNCTION("""COMPUTED_VALUE"""),22)</f>
        <v>22</v>
      </c>
    </row>
    <row r="232" spans="1:9">
      <c r="A232" s="79">
        <v>140</v>
      </c>
      <c r="B232" s="79">
        <v>1</v>
      </c>
      <c r="C232" s="79">
        <v>141</v>
      </c>
      <c r="D232" s="80">
        <v>43316.208587962959</v>
      </c>
      <c r="E232" s="81">
        <f t="shared" ca="1" si="0"/>
        <v>43313</v>
      </c>
      <c r="F232" s="82">
        <f ca="1">IFERROR(__xludf.DUMMYFUNCTION("""COMPUTED_VALUE"""),0.208587962962962)</f>
        <v>0.208587962962962</v>
      </c>
      <c r="G232" s="83">
        <f t="shared" ca="1" si="1"/>
        <v>19</v>
      </c>
      <c r="H232" s="83">
        <f ca="1">IFERROR(__xludf.DUMMYFUNCTION("""COMPUTED_VALUE"""),0)</f>
        <v>0</v>
      </c>
      <c r="I232" s="83">
        <f ca="1">IFERROR(__xludf.DUMMYFUNCTION("""COMPUTED_VALUE"""),22)</f>
        <v>22</v>
      </c>
    </row>
    <row r="233" spans="1:9">
      <c r="A233" s="79">
        <v>120</v>
      </c>
      <c r="B233" s="79">
        <v>1</v>
      </c>
      <c r="C233" s="79">
        <v>121</v>
      </c>
      <c r="D233" s="80">
        <v>43316.219004629631</v>
      </c>
      <c r="E233" s="81">
        <f t="shared" ca="1" si="0"/>
        <v>43313</v>
      </c>
      <c r="F233" s="82">
        <f ca="1">IFERROR(__xludf.DUMMYFUNCTION("""COMPUTED_VALUE"""),0.219004629629629)</f>
        <v>0.21900462962962899</v>
      </c>
      <c r="G233" s="83">
        <f t="shared" ca="1" si="1"/>
        <v>19</v>
      </c>
      <c r="H233" s="83">
        <f ca="1">IFERROR(__xludf.DUMMYFUNCTION("""COMPUTED_VALUE"""),15)</f>
        <v>15</v>
      </c>
      <c r="I233" s="83">
        <f ca="1">IFERROR(__xludf.DUMMYFUNCTION("""COMPUTED_VALUE"""),22)</f>
        <v>22</v>
      </c>
    </row>
    <row r="234" spans="1:9">
      <c r="A234" s="79">
        <v>115</v>
      </c>
      <c r="B234" s="79">
        <v>0</v>
      </c>
      <c r="C234" s="79">
        <v>115</v>
      </c>
      <c r="D234" s="80">
        <v>43316.229421296295</v>
      </c>
      <c r="E234" s="81">
        <f t="shared" ca="1" si="0"/>
        <v>43313</v>
      </c>
      <c r="F234" s="82">
        <f ca="1">IFERROR(__xludf.DUMMYFUNCTION("""COMPUTED_VALUE"""),0.229421296296296)</f>
        <v>0.22942129629629601</v>
      </c>
      <c r="G234" s="83">
        <f t="shared" ca="1" si="1"/>
        <v>19</v>
      </c>
      <c r="H234" s="83">
        <f ca="1">IFERROR(__xludf.DUMMYFUNCTION("""COMPUTED_VALUE"""),30)</f>
        <v>30</v>
      </c>
      <c r="I234" s="83">
        <f ca="1">IFERROR(__xludf.DUMMYFUNCTION("""COMPUTED_VALUE"""),22)</f>
        <v>22</v>
      </c>
    </row>
    <row r="235" spans="1:9">
      <c r="A235" s="79">
        <v>95</v>
      </c>
      <c r="B235" s="79">
        <v>0</v>
      </c>
      <c r="C235" s="79">
        <v>95</v>
      </c>
      <c r="D235" s="80">
        <v>43316.239837962959</v>
      </c>
      <c r="E235" s="81">
        <f t="shared" ca="1" si="0"/>
        <v>43313</v>
      </c>
      <c r="F235" s="82">
        <f ca="1">IFERROR(__xludf.DUMMYFUNCTION("""COMPUTED_VALUE"""),0.239837962962962)</f>
        <v>0.239837962962962</v>
      </c>
      <c r="G235" s="83">
        <f t="shared" ca="1" si="1"/>
        <v>19</v>
      </c>
      <c r="H235" s="83">
        <f ca="1">IFERROR(__xludf.DUMMYFUNCTION("""COMPUTED_VALUE"""),45)</f>
        <v>45</v>
      </c>
      <c r="I235" s="83">
        <f ca="1">IFERROR(__xludf.DUMMYFUNCTION("""COMPUTED_VALUE"""),22)</f>
        <v>22</v>
      </c>
    </row>
    <row r="236" spans="1:9">
      <c r="A236" s="79">
        <v>60</v>
      </c>
      <c r="B236" s="79">
        <v>0</v>
      </c>
      <c r="C236" s="79">
        <v>60</v>
      </c>
      <c r="D236" s="80">
        <v>43316.250254629631</v>
      </c>
      <c r="E236" s="81">
        <f t="shared" ca="1" si="0"/>
        <v>43313</v>
      </c>
      <c r="F236" s="82">
        <f ca="1">IFERROR(__xludf.DUMMYFUNCTION("""COMPUTED_VALUE"""),0.250254629629629)</f>
        <v>0.25025462962962902</v>
      </c>
      <c r="G236" s="83">
        <f t="shared" ca="1" si="1"/>
        <v>19</v>
      </c>
      <c r="H236" s="83">
        <f ca="1">IFERROR(__xludf.DUMMYFUNCTION("""COMPUTED_VALUE"""),0)</f>
        <v>0</v>
      </c>
      <c r="I236" s="83">
        <f ca="1">IFERROR(__xludf.DUMMYFUNCTION("""COMPUTED_VALUE"""),22)</f>
        <v>22</v>
      </c>
    </row>
    <row r="237" spans="1:9">
      <c r="A237" s="79">
        <v>68</v>
      </c>
      <c r="B237" s="79">
        <v>0</v>
      </c>
      <c r="C237" s="79">
        <v>68</v>
      </c>
      <c r="D237" s="80">
        <v>43316.260671296295</v>
      </c>
      <c r="E237" s="81">
        <f t="shared" ca="1" si="0"/>
        <v>43313</v>
      </c>
      <c r="F237" s="82">
        <f ca="1">IFERROR(__xludf.DUMMYFUNCTION("""COMPUTED_VALUE"""),0.260671296296296)</f>
        <v>0.26067129629629598</v>
      </c>
      <c r="G237" s="83">
        <f t="shared" ca="1" si="1"/>
        <v>19</v>
      </c>
      <c r="H237" s="83">
        <f ca="1">IFERROR(__xludf.DUMMYFUNCTION("""COMPUTED_VALUE"""),15)</f>
        <v>15</v>
      </c>
      <c r="I237" s="83">
        <f ca="1">IFERROR(__xludf.DUMMYFUNCTION("""COMPUTED_VALUE"""),22)</f>
        <v>22</v>
      </c>
    </row>
    <row r="238" spans="1:9">
      <c r="A238" s="79">
        <v>78</v>
      </c>
      <c r="B238" s="79">
        <v>0</v>
      </c>
      <c r="C238" s="79">
        <v>72</v>
      </c>
      <c r="D238" s="80">
        <v>43316.273888888885</v>
      </c>
      <c r="E238" s="81">
        <f t="shared" ca="1" si="0"/>
        <v>43313</v>
      </c>
      <c r="F238" s="82">
        <f ca="1">IFERROR(__xludf.DUMMYFUNCTION("""COMPUTED_VALUE"""),0.273888888888888)</f>
        <v>0.27388888888888802</v>
      </c>
      <c r="G238" s="83">
        <f t="shared" ca="1" si="1"/>
        <v>19</v>
      </c>
      <c r="H238" s="83">
        <f ca="1">IFERROR(__xludf.DUMMYFUNCTION("""COMPUTED_VALUE"""),34)</f>
        <v>34</v>
      </c>
      <c r="I238" s="83">
        <f ca="1">IFERROR(__xludf.DUMMYFUNCTION("""COMPUTED_VALUE"""),24)</f>
        <v>24</v>
      </c>
    </row>
    <row r="239" spans="1:9">
      <c r="A239" s="79">
        <v>56</v>
      </c>
      <c r="B239" s="79">
        <v>0</v>
      </c>
      <c r="C239" s="79">
        <v>56</v>
      </c>
      <c r="D239" s="80">
        <v>43316.281504629631</v>
      </c>
      <c r="E239" s="81">
        <f t="shared" ca="1" si="0"/>
        <v>43313</v>
      </c>
      <c r="F239" s="82">
        <f ca="1">IFERROR(__xludf.DUMMYFUNCTION("""COMPUTED_VALUE"""),0.281504629629629)</f>
        <v>0.28150462962962902</v>
      </c>
      <c r="G239" s="83">
        <f t="shared" ca="1" si="1"/>
        <v>19</v>
      </c>
      <c r="H239" s="83">
        <f ca="1">IFERROR(__xludf.DUMMYFUNCTION("""COMPUTED_VALUE"""),45)</f>
        <v>45</v>
      </c>
      <c r="I239" s="83">
        <f ca="1">IFERROR(__xludf.DUMMYFUNCTION("""COMPUTED_VALUE"""),22)</f>
        <v>22</v>
      </c>
    </row>
    <row r="240" spans="1:9">
      <c r="A240" s="79">
        <v>73</v>
      </c>
      <c r="B240" s="79">
        <v>0</v>
      </c>
      <c r="C240" s="79">
        <v>65</v>
      </c>
      <c r="D240" s="80">
        <v>43316.291921296295</v>
      </c>
      <c r="E240" s="81">
        <f t="shared" ca="1" si="0"/>
        <v>43313</v>
      </c>
      <c r="F240" s="82">
        <f ca="1">IFERROR(__xludf.DUMMYFUNCTION("""COMPUTED_VALUE"""),0.291921296296296)</f>
        <v>0.29192129629629598</v>
      </c>
      <c r="G240" s="83">
        <f t="shared" ca="1" si="1"/>
        <v>19</v>
      </c>
      <c r="H240" s="83">
        <f ca="1">IFERROR(__xludf.DUMMYFUNCTION("""COMPUTED_VALUE"""),0)</f>
        <v>0</v>
      </c>
      <c r="I240" s="83">
        <f ca="1">IFERROR(__xludf.DUMMYFUNCTION("""COMPUTED_VALUE"""),22)</f>
        <v>22</v>
      </c>
    </row>
    <row r="241" spans="1:9">
      <c r="A241" s="79">
        <v>75</v>
      </c>
      <c r="B241" s="79">
        <v>0</v>
      </c>
      <c r="C241" s="79">
        <v>75</v>
      </c>
      <c r="D241" s="80">
        <v>43316.302361111113</v>
      </c>
      <c r="E241" s="81">
        <f t="shared" ca="1" si="0"/>
        <v>43313</v>
      </c>
      <c r="F241" s="82">
        <f ca="1">IFERROR(__xludf.DUMMYFUNCTION("""COMPUTED_VALUE"""),0.302361111111111)</f>
        <v>0.30236111111111103</v>
      </c>
      <c r="G241" s="83">
        <f t="shared" ca="1" si="1"/>
        <v>19</v>
      </c>
      <c r="H241" s="83">
        <f ca="1">IFERROR(__xludf.DUMMYFUNCTION("""COMPUTED_VALUE"""),15)</f>
        <v>15</v>
      </c>
      <c r="I241" s="83">
        <f ca="1">IFERROR(__xludf.DUMMYFUNCTION("""COMPUTED_VALUE"""),24)</f>
        <v>24</v>
      </c>
    </row>
    <row r="242" spans="1:9">
      <c r="A242" s="79">
        <v>77</v>
      </c>
      <c r="B242" s="79">
        <v>0</v>
      </c>
      <c r="C242" s="79">
        <v>77</v>
      </c>
      <c r="D242" s="80">
        <v>43316.312777777777</v>
      </c>
      <c r="E242" s="81">
        <f t="shared" ca="1" si="0"/>
        <v>43313</v>
      </c>
      <c r="F242" s="82">
        <f ca="1">IFERROR(__xludf.DUMMYFUNCTION("""COMPUTED_VALUE"""),0.312777777777777)</f>
        <v>0.31277777777777699</v>
      </c>
      <c r="G242" s="83">
        <f t="shared" ca="1" si="1"/>
        <v>19</v>
      </c>
      <c r="H242" s="83">
        <f ca="1">IFERROR(__xludf.DUMMYFUNCTION("""COMPUTED_VALUE"""),30)</f>
        <v>30</v>
      </c>
      <c r="I242" s="83">
        <f ca="1">IFERROR(__xludf.DUMMYFUNCTION("""COMPUTED_VALUE"""),24)</f>
        <v>24</v>
      </c>
    </row>
    <row r="243" spans="1:9">
      <c r="A243" s="79">
        <v>86</v>
      </c>
      <c r="B243" s="79">
        <v>0</v>
      </c>
      <c r="C243" s="79">
        <v>86</v>
      </c>
      <c r="D243" s="80">
        <v>43316.323182870372</v>
      </c>
      <c r="E243" s="81">
        <f t="shared" ca="1" si="0"/>
        <v>43313</v>
      </c>
      <c r="F243" s="82">
        <f ca="1">IFERROR(__xludf.DUMMYFUNCTION("""COMPUTED_VALUE"""),0.32318287037037)</f>
        <v>0.32318287037037002</v>
      </c>
      <c r="G243" s="83">
        <f t="shared" ca="1" si="1"/>
        <v>19</v>
      </c>
      <c r="H243" s="83">
        <f ca="1">IFERROR(__xludf.DUMMYFUNCTION("""COMPUTED_VALUE"""),45)</f>
        <v>45</v>
      </c>
      <c r="I243" s="83">
        <f ca="1">IFERROR(__xludf.DUMMYFUNCTION("""COMPUTED_VALUE"""),23)</f>
        <v>23</v>
      </c>
    </row>
    <row r="244" spans="1:9">
      <c r="A244" s="79">
        <v>80</v>
      </c>
      <c r="B244" s="79">
        <v>2</v>
      </c>
      <c r="C244" s="79">
        <v>82</v>
      </c>
      <c r="D244" s="80">
        <v>43316.333611111113</v>
      </c>
      <c r="E244" s="81">
        <f t="shared" ca="1" si="0"/>
        <v>43313</v>
      </c>
      <c r="F244" s="82">
        <f ca="1">IFERROR(__xludf.DUMMYFUNCTION("""COMPUTED_VALUE"""),0.333611111111111)</f>
        <v>0.33361111111111103</v>
      </c>
      <c r="G244" s="83">
        <f t="shared" ca="1" si="1"/>
        <v>19</v>
      </c>
      <c r="H244" s="83">
        <f ca="1">IFERROR(__xludf.DUMMYFUNCTION("""COMPUTED_VALUE"""),0)</f>
        <v>0</v>
      </c>
      <c r="I244" s="83">
        <f ca="1">IFERROR(__xludf.DUMMYFUNCTION("""COMPUTED_VALUE"""),24)</f>
        <v>24</v>
      </c>
    </row>
    <row r="245" spans="1:9">
      <c r="A245" s="79">
        <v>81</v>
      </c>
      <c r="B245" s="79">
        <v>1</v>
      </c>
      <c r="C245" s="79">
        <v>82</v>
      </c>
      <c r="D245" s="80">
        <v>43316.344027777777</v>
      </c>
      <c r="E245" s="81">
        <f t="shared" ca="1" si="0"/>
        <v>43313</v>
      </c>
      <c r="F245" s="82">
        <f ca="1">IFERROR(__xludf.DUMMYFUNCTION("""COMPUTED_VALUE"""),0.344027777777777)</f>
        <v>0.34402777777777699</v>
      </c>
      <c r="G245" s="83">
        <f t="shared" ca="1" si="1"/>
        <v>19</v>
      </c>
      <c r="H245" s="83">
        <f ca="1">IFERROR(__xludf.DUMMYFUNCTION("""COMPUTED_VALUE"""),15)</f>
        <v>15</v>
      </c>
      <c r="I245" s="83">
        <f ca="1">IFERROR(__xludf.DUMMYFUNCTION("""COMPUTED_VALUE"""),24)</f>
        <v>24</v>
      </c>
    </row>
    <row r="246" spans="1:9">
      <c r="A246" s="79">
        <v>106</v>
      </c>
      <c r="B246" s="79">
        <v>1</v>
      </c>
      <c r="C246" s="79">
        <v>107</v>
      </c>
      <c r="D246" s="80">
        <v>43316.354444444441</v>
      </c>
      <c r="E246" s="81">
        <f t="shared" ca="1" si="0"/>
        <v>43313</v>
      </c>
      <c r="F246" s="82">
        <f ca="1">IFERROR(__xludf.DUMMYFUNCTION("""COMPUTED_VALUE"""),0.354444444444444)</f>
        <v>0.35444444444444401</v>
      </c>
      <c r="G246" s="83">
        <f t="shared" ca="1" si="1"/>
        <v>19</v>
      </c>
      <c r="H246" s="83">
        <f ca="1">IFERROR(__xludf.DUMMYFUNCTION("""COMPUTED_VALUE"""),30)</f>
        <v>30</v>
      </c>
      <c r="I246" s="83">
        <f ca="1">IFERROR(__xludf.DUMMYFUNCTION("""COMPUTED_VALUE"""),24)</f>
        <v>24</v>
      </c>
    </row>
    <row r="247" spans="1:9">
      <c r="A247" s="79">
        <v>139</v>
      </c>
      <c r="B247" s="79">
        <v>0</v>
      </c>
      <c r="C247" s="79">
        <v>139</v>
      </c>
      <c r="D247" s="80">
        <v>43316.364849537036</v>
      </c>
      <c r="E247" s="81">
        <f t="shared" ca="1" si="0"/>
        <v>43313</v>
      </c>
      <c r="F247" s="82">
        <f ca="1">IFERROR(__xludf.DUMMYFUNCTION("""COMPUTED_VALUE"""),0.364849537037037)</f>
        <v>0.36484953703703699</v>
      </c>
      <c r="G247" s="83">
        <f t="shared" ca="1" si="1"/>
        <v>19</v>
      </c>
      <c r="H247" s="83">
        <f ca="1">IFERROR(__xludf.DUMMYFUNCTION("""COMPUTED_VALUE"""),45)</f>
        <v>45</v>
      </c>
      <c r="I247" s="83">
        <f ca="1">IFERROR(__xludf.DUMMYFUNCTION("""COMPUTED_VALUE"""),23)</f>
        <v>23</v>
      </c>
    </row>
    <row r="248" spans="1:9">
      <c r="A248" s="79">
        <v>89</v>
      </c>
      <c r="B248" s="79">
        <v>0</v>
      </c>
      <c r="C248" s="79">
        <v>89</v>
      </c>
      <c r="D248" s="80">
        <v>43316.375289351854</v>
      </c>
      <c r="E248" s="81">
        <f t="shared" ca="1" si="0"/>
        <v>43313</v>
      </c>
      <c r="F248" s="82">
        <f ca="1">IFERROR(__xludf.DUMMYFUNCTION("""COMPUTED_VALUE"""),0.375289351851851)</f>
        <v>0.37528935185185103</v>
      </c>
      <c r="G248" s="83">
        <f t="shared" ca="1" si="1"/>
        <v>19</v>
      </c>
      <c r="H248" s="83">
        <f ca="1">IFERROR(__xludf.DUMMYFUNCTION("""COMPUTED_VALUE"""),0)</f>
        <v>0</v>
      </c>
      <c r="I248" s="83">
        <f ca="1">IFERROR(__xludf.DUMMYFUNCTION("""COMPUTED_VALUE"""),25)</f>
        <v>25</v>
      </c>
    </row>
    <row r="249" spans="1:9">
      <c r="A249" s="79">
        <v>91</v>
      </c>
      <c r="B249" s="79">
        <v>1</v>
      </c>
      <c r="C249" s="79">
        <v>92</v>
      </c>
      <c r="D249" s="80">
        <v>43316.385682870372</v>
      </c>
      <c r="E249" s="81">
        <f t="shared" ca="1" si="0"/>
        <v>43313</v>
      </c>
      <c r="F249" s="82">
        <f ca="1">IFERROR(__xludf.DUMMYFUNCTION("""COMPUTED_VALUE"""),0.38568287037037)</f>
        <v>0.38568287037037002</v>
      </c>
      <c r="G249" s="83">
        <f t="shared" ca="1" si="1"/>
        <v>19</v>
      </c>
      <c r="H249" s="83">
        <f ca="1">IFERROR(__xludf.DUMMYFUNCTION("""COMPUTED_VALUE"""),15)</f>
        <v>15</v>
      </c>
      <c r="I249" s="83">
        <f ca="1">IFERROR(__xludf.DUMMYFUNCTION("""COMPUTED_VALUE"""),23)</f>
        <v>23</v>
      </c>
    </row>
    <row r="250" spans="1:9">
      <c r="A250" s="79">
        <v>110</v>
      </c>
      <c r="B250" s="79">
        <v>1</v>
      </c>
      <c r="C250" s="79">
        <v>111</v>
      </c>
      <c r="D250" s="80">
        <v>43316.396099537036</v>
      </c>
      <c r="E250" s="81">
        <f t="shared" ca="1" si="0"/>
        <v>43313</v>
      </c>
      <c r="F250" s="82">
        <f ca="1">IFERROR(__xludf.DUMMYFUNCTION("""COMPUTED_VALUE"""),0.396099537037037)</f>
        <v>0.39609953703703699</v>
      </c>
      <c r="G250" s="83">
        <f t="shared" ca="1" si="1"/>
        <v>19</v>
      </c>
      <c r="H250" s="83">
        <f ca="1">IFERROR(__xludf.DUMMYFUNCTION("""COMPUTED_VALUE"""),30)</f>
        <v>30</v>
      </c>
      <c r="I250" s="83">
        <f ca="1">IFERROR(__xludf.DUMMYFUNCTION("""COMPUTED_VALUE"""),23)</f>
        <v>23</v>
      </c>
    </row>
    <row r="251" spans="1:9">
      <c r="A251" s="79">
        <v>139</v>
      </c>
      <c r="B251" s="79">
        <v>0</v>
      </c>
      <c r="C251" s="79">
        <v>139</v>
      </c>
      <c r="D251" s="80">
        <v>43316.4065162037</v>
      </c>
      <c r="E251" s="81">
        <f t="shared" ca="1" si="0"/>
        <v>43313</v>
      </c>
      <c r="F251" s="82">
        <f ca="1">IFERROR(__xludf.DUMMYFUNCTION("""COMPUTED_VALUE"""),0.406516203703703)</f>
        <v>0.40651620370370301</v>
      </c>
      <c r="G251" s="83">
        <f t="shared" ca="1" si="1"/>
        <v>19</v>
      </c>
      <c r="H251" s="83">
        <f ca="1">IFERROR(__xludf.DUMMYFUNCTION("""COMPUTED_VALUE"""),45)</f>
        <v>45</v>
      </c>
      <c r="I251" s="83">
        <f ca="1">IFERROR(__xludf.DUMMYFUNCTION("""COMPUTED_VALUE"""),23)</f>
        <v>23</v>
      </c>
    </row>
    <row r="252" spans="1:9">
      <c r="A252" s="79">
        <v>97</v>
      </c>
      <c r="B252" s="79">
        <v>0</v>
      </c>
      <c r="C252" s="79">
        <v>97</v>
      </c>
      <c r="D252" s="80">
        <v>43316.416944444441</v>
      </c>
      <c r="E252" s="81">
        <f t="shared" ca="1" si="0"/>
        <v>43313</v>
      </c>
      <c r="F252" s="82">
        <f ca="1">IFERROR(__xludf.DUMMYFUNCTION("""COMPUTED_VALUE"""),0.416944444444444)</f>
        <v>0.41694444444444401</v>
      </c>
      <c r="G252" s="83">
        <f t="shared" ca="1" si="1"/>
        <v>19</v>
      </c>
      <c r="H252" s="83">
        <f ca="1">IFERROR(__xludf.DUMMYFUNCTION("""COMPUTED_VALUE"""),0)</f>
        <v>0</v>
      </c>
      <c r="I252" s="83">
        <f ca="1">IFERROR(__xludf.DUMMYFUNCTION("""COMPUTED_VALUE"""),24)</f>
        <v>24</v>
      </c>
    </row>
    <row r="253" spans="1:9">
      <c r="A253" s="79">
        <v>130</v>
      </c>
      <c r="B253" s="79">
        <v>0</v>
      </c>
      <c r="C253" s="79">
        <v>130</v>
      </c>
      <c r="D253" s="80">
        <v>43316.427361111113</v>
      </c>
      <c r="E253" s="81">
        <f t="shared" ca="1" si="0"/>
        <v>43313</v>
      </c>
      <c r="F253" s="82">
        <f ca="1">IFERROR(__xludf.DUMMYFUNCTION("""COMPUTED_VALUE"""),0.427361111111111)</f>
        <v>0.42736111111111103</v>
      </c>
      <c r="G253" s="83">
        <f t="shared" ca="1" si="1"/>
        <v>19</v>
      </c>
      <c r="H253" s="83">
        <f ca="1">IFERROR(__xludf.DUMMYFUNCTION("""COMPUTED_VALUE"""),15)</f>
        <v>15</v>
      </c>
      <c r="I253" s="83">
        <f ca="1">IFERROR(__xludf.DUMMYFUNCTION("""COMPUTED_VALUE"""),24)</f>
        <v>24</v>
      </c>
    </row>
    <row r="254" spans="1:9">
      <c r="A254" s="79">
        <v>149</v>
      </c>
      <c r="B254" s="79">
        <v>1</v>
      </c>
      <c r="C254" s="79">
        <v>150</v>
      </c>
      <c r="D254" s="80">
        <v>43316.4377662037</v>
      </c>
      <c r="E254" s="81">
        <f t="shared" ca="1" si="0"/>
        <v>43313</v>
      </c>
      <c r="F254" s="82">
        <f ca="1">IFERROR(__xludf.DUMMYFUNCTION("""COMPUTED_VALUE"""),0.437766203703703)</f>
        <v>0.43776620370370301</v>
      </c>
      <c r="G254" s="83">
        <f t="shared" ca="1" si="1"/>
        <v>19</v>
      </c>
      <c r="H254" s="83">
        <f ca="1">IFERROR(__xludf.DUMMYFUNCTION("""COMPUTED_VALUE"""),30)</f>
        <v>30</v>
      </c>
      <c r="I254" s="83">
        <f ca="1">IFERROR(__xludf.DUMMYFUNCTION("""COMPUTED_VALUE"""),23)</f>
        <v>23</v>
      </c>
    </row>
    <row r="255" spans="1:9">
      <c r="A255" s="79">
        <v>233</v>
      </c>
      <c r="B255" s="79">
        <v>0</v>
      </c>
      <c r="C255" s="79">
        <v>226</v>
      </c>
      <c r="D255" s="80">
        <v>43316.448182870372</v>
      </c>
      <c r="E255" s="81">
        <f t="shared" ca="1" si="0"/>
        <v>43313</v>
      </c>
      <c r="F255" s="82">
        <f ca="1">IFERROR(__xludf.DUMMYFUNCTION("""COMPUTED_VALUE"""),0.44818287037037)</f>
        <v>0.44818287037037002</v>
      </c>
      <c r="G255" s="83">
        <f t="shared" ca="1" si="1"/>
        <v>19</v>
      </c>
      <c r="H255" s="83">
        <f ca="1">IFERROR(__xludf.DUMMYFUNCTION("""COMPUTED_VALUE"""),45)</f>
        <v>45</v>
      </c>
      <c r="I255" s="83">
        <f ca="1">IFERROR(__xludf.DUMMYFUNCTION("""COMPUTED_VALUE"""),23)</f>
        <v>23</v>
      </c>
    </row>
    <row r="256" spans="1:9">
      <c r="A256" s="79">
        <v>185</v>
      </c>
      <c r="B256" s="79">
        <v>1</v>
      </c>
      <c r="C256" s="79">
        <v>186</v>
      </c>
      <c r="D256" s="80">
        <v>43316.458611111113</v>
      </c>
      <c r="E256" s="81">
        <f t="shared" ca="1" si="0"/>
        <v>43313</v>
      </c>
      <c r="F256" s="82">
        <f ca="1">IFERROR(__xludf.DUMMYFUNCTION("""COMPUTED_VALUE"""),0.458611111111111)</f>
        <v>0.45861111111111103</v>
      </c>
      <c r="G256" s="83">
        <f t="shared" ca="1" si="1"/>
        <v>19</v>
      </c>
      <c r="H256" s="83">
        <f ca="1">IFERROR(__xludf.DUMMYFUNCTION("""COMPUTED_VALUE"""),0)</f>
        <v>0</v>
      </c>
      <c r="I256" s="83">
        <f ca="1">IFERROR(__xludf.DUMMYFUNCTION("""COMPUTED_VALUE"""),24)</f>
        <v>24</v>
      </c>
    </row>
    <row r="257" spans="1:9">
      <c r="A257" s="79">
        <v>201</v>
      </c>
      <c r="B257" s="79">
        <v>1</v>
      </c>
      <c r="C257" s="79">
        <v>202</v>
      </c>
      <c r="D257" s="80">
        <v>43316.4690162037</v>
      </c>
      <c r="E257" s="81">
        <f t="shared" ref="E257:E2834" ca="1" si="2">IFERROR(__xludf.DUMMYFUNCTION("SPLIT(D2, "" "")"),43313)</f>
        <v>43313</v>
      </c>
      <c r="F257" s="82">
        <f ca="1">IFERROR(__xludf.DUMMYFUNCTION("""COMPUTED_VALUE"""),0.469016203703703)</f>
        <v>0.46901620370370301</v>
      </c>
      <c r="G257" s="83">
        <f t="shared" ref="G257:G2834" ca="1" si="3">IFERROR(__xludf.DUMMYFUNCTION("SPLIT(F2, "":"")"),19)</f>
        <v>19</v>
      </c>
      <c r="H257" s="83">
        <f ca="1">IFERROR(__xludf.DUMMYFUNCTION("""COMPUTED_VALUE"""),15)</f>
        <v>15</v>
      </c>
      <c r="I257" s="83">
        <f ca="1">IFERROR(__xludf.DUMMYFUNCTION("""COMPUTED_VALUE"""),23)</f>
        <v>23</v>
      </c>
    </row>
    <row r="258" spans="1:9">
      <c r="A258" s="79">
        <v>217</v>
      </c>
      <c r="B258" s="79">
        <v>3</v>
      </c>
      <c r="C258" s="79">
        <v>220</v>
      </c>
      <c r="D258" s="80">
        <v>43316.479432870372</v>
      </c>
      <c r="E258" s="81">
        <f t="shared" ca="1" si="2"/>
        <v>43313</v>
      </c>
      <c r="F258" s="82">
        <f ca="1">IFERROR(__xludf.DUMMYFUNCTION("""COMPUTED_VALUE"""),0.47943287037037)</f>
        <v>0.47943287037037002</v>
      </c>
      <c r="G258" s="83">
        <f t="shared" ca="1" si="3"/>
        <v>19</v>
      </c>
      <c r="H258" s="83">
        <f ca="1">IFERROR(__xludf.DUMMYFUNCTION("""COMPUTED_VALUE"""),30)</f>
        <v>30</v>
      </c>
      <c r="I258" s="83">
        <f ca="1">IFERROR(__xludf.DUMMYFUNCTION("""COMPUTED_VALUE"""),23)</f>
        <v>23</v>
      </c>
    </row>
    <row r="259" spans="1:9">
      <c r="A259" s="79">
        <v>244</v>
      </c>
      <c r="B259" s="79">
        <v>2</v>
      </c>
      <c r="C259" s="79">
        <v>246</v>
      </c>
      <c r="D259" s="80">
        <v>43316.489861111113</v>
      </c>
      <c r="E259" s="81">
        <f t="shared" ca="1" si="2"/>
        <v>43313</v>
      </c>
      <c r="F259" s="82">
        <f ca="1">IFERROR(__xludf.DUMMYFUNCTION("""COMPUTED_VALUE"""),0.489861111111111)</f>
        <v>0.48986111111111103</v>
      </c>
      <c r="G259" s="83">
        <f t="shared" ca="1" si="3"/>
        <v>19</v>
      </c>
      <c r="H259" s="83">
        <f ca="1">IFERROR(__xludf.DUMMYFUNCTION("""COMPUTED_VALUE"""),45)</f>
        <v>45</v>
      </c>
      <c r="I259" s="83">
        <f ca="1">IFERROR(__xludf.DUMMYFUNCTION("""COMPUTED_VALUE"""),24)</f>
        <v>24</v>
      </c>
    </row>
    <row r="260" spans="1:9">
      <c r="A260" s="79">
        <v>209</v>
      </c>
      <c r="B260" s="79">
        <v>2</v>
      </c>
      <c r="C260" s="79">
        <v>211</v>
      </c>
      <c r="D260" s="80">
        <v>43316.5002662037</v>
      </c>
      <c r="E260" s="81">
        <f t="shared" ca="1" si="2"/>
        <v>43313</v>
      </c>
      <c r="F260" s="82">
        <f ca="1">IFERROR(__xludf.DUMMYFUNCTION("""COMPUTED_VALUE"""),0.500266203703703)</f>
        <v>0.50026620370370301</v>
      </c>
      <c r="G260" s="83">
        <f t="shared" ca="1" si="3"/>
        <v>19</v>
      </c>
      <c r="H260" s="83">
        <f ca="1">IFERROR(__xludf.DUMMYFUNCTION("""COMPUTED_VALUE"""),0)</f>
        <v>0</v>
      </c>
      <c r="I260" s="83">
        <f ca="1">IFERROR(__xludf.DUMMYFUNCTION("""COMPUTED_VALUE"""),23)</f>
        <v>23</v>
      </c>
    </row>
    <row r="261" spans="1:9">
      <c r="A261" s="79">
        <v>242</v>
      </c>
      <c r="B261" s="79">
        <v>1</v>
      </c>
      <c r="C261" s="79">
        <v>243</v>
      </c>
      <c r="D261" s="80">
        <v>43316.510694444441</v>
      </c>
      <c r="E261" s="81">
        <f t="shared" ca="1" si="2"/>
        <v>43313</v>
      </c>
      <c r="F261" s="82">
        <f ca="1">IFERROR(__xludf.DUMMYFUNCTION("""COMPUTED_VALUE"""),0.510694444444444)</f>
        <v>0.51069444444444401</v>
      </c>
      <c r="G261" s="83">
        <f t="shared" ca="1" si="3"/>
        <v>19</v>
      </c>
      <c r="H261" s="83">
        <f ca="1">IFERROR(__xludf.DUMMYFUNCTION("""COMPUTED_VALUE"""),15)</f>
        <v>15</v>
      </c>
      <c r="I261" s="83">
        <f ca="1">IFERROR(__xludf.DUMMYFUNCTION("""COMPUTED_VALUE"""),24)</f>
        <v>24</v>
      </c>
    </row>
    <row r="262" spans="1:9">
      <c r="A262" s="79">
        <v>260</v>
      </c>
      <c r="B262" s="79">
        <v>2</v>
      </c>
      <c r="C262" s="79">
        <v>262</v>
      </c>
      <c r="D262" s="80">
        <v>43316.521099537036</v>
      </c>
      <c r="E262" s="81">
        <f t="shared" ca="1" si="2"/>
        <v>43313</v>
      </c>
      <c r="F262" s="82">
        <f ca="1">IFERROR(__xludf.DUMMYFUNCTION("""COMPUTED_VALUE"""),0.521099537037037)</f>
        <v>0.52109953703703704</v>
      </c>
      <c r="G262" s="83">
        <f t="shared" ca="1" si="3"/>
        <v>19</v>
      </c>
      <c r="H262" s="83">
        <f ca="1">IFERROR(__xludf.DUMMYFUNCTION("""COMPUTED_VALUE"""),30)</f>
        <v>30</v>
      </c>
      <c r="I262" s="83">
        <f ca="1">IFERROR(__xludf.DUMMYFUNCTION("""COMPUTED_VALUE"""),23)</f>
        <v>23</v>
      </c>
    </row>
    <row r="263" spans="1:9">
      <c r="A263" s="79">
        <v>274</v>
      </c>
      <c r="B263" s="79">
        <v>2</v>
      </c>
      <c r="C263" s="79">
        <v>276</v>
      </c>
      <c r="D263" s="80">
        <v>43316.5315162037</v>
      </c>
      <c r="E263" s="81">
        <f t="shared" ca="1" si="2"/>
        <v>43313</v>
      </c>
      <c r="F263" s="82">
        <f ca="1">IFERROR(__xludf.DUMMYFUNCTION("""COMPUTED_VALUE"""),0.531516203703703)</f>
        <v>0.53151620370370301</v>
      </c>
      <c r="G263" s="83">
        <f t="shared" ca="1" si="3"/>
        <v>19</v>
      </c>
      <c r="H263" s="83">
        <f ca="1">IFERROR(__xludf.DUMMYFUNCTION("""COMPUTED_VALUE"""),45)</f>
        <v>45</v>
      </c>
      <c r="I263" s="83">
        <f ca="1">IFERROR(__xludf.DUMMYFUNCTION("""COMPUTED_VALUE"""),23)</f>
        <v>23</v>
      </c>
    </row>
    <row r="264" spans="1:9">
      <c r="A264" s="79">
        <v>256</v>
      </c>
      <c r="B264" s="79">
        <v>3</v>
      </c>
      <c r="C264" s="79">
        <v>259</v>
      </c>
      <c r="D264" s="80">
        <v>43316.541932870372</v>
      </c>
      <c r="E264" s="81">
        <f t="shared" ca="1" si="2"/>
        <v>43313</v>
      </c>
      <c r="F264" s="82">
        <f ca="1">IFERROR(__xludf.DUMMYFUNCTION("""COMPUTED_VALUE"""),0.54193287037037)</f>
        <v>0.54193287037036997</v>
      </c>
      <c r="G264" s="83">
        <f t="shared" ca="1" si="3"/>
        <v>19</v>
      </c>
      <c r="H264" s="83">
        <f ca="1">IFERROR(__xludf.DUMMYFUNCTION("""COMPUTED_VALUE"""),0)</f>
        <v>0</v>
      </c>
      <c r="I264" s="83">
        <f ca="1">IFERROR(__xludf.DUMMYFUNCTION("""COMPUTED_VALUE"""),23)</f>
        <v>23</v>
      </c>
    </row>
    <row r="265" spans="1:9">
      <c r="A265" s="79">
        <v>261</v>
      </c>
      <c r="B265" s="79">
        <v>1</v>
      </c>
      <c r="C265" s="79">
        <v>262</v>
      </c>
      <c r="D265" s="80">
        <v>43316.552349537036</v>
      </c>
      <c r="E265" s="81">
        <f t="shared" ca="1" si="2"/>
        <v>43313</v>
      </c>
      <c r="F265" s="82">
        <f ca="1">IFERROR(__xludf.DUMMYFUNCTION("""COMPUTED_VALUE"""),0.552349537037037)</f>
        <v>0.55234953703703704</v>
      </c>
      <c r="G265" s="83">
        <f t="shared" ca="1" si="3"/>
        <v>19</v>
      </c>
      <c r="H265" s="83">
        <f ca="1">IFERROR(__xludf.DUMMYFUNCTION("""COMPUTED_VALUE"""),15)</f>
        <v>15</v>
      </c>
      <c r="I265" s="83">
        <f ca="1">IFERROR(__xludf.DUMMYFUNCTION("""COMPUTED_VALUE"""),23)</f>
        <v>23</v>
      </c>
    </row>
    <row r="266" spans="1:9">
      <c r="A266" s="79">
        <v>294</v>
      </c>
      <c r="B266" s="79">
        <v>2</v>
      </c>
      <c r="C266" s="79">
        <v>296</v>
      </c>
      <c r="D266" s="80">
        <v>43316.5627662037</v>
      </c>
      <c r="E266" s="81">
        <f t="shared" ca="1" si="2"/>
        <v>43313</v>
      </c>
      <c r="F266" s="82">
        <f ca="1">IFERROR(__xludf.DUMMYFUNCTION("""COMPUTED_VALUE"""),0.562766203703703)</f>
        <v>0.56276620370370301</v>
      </c>
      <c r="G266" s="83">
        <f t="shared" ca="1" si="3"/>
        <v>19</v>
      </c>
      <c r="H266" s="83">
        <f ca="1">IFERROR(__xludf.DUMMYFUNCTION("""COMPUTED_VALUE"""),30)</f>
        <v>30</v>
      </c>
      <c r="I266" s="83">
        <f ca="1">IFERROR(__xludf.DUMMYFUNCTION("""COMPUTED_VALUE"""),23)</f>
        <v>23</v>
      </c>
    </row>
    <row r="267" spans="1:9">
      <c r="A267" s="79">
        <v>298</v>
      </c>
      <c r="B267" s="79">
        <v>4</v>
      </c>
      <c r="C267" s="79">
        <v>302</v>
      </c>
      <c r="D267" s="80">
        <v>43316.573182870372</v>
      </c>
      <c r="E267" s="81">
        <f t="shared" ca="1" si="2"/>
        <v>43313</v>
      </c>
      <c r="F267" s="82">
        <f ca="1">IFERROR(__xludf.DUMMYFUNCTION("""COMPUTED_VALUE"""),0.57318287037037)</f>
        <v>0.57318287037036997</v>
      </c>
      <c r="G267" s="83">
        <f t="shared" ca="1" si="3"/>
        <v>19</v>
      </c>
      <c r="H267" s="83">
        <f ca="1">IFERROR(__xludf.DUMMYFUNCTION("""COMPUTED_VALUE"""),45)</f>
        <v>45</v>
      </c>
      <c r="I267" s="83">
        <f ca="1">IFERROR(__xludf.DUMMYFUNCTION("""COMPUTED_VALUE"""),23)</f>
        <v>23</v>
      </c>
    </row>
    <row r="268" spans="1:9">
      <c r="A268" s="79">
        <v>283</v>
      </c>
      <c r="B268" s="79">
        <v>2</v>
      </c>
      <c r="C268" s="79">
        <v>285</v>
      </c>
      <c r="D268" s="80">
        <v>43316.583587962959</v>
      </c>
      <c r="E268" s="81">
        <f t="shared" ca="1" si="2"/>
        <v>43313</v>
      </c>
      <c r="F268" s="82">
        <f ca="1">IFERROR(__xludf.DUMMYFUNCTION("""COMPUTED_VALUE"""),0.583587962962963)</f>
        <v>0.583587962962963</v>
      </c>
      <c r="G268" s="83">
        <f t="shared" ca="1" si="3"/>
        <v>19</v>
      </c>
      <c r="H268" s="83">
        <f ca="1">IFERROR(__xludf.DUMMYFUNCTION("""COMPUTED_VALUE"""),0)</f>
        <v>0</v>
      </c>
      <c r="I268" s="83">
        <f ca="1">IFERROR(__xludf.DUMMYFUNCTION("""COMPUTED_VALUE"""),22)</f>
        <v>22</v>
      </c>
    </row>
    <row r="269" spans="1:9">
      <c r="A269" s="79">
        <v>304</v>
      </c>
      <c r="B269" s="79">
        <v>0</v>
      </c>
      <c r="C269" s="79">
        <v>304</v>
      </c>
      <c r="D269" s="80">
        <v>43316.5940162037</v>
      </c>
      <c r="E269" s="81">
        <f t="shared" ca="1" si="2"/>
        <v>43313</v>
      </c>
      <c r="F269" s="82">
        <f ca="1">IFERROR(__xludf.DUMMYFUNCTION("""COMPUTED_VALUE"""),0.594016203703703)</f>
        <v>0.59401620370370301</v>
      </c>
      <c r="G269" s="83">
        <f t="shared" ca="1" si="3"/>
        <v>19</v>
      </c>
      <c r="H269" s="83">
        <f ca="1">IFERROR(__xludf.DUMMYFUNCTION("""COMPUTED_VALUE"""),15)</f>
        <v>15</v>
      </c>
      <c r="I269" s="83">
        <f ca="1">IFERROR(__xludf.DUMMYFUNCTION("""COMPUTED_VALUE"""),23)</f>
        <v>23</v>
      </c>
    </row>
    <row r="270" spans="1:9">
      <c r="A270" s="79">
        <v>269</v>
      </c>
      <c r="B270" s="79">
        <v>2</v>
      </c>
      <c r="C270" s="79">
        <v>271</v>
      </c>
      <c r="D270" s="80">
        <v>43316.604432870372</v>
      </c>
      <c r="E270" s="81">
        <f t="shared" ca="1" si="2"/>
        <v>43313</v>
      </c>
      <c r="F270" s="82">
        <f ca="1">IFERROR(__xludf.DUMMYFUNCTION("""COMPUTED_VALUE"""),0.60443287037037)</f>
        <v>0.60443287037036997</v>
      </c>
      <c r="G270" s="83">
        <f t="shared" ca="1" si="3"/>
        <v>19</v>
      </c>
      <c r="H270" s="83">
        <f ca="1">IFERROR(__xludf.DUMMYFUNCTION("""COMPUTED_VALUE"""),30)</f>
        <v>30</v>
      </c>
      <c r="I270" s="83">
        <f ca="1">IFERROR(__xludf.DUMMYFUNCTION("""COMPUTED_VALUE"""),23)</f>
        <v>23</v>
      </c>
    </row>
    <row r="271" spans="1:9">
      <c r="A271" s="79">
        <v>291</v>
      </c>
      <c r="B271" s="79">
        <v>4</v>
      </c>
      <c r="C271" s="79">
        <v>295</v>
      </c>
      <c r="D271" s="80">
        <v>43316.614849537036</v>
      </c>
      <c r="E271" s="81">
        <f t="shared" ca="1" si="2"/>
        <v>43313</v>
      </c>
      <c r="F271" s="82">
        <f ca="1">IFERROR(__xludf.DUMMYFUNCTION("""COMPUTED_VALUE"""),0.614849537037037)</f>
        <v>0.61484953703703704</v>
      </c>
      <c r="G271" s="83">
        <f t="shared" ca="1" si="3"/>
        <v>19</v>
      </c>
      <c r="H271" s="83">
        <f ca="1">IFERROR(__xludf.DUMMYFUNCTION("""COMPUTED_VALUE"""),45)</f>
        <v>45</v>
      </c>
      <c r="I271" s="83">
        <f ca="1">IFERROR(__xludf.DUMMYFUNCTION("""COMPUTED_VALUE"""),23)</f>
        <v>23</v>
      </c>
    </row>
    <row r="272" spans="1:9">
      <c r="A272" s="79">
        <v>265</v>
      </c>
      <c r="B272" s="79">
        <v>1</v>
      </c>
      <c r="C272" s="79">
        <v>266</v>
      </c>
      <c r="D272" s="80">
        <v>43316.625300925924</v>
      </c>
      <c r="E272" s="81">
        <f t="shared" ca="1" si="2"/>
        <v>43313</v>
      </c>
      <c r="F272" s="82">
        <f ca="1">IFERROR(__xludf.DUMMYFUNCTION("""COMPUTED_VALUE"""),0.625300925925925)</f>
        <v>0.62530092592592501</v>
      </c>
      <c r="G272" s="83">
        <f t="shared" ca="1" si="3"/>
        <v>19</v>
      </c>
      <c r="H272" s="83">
        <f ca="1">IFERROR(__xludf.DUMMYFUNCTION("""COMPUTED_VALUE"""),0)</f>
        <v>0</v>
      </c>
      <c r="I272" s="83">
        <f ca="1">IFERROR(__xludf.DUMMYFUNCTION("""COMPUTED_VALUE"""),26)</f>
        <v>26</v>
      </c>
    </row>
    <row r="273" spans="1:9">
      <c r="A273" s="79">
        <v>277</v>
      </c>
      <c r="B273" s="79">
        <v>1</v>
      </c>
      <c r="C273" s="79">
        <v>278</v>
      </c>
      <c r="D273" s="80">
        <v>43316.635682870372</v>
      </c>
      <c r="E273" s="81">
        <f t="shared" ca="1" si="2"/>
        <v>43313</v>
      </c>
      <c r="F273" s="82">
        <f ca="1">IFERROR(__xludf.DUMMYFUNCTION("""COMPUTED_VALUE"""),0.63568287037037)</f>
        <v>0.63568287037036997</v>
      </c>
      <c r="G273" s="83">
        <f t="shared" ca="1" si="3"/>
        <v>19</v>
      </c>
      <c r="H273" s="83">
        <f ca="1">IFERROR(__xludf.DUMMYFUNCTION("""COMPUTED_VALUE"""),15)</f>
        <v>15</v>
      </c>
      <c r="I273" s="83">
        <f ca="1">IFERROR(__xludf.DUMMYFUNCTION("""COMPUTED_VALUE"""),23)</f>
        <v>23</v>
      </c>
    </row>
    <row r="274" spans="1:9">
      <c r="A274" s="79">
        <v>295</v>
      </c>
      <c r="B274" s="79">
        <v>2</v>
      </c>
      <c r="C274" s="79">
        <v>297</v>
      </c>
      <c r="D274" s="80">
        <v>43316.646099537036</v>
      </c>
      <c r="E274" s="81">
        <f t="shared" ca="1" si="2"/>
        <v>43313</v>
      </c>
      <c r="F274" s="82">
        <f ca="1">IFERROR(__xludf.DUMMYFUNCTION("""COMPUTED_VALUE"""),0.646099537037037)</f>
        <v>0.64609953703703704</v>
      </c>
      <c r="G274" s="83">
        <f t="shared" ca="1" si="3"/>
        <v>19</v>
      </c>
      <c r="H274" s="83">
        <f ca="1">IFERROR(__xludf.DUMMYFUNCTION("""COMPUTED_VALUE"""),30)</f>
        <v>30</v>
      </c>
      <c r="I274" s="83">
        <f ca="1">IFERROR(__xludf.DUMMYFUNCTION("""COMPUTED_VALUE"""),23)</f>
        <v>23</v>
      </c>
    </row>
    <row r="275" spans="1:9">
      <c r="A275" s="79">
        <v>285</v>
      </c>
      <c r="B275" s="79">
        <v>4</v>
      </c>
      <c r="C275" s="79">
        <v>289</v>
      </c>
      <c r="D275" s="80">
        <v>43316.6565162037</v>
      </c>
      <c r="E275" s="81">
        <f t="shared" ca="1" si="2"/>
        <v>43313</v>
      </c>
      <c r="F275" s="82">
        <f ca="1">IFERROR(__xludf.DUMMYFUNCTION("""COMPUTED_VALUE"""),0.656516203703703)</f>
        <v>0.65651620370370301</v>
      </c>
      <c r="G275" s="83">
        <f t="shared" ca="1" si="3"/>
        <v>19</v>
      </c>
      <c r="H275" s="83">
        <f ca="1">IFERROR(__xludf.DUMMYFUNCTION("""COMPUTED_VALUE"""),45)</f>
        <v>45</v>
      </c>
      <c r="I275" s="83">
        <f ca="1">IFERROR(__xludf.DUMMYFUNCTION("""COMPUTED_VALUE"""),23)</f>
        <v>23</v>
      </c>
    </row>
    <row r="276" spans="1:9">
      <c r="A276" s="79">
        <v>268</v>
      </c>
      <c r="B276" s="79">
        <v>4</v>
      </c>
      <c r="C276" s="79">
        <v>272</v>
      </c>
      <c r="D276" s="80">
        <v>43316.666956018518</v>
      </c>
      <c r="E276" s="81">
        <f t="shared" ca="1" si="2"/>
        <v>43313</v>
      </c>
      <c r="F276" s="82">
        <f ca="1">IFERROR(__xludf.DUMMYFUNCTION("""COMPUTED_VALUE"""),0.666956018518518)</f>
        <v>0.66695601851851805</v>
      </c>
      <c r="G276" s="83">
        <f t="shared" ca="1" si="3"/>
        <v>19</v>
      </c>
      <c r="H276" s="83">
        <f ca="1">IFERROR(__xludf.DUMMYFUNCTION("""COMPUTED_VALUE"""),0)</f>
        <v>0</v>
      </c>
      <c r="I276" s="83">
        <f ca="1">IFERROR(__xludf.DUMMYFUNCTION("""COMPUTED_VALUE"""),25)</f>
        <v>25</v>
      </c>
    </row>
    <row r="277" spans="1:9">
      <c r="A277" s="79">
        <v>249</v>
      </c>
      <c r="B277" s="79">
        <v>3</v>
      </c>
      <c r="C277" s="79">
        <v>252</v>
      </c>
      <c r="D277" s="80">
        <v>43316.677349537036</v>
      </c>
      <c r="E277" s="81">
        <f t="shared" ca="1" si="2"/>
        <v>43313</v>
      </c>
      <c r="F277" s="82">
        <f ca="1">IFERROR(__xludf.DUMMYFUNCTION("""COMPUTED_VALUE"""),0.677349537037037)</f>
        <v>0.67734953703703704</v>
      </c>
      <c r="G277" s="83">
        <f t="shared" ca="1" si="3"/>
        <v>19</v>
      </c>
      <c r="H277" s="83">
        <f ca="1">IFERROR(__xludf.DUMMYFUNCTION("""COMPUTED_VALUE"""),15)</f>
        <v>15</v>
      </c>
      <c r="I277" s="83">
        <f ca="1">IFERROR(__xludf.DUMMYFUNCTION("""COMPUTED_VALUE"""),23)</f>
        <v>23</v>
      </c>
    </row>
    <row r="278" spans="1:9">
      <c r="A278" s="79">
        <v>255</v>
      </c>
      <c r="B278" s="79">
        <v>3</v>
      </c>
      <c r="C278" s="79">
        <v>258</v>
      </c>
      <c r="D278" s="80">
        <v>43316.6877662037</v>
      </c>
      <c r="E278" s="81">
        <f t="shared" ca="1" si="2"/>
        <v>43313</v>
      </c>
      <c r="F278" s="82">
        <f ca="1">IFERROR(__xludf.DUMMYFUNCTION("""COMPUTED_VALUE"""),0.687766203703703)</f>
        <v>0.68776620370370301</v>
      </c>
      <c r="G278" s="83">
        <f t="shared" ca="1" si="3"/>
        <v>19</v>
      </c>
      <c r="H278" s="83">
        <f ca="1">IFERROR(__xludf.DUMMYFUNCTION("""COMPUTED_VALUE"""),30)</f>
        <v>30</v>
      </c>
      <c r="I278" s="83">
        <f ca="1">IFERROR(__xludf.DUMMYFUNCTION("""COMPUTED_VALUE"""),23)</f>
        <v>23</v>
      </c>
    </row>
    <row r="279" spans="1:9">
      <c r="A279" s="79">
        <v>290</v>
      </c>
      <c r="B279" s="79">
        <v>5</v>
      </c>
      <c r="C279" s="79">
        <v>295</v>
      </c>
      <c r="D279" s="80">
        <v>43316.698171296295</v>
      </c>
      <c r="E279" s="81">
        <f t="shared" ca="1" si="2"/>
        <v>43313</v>
      </c>
      <c r="F279" s="82">
        <f ca="1">IFERROR(__xludf.DUMMYFUNCTION("""COMPUTED_VALUE"""),0.698171296296296)</f>
        <v>0.69817129629629604</v>
      </c>
      <c r="G279" s="83">
        <f t="shared" ca="1" si="3"/>
        <v>19</v>
      </c>
      <c r="H279" s="83">
        <f ca="1">IFERROR(__xludf.DUMMYFUNCTION("""COMPUTED_VALUE"""),45)</f>
        <v>45</v>
      </c>
      <c r="I279" s="83">
        <f ca="1">IFERROR(__xludf.DUMMYFUNCTION("""COMPUTED_VALUE"""),22)</f>
        <v>22</v>
      </c>
    </row>
    <row r="280" spans="1:9">
      <c r="A280" s="79">
        <v>260</v>
      </c>
      <c r="B280" s="79">
        <v>2</v>
      </c>
      <c r="C280" s="79">
        <v>259</v>
      </c>
      <c r="D280" s="80">
        <v>43316.708622685182</v>
      </c>
      <c r="E280" s="81">
        <f t="shared" ca="1" si="2"/>
        <v>43313</v>
      </c>
      <c r="F280" s="82">
        <f ca="1">IFERROR(__xludf.DUMMYFUNCTION("""COMPUTED_VALUE"""),0.708622685185185)</f>
        <v>0.70862268518518501</v>
      </c>
      <c r="G280" s="83">
        <f t="shared" ca="1" si="3"/>
        <v>19</v>
      </c>
      <c r="H280" s="83">
        <f ca="1">IFERROR(__xludf.DUMMYFUNCTION("""COMPUTED_VALUE"""),0)</f>
        <v>0</v>
      </c>
      <c r="I280" s="83">
        <f ca="1">IFERROR(__xludf.DUMMYFUNCTION("""COMPUTED_VALUE"""),25)</f>
        <v>25</v>
      </c>
    </row>
    <row r="281" spans="1:9">
      <c r="A281" s="79">
        <v>254</v>
      </c>
      <c r="B281" s="79">
        <v>3</v>
      </c>
      <c r="C281" s="79">
        <v>251</v>
      </c>
      <c r="D281" s="80">
        <v>43316.719004629631</v>
      </c>
      <c r="E281" s="81">
        <f t="shared" ca="1" si="2"/>
        <v>43313</v>
      </c>
      <c r="F281" s="82">
        <f ca="1">IFERROR(__xludf.DUMMYFUNCTION("""COMPUTED_VALUE"""),0.719004629629629)</f>
        <v>0.71900462962962897</v>
      </c>
      <c r="G281" s="83">
        <f t="shared" ca="1" si="3"/>
        <v>19</v>
      </c>
      <c r="H281" s="83">
        <f ca="1">IFERROR(__xludf.DUMMYFUNCTION("""COMPUTED_VALUE"""),15)</f>
        <v>15</v>
      </c>
      <c r="I281" s="83">
        <f ca="1">IFERROR(__xludf.DUMMYFUNCTION("""COMPUTED_VALUE"""),22)</f>
        <v>22</v>
      </c>
    </row>
    <row r="282" spans="1:9">
      <c r="A282" s="79">
        <v>276</v>
      </c>
      <c r="B282" s="79">
        <v>2</v>
      </c>
      <c r="C282" s="79">
        <v>278</v>
      </c>
      <c r="D282" s="80">
        <v>43316.729432870372</v>
      </c>
      <c r="E282" s="81">
        <f t="shared" ca="1" si="2"/>
        <v>43313</v>
      </c>
      <c r="F282" s="82">
        <f ca="1">IFERROR(__xludf.DUMMYFUNCTION("""COMPUTED_VALUE"""),0.72943287037037)</f>
        <v>0.72943287037036997</v>
      </c>
      <c r="G282" s="83">
        <f t="shared" ca="1" si="3"/>
        <v>19</v>
      </c>
      <c r="H282" s="83">
        <f ca="1">IFERROR(__xludf.DUMMYFUNCTION("""COMPUTED_VALUE"""),30)</f>
        <v>30</v>
      </c>
      <c r="I282" s="83">
        <f ca="1">IFERROR(__xludf.DUMMYFUNCTION("""COMPUTED_VALUE"""),23)</f>
        <v>23</v>
      </c>
    </row>
    <row r="283" spans="1:9">
      <c r="A283" s="79">
        <v>270</v>
      </c>
      <c r="B283" s="79">
        <v>0</v>
      </c>
      <c r="C283" s="79">
        <v>270</v>
      </c>
      <c r="D283" s="80">
        <v>43316.739849537036</v>
      </c>
      <c r="E283" s="81">
        <f t="shared" ca="1" si="2"/>
        <v>43313</v>
      </c>
      <c r="F283" s="82">
        <f ca="1">IFERROR(__xludf.DUMMYFUNCTION("""COMPUTED_VALUE"""),0.739849537037037)</f>
        <v>0.73984953703703704</v>
      </c>
      <c r="G283" s="83">
        <f t="shared" ca="1" si="3"/>
        <v>19</v>
      </c>
      <c r="H283" s="83">
        <f ca="1">IFERROR(__xludf.DUMMYFUNCTION("""COMPUTED_VALUE"""),45)</f>
        <v>45</v>
      </c>
      <c r="I283" s="83">
        <f ca="1">IFERROR(__xludf.DUMMYFUNCTION("""COMPUTED_VALUE"""),23)</f>
        <v>23</v>
      </c>
    </row>
    <row r="284" spans="1:9">
      <c r="A284" s="79">
        <v>270</v>
      </c>
      <c r="B284" s="79">
        <v>1</v>
      </c>
      <c r="C284" s="79">
        <v>271</v>
      </c>
      <c r="D284" s="80">
        <v>43316.750289351854</v>
      </c>
      <c r="E284" s="81">
        <f t="shared" ca="1" si="2"/>
        <v>43313</v>
      </c>
      <c r="F284" s="82">
        <f ca="1">IFERROR(__xludf.DUMMYFUNCTION("""COMPUTED_VALUE"""),0.750289351851851)</f>
        <v>0.75028935185185097</v>
      </c>
      <c r="G284" s="83">
        <f t="shared" ca="1" si="3"/>
        <v>19</v>
      </c>
      <c r="H284" s="83">
        <f ca="1">IFERROR(__xludf.DUMMYFUNCTION("""COMPUTED_VALUE"""),0)</f>
        <v>0</v>
      </c>
      <c r="I284" s="83">
        <f ca="1">IFERROR(__xludf.DUMMYFUNCTION("""COMPUTED_VALUE"""),25)</f>
        <v>25</v>
      </c>
    </row>
    <row r="285" spans="1:9">
      <c r="A285" s="79">
        <v>348</v>
      </c>
      <c r="B285" s="79">
        <v>0</v>
      </c>
      <c r="C285" s="79">
        <v>348</v>
      </c>
      <c r="D285" s="80">
        <v>43316.760671296295</v>
      </c>
      <c r="E285" s="81">
        <f t="shared" ca="1" si="2"/>
        <v>43313</v>
      </c>
      <c r="F285" s="82">
        <f ca="1">IFERROR(__xludf.DUMMYFUNCTION("""COMPUTED_VALUE"""),0.760671296296296)</f>
        <v>0.76067129629629604</v>
      </c>
      <c r="G285" s="83">
        <f t="shared" ca="1" si="3"/>
        <v>19</v>
      </c>
      <c r="H285" s="83">
        <f ca="1">IFERROR(__xludf.DUMMYFUNCTION("""COMPUTED_VALUE"""),15)</f>
        <v>15</v>
      </c>
      <c r="I285" s="83">
        <f ca="1">IFERROR(__xludf.DUMMYFUNCTION("""COMPUTED_VALUE"""),22)</f>
        <v>22</v>
      </c>
    </row>
    <row r="286" spans="1:9">
      <c r="A286" s="79">
        <v>349</v>
      </c>
      <c r="B286" s="79">
        <v>2</v>
      </c>
      <c r="C286" s="79">
        <v>341</v>
      </c>
      <c r="D286" s="80">
        <v>43316.771099537036</v>
      </c>
      <c r="E286" s="81">
        <f t="shared" ca="1" si="2"/>
        <v>43313</v>
      </c>
      <c r="F286" s="82">
        <f ca="1">IFERROR(__xludf.DUMMYFUNCTION("""COMPUTED_VALUE"""),0.771099537037037)</f>
        <v>0.77109953703703704</v>
      </c>
      <c r="G286" s="83">
        <f t="shared" ca="1" si="3"/>
        <v>19</v>
      </c>
      <c r="H286" s="83">
        <f ca="1">IFERROR(__xludf.DUMMYFUNCTION("""COMPUTED_VALUE"""),30)</f>
        <v>30</v>
      </c>
      <c r="I286" s="83">
        <f ca="1">IFERROR(__xludf.DUMMYFUNCTION("""COMPUTED_VALUE"""),23)</f>
        <v>23</v>
      </c>
    </row>
    <row r="287" spans="1:9">
      <c r="A287" s="79">
        <v>359</v>
      </c>
      <c r="B287" s="79">
        <v>2</v>
      </c>
      <c r="C287" s="79">
        <v>361</v>
      </c>
      <c r="D287" s="80">
        <v>43316.781504629631</v>
      </c>
      <c r="E287" s="81">
        <f t="shared" ca="1" si="2"/>
        <v>43313</v>
      </c>
      <c r="F287" s="82">
        <f ca="1">IFERROR(__xludf.DUMMYFUNCTION("""COMPUTED_VALUE"""),0.781504629629629)</f>
        <v>0.78150462962962897</v>
      </c>
      <c r="G287" s="83">
        <f t="shared" ca="1" si="3"/>
        <v>19</v>
      </c>
      <c r="H287" s="83">
        <f ca="1">IFERROR(__xludf.DUMMYFUNCTION("""COMPUTED_VALUE"""),45)</f>
        <v>45</v>
      </c>
      <c r="I287" s="83">
        <f ca="1">IFERROR(__xludf.DUMMYFUNCTION("""COMPUTED_VALUE"""),22)</f>
        <v>22</v>
      </c>
    </row>
    <row r="288" spans="1:9">
      <c r="A288" s="79">
        <v>341</v>
      </c>
      <c r="B288" s="79">
        <v>0</v>
      </c>
      <c r="C288" s="79">
        <v>338</v>
      </c>
      <c r="D288" s="80">
        <v>43316.791956018518</v>
      </c>
      <c r="E288" s="81">
        <f t="shared" ca="1" si="2"/>
        <v>43313</v>
      </c>
      <c r="F288" s="82">
        <f ca="1">IFERROR(__xludf.DUMMYFUNCTION("""COMPUTED_VALUE"""),0.791956018518518)</f>
        <v>0.79195601851851805</v>
      </c>
      <c r="G288" s="83">
        <f t="shared" ca="1" si="3"/>
        <v>19</v>
      </c>
      <c r="H288" s="83">
        <f ca="1">IFERROR(__xludf.DUMMYFUNCTION("""COMPUTED_VALUE"""),0)</f>
        <v>0</v>
      </c>
      <c r="I288" s="83">
        <f ca="1">IFERROR(__xludf.DUMMYFUNCTION("""COMPUTED_VALUE"""),25)</f>
        <v>25</v>
      </c>
    </row>
    <row r="289" spans="1:9">
      <c r="A289" s="79">
        <v>346</v>
      </c>
      <c r="B289" s="79">
        <v>2</v>
      </c>
      <c r="C289" s="79">
        <v>348</v>
      </c>
      <c r="D289" s="80">
        <v>43316.802337962959</v>
      </c>
      <c r="E289" s="81">
        <f t="shared" ca="1" si="2"/>
        <v>43313</v>
      </c>
      <c r="F289" s="82">
        <f ca="1">IFERROR(__xludf.DUMMYFUNCTION("""COMPUTED_VALUE"""),0.802337962962963)</f>
        <v>0.802337962962963</v>
      </c>
      <c r="G289" s="83">
        <f t="shared" ca="1" si="3"/>
        <v>19</v>
      </c>
      <c r="H289" s="83">
        <f ca="1">IFERROR(__xludf.DUMMYFUNCTION("""COMPUTED_VALUE"""),15)</f>
        <v>15</v>
      </c>
      <c r="I289" s="83">
        <f ca="1">IFERROR(__xludf.DUMMYFUNCTION("""COMPUTED_VALUE"""),22)</f>
        <v>22</v>
      </c>
    </row>
    <row r="290" spans="1:9">
      <c r="A290" s="79">
        <v>293</v>
      </c>
      <c r="B290" s="79">
        <v>2</v>
      </c>
      <c r="C290" s="79">
        <v>295</v>
      </c>
      <c r="D290" s="80">
        <v>43316.8127662037</v>
      </c>
      <c r="E290" s="81">
        <f t="shared" ca="1" si="2"/>
        <v>43313</v>
      </c>
      <c r="F290" s="82">
        <f ca="1">IFERROR(__xludf.DUMMYFUNCTION("""COMPUTED_VALUE"""),0.812766203703703)</f>
        <v>0.81276620370370301</v>
      </c>
      <c r="G290" s="83">
        <f t="shared" ca="1" si="3"/>
        <v>19</v>
      </c>
      <c r="H290" s="83">
        <f ca="1">IFERROR(__xludf.DUMMYFUNCTION("""COMPUTED_VALUE"""),30)</f>
        <v>30</v>
      </c>
      <c r="I290" s="83">
        <f ca="1">IFERROR(__xludf.DUMMYFUNCTION("""COMPUTED_VALUE"""),23)</f>
        <v>23</v>
      </c>
    </row>
    <row r="291" spans="1:9">
      <c r="A291" s="79">
        <v>284</v>
      </c>
      <c r="B291" s="79">
        <v>2</v>
      </c>
      <c r="C291" s="79">
        <v>286</v>
      </c>
      <c r="D291" s="80">
        <v>43316.823171296295</v>
      </c>
      <c r="E291" s="81">
        <f t="shared" ca="1" si="2"/>
        <v>43313</v>
      </c>
      <c r="F291" s="82">
        <f ca="1">IFERROR(__xludf.DUMMYFUNCTION("""COMPUTED_VALUE"""),0.823171296296296)</f>
        <v>0.82317129629629604</v>
      </c>
      <c r="G291" s="83">
        <f t="shared" ca="1" si="3"/>
        <v>19</v>
      </c>
      <c r="H291" s="83">
        <f ca="1">IFERROR(__xludf.DUMMYFUNCTION("""COMPUTED_VALUE"""),45)</f>
        <v>45</v>
      </c>
      <c r="I291" s="83">
        <f ca="1">IFERROR(__xludf.DUMMYFUNCTION("""COMPUTED_VALUE"""),22)</f>
        <v>22</v>
      </c>
    </row>
    <row r="292" spans="1:9">
      <c r="A292" s="79">
        <v>303</v>
      </c>
      <c r="B292" s="79">
        <v>4</v>
      </c>
      <c r="C292" s="79">
        <v>307</v>
      </c>
      <c r="D292" s="80">
        <v>43316.833599537036</v>
      </c>
      <c r="E292" s="81">
        <f t="shared" ca="1" si="2"/>
        <v>43313</v>
      </c>
      <c r="F292" s="82">
        <f ca="1">IFERROR(__xludf.DUMMYFUNCTION("""COMPUTED_VALUE"""),0.833599537037037)</f>
        <v>0.83359953703703704</v>
      </c>
      <c r="G292" s="83">
        <f t="shared" ca="1" si="3"/>
        <v>19</v>
      </c>
      <c r="H292" s="83">
        <f ca="1">IFERROR(__xludf.DUMMYFUNCTION("""COMPUTED_VALUE"""),0)</f>
        <v>0</v>
      </c>
      <c r="I292" s="83">
        <f ca="1">IFERROR(__xludf.DUMMYFUNCTION("""COMPUTED_VALUE"""),23)</f>
        <v>23</v>
      </c>
    </row>
    <row r="293" spans="1:9">
      <c r="A293" s="79">
        <v>347</v>
      </c>
      <c r="B293" s="79">
        <v>2</v>
      </c>
      <c r="C293" s="79">
        <v>349</v>
      </c>
      <c r="D293" s="80">
        <v>43316.844004629631</v>
      </c>
      <c r="E293" s="81">
        <f t="shared" ca="1" si="2"/>
        <v>43313</v>
      </c>
      <c r="F293" s="82">
        <f ca="1">IFERROR(__xludf.DUMMYFUNCTION("""COMPUTED_VALUE"""),0.844004629629629)</f>
        <v>0.84400462962962897</v>
      </c>
      <c r="G293" s="83">
        <f t="shared" ca="1" si="3"/>
        <v>19</v>
      </c>
      <c r="H293" s="83">
        <f ca="1">IFERROR(__xludf.DUMMYFUNCTION("""COMPUTED_VALUE"""),15)</f>
        <v>15</v>
      </c>
      <c r="I293" s="83">
        <f ca="1">IFERROR(__xludf.DUMMYFUNCTION("""COMPUTED_VALUE"""),22)</f>
        <v>22</v>
      </c>
    </row>
    <row r="294" spans="1:9">
      <c r="A294" s="79">
        <v>315</v>
      </c>
      <c r="B294" s="79">
        <v>3</v>
      </c>
      <c r="C294" s="79">
        <v>318</v>
      </c>
      <c r="D294" s="80">
        <v>43316.854432870372</v>
      </c>
      <c r="E294" s="81">
        <f t="shared" ca="1" si="2"/>
        <v>43313</v>
      </c>
      <c r="F294" s="82">
        <f ca="1">IFERROR(__xludf.DUMMYFUNCTION("""COMPUTED_VALUE"""),0.85443287037037)</f>
        <v>0.85443287037036997</v>
      </c>
      <c r="G294" s="83">
        <f t="shared" ca="1" si="3"/>
        <v>19</v>
      </c>
      <c r="H294" s="83">
        <f ca="1">IFERROR(__xludf.DUMMYFUNCTION("""COMPUTED_VALUE"""),30)</f>
        <v>30</v>
      </c>
      <c r="I294" s="83">
        <f ca="1">IFERROR(__xludf.DUMMYFUNCTION("""COMPUTED_VALUE"""),23)</f>
        <v>23</v>
      </c>
    </row>
    <row r="295" spans="1:9">
      <c r="A295" s="79">
        <v>365</v>
      </c>
      <c r="B295" s="79">
        <v>1</v>
      </c>
      <c r="C295" s="79">
        <v>366</v>
      </c>
      <c r="D295" s="80">
        <v>43316.864837962959</v>
      </c>
      <c r="E295" s="81">
        <f t="shared" ca="1" si="2"/>
        <v>43313</v>
      </c>
      <c r="F295" s="82">
        <f ca="1">IFERROR(__xludf.DUMMYFUNCTION("""COMPUTED_VALUE"""),0.864837962962963)</f>
        <v>0.864837962962963</v>
      </c>
      <c r="G295" s="83">
        <f t="shared" ca="1" si="3"/>
        <v>19</v>
      </c>
      <c r="H295" s="83">
        <f ca="1">IFERROR(__xludf.DUMMYFUNCTION("""COMPUTED_VALUE"""),45)</f>
        <v>45</v>
      </c>
      <c r="I295" s="83">
        <f ca="1">IFERROR(__xludf.DUMMYFUNCTION("""COMPUTED_VALUE"""),22)</f>
        <v>22</v>
      </c>
    </row>
    <row r="296" spans="1:9">
      <c r="A296" s="79">
        <v>346</v>
      </c>
      <c r="B296" s="79">
        <v>1</v>
      </c>
      <c r="C296" s="79">
        <v>347</v>
      </c>
      <c r="D296" s="80">
        <v>43316.8752662037</v>
      </c>
      <c r="E296" s="81">
        <f t="shared" ca="1" si="2"/>
        <v>43313</v>
      </c>
      <c r="F296" s="82">
        <f ca="1">IFERROR(__xludf.DUMMYFUNCTION("""COMPUTED_VALUE"""),0.875266203703703)</f>
        <v>0.87526620370370301</v>
      </c>
      <c r="G296" s="83">
        <f t="shared" ca="1" si="3"/>
        <v>19</v>
      </c>
      <c r="H296" s="83">
        <f ca="1">IFERROR(__xludf.DUMMYFUNCTION("""COMPUTED_VALUE"""),0)</f>
        <v>0</v>
      </c>
      <c r="I296" s="83">
        <f ca="1">IFERROR(__xludf.DUMMYFUNCTION("""COMPUTED_VALUE"""),23)</f>
        <v>23</v>
      </c>
    </row>
    <row r="297" spans="1:9">
      <c r="A297" s="79">
        <v>379</v>
      </c>
      <c r="B297" s="79">
        <v>2</v>
      </c>
      <c r="C297" s="79">
        <v>381</v>
      </c>
      <c r="D297" s="80">
        <v>43316.885671296295</v>
      </c>
      <c r="E297" s="81">
        <f t="shared" ca="1" si="2"/>
        <v>43313</v>
      </c>
      <c r="F297" s="82">
        <f ca="1">IFERROR(__xludf.DUMMYFUNCTION("""COMPUTED_VALUE"""),0.885671296296296)</f>
        <v>0.88567129629629604</v>
      </c>
      <c r="G297" s="83">
        <f t="shared" ca="1" si="3"/>
        <v>19</v>
      </c>
      <c r="H297" s="83">
        <f ca="1">IFERROR(__xludf.DUMMYFUNCTION("""COMPUTED_VALUE"""),15)</f>
        <v>15</v>
      </c>
      <c r="I297" s="83">
        <f ca="1">IFERROR(__xludf.DUMMYFUNCTION("""COMPUTED_VALUE"""),22)</f>
        <v>22</v>
      </c>
    </row>
    <row r="298" spans="1:9">
      <c r="A298" s="79">
        <v>434</v>
      </c>
      <c r="B298" s="79">
        <v>2</v>
      </c>
      <c r="C298" s="79">
        <v>436</v>
      </c>
      <c r="D298" s="80">
        <v>43316.896099537036</v>
      </c>
      <c r="E298" s="81">
        <f t="shared" ca="1" si="2"/>
        <v>43313</v>
      </c>
      <c r="F298" s="82">
        <f ca="1">IFERROR(__xludf.DUMMYFUNCTION("""COMPUTED_VALUE"""),0.896099537037037)</f>
        <v>0.89609953703703704</v>
      </c>
      <c r="G298" s="83">
        <f t="shared" ca="1" si="3"/>
        <v>19</v>
      </c>
      <c r="H298" s="83">
        <f ca="1">IFERROR(__xludf.DUMMYFUNCTION("""COMPUTED_VALUE"""),30)</f>
        <v>30</v>
      </c>
      <c r="I298" s="83">
        <f ca="1">IFERROR(__xludf.DUMMYFUNCTION("""COMPUTED_VALUE"""),23)</f>
        <v>23</v>
      </c>
    </row>
    <row r="299" spans="1:9">
      <c r="A299" s="79">
        <v>433</v>
      </c>
      <c r="B299" s="79">
        <v>3</v>
      </c>
      <c r="C299" s="79">
        <v>436</v>
      </c>
      <c r="D299" s="80">
        <v>43316.906504629631</v>
      </c>
      <c r="E299" s="81">
        <f t="shared" ca="1" si="2"/>
        <v>43313</v>
      </c>
      <c r="F299" s="82">
        <f ca="1">IFERROR(__xludf.DUMMYFUNCTION("""COMPUTED_VALUE"""),0.906504629629629)</f>
        <v>0.90650462962962897</v>
      </c>
      <c r="G299" s="83">
        <f t="shared" ca="1" si="3"/>
        <v>19</v>
      </c>
      <c r="H299" s="83">
        <f ca="1">IFERROR(__xludf.DUMMYFUNCTION("""COMPUTED_VALUE"""),45)</f>
        <v>45</v>
      </c>
      <c r="I299" s="83">
        <f ca="1">IFERROR(__xludf.DUMMYFUNCTION("""COMPUTED_VALUE"""),22)</f>
        <v>22</v>
      </c>
    </row>
    <row r="300" spans="1:9">
      <c r="A300" s="79">
        <v>357</v>
      </c>
      <c r="B300" s="79">
        <v>4</v>
      </c>
      <c r="C300" s="79">
        <v>361</v>
      </c>
      <c r="D300" s="80">
        <v>43316.916921296295</v>
      </c>
      <c r="E300" s="81">
        <f t="shared" ca="1" si="2"/>
        <v>43313</v>
      </c>
      <c r="F300" s="82">
        <f ca="1">IFERROR(__xludf.DUMMYFUNCTION("""COMPUTED_VALUE"""),0.916921296296296)</f>
        <v>0.91692129629629604</v>
      </c>
      <c r="G300" s="83">
        <f t="shared" ca="1" si="3"/>
        <v>19</v>
      </c>
      <c r="H300" s="83">
        <f ca="1">IFERROR(__xludf.DUMMYFUNCTION("""COMPUTED_VALUE"""),0)</f>
        <v>0</v>
      </c>
      <c r="I300" s="83">
        <f ca="1">IFERROR(__xludf.DUMMYFUNCTION("""COMPUTED_VALUE"""),22)</f>
        <v>22</v>
      </c>
    </row>
    <row r="301" spans="1:9">
      <c r="A301" s="79">
        <v>414</v>
      </c>
      <c r="B301" s="79">
        <v>3</v>
      </c>
      <c r="C301" s="79">
        <v>417</v>
      </c>
      <c r="D301" s="80">
        <v>43316.927349537036</v>
      </c>
      <c r="E301" s="81">
        <f t="shared" ca="1" si="2"/>
        <v>43313</v>
      </c>
      <c r="F301" s="82">
        <f ca="1">IFERROR(__xludf.DUMMYFUNCTION("""COMPUTED_VALUE"""),0.927349537037037)</f>
        <v>0.92734953703703704</v>
      </c>
      <c r="G301" s="83">
        <f t="shared" ca="1" si="3"/>
        <v>19</v>
      </c>
      <c r="H301" s="83">
        <f ca="1">IFERROR(__xludf.DUMMYFUNCTION("""COMPUTED_VALUE"""),15)</f>
        <v>15</v>
      </c>
      <c r="I301" s="83">
        <f ca="1">IFERROR(__xludf.DUMMYFUNCTION("""COMPUTED_VALUE"""),23)</f>
        <v>23</v>
      </c>
    </row>
    <row r="302" spans="1:9">
      <c r="A302" s="79">
        <v>453</v>
      </c>
      <c r="B302" s="79">
        <v>5</v>
      </c>
      <c r="C302" s="79">
        <v>458</v>
      </c>
      <c r="D302" s="80">
        <v>43316.937754629631</v>
      </c>
      <c r="E302" s="81">
        <f t="shared" ca="1" si="2"/>
        <v>43313</v>
      </c>
      <c r="F302" s="82">
        <f ca="1">IFERROR(__xludf.DUMMYFUNCTION("""COMPUTED_VALUE"""),0.937754629629629)</f>
        <v>0.93775462962962897</v>
      </c>
      <c r="G302" s="83">
        <f t="shared" ca="1" si="3"/>
        <v>19</v>
      </c>
      <c r="H302" s="83">
        <f ca="1">IFERROR(__xludf.DUMMYFUNCTION("""COMPUTED_VALUE"""),30)</f>
        <v>30</v>
      </c>
      <c r="I302" s="83">
        <f ca="1">IFERROR(__xludf.DUMMYFUNCTION("""COMPUTED_VALUE"""),22)</f>
        <v>22</v>
      </c>
    </row>
    <row r="303" spans="1:9">
      <c r="A303" s="79">
        <v>399</v>
      </c>
      <c r="B303" s="79">
        <v>6</v>
      </c>
      <c r="C303" s="79">
        <v>405</v>
      </c>
      <c r="D303" s="80">
        <v>43316.948171296295</v>
      </c>
      <c r="E303" s="81">
        <f t="shared" ca="1" si="2"/>
        <v>43313</v>
      </c>
      <c r="F303" s="82">
        <f ca="1">IFERROR(__xludf.DUMMYFUNCTION("""COMPUTED_VALUE"""),0.948171296296296)</f>
        <v>0.94817129629629604</v>
      </c>
      <c r="G303" s="83">
        <f t="shared" ca="1" si="3"/>
        <v>19</v>
      </c>
      <c r="H303" s="83">
        <f ca="1">IFERROR(__xludf.DUMMYFUNCTION("""COMPUTED_VALUE"""),45)</f>
        <v>45</v>
      </c>
      <c r="I303" s="83">
        <f ca="1">IFERROR(__xludf.DUMMYFUNCTION("""COMPUTED_VALUE"""),22)</f>
        <v>22</v>
      </c>
    </row>
    <row r="304" spans="1:9">
      <c r="A304" s="79">
        <v>393</v>
      </c>
      <c r="B304" s="79">
        <v>4</v>
      </c>
      <c r="C304" s="79">
        <v>397</v>
      </c>
      <c r="D304" s="80">
        <v>43316.958587962959</v>
      </c>
      <c r="E304" s="81">
        <f t="shared" ca="1" si="2"/>
        <v>43313</v>
      </c>
      <c r="F304" s="82">
        <f ca="1">IFERROR(__xludf.DUMMYFUNCTION("""COMPUTED_VALUE"""),0.958587962962963)</f>
        <v>0.958587962962963</v>
      </c>
      <c r="G304" s="83">
        <f t="shared" ca="1" si="3"/>
        <v>19</v>
      </c>
      <c r="H304" s="83">
        <f ca="1">IFERROR(__xludf.DUMMYFUNCTION("""COMPUTED_VALUE"""),0)</f>
        <v>0</v>
      </c>
      <c r="I304" s="83">
        <f ca="1">IFERROR(__xludf.DUMMYFUNCTION("""COMPUTED_VALUE"""),22)</f>
        <v>22</v>
      </c>
    </row>
    <row r="305" spans="1:9">
      <c r="A305" s="79">
        <v>377</v>
      </c>
      <c r="B305" s="79">
        <v>7</v>
      </c>
      <c r="C305" s="79">
        <v>384</v>
      </c>
      <c r="D305" s="80">
        <v>43316.9690162037</v>
      </c>
      <c r="E305" s="81">
        <f t="shared" ca="1" si="2"/>
        <v>43313</v>
      </c>
      <c r="F305" s="82">
        <f ca="1">IFERROR(__xludf.DUMMYFUNCTION("""COMPUTED_VALUE"""),0.969016203703703)</f>
        <v>0.96901620370370301</v>
      </c>
      <c r="G305" s="83">
        <f t="shared" ca="1" si="3"/>
        <v>19</v>
      </c>
      <c r="H305" s="83">
        <f ca="1">IFERROR(__xludf.DUMMYFUNCTION("""COMPUTED_VALUE"""),15)</f>
        <v>15</v>
      </c>
      <c r="I305" s="83">
        <f ca="1">IFERROR(__xludf.DUMMYFUNCTION("""COMPUTED_VALUE"""),23)</f>
        <v>23</v>
      </c>
    </row>
    <row r="306" spans="1:9">
      <c r="A306" s="79">
        <v>380</v>
      </c>
      <c r="B306" s="79">
        <v>2</v>
      </c>
      <c r="C306" s="79">
        <v>382</v>
      </c>
      <c r="D306" s="80">
        <v>43316.979421296295</v>
      </c>
      <c r="E306" s="81">
        <f t="shared" ca="1" si="2"/>
        <v>43313</v>
      </c>
      <c r="F306" s="82">
        <f ca="1">IFERROR(__xludf.DUMMYFUNCTION("""COMPUTED_VALUE"""),0.979421296296296)</f>
        <v>0.97942129629629604</v>
      </c>
      <c r="G306" s="83">
        <f t="shared" ca="1" si="3"/>
        <v>19</v>
      </c>
      <c r="H306" s="83">
        <f ca="1">IFERROR(__xludf.DUMMYFUNCTION("""COMPUTED_VALUE"""),30)</f>
        <v>30</v>
      </c>
      <c r="I306" s="83">
        <f ca="1">IFERROR(__xludf.DUMMYFUNCTION("""COMPUTED_VALUE"""),22)</f>
        <v>22</v>
      </c>
    </row>
    <row r="307" spans="1:9">
      <c r="A307" s="79">
        <v>371</v>
      </c>
      <c r="B307" s="79">
        <v>3</v>
      </c>
      <c r="C307" s="79">
        <v>374</v>
      </c>
      <c r="D307" s="80">
        <v>43316.989837962959</v>
      </c>
      <c r="E307" s="81">
        <f t="shared" ca="1" si="2"/>
        <v>43313</v>
      </c>
      <c r="F307" s="82">
        <f ca="1">IFERROR(__xludf.DUMMYFUNCTION("""COMPUTED_VALUE"""),0.989837962962963)</f>
        <v>0.989837962962963</v>
      </c>
      <c r="G307" s="83">
        <f t="shared" ca="1" si="3"/>
        <v>19</v>
      </c>
      <c r="H307" s="83">
        <f ca="1">IFERROR(__xludf.DUMMYFUNCTION("""COMPUTED_VALUE"""),45)</f>
        <v>45</v>
      </c>
      <c r="I307" s="83">
        <f ca="1">IFERROR(__xludf.DUMMYFUNCTION("""COMPUTED_VALUE"""),22)</f>
        <v>22</v>
      </c>
    </row>
    <row r="308" spans="1:9">
      <c r="A308" s="79">
        <v>342</v>
      </c>
      <c r="B308" s="79">
        <v>1</v>
      </c>
      <c r="C308" s="79">
        <v>343</v>
      </c>
      <c r="D308" s="80">
        <v>43317.000289351854</v>
      </c>
      <c r="E308" s="81">
        <f t="shared" ca="1" si="2"/>
        <v>43313</v>
      </c>
      <c r="F308" s="82">
        <f ca="1">IFERROR(__xludf.DUMMYFUNCTION("""COMPUTED_VALUE"""),0.000289351851851851)</f>
        <v>2.8935185185185102E-4</v>
      </c>
      <c r="G308" s="83">
        <f t="shared" ca="1" si="3"/>
        <v>19</v>
      </c>
      <c r="H308" s="83">
        <f ca="1">IFERROR(__xludf.DUMMYFUNCTION("""COMPUTED_VALUE"""),0)</f>
        <v>0</v>
      </c>
      <c r="I308" s="83">
        <f ca="1">IFERROR(__xludf.DUMMYFUNCTION("""COMPUTED_VALUE"""),25)</f>
        <v>25</v>
      </c>
    </row>
    <row r="309" spans="1:9">
      <c r="A309" s="79">
        <v>356</v>
      </c>
      <c r="B309" s="79">
        <v>4</v>
      </c>
      <c r="C309" s="79">
        <v>360</v>
      </c>
      <c r="D309" s="80">
        <v>43317.010671296295</v>
      </c>
      <c r="E309" s="81">
        <f t="shared" ca="1" si="2"/>
        <v>43313</v>
      </c>
      <c r="F309" s="82">
        <f ca="1">IFERROR(__xludf.DUMMYFUNCTION("""COMPUTED_VALUE"""),0.0106712962962962)</f>
        <v>1.06712962962962E-2</v>
      </c>
      <c r="G309" s="83">
        <f t="shared" ca="1" si="3"/>
        <v>19</v>
      </c>
      <c r="H309" s="83">
        <f ca="1">IFERROR(__xludf.DUMMYFUNCTION("""COMPUTED_VALUE"""),15)</f>
        <v>15</v>
      </c>
      <c r="I309" s="83">
        <f ca="1">IFERROR(__xludf.DUMMYFUNCTION("""COMPUTED_VALUE"""),22)</f>
        <v>22</v>
      </c>
    </row>
    <row r="310" spans="1:9">
      <c r="A310" s="79">
        <v>320</v>
      </c>
      <c r="B310" s="79">
        <v>2</v>
      </c>
      <c r="C310" s="79">
        <v>322</v>
      </c>
      <c r="D310" s="80">
        <v>43317.021087962959</v>
      </c>
      <c r="E310" s="81">
        <f t="shared" ca="1" si="2"/>
        <v>43313</v>
      </c>
      <c r="F310" s="82">
        <f ca="1">IFERROR(__xludf.DUMMYFUNCTION("""COMPUTED_VALUE"""),0.0210879629629629)</f>
        <v>2.1087962962962899E-2</v>
      </c>
      <c r="G310" s="83">
        <f t="shared" ca="1" si="3"/>
        <v>19</v>
      </c>
      <c r="H310" s="83">
        <f ca="1">IFERROR(__xludf.DUMMYFUNCTION("""COMPUTED_VALUE"""),30)</f>
        <v>30</v>
      </c>
      <c r="I310" s="83">
        <f ca="1">IFERROR(__xludf.DUMMYFUNCTION("""COMPUTED_VALUE"""),22)</f>
        <v>22</v>
      </c>
    </row>
    <row r="311" spans="1:9">
      <c r="A311" s="79">
        <v>271</v>
      </c>
      <c r="B311" s="79">
        <v>0</v>
      </c>
      <c r="C311" s="79">
        <v>271</v>
      </c>
      <c r="D311" s="80">
        <v>43317.031493055554</v>
      </c>
      <c r="E311" s="81">
        <f t="shared" ca="1" si="2"/>
        <v>43313</v>
      </c>
      <c r="F311" s="82">
        <f ca="1">IFERROR(__xludf.DUMMYFUNCTION("""COMPUTED_VALUE"""),0.0314930555555555)</f>
        <v>3.1493055555555503E-2</v>
      </c>
      <c r="G311" s="83">
        <f t="shared" ca="1" si="3"/>
        <v>19</v>
      </c>
      <c r="H311" s="83">
        <f ca="1">IFERROR(__xludf.DUMMYFUNCTION("""COMPUTED_VALUE"""),45)</f>
        <v>45</v>
      </c>
      <c r="I311" s="83">
        <f ca="1">IFERROR(__xludf.DUMMYFUNCTION("""COMPUTED_VALUE"""),21)</f>
        <v>21</v>
      </c>
    </row>
    <row r="312" spans="1:9">
      <c r="A312" s="79">
        <v>249</v>
      </c>
      <c r="B312" s="79">
        <v>0</v>
      </c>
      <c r="C312" s="79">
        <v>249</v>
      </c>
      <c r="D312" s="80">
        <v>43317.041956018518</v>
      </c>
      <c r="E312" s="81">
        <f t="shared" ca="1" si="2"/>
        <v>43313</v>
      </c>
      <c r="F312" s="82">
        <f ca="1">IFERROR(__xludf.DUMMYFUNCTION("""COMPUTED_VALUE"""),0.0419560185185185)</f>
        <v>4.1956018518518497E-2</v>
      </c>
      <c r="G312" s="83">
        <f t="shared" ca="1" si="3"/>
        <v>19</v>
      </c>
      <c r="H312" s="83">
        <f ca="1">IFERROR(__xludf.DUMMYFUNCTION("""COMPUTED_VALUE"""),0)</f>
        <v>0</v>
      </c>
      <c r="I312" s="83">
        <f ca="1">IFERROR(__xludf.DUMMYFUNCTION("""COMPUTED_VALUE"""),25)</f>
        <v>25</v>
      </c>
    </row>
    <row r="313" spans="1:9">
      <c r="A313" s="79">
        <v>257</v>
      </c>
      <c r="B313" s="79">
        <v>4</v>
      </c>
      <c r="C313" s="79">
        <v>261</v>
      </c>
      <c r="D313" s="80">
        <v>43317.052337962959</v>
      </c>
      <c r="E313" s="81">
        <f t="shared" ca="1" si="2"/>
        <v>43313</v>
      </c>
      <c r="F313" s="82">
        <f ca="1">IFERROR(__xludf.DUMMYFUNCTION("""COMPUTED_VALUE"""),0.0523379629629629)</f>
        <v>5.2337962962962899E-2</v>
      </c>
      <c r="G313" s="83">
        <f t="shared" ca="1" si="3"/>
        <v>19</v>
      </c>
      <c r="H313" s="83">
        <f ca="1">IFERROR(__xludf.DUMMYFUNCTION("""COMPUTED_VALUE"""),15)</f>
        <v>15</v>
      </c>
      <c r="I313" s="83">
        <f ca="1">IFERROR(__xludf.DUMMYFUNCTION("""COMPUTED_VALUE"""),22)</f>
        <v>22</v>
      </c>
    </row>
    <row r="314" spans="1:9">
      <c r="A314" s="79">
        <v>257</v>
      </c>
      <c r="B314" s="79">
        <v>4</v>
      </c>
      <c r="C314" s="79">
        <v>261</v>
      </c>
      <c r="D314" s="80">
        <v>43317.062743055554</v>
      </c>
      <c r="E314" s="81">
        <f t="shared" ca="1" si="2"/>
        <v>43313</v>
      </c>
      <c r="F314" s="82">
        <f ca="1">IFERROR(__xludf.DUMMYFUNCTION("""COMPUTED_VALUE"""),0.0627430555555555)</f>
        <v>6.2743055555555496E-2</v>
      </c>
      <c r="G314" s="83">
        <f t="shared" ca="1" si="3"/>
        <v>19</v>
      </c>
      <c r="H314" s="83">
        <f ca="1">IFERROR(__xludf.DUMMYFUNCTION("""COMPUTED_VALUE"""),30)</f>
        <v>30</v>
      </c>
      <c r="I314" s="83">
        <f ca="1">IFERROR(__xludf.DUMMYFUNCTION("""COMPUTED_VALUE"""),21)</f>
        <v>21</v>
      </c>
    </row>
    <row r="315" spans="1:9">
      <c r="A315" s="79">
        <v>229</v>
      </c>
      <c r="B315" s="79">
        <v>2</v>
      </c>
      <c r="C315" s="79">
        <v>223</v>
      </c>
      <c r="D315" s="80">
        <v>43317.073182870372</v>
      </c>
      <c r="E315" s="81">
        <f t="shared" ca="1" si="2"/>
        <v>43313</v>
      </c>
      <c r="F315" s="82">
        <f ca="1">IFERROR(__xludf.DUMMYFUNCTION("""COMPUTED_VALUE"""),0.0731828703703703)</f>
        <v>7.3182870370370301E-2</v>
      </c>
      <c r="G315" s="83">
        <f t="shared" ca="1" si="3"/>
        <v>19</v>
      </c>
      <c r="H315" s="83">
        <f ca="1">IFERROR(__xludf.DUMMYFUNCTION("""COMPUTED_VALUE"""),45)</f>
        <v>45</v>
      </c>
      <c r="I315" s="83">
        <f ca="1">IFERROR(__xludf.DUMMYFUNCTION("""COMPUTED_VALUE"""),23)</f>
        <v>23</v>
      </c>
    </row>
    <row r="316" spans="1:9">
      <c r="A316" s="79">
        <v>226</v>
      </c>
      <c r="B316" s="79">
        <v>2</v>
      </c>
      <c r="C316" s="79">
        <v>228</v>
      </c>
      <c r="D316" s="80">
        <v>43317.083622685182</v>
      </c>
      <c r="E316" s="81">
        <f t="shared" ca="1" si="2"/>
        <v>43313</v>
      </c>
      <c r="F316" s="82">
        <f ca="1">IFERROR(__xludf.DUMMYFUNCTION("""COMPUTED_VALUE"""),0.0836226851851851)</f>
        <v>8.3622685185185106E-2</v>
      </c>
      <c r="G316" s="83">
        <f t="shared" ca="1" si="3"/>
        <v>19</v>
      </c>
      <c r="H316" s="83">
        <f ca="1">IFERROR(__xludf.DUMMYFUNCTION("""COMPUTED_VALUE"""),0)</f>
        <v>0</v>
      </c>
      <c r="I316" s="83">
        <f ca="1">IFERROR(__xludf.DUMMYFUNCTION("""COMPUTED_VALUE"""),25)</f>
        <v>25</v>
      </c>
    </row>
    <row r="317" spans="1:9">
      <c r="A317" s="79">
        <v>255</v>
      </c>
      <c r="B317" s="79">
        <v>4</v>
      </c>
      <c r="C317" s="79">
        <v>259</v>
      </c>
      <c r="D317" s="80">
        <v>43317.094004629631</v>
      </c>
      <c r="E317" s="81">
        <f t="shared" ca="1" si="2"/>
        <v>43313</v>
      </c>
      <c r="F317" s="82">
        <f ca="1">IFERROR(__xludf.DUMMYFUNCTION("""COMPUTED_VALUE"""),0.0940046296296296)</f>
        <v>9.4004629629629605E-2</v>
      </c>
      <c r="G317" s="83">
        <f t="shared" ca="1" si="3"/>
        <v>19</v>
      </c>
      <c r="H317" s="83">
        <f ca="1">IFERROR(__xludf.DUMMYFUNCTION("""COMPUTED_VALUE"""),15)</f>
        <v>15</v>
      </c>
      <c r="I317" s="83">
        <f ca="1">IFERROR(__xludf.DUMMYFUNCTION("""COMPUTED_VALUE"""),22)</f>
        <v>22</v>
      </c>
    </row>
    <row r="318" spans="1:9">
      <c r="A318" s="79">
        <v>254</v>
      </c>
      <c r="B318" s="79">
        <v>4</v>
      </c>
      <c r="C318" s="79">
        <v>258</v>
      </c>
      <c r="D318" s="80">
        <v>43317.104421296295</v>
      </c>
      <c r="E318" s="81">
        <f t="shared" ca="1" si="2"/>
        <v>43313</v>
      </c>
      <c r="F318" s="82">
        <f ca="1">IFERROR(__xludf.DUMMYFUNCTION("""COMPUTED_VALUE"""),0.104421296296296)</f>
        <v>0.104421296296296</v>
      </c>
      <c r="G318" s="83">
        <f t="shared" ca="1" si="3"/>
        <v>19</v>
      </c>
      <c r="H318" s="83">
        <f ca="1">IFERROR(__xludf.DUMMYFUNCTION("""COMPUTED_VALUE"""),30)</f>
        <v>30</v>
      </c>
      <c r="I318" s="83">
        <f ca="1">IFERROR(__xludf.DUMMYFUNCTION("""COMPUTED_VALUE"""),22)</f>
        <v>22</v>
      </c>
    </row>
    <row r="319" spans="1:9">
      <c r="A319" s="79">
        <v>206</v>
      </c>
      <c r="B319" s="79">
        <v>2</v>
      </c>
      <c r="C319" s="79">
        <v>208</v>
      </c>
      <c r="D319" s="80">
        <v>43317.114837962959</v>
      </c>
      <c r="E319" s="81">
        <f t="shared" ca="1" si="2"/>
        <v>43313</v>
      </c>
      <c r="F319" s="82">
        <f ca="1">IFERROR(__xludf.DUMMYFUNCTION("""COMPUTED_VALUE"""),0.114837962962962)</f>
        <v>0.114837962962962</v>
      </c>
      <c r="G319" s="83">
        <f t="shared" ca="1" si="3"/>
        <v>19</v>
      </c>
      <c r="H319" s="83">
        <f ca="1">IFERROR(__xludf.DUMMYFUNCTION("""COMPUTED_VALUE"""),45)</f>
        <v>45</v>
      </c>
      <c r="I319" s="83">
        <f ca="1">IFERROR(__xludf.DUMMYFUNCTION("""COMPUTED_VALUE"""),22)</f>
        <v>22</v>
      </c>
    </row>
    <row r="320" spans="1:9">
      <c r="A320" s="79">
        <v>233</v>
      </c>
      <c r="B320" s="79">
        <v>4</v>
      </c>
      <c r="C320" s="79">
        <v>227</v>
      </c>
      <c r="D320" s="80">
        <v>43317.125289351854</v>
      </c>
      <c r="E320" s="81">
        <f t="shared" ca="1" si="2"/>
        <v>43313</v>
      </c>
      <c r="F320" s="82">
        <f ca="1">IFERROR(__xludf.DUMMYFUNCTION("""COMPUTED_VALUE"""),0.125289351851851)</f>
        <v>0.125289351851851</v>
      </c>
      <c r="G320" s="83">
        <f t="shared" ca="1" si="3"/>
        <v>19</v>
      </c>
      <c r="H320" s="83">
        <f ca="1">IFERROR(__xludf.DUMMYFUNCTION("""COMPUTED_VALUE"""),0)</f>
        <v>0</v>
      </c>
      <c r="I320" s="83">
        <f ca="1">IFERROR(__xludf.DUMMYFUNCTION("""COMPUTED_VALUE"""),25)</f>
        <v>25</v>
      </c>
    </row>
    <row r="321" spans="1:9">
      <c r="A321" s="79">
        <v>228</v>
      </c>
      <c r="B321" s="79">
        <v>4</v>
      </c>
      <c r="C321" s="79">
        <v>232</v>
      </c>
      <c r="D321" s="80">
        <v>43317.135671296295</v>
      </c>
      <c r="E321" s="81">
        <f t="shared" ca="1" si="2"/>
        <v>43313</v>
      </c>
      <c r="F321" s="82">
        <f ca="1">IFERROR(__xludf.DUMMYFUNCTION("""COMPUTED_VALUE"""),0.135671296296296)</f>
        <v>0.13567129629629601</v>
      </c>
      <c r="G321" s="83">
        <f t="shared" ca="1" si="3"/>
        <v>19</v>
      </c>
      <c r="H321" s="83">
        <f ca="1">IFERROR(__xludf.DUMMYFUNCTION("""COMPUTED_VALUE"""),15)</f>
        <v>15</v>
      </c>
      <c r="I321" s="83">
        <f ca="1">IFERROR(__xludf.DUMMYFUNCTION("""COMPUTED_VALUE"""),22)</f>
        <v>22</v>
      </c>
    </row>
    <row r="322" spans="1:9">
      <c r="A322" s="79">
        <v>182</v>
      </c>
      <c r="B322" s="79">
        <v>2</v>
      </c>
      <c r="C322" s="79">
        <v>184</v>
      </c>
      <c r="D322" s="80">
        <v>43317.146087962959</v>
      </c>
      <c r="E322" s="81">
        <f t="shared" ca="1" si="2"/>
        <v>43313</v>
      </c>
      <c r="F322" s="82">
        <f ca="1">IFERROR(__xludf.DUMMYFUNCTION("""COMPUTED_VALUE"""),0.146087962962962)</f>
        <v>0.146087962962962</v>
      </c>
      <c r="G322" s="83">
        <f t="shared" ca="1" si="3"/>
        <v>19</v>
      </c>
      <c r="H322" s="83">
        <f ca="1">IFERROR(__xludf.DUMMYFUNCTION("""COMPUTED_VALUE"""),30)</f>
        <v>30</v>
      </c>
      <c r="I322" s="83">
        <f ca="1">IFERROR(__xludf.DUMMYFUNCTION("""COMPUTED_VALUE"""),22)</f>
        <v>22</v>
      </c>
    </row>
    <row r="323" spans="1:9">
      <c r="A323" s="79">
        <v>177</v>
      </c>
      <c r="B323" s="79">
        <v>3</v>
      </c>
      <c r="C323" s="79">
        <v>180</v>
      </c>
      <c r="D323" s="80">
        <v>43317.156493055554</v>
      </c>
      <c r="E323" s="81">
        <f t="shared" ca="1" si="2"/>
        <v>43313</v>
      </c>
      <c r="F323" s="82">
        <f ca="1">IFERROR(__xludf.DUMMYFUNCTION("""COMPUTED_VALUE"""),0.156493055555555)</f>
        <v>0.15649305555555501</v>
      </c>
      <c r="G323" s="83">
        <f t="shared" ca="1" si="3"/>
        <v>19</v>
      </c>
      <c r="H323" s="83">
        <f ca="1">IFERROR(__xludf.DUMMYFUNCTION("""COMPUTED_VALUE"""),45)</f>
        <v>45</v>
      </c>
      <c r="I323" s="83">
        <f ca="1">IFERROR(__xludf.DUMMYFUNCTION("""COMPUTED_VALUE"""),21)</f>
        <v>21</v>
      </c>
    </row>
    <row r="324" spans="1:9">
      <c r="A324" s="79">
        <v>133</v>
      </c>
      <c r="B324" s="79">
        <v>2</v>
      </c>
      <c r="C324" s="79">
        <v>135</v>
      </c>
      <c r="D324" s="80">
        <v>43317.166944444441</v>
      </c>
      <c r="E324" s="81">
        <f t="shared" ca="1" si="2"/>
        <v>43313</v>
      </c>
      <c r="F324" s="82">
        <f ca="1">IFERROR(__xludf.DUMMYFUNCTION("""COMPUTED_VALUE"""),0.166944444444444)</f>
        <v>0.16694444444444401</v>
      </c>
      <c r="G324" s="83">
        <f t="shared" ca="1" si="3"/>
        <v>19</v>
      </c>
      <c r="H324" s="83">
        <f ca="1">IFERROR(__xludf.DUMMYFUNCTION("""COMPUTED_VALUE"""),0)</f>
        <v>0</v>
      </c>
      <c r="I324" s="83">
        <f ca="1">IFERROR(__xludf.DUMMYFUNCTION("""COMPUTED_VALUE"""),24)</f>
        <v>24</v>
      </c>
    </row>
    <row r="325" spans="1:9">
      <c r="A325" s="79">
        <v>117</v>
      </c>
      <c r="B325" s="79">
        <v>1</v>
      </c>
      <c r="C325" s="79">
        <v>118</v>
      </c>
      <c r="D325" s="80">
        <v>43317.177337962959</v>
      </c>
      <c r="E325" s="81">
        <f t="shared" ca="1" si="2"/>
        <v>43313</v>
      </c>
      <c r="F325" s="82">
        <f ca="1">IFERROR(__xludf.DUMMYFUNCTION("""COMPUTED_VALUE"""),0.177337962962962)</f>
        <v>0.177337962962962</v>
      </c>
      <c r="G325" s="83">
        <f t="shared" ca="1" si="3"/>
        <v>19</v>
      </c>
      <c r="H325" s="83">
        <f ca="1">IFERROR(__xludf.DUMMYFUNCTION("""COMPUTED_VALUE"""),15)</f>
        <v>15</v>
      </c>
      <c r="I325" s="83">
        <f ca="1">IFERROR(__xludf.DUMMYFUNCTION("""COMPUTED_VALUE"""),22)</f>
        <v>22</v>
      </c>
    </row>
    <row r="326" spans="1:9">
      <c r="A326" s="79">
        <v>119</v>
      </c>
      <c r="B326" s="79">
        <v>0</v>
      </c>
      <c r="C326" s="79">
        <v>119</v>
      </c>
      <c r="D326" s="80">
        <v>43317.187754629631</v>
      </c>
      <c r="E326" s="81">
        <f t="shared" ca="1" si="2"/>
        <v>43313</v>
      </c>
      <c r="F326" s="82">
        <f ca="1">IFERROR(__xludf.DUMMYFUNCTION("""COMPUTED_VALUE"""),0.187754629629629)</f>
        <v>0.18775462962962899</v>
      </c>
      <c r="G326" s="83">
        <f t="shared" ca="1" si="3"/>
        <v>19</v>
      </c>
      <c r="H326" s="83">
        <f ca="1">IFERROR(__xludf.DUMMYFUNCTION("""COMPUTED_VALUE"""),30)</f>
        <v>30</v>
      </c>
      <c r="I326" s="83">
        <f ca="1">IFERROR(__xludf.DUMMYFUNCTION("""COMPUTED_VALUE"""),22)</f>
        <v>22</v>
      </c>
    </row>
    <row r="327" spans="1:9">
      <c r="A327" s="79">
        <v>128</v>
      </c>
      <c r="B327" s="79">
        <v>1</v>
      </c>
      <c r="C327" s="79">
        <v>129</v>
      </c>
      <c r="D327" s="80">
        <v>43317.198159722226</v>
      </c>
      <c r="E327" s="81">
        <f t="shared" ca="1" si="2"/>
        <v>43313</v>
      </c>
      <c r="F327" s="82">
        <f ca="1">IFERROR(__xludf.DUMMYFUNCTION("""COMPUTED_VALUE"""),0.198159722222222)</f>
        <v>0.198159722222222</v>
      </c>
      <c r="G327" s="83">
        <f t="shared" ca="1" si="3"/>
        <v>19</v>
      </c>
      <c r="H327" s="83">
        <f ca="1">IFERROR(__xludf.DUMMYFUNCTION("""COMPUTED_VALUE"""),45)</f>
        <v>45</v>
      </c>
      <c r="I327" s="83">
        <f ca="1">IFERROR(__xludf.DUMMYFUNCTION("""COMPUTED_VALUE"""),21)</f>
        <v>21</v>
      </c>
    </row>
    <row r="328" spans="1:9">
      <c r="A328" s="79">
        <v>116</v>
      </c>
      <c r="B328" s="79">
        <v>1</v>
      </c>
      <c r="C328" s="79">
        <v>117</v>
      </c>
      <c r="D328" s="80">
        <v>43317.208599537036</v>
      </c>
      <c r="E328" s="81">
        <f t="shared" ca="1" si="2"/>
        <v>43313</v>
      </c>
      <c r="F328" s="82">
        <f ca="1">IFERROR(__xludf.DUMMYFUNCTION("""COMPUTED_VALUE"""),0.208599537037037)</f>
        <v>0.20859953703703699</v>
      </c>
      <c r="G328" s="83">
        <f t="shared" ca="1" si="3"/>
        <v>19</v>
      </c>
      <c r="H328" s="83">
        <f ca="1">IFERROR(__xludf.DUMMYFUNCTION("""COMPUTED_VALUE"""),0)</f>
        <v>0</v>
      </c>
      <c r="I328" s="83">
        <f ca="1">IFERROR(__xludf.DUMMYFUNCTION("""COMPUTED_VALUE"""),23)</f>
        <v>23</v>
      </c>
    </row>
    <row r="329" spans="1:9">
      <c r="A329" s="79">
        <v>104</v>
      </c>
      <c r="B329" s="79">
        <v>0</v>
      </c>
      <c r="C329" s="79">
        <v>104</v>
      </c>
      <c r="D329" s="80">
        <v>43317.218993055554</v>
      </c>
      <c r="E329" s="81">
        <f t="shared" ca="1" si="2"/>
        <v>43313</v>
      </c>
      <c r="F329" s="82">
        <f ca="1">IFERROR(__xludf.DUMMYFUNCTION("""COMPUTED_VALUE"""),0.218993055555555)</f>
        <v>0.21899305555555501</v>
      </c>
      <c r="G329" s="83">
        <f t="shared" ca="1" si="3"/>
        <v>19</v>
      </c>
      <c r="H329" s="83">
        <f ca="1">IFERROR(__xludf.DUMMYFUNCTION("""COMPUTED_VALUE"""),15)</f>
        <v>15</v>
      </c>
      <c r="I329" s="83">
        <f ca="1">IFERROR(__xludf.DUMMYFUNCTION("""COMPUTED_VALUE"""),21)</f>
        <v>21</v>
      </c>
    </row>
    <row r="330" spans="1:9">
      <c r="A330" s="79">
        <v>96</v>
      </c>
      <c r="B330" s="79">
        <v>0</v>
      </c>
      <c r="C330" s="79">
        <v>96</v>
      </c>
      <c r="D330" s="80">
        <v>43317.229421296295</v>
      </c>
      <c r="E330" s="81">
        <f t="shared" ca="1" si="2"/>
        <v>43313</v>
      </c>
      <c r="F330" s="82">
        <f ca="1">IFERROR(__xludf.DUMMYFUNCTION("""COMPUTED_VALUE"""),0.229421296296296)</f>
        <v>0.22942129629629601</v>
      </c>
      <c r="G330" s="83">
        <f t="shared" ca="1" si="3"/>
        <v>19</v>
      </c>
      <c r="H330" s="83">
        <f ca="1">IFERROR(__xludf.DUMMYFUNCTION("""COMPUTED_VALUE"""),30)</f>
        <v>30</v>
      </c>
      <c r="I330" s="83">
        <f ca="1">IFERROR(__xludf.DUMMYFUNCTION("""COMPUTED_VALUE"""),22)</f>
        <v>22</v>
      </c>
    </row>
    <row r="331" spans="1:9">
      <c r="A331" s="79">
        <v>67</v>
      </c>
      <c r="B331" s="79">
        <v>1</v>
      </c>
      <c r="C331" s="79">
        <v>68</v>
      </c>
      <c r="D331" s="80">
        <v>43317.239837962959</v>
      </c>
      <c r="E331" s="81">
        <f t="shared" ca="1" si="2"/>
        <v>43313</v>
      </c>
      <c r="F331" s="82">
        <f ca="1">IFERROR(__xludf.DUMMYFUNCTION("""COMPUTED_VALUE"""),0.239837962962962)</f>
        <v>0.239837962962962</v>
      </c>
      <c r="G331" s="83">
        <f t="shared" ca="1" si="3"/>
        <v>19</v>
      </c>
      <c r="H331" s="83">
        <f ca="1">IFERROR(__xludf.DUMMYFUNCTION("""COMPUTED_VALUE"""),45)</f>
        <v>45</v>
      </c>
      <c r="I331" s="83">
        <f ca="1">IFERROR(__xludf.DUMMYFUNCTION("""COMPUTED_VALUE"""),22)</f>
        <v>22</v>
      </c>
    </row>
    <row r="332" spans="1:9">
      <c r="A332" s="79">
        <v>65</v>
      </c>
      <c r="B332" s="79">
        <v>1</v>
      </c>
      <c r="C332" s="79">
        <v>66</v>
      </c>
      <c r="D332" s="80">
        <v>43317.2502662037</v>
      </c>
      <c r="E332" s="81">
        <f t="shared" ca="1" si="2"/>
        <v>43313</v>
      </c>
      <c r="F332" s="82">
        <f ca="1">IFERROR(__xludf.DUMMYFUNCTION("""COMPUTED_VALUE"""),0.250266203703703)</f>
        <v>0.25026620370370301</v>
      </c>
      <c r="G332" s="83">
        <f t="shared" ca="1" si="3"/>
        <v>19</v>
      </c>
      <c r="H332" s="83">
        <f ca="1">IFERROR(__xludf.DUMMYFUNCTION("""COMPUTED_VALUE"""),0)</f>
        <v>0</v>
      </c>
      <c r="I332" s="83">
        <f ca="1">IFERROR(__xludf.DUMMYFUNCTION("""COMPUTED_VALUE"""),23)</f>
        <v>23</v>
      </c>
    </row>
    <row r="333" spans="1:9">
      <c r="A333" s="79">
        <v>79</v>
      </c>
      <c r="B333" s="79">
        <v>1</v>
      </c>
      <c r="C333" s="79">
        <v>80</v>
      </c>
      <c r="D333" s="80">
        <v>43317.260671296295</v>
      </c>
      <c r="E333" s="81">
        <f t="shared" ca="1" si="2"/>
        <v>43313</v>
      </c>
      <c r="F333" s="82">
        <f ca="1">IFERROR(__xludf.DUMMYFUNCTION("""COMPUTED_VALUE"""),0.260671296296296)</f>
        <v>0.26067129629629598</v>
      </c>
      <c r="G333" s="83">
        <f t="shared" ca="1" si="3"/>
        <v>19</v>
      </c>
      <c r="H333" s="83">
        <f ca="1">IFERROR(__xludf.DUMMYFUNCTION("""COMPUTED_VALUE"""),15)</f>
        <v>15</v>
      </c>
      <c r="I333" s="83">
        <f ca="1">IFERROR(__xludf.DUMMYFUNCTION("""COMPUTED_VALUE"""),22)</f>
        <v>22</v>
      </c>
    </row>
    <row r="334" spans="1:9">
      <c r="A334" s="79">
        <v>64</v>
      </c>
      <c r="B334" s="79">
        <v>1</v>
      </c>
      <c r="C334" s="79">
        <v>65</v>
      </c>
      <c r="D334" s="80">
        <v>43317.273842592593</v>
      </c>
      <c r="E334" s="81">
        <f t="shared" ca="1" si="2"/>
        <v>43313</v>
      </c>
      <c r="F334" s="82">
        <f ca="1">IFERROR(__xludf.DUMMYFUNCTION("""COMPUTED_VALUE"""),0.273842592592592)</f>
        <v>0.27384259259259203</v>
      </c>
      <c r="G334" s="83">
        <f t="shared" ca="1" si="3"/>
        <v>19</v>
      </c>
      <c r="H334" s="83">
        <f ca="1">IFERROR(__xludf.DUMMYFUNCTION("""COMPUTED_VALUE"""),34)</f>
        <v>34</v>
      </c>
      <c r="I334" s="83">
        <f ca="1">IFERROR(__xludf.DUMMYFUNCTION("""COMPUTED_VALUE"""),20)</f>
        <v>20</v>
      </c>
    </row>
    <row r="335" spans="1:9">
      <c r="A335" s="79">
        <v>58</v>
      </c>
      <c r="B335" s="79">
        <v>1</v>
      </c>
      <c r="C335" s="79">
        <v>59</v>
      </c>
      <c r="D335" s="80">
        <v>43317.281504629631</v>
      </c>
      <c r="E335" s="81">
        <f t="shared" ca="1" si="2"/>
        <v>43313</v>
      </c>
      <c r="F335" s="82">
        <f ca="1">IFERROR(__xludf.DUMMYFUNCTION("""COMPUTED_VALUE"""),0.281504629629629)</f>
        <v>0.28150462962962902</v>
      </c>
      <c r="G335" s="83">
        <f t="shared" ca="1" si="3"/>
        <v>19</v>
      </c>
      <c r="H335" s="83">
        <f ca="1">IFERROR(__xludf.DUMMYFUNCTION("""COMPUTED_VALUE"""),45)</f>
        <v>45</v>
      </c>
      <c r="I335" s="83">
        <f ca="1">IFERROR(__xludf.DUMMYFUNCTION("""COMPUTED_VALUE"""),22)</f>
        <v>22</v>
      </c>
    </row>
    <row r="336" spans="1:9">
      <c r="A336" s="79">
        <v>54</v>
      </c>
      <c r="B336" s="79">
        <v>0</v>
      </c>
      <c r="C336" s="79">
        <v>54</v>
      </c>
      <c r="D336" s="80">
        <v>43317.291921296295</v>
      </c>
      <c r="E336" s="81">
        <f t="shared" ca="1" si="2"/>
        <v>43313</v>
      </c>
      <c r="F336" s="82">
        <f ca="1">IFERROR(__xludf.DUMMYFUNCTION("""COMPUTED_VALUE"""),0.291921296296296)</f>
        <v>0.29192129629629598</v>
      </c>
      <c r="G336" s="83">
        <f t="shared" ca="1" si="3"/>
        <v>19</v>
      </c>
      <c r="H336" s="83">
        <f ca="1">IFERROR(__xludf.DUMMYFUNCTION("""COMPUTED_VALUE"""),0)</f>
        <v>0</v>
      </c>
      <c r="I336" s="83">
        <f ca="1">IFERROR(__xludf.DUMMYFUNCTION("""COMPUTED_VALUE"""),22)</f>
        <v>22</v>
      </c>
    </row>
    <row r="337" spans="1:9">
      <c r="A337" s="79">
        <v>51</v>
      </c>
      <c r="B337" s="79">
        <v>0</v>
      </c>
      <c r="C337" s="79">
        <v>51</v>
      </c>
      <c r="D337" s="80">
        <v>43317.302349537036</v>
      </c>
      <c r="E337" s="81">
        <f t="shared" ca="1" si="2"/>
        <v>43313</v>
      </c>
      <c r="F337" s="82">
        <f ca="1">IFERROR(__xludf.DUMMYFUNCTION("""COMPUTED_VALUE"""),0.302349537037037)</f>
        <v>0.30234953703703699</v>
      </c>
      <c r="G337" s="83">
        <f t="shared" ca="1" si="3"/>
        <v>19</v>
      </c>
      <c r="H337" s="83">
        <f ca="1">IFERROR(__xludf.DUMMYFUNCTION("""COMPUTED_VALUE"""),15)</f>
        <v>15</v>
      </c>
      <c r="I337" s="83">
        <f ca="1">IFERROR(__xludf.DUMMYFUNCTION("""COMPUTED_VALUE"""),23)</f>
        <v>23</v>
      </c>
    </row>
    <row r="338" spans="1:9">
      <c r="A338" s="79">
        <v>69</v>
      </c>
      <c r="B338" s="79">
        <v>0</v>
      </c>
      <c r="C338" s="79">
        <v>69</v>
      </c>
      <c r="D338" s="80">
        <v>43317.3127662037</v>
      </c>
      <c r="E338" s="81">
        <f t="shared" ca="1" si="2"/>
        <v>43313</v>
      </c>
      <c r="F338" s="82">
        <f ca="1">IFERROR(__xludf.DUMMYFUNCTION("""COMPUTED_VALUE"""),0.312766203703703)</f>
        <v>0.31276620370370301</v>
      </c>
      <c r="G338" s="83">
        <f t="shared" ca="1" si="3"/>
        <v>19</v>
      </c>
      <c r="H338" s="83">
        <f ca="1">IFERROR(__xludf.DUMMYFUNCTION("""COMPUTED_VALUE"""),30)</f>
        <v>30</v>
      </c>
      <c r="I338" s="83">
        <f ca="1">IFERROR(__xludf.DUMMYFUNCTION("""COMPUTED_VALUE"""),23)</f>
        <v>23</v>
      </c>
    </row>
    <row r="339" spans="1:9">
      <c r="A339" s="79">
        <v>73</v>
      </c>
      <c r="B339" s="79">
        <v>0</v>
      </c>
      <c r="C339" s="79">
        <v>73</v>
      </c>
      <c r="D339" s="80">
        <v>43317.323182870372</v>
      </c>
      <c r="E339" s="81">
        <f t="shared" ca="1" si="2"/>
        <v>43313</v>
      </c>
      <c r="F339" s="82">
        <f ca="1">IFERROR(__xludf.DUMMYFUNCTION("""COMPUTED_VALUE"""),0.32318287037037)</f>
        <v>0.32318287037037002</v>
      </c>
      <c r="G339" s="83">
        <f t="shared" ca="1" si="3"/>
        <v>19</v>
      </c>
      <c r="H339" s="83">
        <f ca="1">IFERROR(__xludf.DUMMYFUNCTION("""COMPUTED_VALUE"""),45)</f>
        <v>45</v>
      </c>
      <c r="I339" s="83">
        <f ca="1">IFERROR(__xludf.DUMMYFUNCTION("""COMPUTED_VALUE"""),23)</f>
        <v>23</v>
      </c>
    </row>
    <row r="340" spans="1:9">
      <c r="A340" s="79">
        <v>56</v>
      </c>
      <c r="B340" s="79">
        <v>0</v>
      </c>
      <c r="C340" s="79">
        <v>56</v>
      </c>
      <c r="D340" s="80">
        <v>43317.333611111113</v>
      </c>
      <c r="E340" s="81">
        <f t="shared" ca="1" si="2"/>
        <v>43313</v>
      </c>
      <c r="F340" s="82">
        <f ca="1">IFERROR(__xludf.DUMMYFUNCTION("""COMPUTED_VALUE"""),0.333611111111111)</f>
        <v>0.33361111111111103</v>
      </c>
      <c r="G340" s="83">
        <f t="shared" ca="1" si="3"/>
        <v>19</v>
      </c>
      <c r="H340" s="83">
        <f ca="1">IFERROR(__xludf.DUMMYFUNCTION("""COMPUTED_VALUE"""),0)</f>
        <v>0</v>
      </c>
      <c r="I340" s="83">
        <f ca="1">IFERROR(__xludf.DUMMYFUNCTION("""COMPUTED_VALUE"""),24)</f>
        <v>24</v>
      </c>
    </row>
    <row r="341" spans="1:9">
      <c r="A341" s="79">
        <v>69</v>
      </c>
      <c r="B341" s="79">
        <v>1</v>
      </c>
      <c r="C341" s="79">
        <v>70</v>
      </c>
      <c r="D341" s="80">
        <v>43317.344027777777</v>
      </c>
      <c r="E341" s="81">
        <f t="shared" ca="1" si="2"/>
        <v>43313</v>
      </c>
      <c r="F341" s="82">
        <f ca="1">IFERROR(__xludf.DUMMYFUNCTION("""COMPUTED_VALUE"""),0.344027777777777)</f>
        <v>0.34402777777777699</v>
      </c>
      <c r="G341" s="83">
        <f t="shared" ca="1" si="3"/>
        <v>19</v>
      </c>
      <c r="H341" s="83">
        <f ca="1">IFERROR(__xludf.DUMMYFUNCTION("""COMPUTED_VALUE"""),15)</f>
        <v>15</v>
      </c>
      <c r="I341" s="83">
        <f ca="1">IFERROR(__xludf.DUMMYFUNCTION("""COMPUTED_VALUE"""),24)</f>
        <v>24</v>
      </c>
    </row>
    <row r="342" spans="1:9">
      <c r="A342" s="79">
        <v>76</v>
      </c>
      <c r="B342" s="79">
        <v>1</v>
      </c>
      <c r="C342" s="79">
        <v>75</v>
      </c>
      <c r="D342" s="80">
        <v>43317.354432870372</v>
      </c>
      <c r="E342" s="81">
        <f t="shared" ca="1" si="2"/>
        <v>43313</v>
      </c>
      <c r="F342" s="82">
        <f ca="1">IFERROR(__xludf.DUMMYFUNCTION("""COMPUTED_VALUE"""),0.35443287037037)</f>
        <v>0.35443287037037002</v>
      </c>
      <c r="G342" s="83">
        <f t="shared" ca="1" si="3"/>
        <v>19</v>
      </c>
      <c r="H342" s="83">
        <f ca="1">IFERROR(__xludf.DUMMYFUNCTION("""COMPUTED_VALUE"""),30)</f>
        <v>30</v>
      </c>
      <c r="I342" s="83">
        <f ca="1">IFERROR(__xludf.DUMMYFUNCTION("""COMPUTED_VALUE"""),23)</f>
        <v>23</v>
      </c>
    </row>
    <row r="343" spans="1:9">
      <c r="A343" s="79">
        <v>102</v>
      </c>
      <c r="B343" s="79">
        <v>1</v>
      </c>
      <c r="C343" s="79">
        <v>103</v>
      </c>
      <c r="D343" s="80">
        <v>43317.364884259259</v>
      </c>
      <c r="E343" s="81">
        <f t="shared" ca="1" si="2"/>
        <v>43313</v>
      </c>
      <c r="F343" s="82">
        <f ca="1">IFERROR(__xludf.DUMMYFUNCTION("""COMPUTED_VALUE"""),0.364884259259259)</f>
        <v>0.36488425925925899</v>
      </c>
      <c r="G343" s="83">
        <f t="shared" ca="1" si="3"/>
        <v>19</v>
      </c>
      <c r="H343" s="83">
        <f ca="1">IFERROR(__xludf.DUMMYFUNCTION("""COMPUTED_VALUE"""),45)</f>
        <v>45</v>
      </c>
      <c r="I343" s="83">
        <f ca="1">IFERROR(__xludf.DUMMYFUNCTION("""COMPUTED_VALUE"""),26)</f>
        <v>26</v>
      </c>
    </row>
    <row r="344" spans="1:9">
      <c r="A344" s="79">
        <v>77</v>
      </c>
      <c r="B344" s="79">
        <v>0</v>
      </c>
      <c r="C344" s="79">
        <v>77</v>
      </c>
      <c r="D344" s="80">
        <v>43317.375289351854</v>
      </c>
      <c r="E344" s="81">
        <f t="shared" ca="1" si="2"/>
        <v>43313</v>
      </c>
      <c r="F344" s="82">
        <f ca="1">IFERROR(__xludf.DUMMYFUNCTION("""COMPUTED_VALUE"""),0.375289351851851)</f>
        <v>0.37528935185185103</v>
      </c>
      <c r="G344" s="83">
        <f t="shared" ca="1" si="3"/>
        <v>19</v>
      </c>
      <c r="H344" s="83">
        <f ca="1">IFERROR(__xludf.DUMMYFUNCTION("""COMPUTED_VALUE"""),0)</f>
        <v>0</v>
      </c>
      <c r="I344" s="83">
        <f ca="1">IFERROR(__xludf.DUMMYFUNCTION("""COMPUTED_VALUE"""),25)</f>
        <v>25</v>
      </c>
    </row>
    <row r="345" spans="1:9">
      <c r="A345" s="79">
        <v>92</v>
      </c>
      <c r="B345" s="79">
        <v>0</v>
      </c>
      <c r="C345" s="79">
        <v>92</v>
      </c>
      <c r="D345" s="80">
        <v>43317.385682870372</v>
      </c>
      <c r="E345" s="81">
        <f t="shared" ca="1" si="2"/>
        <v>43313</v>
      </c>
      <c r="F345" s="82">
        <f ca="1">IFERROR(__xludf.DUMMYFUNCTION("""COMPUTED_VALUE"""),0.38568287037037)</f>
        <v>0.38568287037037002</v>
      </c>
      <c r="G345" s="83">
        <f t="shared" ca="1" si="3"/>
        <v>19</v>
      </c>
      <c r="H345" s="83">
        <f ca="1">IFERROR(__xludf.DUMMYFUNCTION("""COMPUTED_VALUE"""),15)</f>
        <v>15</v>
      </c>
      <c r="I345" s="83">
        <f ca="1">IFERROR(__xludf.DUMMYFUNCTION("""COMPUTED_VALUE"""),23)</f>
        <v>23</v>
      </c>
    </row>
    <row r="346" spans="1:9">
      <c r="A346" s="79">
        <v>96</v>
      </c>
      <c r="B346" s="79">
        <v>2</v>
      </c>
      <c r="C346" s="79">
        <v>98</v>
      </c>
      <c r="D346" s="80">
        <v>43317.396099537036</v>
      </c>
      <c r="E346" s="81">
        <f t="shared" ca="1" si="2"/>
        <v>43313</v>
      </c>
      <c r="F346" s="82">
        <f ca="1">IFERROR(__xludf.DUMMYFUNCTION("""COMPUTED_VALUE"""),0.396099537037037)</f>
        <v>0.39609953703703699</v>
      </c>
      <c r="G346" s="83">
        <f t="shared" ca="1" si="3"/>
        <v>19</v>
      </c>
      <c r="H346" s="83">
        <f ca="1">IFERROR(__xludf.DUMMYFUNCTION("""COMPUTED_VALUE"""),30)</f>
        <v>30</v>
      </c>
      <c r="I346" s="83">
        <f ca="1">IFERROR(__xludf.DUMMYFUNCTION("""COMPUTED_VALUE"""),23)</f>
        <v>23</v>
      </c>
    </row>
    <row r="347" spans="1:9">
      <c r="A347" s="79">
        <v>106</v>
      </c>
      <c r="B347" s="79">
        <v>0</v>
      </c>
      <c r="C347" s="79">
        <v>106</v>
      </c>
      <c r="D347" s="80">
        <v>43317.4065162037</v>
      </c>
      <c r="E347" s="81">
        <f t="shared" ca="1" si="2"/>
        <v>43313</v>
      </c>
      <c r="F347" s="82">
        <f ca="1">IFERROR(__xludf.DUMMYFUNCTION("""COMPUTED_VALUE"""),0.406516203703703)</f>
        <v>0.40651620370370301</v>
      </c>
      <c r="G347" s="83">
        <f t="shared" ca="1" si="3"/>
        <v>19</v>
      </c>
      <c r="H347" s="83">
        <f ca="1">IFERROR(__xludf.DUMMYFUNCTION("""COMPUTED_VALUE"""),45)</f>
        <v>45</v>
      </c>
      <c r="I347" s="83">
        <f ca="1">IFERROR(__xludf.DUMMYFUNCTION("""COMPUTED_VALUE"""),23)</f>
        <v>23</v>
      </c>
    </row>
    <row r="348" spans="1:9">
      <c r="A348" s="79">
        <v>84</v>
      </c>
      <c r="B348" s="79">
        <v>0</v>
      </c>
      <c r="C348" s="79">
        <v>84</v>
      </c>
      <c r="D348" s="80">
        <v>43317.416944444441</v>
      </c>
      <c r="E348" s="81">
        <f t="shared" ca="1" si="2"/>
        <v>43313</v>
      </c>
      <c r="F348" s="82">
        <f ca="1">IFERROR(__xludf.DUMMYFUNCTION("""COMPUTED_VALUE"""),0.416944444444444)</f>
        <v>0.41694444444444401</v>
      </c>
      <c r="G348" s="83">
        <f t="shared" ca="1" si="3"/>
        <v>19</v>
      </c>
      <c r="H348" s="83">
        <f ca="1">IFERROR(__xludf.DUMMYFUNCTION("""COMPUTED_VALUE"""),0)</f>
        <v>0</v>
      </c>
      <c r="I348" s="83">
        <f ca="1">IFERROR(__xludf.DUMMYFUNCTION("""COMPUTED_VALUE"""),24)</f>
        <v>24</v>
      </c>
    </row>
    <row r="349" spans="1:9">
      <c r="A349" s="79">
        <v>94</v>
      </c>
      <c r="B349" s="79">
        <v>0</v>
      </c>
      <c r="C349" s="79">
        <v>94</v>
      </c>
      <c r="D349" s="80">
        <v>43317.427349537036</v>
      </c>
      <c r="E349" s="81">
        <f t="shared" ca="1" si="2"/>
        <v>43313</v>
      </c>
      <c r="F349" s="82">
        <f ca="1">IFERROR(__xludf.DUMMYFUNCTION("""COMPUTED_VALUE"""),0.427349537037037)</f>
        <v>0.42734953703703699</v>
      </c>
      <c r="G349" s="83">
        <f t="shared" ca="1" si="3"/>
        <v>19</v>
      </c>
      <c r="H349" s="83">
        <f ca="1">IFERROR(__xludf.DUMMYFUNCTION("""COMPUTED_VALUE"""),15)</f>
        <v>15</v>
      </c>
      <c r="I349" s="83">
        <f ca="1">IFERROR(__xludf.DUMMYFUNCTION("""COMPUTED_VALUE"""),23)</f>
        <v>23</v>
      </c>
    </row>
    <row r="350" spans="1:9">
      <c r="A350" s="79">
        <v>113</v>
      </c>
      <c r="B350" s="79">
        <v>1</v>
      </c>
      <c r="C350" s="79">
        <v>114</v>
      </c>
      <c r="D350" s="80">
        <v>43317.4377662037</v>
      </c>
      <c r="E350" s="81">
        <f t="shared" ca="1" si="2"/>
        <v>43313</v>
      </c>
      <c r="F350" s="82">
        <f ca="1">IFERROR(__xludf.DUMMYFUNCTION("""COMPUTED_VALUE"""),0.437766203703703)</f>
        <v>0.43776620370370301</v>
      </c>
      <c r="G350" s="83">
        <f t="shared" ca="1" si="3"/>
        <v>19</v>
      </c>
      <c r="H350" s="83">
        <f ca="1">IFERROR(__xludf.DUMMYFUNCTION("""COMPUTED_VALUE"""),30)</f>
        <v>30</v>
      </c>
      <c r="I350" s="83">
        <f ca="1">IFERROR(__xludf.DUMMYFUNCTION("""COMPUTED_VALUE"""),23)</f>
        <v>23</v>
      </c>
    </row>
    <row r="351" spans="1:9">
      <c r="A351" s="79">
        <v>142</v>
      </c>
      <c r="B351" s="79">
        <v>4</v>
      </c>
      <c r="C351" s="79">
        <v>146</v>
      </c>
      <c r="D351" s="80">
        <v>43317.448182870372</v>
      </c>
      <c r="E351" s="81">
        <f t="shared" ca="1" si="2"/>
        <v>43313</v>
      </c>
      <c r="F351" s="82">
        <f ca="1">IFERROR(__xludf.DUMMYFUNCTION("""COMPUTED_VALUE"""),0.44818287037037)</f>
        <v>0.44818287037037002</v>
      </c>
      <c r="G351" s="83">
        <f t="shared" ca="1" si="3"/>
        <v>19</v>
      </c>
      <c r="H351" s="83">
        <f ca="1">IFERROR(__xludf.DUMMYFUNCTION("""COMPUTED_VALUE"""),45)</f>
        <v>45</v>
      </c>
      <c r="I351" s="83">
        <f ca="1">IFERROR(__xludf.DUMMYFUNCTION("""COMPUTED_VALUE"""),23)</f>
        <v>23</v>
      </c>
    </row>
    <row r="352" spans="1:9">
      <c r="A352" s="79">
        <v>118</v>
      </c>
      <c r="B352" s="79">
        <v>2</v>
      </c>
      <c r="C352" s="79">
        <v>120</v>
      </c>
      <c r="D352" s="80">
        <v>43317.458622685182</v>
      </c>
      <c r="E352" s="81">
        <f t="shared" ca="1" si="2"/>
        <v>43313</v>
      </c>
      <c r="F352" s="82">
        <f ca="1">IFERROR(__xludf.DUMMYFUNCTION("""COMPUTED_VALUE"""),0.458622685185185)</f>
        <v>0.45862268518518501</v>
      </c>
      <c r="G352" s="83">
        <f t="shared" ca="1" si="3"/>
        <v>19</v>
      </c>
      <c r="H352" s="83">
        <f ca="1">IFERROR(__xludf.DUMMYFUNCTION("""COMPUTED_VALUE"""),0)</f>
        <v>0</v>
      </c>
      <c r="I352" s="83">
        <f ca="1">IFERROR(__xludf.DUMMYFUNCTION("""COMPUTED_VALUE"""),25)</f>
        <v>25</v>
      </c>
    </row>
    <row r="353" spans="1:9">
      <c r="A353" s="79">
        <v>149</v>
      </c>
      <c r="B353" s="79">
        <v>0</v>
      </c>
      <c r="C353" s="79">
        <v>149</v>
      </c>
      <c r="D353" s="80">
        <v>43317.4690162037</v>
      </c>
      <c r="E353" s="81">
        <f t="shared" ca="1" si="2"/>
        <v>43313</v>
      </c>
      <c r="F353" s="82">
        <f ca="1">IFERROR(__xludf.DUMMYFUNCTION("""COMPUTED_VALUE"""),0.469016203703703)</f>
        <v>0.46901620370370301</v>
      </c>
      <c r="G353" s="83">
        <f t="shared" ca="1" si="3"/>
        <v>19</v>
      </c>
      <c r="H353" s="83">
        <f ca="1">IFERROR(__xludf.DUMMYFUNCTION("""COMPUTED_VALUE"""),15)</f>
        <v>15</v>
      </c>
      <c r="I353" s="83">
        <f ca="1">IFERROR(__xludf.DUMMYFUNCTION("""COMPUTED_VALUE"""),23)</f>
        <v>23</v>
      </c>
    </row>
    <row r="354" spans="1:9">
      <c r="A354" s="79">
        <v>165</v>
      </c>
      <c r="B354" s="79">
        <v>1</v>
      </c>
      <c r="C354" s="79">
        <v>166</v>
      </c>
      <c r="D354" s="80">
        <v>43317.479432870372</v>
      </c>
      <c r="E354" s="81">
        <f t="shared" ca="1" si="2"/>
        <v>43313</v>
      </c>
      <c r="F354" s="82">
        <f ca="1">IFERROR(__xludf.DUMMYFUNCTION("""COMPUTED_VALUE"""),0.47943287037037)</f>
        <v>0.47943287037037002</v>
      </c>
      <c r="G354" s="83">
        <f t="shared" ca="1" si="3"/>
        <v>19</v>
      </c>
      <c r="H354" s="83">
        <f ca="1">IFERROR(__xludf.DUMMYFUNCTION("""COMPUTED_VALUE"""),30)</f>
        <v>30</v>
      </c>
      <c r="I354" s="83">
        <f ca="1">IFERROR(__xludf.DUMMYFUNCTION("""COMPUTED_VALUE"""),23)</f>
        <v>23</v>
      </c>
    </row>
    <row r="355" spans="1:9">
      <c r="A355" s="79">
        <v>197</v>
      </c>
      <c r="B355" s="79">
        <v>3</v>
      </c>
      <c r="C355" s="79">
        <v>194</v>
      </c>
      <c r="D355" s="80">
        <v>43317.489849537036</v>
      </c>
      <c r="E355" s="81">
        <f t="shared" ca="1" si="2"/>
        <v>43313</v>
      </c>
      <c r="F355" s="82">
        <f ca="1">IFERROR(__xludf.DUMMYFUNCTION("""COMPUTED_VALUE"""),0.489849537037037)</f>
        <v>0.48984953703703699</v>
      </c>
      <c r="G355" s="83">
        <f t="shared" ca="1" si="3"/>
        <v>19</v>
      </c>
      <c r="H355" s="83">
        <f ca="1">IFERROR(__xludf.DUMMYFUNCTION("""COMPUTED_VALUE"""),45)</f>
        <v>45</v>
      </c>
      <c r="I355" s="83">
        <f ca="1">IFERROR(__xludf.DUMMYFUNCTION("""COMPUTED_VALUE"""),23)</f>
        <v>23</v>
      </c>
    </row>
    <row r="356" spans="1:9">
      <c r="A356" s="79">
        <v>170</v>
      </c>
      <c r="B356" s="79">
        <v>2</v>
      </c>
      <c r="C356" s="79">
        <v>172</v>
      </c>
      <c r="D356" s="80">
        <v>43317.5002662037</v>
      </c>
      <c r="E356" s="81">
        <f t="shared" ca="1" si="2"/>
        <v>43313</v>
      </c>
      <c r="F356" s="82">
        <f ca="1">IFERROR(__xludf.DUMMYFUNCTION("""COMPUTED_VALUE"""),0.500266203703703)</f>
        <v>0.50026620370370301</v>
      </c>
      <c r="G356" s="83">
        <f t="shared" ca="1" si="3"/>
        <v>19</v>
      </c>
      <c r="H356" s="83">
        <f ca="1">IFERROR(__xludf.DUMMYFUNCTION("""COMPUTED_VALUE"""),0)</f>
        <v>0</v>
      </c>
      <c r="I356" s="83">
        <f ca="1">IFERROR(__xludf.DUMMYFUNCTION("""COMPUTED_VALUE"""),23)</f>
        <v>23</v>
      </c>
    </row>
    <row r="357" spans="1:9">
      <c r="A357" s="79">
        <v>165</v>
      </c>
      <c r="B357" s="79">
        <v>4</v>
      </c>
      <c r="C357" s="79">
        <v>169</v>
      </c>
      <c r="D357" s="80">
        <v>43317.510682870372</v>
      </c>
      <c r="E357" s="81">
        <f t="shared" ca="1" si="2"/>
        <v>43313</v>
      </c>
      <c r="F357" s="82">
        <f ca="1">IFERROR(__xludf.DUMMYFUNCTION("""COMPUTED_VALUE"""),0.51068287037037)</f>
        <v>0.51068287037036997</v>
      </c>
      <c r="G357" s="83">
        <f t="shared" ca="1" si="3"/>
        <v>19</v>
      </c>
      <c r="H357" s="83">
        <f ca="1">IFERROR(__xludf.DUMMYFUNCTION("""COMPUTED_VALUE"""),15)</f>
        <v>15</v>
      </c>
      <c r="I357" s="83">
        <f ca="1">IFERROR(__xludf.DUMMYFUNCTION("""COMPUTED_VALUE"""),23)</f>
        <v>23</v>
      </c>
    </row>
    <row r="358" spans="1:9">
      <c r="A358" s="79">
        <v>201</v>
      </c>
      <c r="B358" s="79">
        <v>5</v>
      </c>
      <c r="C358" s="79">
        <v>206</v>
      </c>
      <c r="D358" s="80">
        <v>43317.521087962959</v>
      </c>
      <c r="E358" s="81">
        <f t="shared" ca="1" si="2"/>
        <v>43313</v>
      </c>
      <c r="F358" s="82">
        <f ca="1">IFERROR(__xludf.DUMMYFUNCTION("""COMPUTED_VALUE"""),0.521087962962963)</f>
        <v>0.521087962962963</v>
      </c>
      <c r="G358" s="83">
        <f t="shared" ca="1" si="3"/>
        <v>19</v>
      </c>
      <c r="H358" s="83">
        <f ca="1">IFERROR(__xludf.DUMMYFUNCTION("""COMPUTED_VALUE"""),30)</f>
        <v>30</v>
      </c>
      <c r="I358" s="83">
        <f ca="1">IFERROR(__xludf.DUMMYFUNCTION("""COMPUTED_VALUE"""),22)</f>
        <v>22</v>
      </c>
    </row>
    <row r="359" spans="1:9">
      <c r="A359" s="79">
        <v>248</v>
      </c>
      <c r="B359" s="79">
        <v>4</v>
      </c>
      <c r="C359" s="79">
        <v>252</v>
      </c>
      <c r="D359" s="80">
        <v>43317.5315162037</v>
      </c>
      <c r="E359" s="81">
        <f t="shared" ca="1" si="2"/>
        <v>43313</v>
      </c>
      <c r="F359" s="82">
        <f ca="1">IFERROR(__xludf.DUMMYFUNCTION("""COMPUTED_VALUE"""),0.531516203703703)</f>
        <v>0.53151620370370301</v>
      </c>
      <c r="G359" s="83">
        <f t="shared" ca="1" si="3"/>
        <v>19</v>
      </c>
      <c r="H359" s="83">
        <f ca="1">IFERROR(__xludf.DUMMYFUNCTION("""COMPUTED_VALUE"""),45)</f>
        <v>45</v>
      </c>
      <c r="I359" s="83">
        <f ca="1">IFERROR(__xludf.DUMMYFUNCTION("""COMPUTED_VALUE"""),23)</f>
        <v>23</v>
      </c>
    </row>
    <row r="360" spans="1:9">
      <c r="A360" s="79">
        <v>231</v>
      </c>
      <c r="B360" s="79">
        <v>4</v>
      </c>
      <c r="C360" s="79">
        <v>232</v>
      </c>
      <c r="D360" s="80">
        <v>43317.541932870372</v>
      </c>
      <c r="E360" s="81">
        <f t="shared" ca="1" si="2"/>
        <v>43313</v>
      </c>
      <c r="F360" s="82">
        <f ca="1">IFERROR(__xludf.DUMMYFUNCTION("""COMPUTED_VALUE"""),0.54193287037037)</f>
        <v>0.54193287037036997</v>
      </c>
      <c r="G360" s="83">
        <f t="shared" ca="1" si="3"/>
        <v>19</v>
      </c>
      <c r="H360" s="83">
        <f ca="1">IFERROR(__xludf.DUMMYFUNCTION("""COMPUTED_VALUE"""),0)</f>
        <v>0</v>
      </c>
      <c r="I360" s="83">
        <f ca="1">IFERROR(__xludf.DUMMYFUNCTION("""COMPUTED_VALUE"""),23)</f>
        <v>23</v>
      </c>
    </row>
    <row r="361" spans="1:9">
      <c r="A361" s="79">
        <v>233</v>
      </c>
      <c r="B361" s="79">
        <v>0</v>
      </c>
      <c r="C361" s="79">
        <v>233</v>
      </c>
      <c r="D361" s="80">
        <v>43317.552349537036</v>
      </c>
      <c r="E361" s="81">
        <f t="shared" ca="1" si="2"/>
        <v>43313</v>
      </c>
      <c r="F361" s="82">
        <f ca="1">IFERROR(__xludf.DUMMYFUNCTION("""COMPUTED_VALUE"""),0.552349537037037)</f>
        <v>0.55234953703703704</v>
      </c>
      <c r="G361" s="83">
        <f t="shared" ca="1" si="3"/>
        <v>19</v>
      </c>
      <c r="H361" s="83">
        <f ca="1">IFERROR(__xludf.DUMMYFUNCTION("""COMPUTED_VALUE"""),15)</f>
        <v>15</v>
      </c>
      <c r="I361" s="83">
        <f ca="1">IFERROR(__xludf.DUMMYFUNCTION("""COMPUTED_VALUE"""),23)</f>
        <v>23</v>
      </c>
    </row>
    <row r="362" spans="1:9">
      <c r="A362" s="79">
        <v>250</v>
      </c>
      <c r="B362" s="79">
        <v>1</v>
      </c>
      <c r="C362" s="79">
        <v>251</v>
      </c>
      <c r="D362" s="80">
        <v>43317.562754629631</v>
      </c>
      <c r="E362" s="81">
        <f t="shared" ca="1" si="2"/>
        <v>43313</v>
      </c>
      <c r="F362" s="82">
        <f ca="1">IFERROR(__xludf.DUMMYFUNCTION("""COMPUTED_VALUE"""),0.562754629629629)</f>
        <v>0.56275462962962897</v>
      </c>
      <c r="G362" s="83">
        <f t="shared" ca="1" si="3"/>
        <v>19</v>
      </c>
      <c r="H362" s="83">
        <f ca="1">IFERROR(__xludf.DUMMYFUNCTION("""COMPUTED_VALUE"""),30)</f>
        <v>30</v>
      </c>
      <c r="I362" s="83">
        <f ca="1">IFERROR(__xludf.DUMMYFUNCTION("""COMPUTED_VALUE"""),22)</f>
        <v>22</v>
      </c>
    </row>
    <row r="363" spans="1:9">
      <c r="A363" s="79">
        <v>287</v>
      </c>
      <c r="B363" s="79">
        <v>2</v>
      </c>
      <c r="C363" s="79">
        <v>289</v>
      </c>
      <c r="D363" s="80">
        <v>43317.573182870372</v>
      </c>
      <c r="E363" s="81">
        <f t="shared" ca="1" si="2"/>
        <v>43313</v>
      </c>
      <c r="F363" s="82">
        <f ca="1">IFERROR(__xludf.DUMMYFUNCTION("""COMPUTED_VALUE"""),0.57318287037037)</f>
        <v>0.57318287037036997</v>
      </c>
      <c r="G363" s="83">
        <f t="shared" ca="1" si="3"/>
        <v>19</v>
      </c>
      <c r="H363" s="83">
        <f ca="1">IFERROR(__xludf.DUMMYFUNCTION("""COMPUTED_VALUE"""),45)</f>
        <v>45</v>
      </c>
      <c r="I363" s="83">
        <f ca="1">IFERROR(__xludf.DUMMYFUNCTION("""COMPUTED_VALUE"""),23)</f>
        <v>23</v>
      </c>
    </row>
    <row r="364" spans="1:9">
      <c r="A364" s="79">
        <v>259</v>
      </c>
      <c r="B364" s="79">
        <v>1</v>
      </c>
      <c r="C364" s="79">
        <v>260</v>
      </c>
      <c r="D364" s="80">
        <v>43317.583587962959</v>
      </c>
      <c r="E364" s="81">
        <f t="shared" ca="1" si="2"/>
        <v>43313</v>
      </c>
      <c r="F364" s="82">
        <f ca="1">IFERROR(__xludf.DUMMYFUNCTION("""COMPUTED_VALUE"""),0.583587962962963)</f>
        <v>0.583587962962963</v>
      </c>
      <c r="G364" s="83">
        <f t="shared" ca="1" si="3"/>
        <v>19</v>
      </c>
      <c r="H364" s="83">
        <f ca="1">IFERROR(__xludf.DUMMYFUNCTION("""COMPUTED_VALUE"""),0)</f>
        <v>0</v>
      </c>
      <c r="I364" s="83">
        <f ca="1">IFERROR(__xludf.DUMMYFUNCTION("""COMPUTED_VALUE"""),22)</f>
        <v>22</v>
      </c>
    </row>
    <row r="365" spans="1:9">
      <c r="A365" s="79">
        <v>289</v>
      </c>
      <c r="B365" s="79">
        <v>1</v>
      </c>
      <c r="C365" s="79">
        <v>290</v>
      </c>
      <c r="D365" s="80">
        <v>43317.594004629631</v>
      </c>
      <c r="E365" s="81">
        <f t="shared" ca="1" si="2"/>
        <v>43313</v>
      </c>
      <c r="F365" s="82">
        <f ca="1">IFERROR(__xludf.DUMMYFUNCTION("""COMPUTED_VALUE"""),0.594004629629629)</f>
        <v>0.59400462962962897</v>
      </c>
      <c r="G365" s="83">
        <f t="shared" ca="1" si="3"/>
        <v>19</v>
      </c>
      <c r="H365" s="83">
        <f ca="1">IFERROR(__xludf.DUMMYFUNCTION("""COMPUTED_VALUE"""),15)</f>
        <v>15</v>
      </c>
      <c r="I365" s="83">
        <f ca="1">IFERROR(__xludf.DUMMYFUNCTION("""COMPUTED_VALUE"""),22)</f>
        <v>22</v>
      </c>
    </row>
    <row r="366" spans="1:9">
      <c r="A366" s="79">
        <v>239</v>
      </c>
      <c r="B366" s="79">
        <v>4</v>
      </c>
      <c r="C366" s="79">
        <v>243</v>
      </c>
      <c r="D366" s="80">
        <v>43317.604432870372</v>
      </c>
      <c r="E366" s="81">
        <f t="shared" ca="1" si="2"/>
        <v>43313</v>
      </c>
      <c r="F366" s="82">
        <f ca="1">IFERROR(__xludf.DUMMYFUNCTION("""COMPUTED_VALUE"""),0.60443287037037)</f>
        <v>0.60443287037036997</v>
      </c>
      <c r="G366" s="83">
        <f t="shared" ca="1" si="3"/>
        <v>19</v>
      </c>
      <c r="H366" s="83">
        <f ca="1">IFERROR(__xludf.DUMMYFUNCTION("""COMPUTED_VALUE"""),30)</f>
        <v>30</v>
      </c>
      <c r="I366" s="83">
        <f ca="1">IFERROR(__xludf.DUMMYFUNCTION("""COMPUTED_VALUE"""),23)</f>
        <v>23</v>
      </c>
    </row>
    <row r="367" spans="1:9">
      <c r="A367" s="79">
        <v>242</v>
      </c>
      <c r="B367" s="79">
        <v>3</v>
      </c>
      <c r="C367" s="79">
        <v>244</v>
      </c>
      <c r="D367" s="80">
        <v>43317.614837962959</v>
      </c>
      <c r="E367" s="81">
        <f t="shared" ca="1" si="2"/>
        <v>43313</v>
      </c>
      <c r="F367" s="82">
        <f ca="1">IFERROR(__xludf.DUMMYFUNCTION("""COMPUTED_VALUE"""),0.614837962962963)</f>
        <v>0.614837962962963</v>
      </c>
      <c r="G367" s="83">
        <f t="shared" ca="1" si="3"/>
        <v>19</v>
      </c>
      <c r="H367" s="83">
        <f ca="1">IFERROR(__xludf.DUMMYFUNCTION("""COMPUTED_VALUE"""),45)</f>
        <v>45</v>
      </c>
      <c r="I367" s="83">
        <f ca="1">IFERROR(__xludf.DUMMYFUNCTION("""COMPUTED_VALUE"""),22)</f>
        <v>22</v>
      </c>
    </row>
    <row r="368" spans="1:9">
      <c r="A368" s="79">
        <v>232</v>
      </c>
      <c r="B368" s="79">
        <v>0</v>
      </c>
      <c r="C368" s="79">
        <v>232</v>
      </c>
      <c r="D368" s="80">
        <v>43317.625300925924</v>
      </c>
      <c r="E368" s="81">
        <f t="shared" ca="1" si="2"/>
        <v>43313</v>
      </c>
      <c r="F368" s="82">
        <f ca="1">IFERROR(__xludf.DUMMYFUNCTION("""COMPUTED_VALUE"""),0.625300925925925)</f>
        <v>0.62530092592592501</v>
      </c>
      <c r="G368" s="83">
        <f t="shared" ca="1" si="3"/>
        <v>19</v>
      </c>
      <c r="H368" s="83">
        <f ca="1">IFERROR(__xludf.DUMMYFUNCTION("""COMPUTED_VALUE"""),0)</f>
        <v>0</v>
      </c>
      <c r="I368" s="83">
        <f ca="1">IFERROR(__xludf.DUMMYFUNCTION("""COMPUTED_VALUE"""),26)</f>
        <v>26</v>
      </c>
    </row>
    <row r="369" spans="1:9">
      <c r="A369" s="79">
        <v>232</v>
      </c>
      <c r="B369" s="79">
        <v>0</v>
      </c>
      <c r="C369" s="79">
        <v>232</v>
      </c>
      <c r="D369" s="80">
        <v>43317.635671296295</v>
      </c>
      <c r="E369" s="81">
        <f t="shared" ca="1" si="2"/>
        <v>43313</v>
      </c>
      <c r="F369" s="82">
        <f ca="1">IFERROR(__xludf.DUMMYFUNCTION("""COMPUTED_VALUE"""),0.635671296296296)</f>
        <v>0.63567129629629604</v>
      </c>
      <c r="G369" s="83">
        <f t="shared" ca="1" si="3"/>
        <v>19</v>
      </c>
      <c r="H369" s="83">
        <f ca="1">IFERROR(__xludf.DUMMYFUNCTION("""COMPUTED_VALUE"""),15)</f>
        <v>15</v>
      </c>
      <c r="I369" s="83">
        <f ca="1">IFERROR(__xludf.DUMMYFUNCTION("""COMPUTED_VALUE"""),22)</f>
        <v>22</v>
      </c>
    </row>
    <row r="370" spans="1:9">
      <c r="A370" s="79">
        <v>274</v>
      </c>
      <c r="B370" s="79">
        <v>6</v>
      </c>
      <c r="C370" s="79">
        <v>279</v>
      </c>
      <c r="D370" s="80">
        <v>43317.646087962959</v>
      </c>
      <c r="E370" s="81">
        <f t="shared" ca="1" si="2"/>
        <v>43313</v>
      </c>
      <c r="F370" s="82">
        <f ca="1">IFERROR(__xludf.DUMMYFUNCTION("""COMPUTED_VALUE"""),0.646087962962963)</f>
        <v>0.646087962962963</v>
      </c>
      <c r="G370" s="83">
        <f t="shared" ca="1" si="3"/>
        <v>19</v>
      </c>
      <c r="H370" s="83">
        <f ca="1">IFERROR(__xludf.DUMMYFUNCTION("""COMPUTED_VALUE"""),30)</f>
        <v>30</v>
      </c>
      <c r="I370" s="83">
        <f ca="1">IFERROR(__xludf.DUMMYFUNCTION("""COMPUTED_VALUE"""),22)</f>
        <v>22</v>
      </c>
    </row>
    <row r="371" spans="1:9">
      <c r="A371" s="79">
        <v>268</v>
      </c>
      <c r="B371" s="79">
        <v>1</v>
      </c>
      <c r="C371" s="79">
        <v>269</v>
      </c>
      <c r="D371" s="80">
        <v>43317.6565162037</v>
      </c>
      <c r="E371" s="81">
        <f t="shared" ca="1" si="2"/>
        <v>43313</v>
      </c>
      <c r="F371" s="82">
        <f ca="1">IFERROR(__xludf.DUMMYFUNCTION("""COMPUTED_VALUE"""),0.656516203703703)</f>
        <v>0.65651620370370301</v>
      </c>
      <c r="G371" s="83">
        <f t="shared" ca="1" si="3"/>
        <v>19</v>
      </c>
      <c r="H371" s="83">
        <f ca="1">IFERROR(__xludf.DUMMYFUNCTION("""COMPUTED_VALUE"""),45)</f>
        <v>45</v>
      </c>
      <c r="I371" s="83">
        <f ca="1">IFERROR(__xludf.DUMMYFUNCTION("""COMPUTED_VALUE"""),23)</f>
        <v>23</v>
      </c>
    </row>
    <row r="372" spans="1:9">
      <c r="A372" s="79">
        <v>243</v>
      </c>
      <c r="B372" s="79">
        <v>4</v>
      </c>
      <c r="C372" s="79">
        <v>247</v>
      </c>
      <c r="D372" s="80">
        <v>43317.666967592595</v>
      </c>
      <c r="E372" s="81">
        <f t="shared" ca="1" si="2"/>
        <v>43313</v>
      </c>
      <c r="F372" s="82">
        <f ca="1">IFERROR(__xludf.DUMMYFUNCTION("""COMPUTED_VALUE"""),0.666967592592592)</f>
        <v>0.66696759259259197</v>
      </c>
      <c r="G372" s="83">
        <f t="shared" ca="1" si="3"/>
        <v>19</v>
      </c>
      <c r="H372" s="83">
        <f ca="1">IFERROR(__xludf.DUMMYFUNCTION("""COMPUTED_VALUE"""),0)</f>
        <v>0</v>
      </c>
      <c r="I372" s="83">
        <f ca="1">IFERROR(__xludf.DUMMYFUNCTION("""COMPUTED_VALUE"""),26)</f>
        <v>26</v>
      </c>
    </row>
    <row r="373" spans="1:9">
      <c r="A373" s="79">
        <v>259</v>
      </c>
      <c r="B373" s="79">
        <v>3</v>
      </c>
      <c r="C373" s="79">
        <v>254</v>
      </c>
      <c r="D373" s="80">
        <v>43317.677337962959</v>
      </c>
      <c r="E373" s="81">
        <f t="shared" ca="1" si="2"/>
        <v>43313</v>
      </c>
      <c r="F373" s="82">
        <f ca="1">IFERROR(__xludf.DUMMYFUNCTION("""COMPUTED_VALUE"""),0.677337962962963)</f>
        <v>0.677337962962963</v>
      </c>
      <c r="G373" s="83">
        <f t="shared" ca="1" si="3"/>
        <v>19</v>
      </c>
      <c r="H373" s="83">
        <f ca="1">IFERROR(__xludf.DUMMYFUNCTION("""COMPUTED_VALUE"""),15)</f>
        <v>15</v>
      </c>
      <c r="I373" s="83">
        <f ca="1">IFERROR(__xludf.DUMMYFUNCTION("""COMPUTED_VALUE"""),22)</f>
        <v>22</v>
      </c>
    </row>
    <row r="374" spans="1:9">
      <c r="A374" s="79">
        <v>252</v>
      </c>
      <c r="B374" s="79">
        <v>4</v>
      </c>
      <c r="C374" s="79">
        <v>256</v>
      </c>
      <c r="D374" s="80">
        <v>43317.6877662037</v>
      </c>
      <c r="E374" s="81">
        <f t="shared" ca="1" si="2"/>
        <v>43313</v>
      </c>
      <c r="F374" s="82">
        <f ca="1">IFERROR(__xludf.DUMMYFUNCTION("""COMPUTED_VALUE"""),0.687766203703703)</f>
        <v>0.68776620370370301</v>
      </c>
      <c r="G374" s="83">
        <f t="shared" ca="1" si="3"/>
        <v>19</v>
      </c>
      <c r="H374" s="83">
        <f ca="1">IFERROR(__xludf.DUMMYFUNCTION("""COMPUTED_VALUE"""),30)</f>
        <v>30</v>
      </c>
      <c r="I374" s="83">
        <f ca="1">IFERROR(__xludf.DUMMYFUNCTION("""COMPUTED_VALUE"""),23)</f>
        <v>23</v>
      </c>
    </row>
    <row r="375" spans="1:9">
      <c r="A375" s="79">
        <v>248</v>
      </c>
      <c r="B375" s="79">
        <v>1</v>
      </c>
      <c r="C375" s="79">
        <v>249</v>
      </c>
      <c r="D375" s="80">
        <v>43317.698171296295</v>
      </c>
      <c r="E375" s="81">
        <f t="shared" ca="1" si="2"/>
        <v>43313</v>
      </c>
      <c r="F375" s="82">
        <f ca="1">IFERROR(__xludf.DUMMYFUNCTION("""COMPUTED_VALUE"""),0.698171296296296)</f>
        <v>0.69817129629629604</v>
      </c>
      <c r="G375" s="83">
        <f t="shared" ca="1" si="3"/>
        <v>19</v>
      </c>
      <c r="H375" s="83">
        <f ca="1">IFERROR(__xludf.DUMMYFUNCTION("""COMPUTED_VALUE"""),45)</f>
        <v>45</v>
      </c>
      <c r="I375" s="83">
        <f ca="1">IFERROR(__xludf.DUMMYFUNCTION("""COMPUTED_VALUE"""),22)</f>
        <v>22</v>
      </c>
    </row>
    <row r="376" spans="1:9">
      <c r="A376" s="79">
        <v>238</v>
      </c>
      <c r="B376" s="79">
        <v>5</v>
      </c>
      <c r="C376" s="79">
        <v>243</v>
      </c>
      <c r="D376" s="80">
        <v>43317.708622685182</v>
      </c>
      <c r="E376" s="81">
        <f t="shared" ca="1" si="2"/>
        <v>43313</v>
      </c>
      <c r="F376" s="82">
        <f ca="1">IFERROR(__xludf.DUMMYFUNCTION("""COMPUTED_VALUE"""),0.708622685185185)</f>
        <v>0.70862268518518501</v>
      </c>
      <c r="G376" s="83">
        <f t="shared" ca="1" si="3"/>
        <v>19</v>
      </c>
      <c r="H376" s="83">
        <f ca="1">IFERROR(__xludf.DUMMYFUNCTION("""COMPUTED_VALUE"""),0)</f>
        <v>0</v>
      </c>
      <c r="I376" s="83">
        <f ca="1">IFERROR(__xludf.DUMMYFUNCTION("""COMPUTED_VALUE"""),25)</f>
        <v>25</v>
      </c>
    </row>
    <row r="377" spans="1:9">
      <c r="A377" s="79">
        <v>220</v>
      </c>
      <c r="B377" s="79">
        <v>5</v>
      </c>
      <c r="C377" s="79">
        <v>225</v>
      </c>
      <c r="D377" s="80">
        <v>43317.719004629631</v>
      </c>
      <c r="E377" s="81">
        <f t="shared" ca="1" si="2"/>
        <v>43313</v>
      </c>
      <c r="F377" s="82">
        <f ca="1">IFERROR(__xludf.DUMMYFUNCTION("""COMPUTED_VALUE"""),0.719004629629629)</f>
        <v>0.71900462962962897</v>
      </c>
      <c r="G377" s="83">
        <f t="shared" ca="1" si="3"/>
        <v>19</v>
      </c>
      <c r="H377" s="83">
        <f ca="1">IFERROR(__xludf.DUMMYFUNCTION("""COMPUTED_VALUE"""),15)</f>
        <v>15</v>
      </c>
      <c r="I377" s="83">
        <f ca="1">IFERROR(__xludf.DUMMYFUNCTION("""COMPUTED_VALUE"""),22)</f>
        <v>22</v>
      </c>
    </row>
    <row r="378" spans="1:9">
      <c r="A378" s="79">
        <v>242</v>
      </c>
      <c r="B378" s="79">
        <v>6</v>
      </c>
      <c r="C378" s="79">
        <v>248</v>
      </c>
      <c r="D378" s="80">
        <v>43317.729432870372</v>
      </c>
      <c r="E378" s="81">
        <f t="shared" ca="1" si="2"/>
        <v>43313</v>
      </c>
      <c r="F378" s="82">
        <f ca="1">IFERROR(__xludf.DUMMYFUNCTION("""COMPUTED_VALUE"""),0.72943287037037)</f>
        <v>0.72943287037036997</v>
      </c>
      <c r="G378" s="83">
        <f t="shared" ca="1" si="3"/>
        <v>19</v>
      </c>
      <c r="H378" s="83">
        <f ca="1">IFERROR(__xludf.DUMMYFUNCTION("""COMPUTED_VALUE"""),30)</f>
        <v>30</v>
      </c>
      <c r="I378" s="83">
        <f ca="1">IFERROR(__xludf.DUMMYFUNCTION("""COMPUTED_VALUE"""),23)</f>
        <v>23</v>
      </c>
    </row>
    <row r="379" spans="1:9">
      <c r="A379" s="79">
        <v>241</v>
      </c>
      <c r="B379" s="79">
        <v>5</v>
      </c>
      <c r="C379" s="79">
        <v>243</v>
      </c>
      <c r="D379" s="80">
        <v>43317.739837962959</v>
      </c>
      <c r="E379" s="81">
        <f t="shared" ca="1" si="2"/>
        <v>43313</v>
      </c>
      <c r="F379" s="82">
        <f ca="1">IFERROR(__xludf.DUMMYFUNCTION("""COMPUTED_VALUE"""),0.739837962962963)</f>
        <v>0.739837962962963</v>
      </c>
      <c r="G379" s="83">
        <f t="shared" ca="1" si="3"/>
        <v>19</v>
      </c>
      <c r="H379" s="83">
        <f ca="1">IFERROR(__xludf.DUMMYFUNCTION("""COMPUTED_VALUE"""),45)</f>
        <v>45</v>
      </c>
      <c r="I379" s="83">
        <f ca="1">IFERROR(__xludf.DUMMYFUNCTION("""COMPUTED_VALUE"""),22)</f>
        <v>22</v>
      </c>
    </row>
    <row r="380" spans="1:9">
      <c r="A380" s="79">
        <v>216</v>
      </c>
      <c r="B380" s="79">
        <v>3</v>
      </c>
      <c r="C380" s="79">
        <v>219</v>
      </c>
      <c r="D380" s="80">
        <v>43317.750324074077</v>
      </c>
      <c r="E380" s="81">
        <f t="shared" ca="1" si="2"/>
        <v>43313</v>
      </c>
      <c r="F380" s="82">
        <f ca="1">IFERROR(__xludf.DUMMYFUNCTION("""COMPUTED_VALUE"""),0.750324074074074)</f>
        <v>0.75032407407407398</v>
      </c>
      <c r="G380" s="83">
        <f t="shared" ca="1" si="3"/>
        <v>19</v>
      </c>
      <c r="H380" s="83">
        <f ca="1">IFERROR(__xludf.DUMMYFUNCTION("""COMPUTED_VALUE"""),0)</f>
        <v>0</v>
      </c>
      <c r="I380" s="83">
        <f ca="1">IFERROR(__xludf.DUMMYFUNCTION("""COMPUTED_VALUE"""),28)</f>
        <v>28</v>
      </c>
    </row>
    <row r="381" spans="1:9">
      <c r="A381" s="79">
        <v>293</v>
      </c>
      <c r="B381" s="79">
        <v>4</v>
      </c>
      <c r="C381" s="79">
        <v>297</v>
      </c>
      <c r="D381" s="80">
        <v>43317.760671296295</v>
      </c>
      <c r="E381" s="81">
        <f t="shared" ca="1" si="2"/>
        <v>43313</v>
      </c>
      <c r="F381" s="82">
        <f ca="1">IFERROR(__xludf.DUMMYFUNCTION("""COMPUTED_VALUE"""),0.760671296296296)</f>
        <v>0.76067129629629604</v>
      </c>
      <c r="G381" s="83">
        <f t="shared" ca="1" si="3"/>
        <v>19</v>
      </c>
      <c r="H381" s="83">
        <f ca="1">IFERROR(__xludf.DUMMYFUNCTION("""COMPUTED_VALUE"""),15)</f>
        <v>15</v>
      </c>
      <c r="I381" s="83">
        <f ca="1">IFERROR(__xludf.DUMMYFUNCTION("""COMPUTED_VALUE"""),22)</f>
        <v>22</v>
      </c>
    </row>
    <row r="382" spans="1:9">
      <c r="A382" s="79">
        <v>323</v>
      </c>
      <c r="B382" s="79">
        <v>5</v>
      </c>
      <c r="C382" s="79">
        <v>328</v>
      </c>
      <c r="D382" s="80">
        <v>43317.771087962959</v>
      </c>
      <c r="E382" s="81">
        <f t="shared" ca="1" si="2"/>
        <v>43313</v>
      </c>
      <c r="F382" s="82">
        <f ca="1">IFERROR(__xludf.DUMMYFUNCTION("""COMPUTED_VALUE"""),0.771087962962963)</f>
        <v>0.771087962962963</v>
      </c>
      <c r="G382" s="83">
        <f t="shared" ca="1" si="3"/>
        <v>19</v>
      </c>
      <c r="H382" s="83">
        <f ca="1">IFERROR(__xludf.DUMMYFUNCTION("""COMPUTED_VALUE"""),30)</f>
        <v>30</v>
      </c>
      <c r="I382" s="83">
        <f ca="1">IFERROR(__xludf.DUMMYFUNCTION("""COMPUTED_VALUE"""),22)</f>
        <v>22</v>
      </c>
    </row>
    <row r="383" spans="1:9">
      <c r="A383" s="79">
        <v>293</v>
      </c>
      <c r="B383" s="79">
        <v>5</v>
      </c>
      <c r="C383" s="79">
        <v>298</v>
      </c>
      <c r="D383" s="80">
        <v>43317.781504629631</v>
      </c>
      <c r="E383" s="81">
        <f t="shared" ca="1" si="2"/>
        <v>43313</v>
      </c>
      <c r="F383" s="82">
        <f ca="1">IFERROR(__xludf.DUMMYFUNCTION("""COMPUTED_VALUE"""),0.781504629629629)</f>
        <v>0.78150462962962897</v>
      </c>
      <c r="G383" s="83">
        <f t="shared" ca="1" si="3"/>
        <v>19</v>
      </c>
      <c r="H383" s="83">
        <f ca="1">IFERROR(__xludf.DUMMYFUNCTION("""COMPUTED_VALUE"""),45)</f>
        <v>45</v>
      </c>
      <c r="I383" s="83">
        <f ca="1">IFERROR(__xludf.DUMMYFUNCTION("""COMPUTED_VALUE"""),22)</f>
        <v>22</v>
      </c>
    </row>
    <row r="384" spans="1:9">
      <c r="A384" s="79">
        <v>301</v>
      </c>
      <c r="B384" s="79">
        <v>4</v>
      </c>
      <c r="C384" s="79">
        <v>305</v>
      </c>
      <c r="D384" s="80">
        <v>43317.791956018518</v>
      </c>
      <c r="E384" s="81">
        <f t="shared" ca="1" si="2"/>
        <v>43313</v>
      </c>
      <c r="F384" s="82">
        <f ca="1">IFERROR(__xludf.DUMMYFUNCTION("""COMPUTED_VALUE"""),0.791956018518518)</f>
        <v>0.79195601851851805</v>
      </c>
      <c r="G384" s="83">
        <f t="shared" ca="1" si="3"/>
        <v>19</v>
      </c>
      <c r="H384" s="83">
        <f ca="1">IFERROR(__xludf.DUMMYFUNCTION("""COMPUTED_VALUE"""),0)</f>
        <v>0</v>
      </c>
      <c r="I384" s="83">
        <f ca="1">IFERROR(__xludf.DUMMYFUNCTION("""COMPUTED_VALUE"""),25)</f>
        <v>25</v>
      </c>
    </row>
    <row r="385" spans="1:9">
      <c r="A385" s="79">
        <v>278</v>
      </c>
      <c r="B385" s="79">
        <v>3</v>
      </c>
      <c r="C385" s="79">
        <v>281</v>
      </c>
      <c r="D385" s="80">
        <v>43317.802337962959</v>
      </c>
      <c r="E385" s="81">
        <f t="shared" ca="1" si="2"/>
        <v>43313</v>
      </c>
      <c r="F385" s="82">
        <f ca="1">IFERROR(__xludf.DUMMYFUNCTION("""COMPUTED_VALUE"""),0.802337962962963)</f>
        <v>0.802337962962963</v>
      </c>
      <c r="G385" s="83">
        <f t="shared" ca="1" si="3"/>
        <v>19</v>
      </c>
      <c r="H385" s="83">
        <f ca="1">IFERROR(__xludf.DUMMYFUNCTION("""COMPUTED_VALUE"""),15)</f>
        <v>15</v>
      </c>
      <c r="I385" s="83">
        <f ca="1">IFERROR(__xludf.DUMMYFUNCTION("""COMPUTED_VALUE"""),22)</f>
        <v>22</v>
      </c>
    </row>
    <row r="386" spans="1:9">
      <c r="A386" s="79">
        <v>332</v>
      </c>
      <c r="B386" s="79">
        <v>1</v>
      </c>
      <c r="C386" s="79">
        <v>333</v>
      </c>
      <c r="D386" s="80">
        <v>43317.8127662037</v>
      </c>
      <c r="E386" s="81">
        <f t="shared" ca="1" si="2"/>
        <v>43313</v>
      </c>
      <c r="F386" s="82">
        <f ca="1">IFERROR(__xludf.DUMMYFUNCTION("""COMPUTED_VALUE"""),0.812766203703703)</f>
        <v>0.81276620370370301</v>
      </c>
      <c r="G386" s="83">
        <f t="shared" ca="1" si="3"/>
        <v>19</v>
      </c>
      <c r="H386" s="83">
        <f ca="1">IFERROR(__xludf.DUMMYFUNCTION("""COMPUTED_VALUE"""),30)</f>
        <v>30</v>
      </c>
      <c r="I386" s="83">
        <f ca="1">IFERROR(__xludf.DUMMYFUNCTION("""COMPUTED_VALUE"""),23)</f>
        <v>23</v>
      </c>
    </row>
    <row r="387" spans="1:9">
      <c r="A387" s="79">
        <v>351</v>
      </c>
      <c r="B387" s="79">
        <v>1</v>
      </c>
      <c r="C387" s="79">
        <v>346</v>
      </c>
      <c r="D387" s="80">
        <v>43317.823171296295</v>
      </c>
      <c r="E387" s="81">
        <f t="shared" ca="1" si="2"/>
        <v>43313</v>
      </c>
      <c r="F387" s="82">
        <f ca="1">IFERROR(__xludf.DUMMYFUNCTION("""COMPUTED_VALUE"""),0.823171296296296)</f>
        <v>0.82317129629629604</v>
      </c>
      <c r="G387" s="83">
        <f t="shared" ca="1" si="3"/>
        <v>19</v>
      </c>
      <c r="H387" s="83">
        <f ca="1">IFERROR(__xludf.DUMMYFUNCTION("""COMPUTED_VALUE"""),45)</f>
        <v>45</v>
      </c>
      <c r="I387" s="83">
        <f ca="1">IFERROR(__xludf.DUMMYFUNCTION("""COMPUTED_VALUE"""),22)</f>
        <v>22</v>
      </c>
    </row>
    <row r="388" spans="1:9">
      <c r="A388" s="79">
        <v>316</v>
      </c>
      <c r="B388" s="79">
        <v>0</v>
      </c>
      <c r="C388" s="79">
        <v>316</v>
      </c>
      <c r="D388" s="80">
        <v>43317.833599537036</v>
      </c>
      <c r="E388" s="81">
        <f t="shared" ca="1" si="2"/>
        <v>43313</v>
      </c>
      <c r="F388" s="82">
        <f ca="1">IFERROR(__xludf.DUMMYFUNCTION("""COMPUTED_VALUE"""),0.833599537037037)</f>
        <v>0.83359953703703704</v>
      </c>
      <c r="G388" s="83">
        <f t="shared" ca="1" si="3"/>
        <v>19</v>
      </c>
      <c r="H388" s="83">
        <f ca="1">IFERROR(__xludf.DUMMYFUNCTION("""COMPUTED_VALUE"""),0)</f>
        <v>0</v>
      </c>
      <c r="I388" s="83">
        <f ca="1">IFERROR(__xludf.DUMMYFUNCTION("""COMPUTED_VALUE"""),23)</f>
        <v>23</v>
      </c>
    </row>
    <row r="389" spans="1:9">
      <c r="A389" s="79">
        <v>369</v>
      </c>
      <c r="B389" s="79">
        <v>0</v>
      </c>
      <c r="C389" s="79">
        <v>369</v>
      </c>
      <c r="D389" s="80">
        <v>43317.844004629631</v>
      </c>
      <c r="E389" s="81">
        <f t="shared" ca="1" si="2"/>
        <v>43313</v>
      </c>
      <c r="F389" s="82">
        <f ca="1">IFERROR(__xludf.DUMMYFUNCTION("""COMPUTED_VALUE"""),0.844004629629629)</f>
        <v>0.84400462962962897</v>
      </c>
      <c r="G389" s="83">
        <f t="shared" ca="1" si="3"/>
        <v>19</v>
      </c>
      <c r="H389" s="83">
        <f ca="1">IFERROR(__xludf.DUMMYFUNCTION("""COMPUTED_VALUE"""),15)</f>
        <v>15</v>
      </c>
      <c r="I389" s="83">
        <f ca="1">IFERROR(__xludf.DUMMYFUNCTION("""COMPUTED_VALUE"""),22)</f>
        <v>22</v>
      </c>
    </row>
    <row r="390" spans="1:9">
      <c r="A390" s="79">
        <v>312</v>
      </c>
      <c r="B390" s="79">
        <v>4</v>
      </c>
      <c r="C390" s="79">
        <v>316</v>
      </c>
      <c r="D390" s="80">
        <v>43317.854421296295</v>
      </c>
      <c r="E390" s="81">
        <f t="shared" ca="1" si="2"/>
        <v>43313</v>
      </c>
      <c r="F390" s="82">
        <f ca="1">IFERROR(__xludf.DUMMYFUNCTION("""COMPUTED_VALUE"""),0.854421296296296)</f>
        <v>0.85442129629629604</v>
      </c>
      <c r="G390" s="83">
        <f t="shared" ca="1" si="3"/>
        <v>19</v>
      </c>
      <c r="H390" s="83">
        <f ca="1">IFERROR(__xludf.DUMMYFUNCTION("""COMPUTED_VALUE"""),30)</f>
        <v>30</v>
      </c>
      <c r="I390" s="83">
        <f ca="1">IFERROR(__xludf.DUMMYFUNCTION("""COMPUTED_VALUE"""),22)</f>
        <v>22</v>
      </c>
    </row>
    <row r="391" spans="1:9">
      <c r="A391" s="79">
        <v>348</v>
      </c>
      <c r="B391" s="79">
        <v>3</v>
      </c>
      <c r="C391" s="79">
        <v>351</v>
      </c>
      <c r="D391" s="80">
        <v>43317.864837962959</v>
      </c>
      <c r="E391" s="81">
        <f t="shared" ca="1" si="2"/>
        <v>43313</v>
      </c>
      <c r="F391" s="82">
        <f ca="1">IFERROR(__xludf.DUMMYFUNCTION("""COMPUTED_VALUE"""),0.864837962962963)</f>
        <v>0.864837962962963</v>
      </c>
      <c r="G391" s="83">
        <f t="shared" ca="1" si="3"/>
        <v>19</v>
      </c>
      <c r="H391" s="83">
        <f ca="1">IFERROR(__xludf.DUMMYFUNCTION("""COMPUTED_VALUE"""),45)</f>
        <v>45</v>
      </c>
      <c r="I391" s="83">
        <f ca="1">IFERROR(__xludf.DUMMYFUNCTION("""COMPUTED_VALUE"""),22)</f>
        <v>22</v>
      </c>
    </row>
    <row r="392" spans="1:9">
      <c r="A392" s="79">
        <v>347</v>
      </c>
      <c r="B392" s="79">
        <v>1</v>
      </c>
      <c r="C392" s="79">
        <v>348</v>
      </c>
      <c r="D392" s="80">
        <v>43317.875254629631</v>
      </c>
      <c r="E392" s="81">
        <f t="shared" ca="1" si="2"/>
        <v>43313</v>
      </c>
      <c r="F392" s="82">
        <f ca="1">IFERROR(__xludf.DUMMYFUNCTION("""COMPUTED_VALUE"""),0.875254629629629)</f>
        <v>0.87525462962962897</v>
      </c>
      <c r="G392" s="83">
        <f t="shared" ca="1" si="3"/>
        <v>19</v>
      </c>
      <c r="H392" s="83">
        <f ca="1">IFERROR(__xludf.DUMMYFUNCTION("""COMPUTED_VALUE"""),0)</f>
        <v>0</v>
      </c>
      <c r="I392" s="83">
        <f ca="1">IFERROR(__xludf.DUMMYFUNCTION("""COMPUTED_VALUE"""),22)</f>
        <v>22</v>
      </c>
    </row>
    <row r="393" spans="1:9">
      <c r="A393" s="79">
        <v>388</v>
      </c>
      <c r="B393" s="79">
        <v>7</v>
      </c>
      <c r="C393" s="79">
        <v>395</v>
      </c>
      <c r="D393" s="80">
        <v>43317.885671296295</v>
      </c>
      <c r="E393" s="81">
        <f t="shared" ca="1" si="2"/>
        <v>43313</v>
      </c>
      <c r="F393" s="82">
        <f ca="1">IFERROR(__xludf.DUMMYFUNCTION("""COMPUTED_VALUE"""),0.885671296296296)</f>
        <v>0.88567129629629604</v>
      </c>
      <c r="G393" s="83">
        <f t="shared" ca="1" si="3"/>
        <v>19</v>
      </c>
      <c r="H393" s="83">
        <f ca="1">IFERROR(__xludf.DUMMYFUNCTION("""COMPUTED_VALUE"""),15)</f>
        <v>15</v>
      </c>
      <c r="I393" s="83">
        <f ca="1">IFERROR(__xludf.DUMMYFUNCTION("""COMPUTED_VALUE"""),22)</f>
        <v>22</v>
      </c>
    </row>
    <row r="394" spans="1:9">
      <c r="A394" s="79">
        <v>395</v>
      </c>
      <c r="B394" s="79">
        <v>6</v>
      </c>
      <c r="C394" s="79">
        <v>401</v>
      </c>
      <c r="D394" s="80">
        <v>43317.896087962959</v>
      </c>
      <c r="E394" s="81">
        <f t="shared" ca="1" si="2"/>
        <v>43313</v>
      </c>
      <c r="F394" s="82">
        <f ca="1">IFERROR(__xludf.DUMMYFUNCTION("""COMPUTED_VALUE"""),0.896087962962963)</f>
        <v>0.896087962962963</v>
      </c>
      <c r="G394" s="83">
        <f t="shared" ca="1" si="3"/>
        <v>19</v>
      </c>
      <c r="H394" s="83">
        <f ca="1">IFERROR(__xludf.DUMMYFUNCTION("""COMPUTED_VALUE"""),30)</f>
        <v>30</v>
      </c>
      <c r="I394" s="83">
        <f ca="1">IFERROR(__xludf.DUMMYFUNCTION("""COMPUTED_VALUE"""),22)</f>
        <v>22</v>
      </c>
    </row>
    <row r="395" spans="1:9">
      <c r="A395" s="79">
        <v>431</v>
      </c>
      <c r="B395" s="79">
        <v>1</v>
      </c>
      <c r="C395" s="79">
        <v>432</v>
      </c>
      <c r="D395" s="80">
        <v>43317.906504629631</v>
      </c>
      <c r="E395" s="81">
        <f t="shared" ca="1" si="2"/>
        <v>43313</v>
      </c>
      <c r="F395" s="82">
        <f ca="1">IFERROR(__xludf.DUMMYFUNCTION("""COMPUTED_VALUE"""),0.906504629629629)</f>
        <v>0.90650462962962897</v>
      </c>
      <c r="G395" s="83">
        <f t="shared" ca="1" si="3"/>
        <v>19</v>
      </c>
      <c r="H395" s="83">
        <f ca="1">IFERROR(__xludf.DUMMYFUNCTION("""COMPUTED_VALUE"""),45)</f>
        <v>45</v>
      </c>
      <c r="I395" s="83">
        <f ca="1">IFERROR(__xludf.DUMMYFUNCTION("""COMPUTED_VALUE"""),22)</f>
        <v>22</v>
      </c>
    </row>
    <row r="396" spans="1:9">
      <c r="A396" s="79">
        <v>415</v>
      </c>
      <c r="B396" s="79">
        <v>4</v>
      </c>
      <c r="C396" s="79">
        <v>419</v>
      </c>
      <c r="D396" s="80">
        <v>43317.916921296295</v>
      </c>
      <c r="E396" s="81">
        <f t="shared" ca="1" si="2"/>
        <v>43313</v>
      </c>
      <c r="F396" s="82">
        <f ca="1">IFERROR(__xludf.DUMMYFUNCTION("""COMPUTED_VALUE"""),0.916921296296296)</f>
        <v>0.91692129629629604</v>
      </c>
      <c r="G396" s="83">
        <f t="shared" ca="1" si="3"/>
        <v>19</v>
      </c>
      <c r="H396" s="83">
        <f ca="1">IFERROR(__xludf.DUMMYFUNCTION("""COMPUTED_VALUE"""),0)</f>
        <v>0</v>
      </c>
      <c r="I396" s="83">
        <f ca="1">IFERROR(__xludf.DUMMYFUNCTION("""COMPUTED_VALUE"""),22)</f>
        <v>22</v>
      </c>
    </row>
    <row r="397" spans="1:9">
      <c r="A397" s="79">
        <v>400</v>
      </c>
      <c r="B397" s="79">
        <v>7</v>
      </c>
      <c r="C397" s="79">
        <v>407</v>
      </c>
      <c r="D397" s="80">
        <v>43317.927337962959</v>
      </c>
      <c r="E397" s="81">
        <f t="shared" ca="1" si="2"/>
        <v>43313</v>
      </c>
      <c r="F397" s="82">
        <f ca="1">IFERROR(__xludf.DUMMYFUNCTION("""COMPUTED_VALUE"""),0.927337962962963)</f>
        <v>0.927337962962963</v>
      </c>
      <c r="G397" s="83">
        <f t="shared" ca="1" si="3"/>
        <v>19</v>
      </c>
      <c r="H397" s="83">
        <f ca="1">IFERROR(__xludf.DUMMYFUNCTION("""COMPUTED_VALUE"""),15)</f>
        <v>15</v>
      </c>
      <c r="I397" s="83">
        <f ca="1">IFERROR(__xludf.DUMMYFUNCTION("""COMPUTED_VALUE"""),22)</f>
        <v>22</v>
      </c>
    </row>
    <row r="398" spans="1:9">
      <c r="A398" s="79">
        <v>402</v>
      </c>
      <c r="B398" s="79">
        <v>8</v>
      </c>
      <c r="C398" s="79">
        <v>410</v>
      </c>
      <c r="D398" s="80">
        <v>43317.937754629631</v>
      </c>
      <c r="E398" s="81">
        <f t="shared" ca="1" si="2"/>
        <v>43313</v>
      </c>
      <c r="F398" s="82">
        <f ca="1">IFERROR(__xludf.DUMMYFUNCTION("""COMPUTED_VALUE"""),0.937754629629629)</f>
        <v>0.93775462962962897</v>
      </c>
      <c r="G398" s="83">
        <f t="shared" ca="1" si="3"/>
        <v>19</v>
      </c>
      <c r="H398" s="83">
        <f ca="1">IFERROR(__xludf.DUMMYFUNCTION("""COMPUTED_VALUE"""),30)</f>
        <v>30</v>
      </c>
      <c r="I398" s="83">
        <f ca="1">IFERROR(__xludf.DUMMYFUNCTION("""COMPUTED_VALUE"""),22)</f>
        <v>22</v>
      </c>
    </row>
    <row r="399" spans="1:9">
      <c r="A399" s="79">
        <v>368</v>
      </c>
      <c r="B399" s="79">
        <v>6</v>
      </c>
      <c r="C399" s="79">
        <v>374</v>
      </c>
      <c r="D399" s="80">
        <v>43317.948171296295</v>
      </c>
      <c r="E399" s="81">
        <f t="shared" ca="1" si="2"/>
        <v>43313</v>
      </c>
      <c r="F399" s="82">
        <f ca="1">IFERROR(__xludf.DUMMYFUNCTION("""COMPUTED_VALUE"""),0.948171296296296)</f>
        <v>0.94817129629629604</v>
      </c>
      <c r="G399" s="83">
        <f t="shared" ca="1" si="3"/>
        <v>19</v>
      </c>
      <c r="H399" s="83">
        <f ca="1">IFERROR(__xludf.DUMMYFUNCTION("""COMPUTED_VALUE"""),45)</f>
        <v>45</v>
      </c>
      <c r="I399" s="83">
        <f ca="1">IFERROR(__xludf.DUMMYFUNCTION("""COMPUTED_VALUE"""),22)</f>
        <v>22</v>
      </c>
    </row>
    <row r="400" spans="1:9">
      <c r="A400" s="79">
        <v>392</v>
      </c>
      <c r="B400" s="79">
        <v>5</v>
      </c>
      <c r="C400" s="79">
        <v>397</v>
      </c>
      <c r="D400" s="80">
        <v>43317.958599537036</v>
      </c>
      <c r="E400" s="81">
        <f t="shared" ca="1" si="2"/>
        <v>43313</v>
      </c>
      <c r="F400" s="82">
        <f ca="1">IFERROR(__xludf.DUMMYFUNCTION("""COMPUTED_VALUE"""),0.958599537037037)</f>
        <v>0.95859953703703704</v>
      </c>
      <c r="G400" s="83">
        <f t="shared" ca="1" si="3"/>
        <v>19</v>
      </c>
      <c r="H400" s="83">
        <f ca="1">IFERROR(__xludf.DUMMYFUNCTION("""COMPUTED_VALUE"""),0)</f>
        <v>0</v>
      </c>
      <c r="I400" s="83">
        <f ca="1">IFERROR(__xludf.DUMMYFUNCTION("""COMPUTED_VALUE"""),23)</f>
        <v>23</v>
      </c>
    </row>
    <row r="401" spans="1:9">
      <c r="A401" s="79">
        <v>366</v>
      </c>
      <c r="B401" s="79">
        <v>4</v>
      </c>
      <c r="C401" s="79">
        <v>370</v>
      </c>
      <c r="D401" s="80">
        <v>43317.968993055554</v>
      </c>
      <c r="E401" s="81">
        <f t="shared" ca="1" si="2"/>
        <v>43313</v>
      </c>
      <c r="F401" s="82">
        <f ca="1">IFERROR(__xludf.DUMMYFUNCTION("""COMPUTED_VALUE"""),0.968993055555555)</f>
        <v>0.96899305555555504</v>
      </c>
      <c r="G401" s="83">
        <f t="shared" ca="1" si="3"/>
        <v>19</v>
      </c>
      <c r="H401" s="83">
        <f ca="1">IFERROR(__xludf.DUMMYFUNCTION("""COMPUTED_VALUE"""),15)</f>
        <v>15</v>
      </c>
      <c r="I401" s="83">
        <f ca="1">IFERROR(__xludf.DUMMYFUNCTION("""COMPUTED_VALUE"""),21)</f>
        <v>21</v>
      </c>
    </row>
    <row r="402" spans="1:9">
      <c r="A402" s="79">
        <v>352</v>
      </c>
      <c r="B402" s="79">
        <v>5</v>
      </c>
      <c r="C402" s="79">
        <v>357</v>
      </c>
      <c r="D402" s="80">
        <v>43317.979421296295</v>
      </c>
      <c r="E402" s="81">
        <f t="shared" ca="1" si="2"/>
        <v>43313</v>
      </c>
      <c r="F402" s="82">
        <f ca="1">IFERROR(__xludf.DUMMYFUNCTION("""COMPUTED_VALUE"""),0.979421296296296)</f>
        <v>0.97942129629629604</v>
      </c>
      <c r="G402" s="83">
        <f t="shared" ca="1" si="3"/>
        <v>19</v>
      </c>
      <c r="H402" s="83">
        <f ca="1">IFERROR(__xludf.DUMMYFUNCTION("""COMPUTED_VALUE"""),30)</f>
        <v>30</v>
      </c>
      <c r="I402" s="83">
        <f ca="1">IFERROR(__xludf.DUMMYFUNCTION("""COMPUTED_VALUE"""),22)</f>
        <v>22</v>
      </c>
    </row>
    <row r="403" spans="1:9">
      <c r="A403" s="79">
        <v>355</v>
      </c>
      <c r="B403" s="79">
        <v>5</v>
      </c>
      <c r="C403" s="79">
        <v>360</v>
      </c>
      <c r="D403" s="80">
        <v>43317.98982638889</v>
      </c>
      <c r="E403" s="81">
        <f t="shared" ca="1" si="2"/>
        <v>43313</v>
      </c>
      <c r="F403" s="82">
        <f ca="1">IFERROR(__xludf.DUMMYFUNCTION("""COMPUTED_VALUE"""),0.989826388888888)</f>
        <v>0.98982638888888796</v>
      </c>
      <c r="G403" s="83">
        <f t="shared" ca="1" si="3"/>
        <v>19</v>
      </c>
      <c r="H403" s="83">
        <f ca="1">IFERROR(__xludf.DUMMYFUNCTION("""COMPUTED_VALUE"""),45)</f>
        <v>45</v>
      </c>
      <c r="I403" s="83">
        <f ca="1">IFERROR(__xludf.DUMMYFUNCTION("""COMPUTED_VALUE"""),21)</f>
        <v>21</v>
      </c>
    </row>
    <row r="404" spans="1:9">
      <c r="A404" s="79">
        <v>300</v>
      </c>
      <c r="B404" s="79">
        <v>4</v>
      </c>
      <c r="C404" s="79">
        <v>304</v>
      </c>
      <c r="D404" s="80">
        <v>43318.000300925924</v>
      </c>
      <c r="E404" s="81">
        <f t="shared" ca="1" si="2"/>
        <v>43313</v>
      </c>
      <c r="F404" s="82">
        <f ca="1">IFERROR(__xludf.DUMMYFUNCTION("""COMPUTED_VALUE"""),0.000300925925925925)</f>
        <v>3.0092592592592503E-4</v>
      </c>
      <c r="G404" s="83">
        <f t="shared" ca="1" si="3"/>
        <v>19</v>
      </c>
      <c r="H404" s="83">
        <f ca="1">IFERROR(__xludf.DUMMYFUNCTION("""COMPUTED_VALUE"""),0)</f>
        <v>0</v>
      </c>
      <c r="I404" s="83">
        <f ca="1">IFERROR(__xludf.DUMMYFUNCTION("""COMPUTED_VALUE"""),26)</f>
        <v>26</v>
      </c>
    </row>
    <row r="405" spans="1:9">
      <c r="A405" s="79">
        <v>300</v>
      </c>
      <c r="B405" s="79">
        <v>5</v>
      </c>
      <c r="C405" s="79">
        <v>305</v>
      </c>
      <c r="D405" s="80">
        <v>43318.010671296295</v>
      </c>
      <c r="E405" s="81">
        <f t="shared" ca="1" si="2"/>
        <v>43313</v>
      </c>
      <c r="F405" s="82">
        <f ca="1">IFERROR(__xludf.DUMMYFUNCTION("""COMPUTED_VALUE"""),0.0106712962962962)</f>
        <v>1.06712962962962E-2</v>
      </c>
      <c r="G405" s="83">
        <f t="shared" ca="1" si="3"/>
        <v>19</v>
      </c>
      <c r="H405" s="83">
        <f ca="1">IFERROR(__xludf.DUMMYFUNCTION("""COMPUTED_VALUE"""),15)</f>
        <v>15</v>
      </c>
      <c r="I405" s="83">
        <f ca="1">IFERROR(__xludf.DUMMYFUNCTION("""COMPUTED_VALUE"""),22)</f>
        <v>22</v>
      </c>
    </row>
    <row r="406" spans="1:9">
      <c r="A406" s="79">
        <v>303</v>
      </c>
      <c r="B406" s="79">
        <v>2</v>
      </c>
      <c r="C406" s="79">
        <v>305</v>
      </c>
      <c r="D406" s="80">
        <v>43318.021087962959</v>
      </c>
      <c r="E406" s="81">
        <f t="shared" ca="1" si="2"/>
        <v>43313</v>
      </c>
      <c r="F406" s="82">
        <f ca="1">IFERROR(__xludf.DUMMYFUNCTION("""COMPUTED_VALUE"""),0.0210879629629629)</f>
        <v>2.1087962962962899E-2</v>
      </c>
      <c r="G406" s="83">
        <f t="shared" ca="1" si="3"/>
        <v>19</v>
      </c>
      <c r="H406" s="83">
        <f ca="1">IFERROR(__xludf.DUMMYFUNCTION("""COMPUTED_VALUE"""),30)</f>
        <v>30</v>
      </c>
      <c r="I406" s="83">
        <f ca="1">IFERROR(__xludf.DUMMYFUNCTION("""COMPUTED_VALUE"""),22)</f>
        <v>22</v>
      </c>
    </row>
    <row r="407" spans="1:9">
      <c r="A407" s="79">
        <v>280</v>
      </c>
      <c r="B407" s="79">
        <v>2</v>
      </c>
      <c r="C407" s="79">
        <v>282</v>
      </c>
      <c r="D407" s="80">
        <v>43318.031504629631</v>
      </c>
      <c r="E407" s="81">
        <f t="shared" ca="1" si="2"/>
        <v>43313</v>
      </c>
      <c r="F407" s="82">
        <f ca="1">IFERROR(__xludf.DUMMYFUNCTION("""COMPUTED_VALUE"""),0.0315046296296296)</f>
        <v>3.1504629629629598E-2</v>
      </c>
      <c r="G407" s="83">
        <f t="shared" ca="1" si="3"/>
        <v>19</v>
      </c>
      <c r="H407" s="83">
        <f ca="1">IFERROR(__xludf.DUMMYFUNCTION("""COMPUTED_VALUE"""),45)</f>
        <v>45</v>
      </c>
      <c r="I407" s="83">
        <f ca="1">IFERROR(__xludf.DUMMYFUNCTION("""COMPUTED_VALUE"""),22)</f>
        <v>22</v>
      </c>
    </row>
    <row r="408" spans="1:9">
      <c r="A408" s="79">
        <v>217</v>
      </c>
      <c r="B408" s="79">
        <v>2</v>
      </c>
      <c r="C408" s="79">
        <v>219</v>
      </c>
      <c r="D408" s="80">
        <v>43318.041956018518</v>
      </c>
      <c r="E408" s="81">
        <f t="shared" ca="1" si="2"/>
        <v>43313</v>
      </c>
      <c r="F408" s="82">
        <f ca="1">IFERROR(__xludf.DUMMYFUNCTION("""COMPUTED_VALUE"""),0.0419560185185185)</f>
        <v>4.1956018518518497E-2</v>
      </c>
      <c r="G408" s="83">
        <f t="shared" ca="1" si="3"/>
        <v>19</v>
      </c>
      <c r="H408" s="83">
        <f ca="1">IFERROR(__xludf.DUMMYFUNCTION("""COMPUTED_VALUE"""),0)</f>
        <v>0</v>
      </c>
      <c r="I408" s="83">
        <f ca="1">IFERROR(__xludf.DUMMYFUNCTION("""COMPUTED_VALUE"""),25)</f>
        <v>25</v>
      </c>
    </row>
    <row r="409" spans="1:9">
      <c r="A409" s="79">
        <v>263</v>
      </c>
      <c r="B409" s="79">
        <v>2</v>
      </c>
      <c r="C409" s="79">
        <v>265</v>
      </c>
      <c r="D409" s="80">
        <v>43318.05232638889</v>
      </c>
      <c r="E409" s="81">
        <f t="shared" ca="1" si="2"/>
        <v>43313</v>
      </c>
      <c r="F409" s="82">
        <f ca="1">IFERROR(__xludf.DUMMYFUNCTION("""COMPUTED_VALUE"""),0.0523263888888888)</f>
        <v>5.2326388888888797E-2</v>
      </c>
      <c r="G409" s="83">
        <f t="shared" ca="1" si="3"/>
        <v>19</v>
      </c>
      <c r="H409" s="83">
        <f ca="1">IFERROR(__xludf.DUMMYFUNCTION("""COMPUTED_VALUE"""),15)</f>
        <v>15</v>
      </c>
      <c r="I409" s="83">
        <f ca="1">IFERROR(__xludf.DUMMYFUNCTION("""COMPUTED_VALUE"""),21)</f>
        <v>21</v>
      </c>
    </row>
    <row r="410" spans="1:9">
      <c r="A410" s="79">
        <v>245</v>
      </c>
      <c r="B410" s="79">
        <v>3</v>
      </c>
      <c r="C410" s="79">
        <v>248</v>
      </c>
      <c r="D410" s="80">
        <v>43318.062754629631</v>
      </c>
      <c r="E410" s="81">
        <f t="shared" ca="1" si="2"/>
        <v>43313</v>
      </c>
      <c r="F410" s="82">
        <f ca="1">IFERROR(__xludf.DUMMYFUNCTION("""COMPUTED_VALUE"""),0.0627546296296296)</f>
        <v>6.2754629629629605E-2</v>
      </c>
      <c r="G410" s="83">
        <f t="shared" ca="1" si="3"/>
        <v>19</v>
      </c>
      <c r="H410" s="83">
        <f ca="1">IFERROR(__xludf.DUMMYFUNCTION("""COMPUTED_VALUE"""),30)</f>
        <v>30</v>
      </c>
      <c r="I410" s="83">
        <f ca="1">IFERROR(__xludf.DUMMYFUNCTION("""COMPUTED_VALUE"""),22)</f>
        <v>22</v>
      </c>
    </row>
    <row r="411" spans="1:9">
      <c r="A411" s="79">
        <v>200</v>
      </c>
      <c r="B411" s="79">
        <v>2</v>
      </c>
      <c r="C411" s="79">
        <v>202</v>
      </c>
      <c r="D411" s="80">
        <v>43318.073171296295</v>
      </c>
      <c r="E411" s="81">
        <f t="shared" ca="1" si="2"/>
        <v>43313</v>
      </c>
      <c r="F411" s="82">
        <f ca="1">IFERROR(__xludf.DUMMYFUNCTION("""COMPUTED_VALUE"""),0.0731712962962962)</f>
        <v>7.3171296296296207E-2</v>
      </c>
      <c r="G411" s="83">
        <f t="shared" ca="1" si="3"/>
        <v>19</v>
      </c>
      <c r="H411" s="83">
        <f ca="1">IFERROR(__xludf.DUMMYFUNCTION("""COMPUTED_VALUE"""),45)</f>
        <v>45</v>
      </c>
      <c r="I411" s="83">
        <f ca="1">IFERROR(__xludf.DUMMYFUNCTION("""COMPUTED_VALUE"""),22)</f>
        <v>22</v>
      </c>
    </row>
    <row r="412" spans="1:9">
      <c r="A412" s="79">
        <v>184</v>
      </c>
      <c r="B412" s="79">
        <v>0</v>
      </c>
      <c r="C412" s="79">
        <v>184</v>
      </c>
      <c r="D412" s="80">
        <v>43318.083611111113</v>
      </c>
      <c r="E412" s="81">
        <f t="shared" ca="1" si="2"/>
        <v>43313</v>
      </c>
      <c r="F412" s="82">
        <f ca="1">IFERROR(__xludf.DUMMYFUNCTION("""COMPUTED_VALUE"""),0.0836111111111111)</f>
        <v>8.3611111111111094E-2</v>
      </c>
      <c r="G412" s="83">
        <f t="shared" ca="1" si="3"/>
        <v>19</v>
      </c>
      <c r="H412" s="83">
        <f ca="1">IFERROR(__xludf.DUMMYFUNCTION("""COMPUTED_VALUE"""),0)</f>
        <v>0</v>
      </c>
      <c r="I412" s="83">
        <f ca="1">IFERROR(__xludf.DUMMYFUNCTION("""COMPUTED_VALUE"""),24)</f>
        <v>24</v>
      </c>
    </row>
    <row r="413" spans="1:9">
      <c r="A413" s="79">
        <v>217</v>
      </c>
      <c r="B413" s="79">
        <v>0</v>
      </c>
      <c r="C413" s="79">
        <v>217</v>
      </c>
      <c r="D413" s="80">
        <v>43318.094004629631</v>
      </c>
      <c r="E413" s="81">
        <f t="shared" ca="1" si="2"/>
        <v>43313</v>
      </c>
      <c r="F413" s="82">
        <f ca="1">IFERROR(__xludf.DUMMYFUNCTION("""COMPUTED_VALUE"""),0.0940046296296296)</f>
        <v>9.4004629629629605E-2</v>
      </c>
      <c r="G413" s="83">
        <f t="shared" ca="1" si="3"/>
        <v>19</v>
      </c>
      <c r="H413" s="83">
        <f ca="1">IFERROR(__xludf.DUMMYFUNCTION("""COMPUTED_VALUE"""),15)</f>
        <v>15</v>
      </c>
      <c r="I413" s="83">
        <f ca="1">IFERROR(__xludf.DUMMYFUNCTION("""COMPUTED_VALUE"""),22)</f>
        <v>22</v>
      </c>
    </row>
    <row r="414" spans="1:9">
      <c r="A414" s="79">
        <v>196</v>
      </c>
      <c r="B414" s="79">
        <v>0</v>
      </c>
      <c r="C414" s="79">
        <v>196</v>
      </c>
      <c r="D414" s="80">
        <v>43318.104409722226</v>
      </c>
      <c r="E414" s="81">
        <f t="shared" ca="1" si="2"/>
        <v>43313</v>
      </c>
      <c r="F414" s="82">
        <f ca="1">IFERROR(__xludf.DUMMYFUNCTION("""COMPUTED_VALUE"""),0.104409722222222)</f>
        <v>0.104409722222222</v>
      </c>
      <c r="G414" s="83">
        <f t="shared" ca="1" si="3"/>
        <v>19</v>
      </c>
      <c r="H414" s="83">
        <f ca="1">IFERROR(__xludf.DUMMYFUNCTION("""COMPUTED_VALUE"""),30)</f>
        <v>30</v>
      </c>
      <c r="I414" s="83">
        <f ca="1">IFERROR(__xludf.DUMMYFUNCTION("""COMPUTED_VALUE"""),21)</f>
        <v>21</v>
      </c>
    </row>
    <row r="415" spans="1:9">
      <c r="A415" s="79">
        <v>186</v>
      </c>
      <c r="B415" s="79">
        <v>4</v>
      </c>
      <c r="C415" s="79">
        <v>190</v>
      </c>
      <c r="D415" s="80">
        <v>43318.11482638889</v>
      </c>
      <c r="E415" s="81">
        <f t="shared" ca="1" si="2"/>
        <v>43313</v>
      </c>
      <c r="F415" s="82">
        <f ca="1">IFERROR(__xludf.DUMMYFUNCTION("""COMPUTED_VALUE"""),0.114826388888888)</f>
        <v>0.11482638888888801</v>
      </c>
      <c r="G415" s="83">
        <f t="shared" ca="1" si="3"/>
        <v>19</v>
      </c>
      <c r="H415" s="83">
        <f ca="1">IFERROR(__xludf.DUMMYFUNCTION("""COMPUTED_VALUE"""),45)</f>
        <v>45</v>
      </c>
      <c r="I415" s="83">
        <f ca="1">IFERROR(__xludf.DUMMYFUNCTION("""COMPUTED_VALUE"""),21)</f>
        <v>21</v>
      </c>
    </row>
    <row r="416" spans="1:9">
      <c r="A416" s="79">
        <v>165</v>
      </c>
      <c r="B416" s="79">
        <v>2</v>
      </c>
      <c r="C416" s="79">
        <v>167</v>
      </c>
      <c r="D416" s="80">
        <v>43318.125277777777</v>
      </c>
      <c r="E416" s="81">
        <f t="shared" ca="1" si="2"/>
        <v>43313</v>
      </c>
      <c r="F416" s="82">
        <f ca="1">IFERROR(__xludf.DUMMYFUNCTION("""COMPUTED_VALUE"""),0.125277777777777)</f>
        <v>0.12527777777777699</v>
      </c>
      <c r="G416" s="83">
        <f t="shared" ca="1" si="3"/>
        <v>19</v>
      </c>
      <c r="H416" s="83">
        <f ca="1">IFERROR(__xludf.DUMMYFUNCTION("""COMPUTED_VALUE"""),0)</f>
        <v>0</v>
      </c>
      <c r="I416" s="83">
        <f ca="1">IFERROR(__xludf.DUMMYFUNCTION("""COMPUTED_VALUE"""),24)</f>
        <v>24</v>
      </c>
    </row>
    <row r="417" spans="1:9">
      <c r="A417" s="79">
        <v>142</v>
      </c>
      <c r="B417" s="79">
        <v>4</v>
      </c>
      <c r="C417" s="79">
        <v>140</v>
      </c>
      <c r="D417" s="80">
        <v>43318.135659722226</v>
      </c>
      <c r="E417" s="81">
        <f t="shared" ca="1" si="2"/>
        <v>43313</v>
      </c>
      <c r="F417" s="82">
        <f ca="1">IFERROR(__xludf.DUMMYFUNCTION("""COMPUTED_VALUE"""),0.135659722222222)</f>
        <v>0.135659722222222</v>
      </c>
      <c r="G417" s="83">
        <f t="shared" ca="1" si="3"/>
        <v>19</v>
      </c>
      <c r="H417" s="83">
        <f ca="1">IFERROR(__xludf.DUMMYFUNCTION("""COMPUTED_VALUE"""),15)</f>
        <v>15</v>
      </c>
      <c r="I417" s="83">
        <f ca="1">IFERROR(__xludf.DUMMYFUNCTION("""COMPUTED_VALUE"""),21)</f>
        <v>21</v>
      </c>
    </row>
    <row r="418" spans="1:9">
      <c r="A418" s="79">
        <v>105</v>
      </c>
      <c r="B418" s="79">
        <v>2</v>
      </c>
      <c r="C418" s="79">
        <v>107</v>
      </c>
      <c r="D418" s="80">
        <v>43318.14607638889</v>
      </c>
      <c r="E418" s="81">
        <f t="shared" ca="1" si="2"/>
        <v>43313</v>
      </c>
      <c r="F418" s="82">
        <f ca="1">IFERROR(__xludf.DUMMYFUNCTION("""COMPUTED_VALUE"""),0.146076388888888)</f>
        <v>0.14607638888888799</v>
      </c>
      <c r="G418" s="83">
        <f t="shared" ca="1" si="3"/>
        <v>19</v>
      </c>
      <c r="H418" s="83">
        <f ca="1">IFERROR(__xludf.DUMMYFUNCTION("""COMPUTED_VALUE"""),30)</f>
        <v>30</v>
      </c>
      <c r="I418" s="83">
        <f ca="1">IFERROR(__xludf.DUMMYFUNCTION("""COMPUTED_VALUE"""),21)</f>
        <v>21</v>
      </c>
    </row>
    <row r="419" spans="1:9">
      <c r="A419" s="79">
        <v>92</v>
      </c>
      <c r="B419" s="79">
        <v>0</v>
      </c>
      <c r="C419" s="79">
        <v>92</v>
      </c>
      <c r="D419" s="80">
        <v>43318.156539351854</v>
      </c>
      <c r="E419" s="81">
        <f t="shared" ca="1" si="2"/>
        <v>43313</v>
      </c>
      <c r="F419" s="82">
        <f ca="1">IFERROR(__xludf.DUMMYFUNCTION("""COMPUTED_VALUE"""),0.156539351851851)</f>
        <v>0.156539351851851</v>
      </c>
      <c r="G419" s="83">
        <f t="shared" ca="1" si="3"/>
        <v>19</v>
      </c>
      <c r="H419" s="83">
        <f ca="1">IFERROR(__xludf.DUMMYFUNCTION("""COMPUTED_VALUE"""),45)</f>
        <v>45</v>
      </c>
      <c r="I419" s="83">
        <f ca="1">IFERROR(__xludf.DUMMYFUNCTION("""COMPUTED_VALUE"""),25)</f>
        <v>25</v>
      </c>
    </row>
    <row r="420" spans="1:9">
      <c r="A420" s="79">
        <v>62</v>
      </c>
      <c r="B420" s="79">
        <v>0</v>
      </c>
      <c r="C420" s="79">
        <v>62</v>
      </c>
      <c r="D420" s="80">
        <v>43318.166932870372</v>
      </c>
      <c r="E420" s="81">
        <f t="shared" ca="1" si="2"/>
        <v>43313</v>
      </c>
      <c r="F420" s="82">
        <f ca="1">IFERROR(__xludf.DUMMYFUNCTION("""COMPUTED_VALUE"""),0.16693287037037)</f>
        <v>0.16693287037037</v>
      </c>
      <c r="G420" s="83">
        <f t="shared" ca="1" si="3"/>
        <v>19</v>
      </c>
      <c r="H420" s="83">
        <f ca="1">IFERROR(__xludf.DUMMYFUNCTION("""COMPUTED_VALUE"""),0)</f>
        <v>0</v>
      </c>
      <c r="I420" s="83">
        <f ca="1">IFERROR(__xludf.DUMMYFUNCTION("""COMPUTED_VALUE"""),23)</f>
        <v>23</v>
      </c>
    </row>
    <row r="421" spans="1:9">
      <c r="A421" s="79">
        <v>30</v>
      </c>
      <c r="B421" s="79">
        <v>0</v>
      </c>
      <c r="C421" s="79">
        <v>26</v>
      </c>
      <c r="D421" s="80">
        <v>43318.177337962959</v>
      </c>
      <c r="E421" s="81">
        <f t="shared" ca="1" si="2"/>
        <v>43313</v>
      </c>
      <c r="F421" s="82">
        <f ca="1">IFERROR(__xludf.DUMMYFUNCTION("""COMPUTED_VALUE"""),0.177337962962962)</f>
        <v>0.177337962962962</v>
      </c>
      <c r="G421" s="83">
        <f t="shared" ca="1" si="3"/>
        <v>19</v>
      </c>
      <c r="H421" s="83">
        <f ca="1">IFERROR(__xludf.DUMMYFUNCTION("""COMPUTED_VALUE"""),15)</f>
        <v>15</v>
      </c>
      <c r="I421" s="83">
        <f ca="1">IFERROR(__xludf.DUMMYFUNCTION("""COMPUTED_VALUE"""),22)</f>
        <v>22</v>
      </c>
    </row>
    <row r="422" spans="1:9">
      <c r="A422" s="79">
        <v>18</v>
      </c>
      <c r="B422" s="79">
        <v>0</v>
      </c>
      <c r="C422" s="79">
        <v>18</v>
      </c>
      <c r="D422" s="80">
        <v>43318.187743055554</v>
      </c>
      <c r="E422" s="81">
        <f t="shared" ca="1" si="2"/>
        <v>43313</v>
      </c>
      <c r="F422" s="82">
        <f ca="1">IFERROR(__xludf.DUMMYFUNCTION("""COMPUTED_VALUE"""),0.187743055555555)</f>
        <v>0.18774305555555501</v>
      </c>
      <c r="G422" s="83">
        <f t="shared" ca="1" si="3"/>
        <v>19</v>
      </c>
      <c r="H422" s="83">
        <f ca="1">IFERROR(__xludf.DUMMYFUNCTION("""COMPUTED_VALUE"""),30)</f>
        <v>30</v>
      </c>
      <c r="I422" s="83">
        <f ca="1">IFERROR(__xludf.DUMMYFUNCTION("""COMPUTED_VALUE"""),21)</f>
        <v>21</v>
      </c>
    </row>
    <row r="423" spans="1:9">
      <c r="A423" s="79">
        <v>17</v>
      </c>
      <c r="B423" s="79">
        <v>0</v>
      </c>
      <c r="C423" s="79">
        <v>17</v>
      </c>
      <c r="D423" s="80">
        <v>43318.198159722226</v>
      </c>
      <c r="E423" s="81">
        <f t="shared" ca="1" si="2"/>
        <v>43313</v>
      </c>
      <c r="F423" s="82">
        <f ca="1">IFERROR(__xludf.DUMMYFUNCTION("""COMPUTED_VALUE"""),0.198159722222222)</f>
        <v>0.198159722222222</v>
      </c>
      <c r="G423" s="83">
        <f t="shared" ca="1" si="3"/>
        <v>19</v>
      </c>
      <c r="H423" s="83">
        <f ca="1">IFERROR(__xludf.DUMMYFUNCTION("""COMPUTED_VALUE"""),45)</f>
        <v>45</v>
      </c>
      <c r="I423" s="83">
        <f ca="1">IFERROR(__xludf.DUMMYFUNCTION("""COMPUTED_VALUE"""),21)</f>
        <v>21</v>
      </c>
    </row>
    <row r="424" spans="1:9">
      <c r="A424" s="79">
        <v>14</v>
      </c>
      <c r="B424" s="79">
        <v>0</v>
      </c>
      <c r="C424" s="79">
        <v>14</v>
      </c>
      <c r="D424" s="80">
        <v>43318.208587962959</v>
      </c>
      <c r="E424" s="81">
        <f t="shared" ca="1" si="2"/>
        <v>43313</v>
      </c>
      <c r="F424" s="82">
        <f ca="1">IFERROR(__xludf.DUMMYFUNCTION("""COMPUTED_VALUE"""),0.208587962962962)</f>
        <v>0.208587962962962</v>
      </c>
      <c r="G424" s="83">
        <f t="shared" ca="1" si="3"/>
        <v>19</v>
      </c>
      <c r="H424" s="83">
        <f ca="1">IFERROR(__xludf.DUMMYFUNCTION("""COMPUTED_VALUE"""),0)</f>
        <v>0</v>
      </c>
      <c r="I424" s="83">
        <f ca="1">IFERROR(__xludf.DUMMYFUNCTION("""COMPUTED_VALUE"""),22)</f>
        <v>22</v>
      </c>
    </row>
    <row r="425" spans="1:9">
      <c r="A425" s="79">
        <v>17</v>
      </c>
      <c r="B425" s="79">
        <v>0</v>
      </c>
      <c r="C425" s="79">
        <v>14</v>
      </c>
      <c r="D425" s="80">
        <v>43318.218993055554</v>
      </c>
      <c r="E425" s="81">
        <f t="shared" ca="1" si="2"/>
        <v>43313</v>
      </c>
      <c r="F425" s="82">
        <f ca="1">IFERROR(__xludf.DUMMYFUNCTION("""COMPUTED_VALUE"""),0.218993055555555)</f>
        <v>0.21899305555555501</v>
      </c>
      <c r="G425" s="83">
        <f t="shared" ca="1" si="3"/>
        <v>19</v>
      </c>
      <c r="H425" s="83">
        <f ca="1">IFERROR(__xludf.DUMMYFUNCTION("""COMPUTED_VALUE"""),15)</f>
        <v>15</v>
      </c>
      <c r="I425" s="83">
        <f ca="1">IFERROR(__xludf.DUMMYFUNCTION("""COMPUTED_VALUE"""),21)</f>
        <v>21</v>
      </c>
    </row>
    <row r="426" spans="1:9">
      <c r="A426" s="79">
        <v>13</v>
      </c>
      <c r="B426" s="79">
        <v>0</v>
      </c>
      <c r="C426" s="79">
        <v>13</v>
      </c>
      <c r="D426" s="80">
        <v>43318.229421296295</v>
      </c>
      <c r="E426" s="81">
        <f t="shared" ca="1" si="2"/>
        <v>43313</v>
      </c>
      <c r="F426" s="82">
        <f ca="1">IFERROR(__xludf.DUMMYFUNCTION("""COMPUTED_VALUE"""),0.229421296296296)</f>
        <v>0.22942129629629601</v>
      </c>
      <c r="G426" s="83">
        <f t="shared" ca="1" si="3"/>
        <v>19</v>
      </c>
      <c r="H426" s="83">
        <f ca="1">IFERROR(__xludf.DUMMYFUNCTION("""COMPUTED_VALUE"""),30)</f>
        <v>30</v>
      </c>
      <c r="I426" s="83">
        <f ca="1">IFERROR(__xludf.DUMMYFUNCTION("""COMPUTED_VALUE"""),22)</f>
        <v>22</v>
      </c>
    </row>
    <row r="427" spans="1:9">
      <c r="A427" s="79">
        <v>13</v>
      </c>
      <c r="B427" s="79">
        <v>0</v>
      </c>
      <c r="C427" s="79">
        <v>13</v>
      </c>
      <c r="D427" s="80">
        <v>43318.23982638889</v>
      </c>
      <c r="E427" s="81">
        <f t="shared" ca="1" si="2"/>
        <v>43313</v>
      </c>
      <c r="F427" s="82">
        <f ca="1">IFERROR(__xludf.DUMMYFUNCTION("""COMPUTED_VALUE"""),0.239826388888888)</f>
        <v>0.23982638888888799</v>
      </c>
      <c r="G427" s="83">
        <f t="shared" ca="1" si="3"/>
        <v>19</v>
      </c>
      <c r="H427" s="83">
        <f ca="1">IFERROR(__xludf.DUMMYFUNCTION("""COMPUTED_VALUE"""),45)</f>
        <v>45</v>
      </c>
      <c r="I427" s="83">
        <f ca="1">IFERROR(__xludf.DUMMYFUNCTION("""COMPUTED_VALUE"""),21)</f>
        <v>21</v>
      </c>
    </row>
    <row r="428" spans="1:9">
      <c r="A428" s="79">
        <v>12</v>
      </c>
      <c r="B428" s="79">
        <v>0</v>
      </c>
      <c r="C428" s="79">
        <v>12</v>
      </c>
      <c r="D428" s="80">
        <v>43318.250277777777</v>
      </c>
      <c r="E428" s="81">
        <f t="shared" ca="1" si="2"/>
        <v>43313</v>
      </c>
      <c r="F428" s="82">
        <f ca="1">IFERROR(__xludf.DUMMYFUNCTION("""COMPUTED_VALUE"""),0.250277777777777)</f>
        <v>0.25027777777777699</v>
      </c>
      <c r="G428" s="83">
        <f t="shared" ca="1" si="3"/>
        <v>19</v>
      </c>
      <c r="H428" s="83">
        <f ca="1">IFERROR(__xludf.DUMMYFUNCTION("""COMPUTED_VALUE"""),0)</f>
        <v>0</v>
      </c>
      <c r="I428" s="83">
        <f ca="1">IFERROR(__xludf.DUMMYFUNCTION("""COMPUTED_VALUE"""),24)</f>
        <v>24</v>
      </c>
    </row>
    <row r="429" spans="1:9">
      <c r="A429" s="79">
        <v>12</v>
      </c>
      <c r="B429" s="79">
        <v>0</v>
      </c>
      <c r="C429" s="79">
        <v>12</v>
      </c>
      <c r="D429" s="80">
        <v>43318.260659722226</v>
      </c>
      <c r="E429" s="81">
        <f t="shared" ca="1" si="2"/>
        <v>43313</v>
      </c>
      <c r="F429" s="82">
        <f ca="1">IFERROR(__xludf.DUMMYFUNCTION("""COMPUTED_VALUE"""),0.260659722222222)</f>
        <v>0.260659722222222</v>
      </c>
      <c r="G429" s="83">
        <f t="shared" ca="1" si="3"/>
        <v>19</v>
      </c>
      <c r="H429" s="83">
        <f ca="1">IFERROR(__xludf.DUMMYFUNCTION("""COMPUTED_VALUE"""),15)</f>
        <v>15</v>
      </c>
      <c r="I429" s="83">
        <f ca="1">IFERROR(__xludf.DUMMYFUNCTION("""COMPUTED_VALUE"""),21)</f>
        <v>21</v>
      </c>
    </row>
    <row r="430" spans="1:9">
      <c r="A430" s="79">
        <v>12</v>
      </c>
      <c r="B430" s="79">
        <v>0</v>
      </c>
      <c r="C430" s="79">
        <v>12</v>
      </c>
      <c r="D430" s="80">
        <v>43318.273819444446</v>
      </c>
      <c r="E430" s="81">
        <f t="shared" ca="1" si="2"/>
        <v>43313</v>
      </c>
      <c r="F430" s="82">
        <f ca="1">IFERROR(__xludf.DUMMYFUNCTION("""COMPUTED_VALUE"""),0.273819444444444)</f>
        <v>0.273819444444444</v>
      </c>
      <c r="G430" s="83">
        <f t="shared" ca="1" si="3"/>
        <v>19</v>
      </c>
      <c r="H430" s="83">
        <f ca="1">IFERROR(__xludf.DUMMYFUNCTION("""COMPUTED_VALUE"""),34)</f>
        <v>34</v>
      </c>
      <c r="I430" s="83">
        <f ca="1">IFERROR(__xludf.DUMMYFUNCTION("""COMPUTED_VALUE"""),18)</f>
        <v>18</v>
      </c>
    </row>
    <row r="431" spans="1:9">
      <c r="A431" s="79">
        <v>12</v>
      </c>
      <c r="B431" s="79">
        <v>0</v>
      </c>
      <c r="C431" s="79">
        <v>12</v>
      </c>
      <c r="D431" s="80">
        <v>43318.281493055554</v>
      </c>
      <c r="E431" s="81">
        <f t="shared" ca="1" si="2"/>
        <v>43313</v>
      </c>
      <c r="F431" s="82">
        <f ca="1">IFERROR(__xludf.DUMMYFUNCTION("""COMPUTED_VALUE"""),0.281493055555555)</f>
        <v>0.28149305555555498</v>
      </c>
      <c r="G431" s="83">
        <f t="shared" ca="1" si="3"/>
        <v>19</v>
      </c>
      <c r="H431" s="83">
        <f ca="1">IFERROR(__xludf.DUMMYFUNCTION("""COMPUTED_VALUE"""),45)</f>
        <v>45</v>
      </c>
      <c r="I431" s="83">
        <f ca="1">IFERROR(__xludf.DUMMYFUNCTION("""COMPUTED_VALUE"""),21)</f>
        <v>21</v>
      </c>
    </row>
    <row r="432" spans="1:9">
      <c r="A432" s="79">
        <v>18</v>
      </c>
      <c r="B432" s="79">
        <v>0</v>
      </c>
      <c r="C432" s="79">
        <v>14</v>
      </c>
      <c r="D432" s="80">
        <v>43318.291932870372</v>
      </c>
      <c r="E432" s="81">
        <f t="shared" ca="1" si="2"/>
        <v>43313</v>
      </c>
      <c r="F432" s="82">
        <f ca="1">IFERROR(__xludf.DUMMYFUNCTION("""COMPUTED_VALUE"""),0.29193287037037)</f>
        <v>0.29193287037037002</v>
      </c>
      <c r="G432" s="83">
        <f t="shared" ca="1" si="3"/>
        <v>19</v>
      </c>
      <c r="H432" s="83">
        <f ca="1">IFERROR(__xludf.DUMMYFUNCTION("""COMPUTED_VALUE"""),0)</f>
        <v>0</v>
      </c>
      <c r="I432" s="83">
        <f ca="1">IFERROR(__xludf.DUMMYFUNCTION("""COMPUTED_VALUE"""),23)</f>
        <v>23</v>
      </c>
    </row>
    <row r="433" spans="1:9">
      <c r="A433" s="79">
        <v>41</v>
      </c>
      <c r="B433" s="79">
        <v>0</v>
      </c>
      <c r="C433" s="79">
        <v>41</v>
      </c>
      <c r="D433" s="80">
        <v>43318.302349537036</v>
      </c>
      <c r="E433" s="81">
        <f t="shared" ca="1" si="2"/>
        <v>43313</v>
      </c>
      <c r="F433" s="82">
        <f ca="1">IFERROR(__xludf.DUMMYFUNCTION("""COMPUTED_VALUE"""),0.302349537037037)</f>
        <v>0.30234953703703699</v>
      </c>
      <c r="G433" s="83">
        <f t="shared" ca="1" si="3"/>
        <v>19</v>
      </c>
      <c r="H433" s="83">
        <f ca="1">IFERROR(__xludf.DUMMYFUNCTION("""COMPUTED_VALUE"""),15)</f>
        <v>15</v>
      </c>
      <c r="I433" s="83">
        <f ca="1">IFERROR(__xludf.DUMMYFUNCTION("""COMPUTED_VALUE"""),23)</f>
        <v>23</v>
      </c>
    </row>
    <row r="434" spans="1:9">
      <c r="A434" s="79">
        <v>51</v>
      </c>
      <c r="B434" s="79">
        <v>0</v>
      </c>
      <c r="C434" s="79">
        <v>51</v>
      </c>
      <c r="D434" s="80">
        <v>43318.312777777777</v>
      </c>
      <c r="E434" s="81">
        <f t="shared" ca="1" si="2"/>
        <v>43313</v>
      </c>
      <c r="F434" s="82">
        <f ca="1">IFERROR(__xludf.DUMMYFUNCTION("""COMPUTED_VALUE"""),0.312777777777777)</f>
        <v>0.31277777777777699</v>
      </c>
      <c r="G434" s="83">
        <f t="shared" ca="1" si="3"/>
        <v>19</v>
      </c>
      <c r="H434" s="83">
        <f ca="1">IFERROR(__xludf.DUMMYFUNCTION("""COMPUTED_VALUE"""),30)</f>
        <v>30</v>
      </c>
      <c r="I434" s="83">
        <f ca="1">IFERROR(__xludf.DUMMYFUNCTION("""COMPUTED_VALUE"""),24)</f>
        <v>24</v>
      </c>
    </row>
    <row r="435" spans="1:9">
      <c r="A435" s="79">
        <v>55</v>
      </c>
      <c r="B435" s="79">
        <v>0</v>
      </c>
      <c r="C435" s="79">
        <v>55</v>
      </c>
      <c r="D435" s="80">
        <v>43318.323182870372</v>
      </c>
      <c r="E435" s="81">
        <f t="shared" ca="1" si="2"/>
        <v>43313</v>
      </c>
      <c r="F435" s="82">
        <f ca="1">IFERROR(__xludf.DUMMYFUNCTION("""COMPUTED_VALUE"""),0.32318287037037)</f>
        <v>0.32318287037037002</v>
      </c>
      <c r="G435" s="83">
        <f t="shared" ca="1" si="3"/>
        <v>19</v>
      </c>
      <c r="H435" s="83">
        <f ca="1">IFERROR(__xludf.DUMMYFUNCTION("""COMPUTED_VALUE"""),45)</f>
        <v>45</v>
      </c>
      <c r="I435" s="83">
        <f ca="1">IFERROR(__xludf.DUMMYFUNCTION("""COMPUTED_VALUE"""),23)</f>
        <v>23</v>
      </c>
    </row>
    <row r="436" spans="1:9">
      <c r="A436" s="79">
        <v>47</v>
      </c>
      <c r="B436" s="79">
        <v>0</v>
      </c>
      <c r="C436" s="79">
        <v>47</v>
      </c>
      <c r="D436" s="80">
        <v>43318.333657407406</v>
      </c>
      <c r="E436" s="81">
        <f t="shared" ca="1" si="2"/>
        <v>43313</v>
      </c>
      <c r="F436" s="82">
        <f ca="1">IFERROR(__xludf.DUMMYFUNCTION("""COMPUTED_VALUE"""),0.333657407407407)</f>
        <v>0.33365740740740701</v>
      </c>
      <c r="G436" s="83">
        <f t="shared" ca="1" si="3"/>
        <v>19</v>
      </c>
      <c r="H436" s="83">
        <f ca="1">IFERROR(__xludf.DUMMYFUNCTION("""COMPUTED_VALUE"""),0)</f>
        <v>0</v>
      </c>
      <c r="I436" s="83">
        <f ca="1">IFERROR(__xludf.DUMMYFUNCTION("""COMPUTED_VALUE"""),28)</f>
        <v>28</v>
      </c>
    </row>
    <row r="437" spans="1:9">
      <c r="A437" s="79">
        <v>58</v>
      </c>
      <c r="B437" s="79">
        <v>1</v>
      </c>
      <c r="C437" s="79">
        <v>59</v>
      </c>
      <c r="D437" s="80">
        <v>43318.344027777777</v>
      </c>
      <c r="E437" s="81">
        <f t="shared" ca="1" si="2"/>
        <v>43313</v>
      </c>
      <c r="F437" s="82">
        <f ca="1">IFERROR(__xludf.DUMMYFUNCTION("""COMPUTED_VALUE"""),0.344027777777777)</f>
        <v>0.34402777777777699</v>
      </c>
      <c r="G437" s="83">
        <f t="shared" ca="1" si="3"/>
        <v>19</v>
      </c>
      <c r="H437" s="83">
        <f ca="1">IFERROR(__xludf.DUMMYFUNCTION("""COMPUTED_VALUE"""),15)</f>
        <v>15</v>
      </c>
      <c r="I437" s="83">
        <f ca="1">IFERROR(__xludf.DUMMYFUNCTION("""COMPUTED_VALUE"""),24)</f>
        <v>24</v>
      </c>
    </row>
    <row r="438" spans="1:9">
      <c r="A438" s="79">
        <v>114</v>
      </c>
      <c r="B438" s="79">
        <v>1</v>
      </c>
      <c r="C438" s="79">
        <v>115</v>
      </c>
      <c r="D438" s="80">
        <v>43318.354421296295</v>
      </c>
      <c r="E438" s="81">
        <f t="shared" ca="1" si="2"/>
        <v>43313</v>
      </c>
      <c r="F438" s="82">
        <f ca="1">IFERROR(__xludf.DUMMYFUNCTION("""COMPUTED_VALUE"""),0.354421296296296)</f>
        <v>0.35442129629629598</v>
      </c>
      <c r="G438" s="83">
        <f t="shared" ca="1" si="3"/>
        <v>19</v>
      </c>
      <c r="H438" s="83">
        <f ca="1">IFERROR(__xludf.DUMMYFUNCTION("""COMPUTED_VALUE"""),30)</f>
        <v>30</v>
      </c>
      <c r="I438" s="83">
        <f ca="1">IFERROR(__xludf.DUMMYFUNCTION("""COMPUTED_VALUE"""),22)</f>
        <v>22</v>
      </c>
    </row>
    <row r="439" spans="1:9">
      <c r="A439" s="79">
        <v>177</v>
      </c>
      <c r="B439" s="79">
        <v>3</v>
      </c>
      <c r="C439" s="79">
        <v>180</v>
      </c>
      <c r="D439" s="80">
        <v>43318.364849537036</v>
      </c>
      <c r="E439" s="81">
        <f t="shared" ca="1" si="2"/>
        <v>43313</v>
      </c>
      <c r="F439" s="82">
        <f ca="1">IFERROR(__xludf.DUMMYFUNCTION("""COMPUTED_VALUE"""),0.364849537037037)</f>
        <v>0.36484953703703699</v>
      </c>
      <c r="G439" s="83">
        <f t="shared" ca="1" si="3"/>
        <v>19</v>
      </c>
      <c r="H439" s="83">
        <f ca="1">IFERROR(__xludf.DUMMYFUNCTION("""COMPUTED_VALUE"""),45)</f>
        <v>45</v>
      </c>
      <c r="I439" s="83">
        <f ca="1">IFERROR(__xludf.DUMMYFUNCTION("""COMPUTED_VALUE"""),23)</f>
        <v>23</v>
      </c>
    </row>
    <row r="440" spans="1:9">
      <c r="A440" s="79">
        <v>120</v>
      </c>
      <c r="B440" s="79">
        <v>0</v>
      </c>
      <c r="C440" s="79">
        <v>120</v>
      </c>
      <c r="D440" s="80">
        <v>43318.375289351854</v>
      </c>
      <c r="E440" s="81">
        <f t="shared" ca="1" si="2"/>
        <v>43313</v>
      </c>
      <c r="F440" s="82">
        <f ca="1">IFERROR(__xludf.DUMMYFUNCTION("""COMPUTED_VALUE"""),0.375289351851851)</f>
        <v>0.37528935185185103</v>
      </c>
      <c r="G440" s="83">
        <f t="shared" ca="1" si="3"/>
        <v>19</v>
      </c>
      <c r="H440" s="83">
        <f ca="1">IFERROR(__xludf.DUMMYFUNCTION("""COMPUTED_VALUE"""),0)</f>
        <v>0</v>
      </c>
      <c r="I440" s="83">
        <f ca="1">IFERROR(__xludf.DUMMYFUNCTION("""COMPUTED_VALUE"""),25)</f>
        <v>25</v>
      </c>
    </row>
    <row r="441" spans="1:9">
      <c r="A441" s="79">
        <v>198</v>
      </c>
      <c r="B441" s="79">
        <v>0</v>
      </c>
      <c r="C441" s="79">
        <v>198</v>
      </c>
      <c r="D441" s="80">
        <v>43318.385682870372</v>
      </c>
      <c r="E441" s="81">
        <f t="shared" ca="1" si="2"/>
        <v>43313</v>
      </c>
      <c r="F441" s="82">
        <f ca="1">IFERROR(__xludf.DUMMYFUNCTION("""COMPUTED_VALUE"""),0.38568287037037)</f>
        <v>0.38568287037037002</v>
      </c>
      <c r="G441" s="83">
        <f t="shared" ca="1" si="3"/>
        <v>19</v>
      </c>
      <c r="H441" s="83">
        <f ca="1">IFERROR(__xludf.DUMMYFUNCTION("""COMPUTED_VALUE"""),15)</f>
        <v>15</v>
      </c>
      <c r="I441" s="83">
        <f ca="1">IFERROR(__xludf.DUMMYFUNCTION("""COMPUTED_VALUE"""),23)</f>
        <v>23</v>
      </c>
    </row>
    <row r="442" spans="1:9">
      <c r="A442" s="79">
        <v>311</v>
      </c>
      <c r="B442" s="79">
        <v>5</v>
      </c>
      <c r="C442" s="79">
        <v>316</v>
      </c>
      <c r="D442" s="80">
        <v>43318.396099537036</v>
      </c>
      <c r="E442" s="81">
        <f t="shared" ca="1" si="2"/>
        <v>43313</v>
      </c>
      <c r="F442" s="82">
        <f ca="1">IFERROR(__xludf.DUMMYFUNCTION("""COMPUTED_VALUE"""),0.396099537037037)</f>
        <v>0.39609953703703699</v>
      </c>
      <c r="G442" s="83">
        <f t="shared" ca="1" si="3"/>
        <v>19</v>
      </c>
      <c r="H442" s="83">
        <f ca="1">IFERROR(__xludf.DUMMYFUNCTION("""COMPUTED_VALUE"""),30)</f>
        <v>30</v>
      </c>
      <c r="I442" s="83">
        <f ca="1">IFERROR(__xludf.DUMMYFUNCTION("""COMPUTED_VALUE"""),23)</f>
        <v>23</v>
      </c>
    </row>
    <row r="443" spans="1:9">
      <c r="A443" s="79">
        <v>532</v>
      </c>
      <c r="B443" s="79">
        <v>8</v>
      </c>
      <c r="C443" s="79">
        <v>540</v>
      </c>
      <c r="D443" s="80">
        <v>43318.4065162037</v>
      </c>
      <c r="E443" s="81">
        <f t="shared" ca="1" si="2"/>
        <v>43313</v>
      </c>
      <c r="F443" s="82">
        <f ca="1">IFERROR(__xludf.DUMMYFUNCTION("""COMPUTED_VALUE"""),0.406516203703703)</f>
        <v>0.40651620370370301</v>
      </c>
      <c r="G443" s="83">
        <f t="shared" ca="1" si="3"/>
        <v>19</v>
      </c>
      <c r="H443" s="83">
        <f ca="1">IFERROR(__xludf.DUMMYFUNCTION("""COMPUTED_VALUE"""),45)</f>
        <v>45</v>
      </c>
      <c r="I443" s="83">
        <f ca="1">IFERROR(__xludf.DUMMYFUNCTION("""COMPUTED_VALUE"""),23)</f>
        <v>23</v>
      </c>
    </row>
    <row r="444" spans="1:9">
      <c r="A444" s="79">
        <v>493</v>
      </c>
      <c r="B444" s="79">
        <v>8</v>
      </c>
      <c r="C444" s="79">
        <v>501</v>
      </c>
      <c r="D444" s="80">
        <v>43318.416944444441</v>
      </c>
      <c r="E444" s="81">
        <f t="shared" ca="1" si="2"/>
        <v>43313</v>
      </c>
      <c r="F444" s="82">
        <f ca="1">IFERROR(__xludf.DUMMYFUNCTION("""COMPUTED_VALUE"""),0.416944444444444)</f>
        <v>0.41694444444444401</v>
      </c>
      <c r="G444" s="83">
        <f t="shared" ca="1" si="3"/>
        <v>19</v>
      </c>
      <c r="H444" s="83">
        <f ca="1">IFERROR(__xludf.DUMMYFUNCTION("""COMPUTED_VALUE"""),0)</f>
        <v>0</v>
      </c>
      <c r="I444" s="83">
        <f ca="1">IFERROR(__xludf.DUMMYFUNCTION("""COMPUTED_VALUE"""),24)</f>
        <v>24</v>
      </c>
    </row>
    <row r="445" spans="1:9">
      <c r="A445" s="79">
        <v>503</v>
      </c>
      <c r="B445" s="79">
        <v>9</v>
      </c>
      <c r="C445" s="79">
        <v>512</v>
      </c>
      <c r="D445" s="80">
        <v>43318.427349537036</v>
      </c>
      <c r="E445" s="81">
        <f t="shared" ca="1" si="2"/>
        <v>43313</v>
      </c>
      <c r="F445" s="82">
        <f ca="1">IFERROR(__xludf.DUMMYFUNCTION("""COMPUTED_VALUE"""),0.427349537037037)</f>
        <v>0.42734953703703699</v>
      </c>
      <c r="G445" s="83">
        <f t="shared" ca="1" si="3"/>
        <v>19</v>
      </c>
      <c r="H445" s="83">
        <f ca="1">IFERROR(__xludf.DUMMYFUNCTION("""COMPUTED_VALUE"""),15)</f>
        <v>15</v>
      </c>
      <c r="I445" s="83">
        <f ca="1">IFERROR(__xludf.DUMMYFUNCTION("""COMPUTED_VALUE"""),23)</f>
        <v>23</v>
      </c>
    </row>
    <row r="446" spans="1:9">
      <c r="A446" s="79">
        <v>546</v>
      </c>
      <c r="B446" s="79">
        <v>13</v>
      </c>
      <c r="C446" s="79">
        <v>559</v>
      </c>
      <c r="D446" s="80">
        <v>43318.4377662037</v>
      </c>
      <c r="E446" s="81">
        <f t="shared" ca="1" si="2"/>
        <v>43313</v>
      </c>
      <c r="F446" s="82">
        <f ca="1">IFERROR(__xludf.DUMMYFUNCTION("""COMPUTED_VALUE"""),0.437766203703703)</f>
        <v>0.43776620370370301</v>
      </c>
      <c r="G446" s="83">
        <f t="shared" ca="1" si="3"/>
        <v>19</v>
      </c>
      <c r="H446" s="83">
        <f ca="1">IFERROR(__xludf.DUMMYFUNCTION("""COMPUTED_VALUE"""),30)</f>
        <v>30</v>
      </c>
      <c r="I446" s="83">
        <f ca="1">IFERROR(__xludf.DUMMYFUNCTION("""COMPUTED_VALUE"""),23)</f>
        <v>23</v>
      </c>
    </row>
    <row r="447" spans="1:9">
      <c r="A447" s="79">
        <v>657</v>
      </c>
      <c r="B447" s="79">
        <v>13</v>
      </c>
      <c r="C447" s="79">
        <v>670</v>
      </c>
      <c r="D447" s="80">
        <v>43318.448182870372</v>
      </c>
      <c r="E447" s="81">
        <f t="shared" ca="1" si="2"/>
        <v>43313</v>
      </c>
      <c r="F447" s="82">
        <f ca="1">IFERROR(__xludf.DUMMYFUNCTION("""COMPUTED_VALUE"""),0.44818287037037)</f>
        <v>0.44818287037037002</v>
      </c>
      <c r="G447" s="83">
        <f t="shared" ca="1" si="3"/>
        <v>19</v>
      </c>
      <c r="H447" s="83">
        <f ca="1">IFERROR(__xludf.DUMMYFUNCTION("""COMPUTED_VALUE"""),45)</f>
        <v>45</v>
      </c>
      <c r="I447" s="83">
        <f ca="1">IFERROR(__xludf.DUMMYFUNCTION("""COMPUTED_VALUE"""),23)</f>
        <v>23</v>
      </c>
    </row>
    <row r="448" spans="1:9">
      <c r="A448" s="79">
        <v>539</v>
      </c>
      <c r="B448" s="79">
        <v>13</v>
      </c>
      <c r="C448" s="79">
        <v>552</v>
      </c>
      <c r="D448" s="80">
        <v>43318.458599537036</v>
      </c>
      <c r="E448" s="81">
        <f t="shared" ca="1" si="2"/>
        <v>43313</v>
      </c>
      <c r="F448" s="82">
        <f ca="1">IFERROR(__xludf.DUMMYFUNCTION("""COMPUTED_VALUE"""),0.458599537037037)</f>
        <v>0.45859953703703699</v>
      </c>
      <c r="G448" s="83">
        <f t="shared" ca="1" si="3"/>
        <v>19</v>
      </c>
      <c r="H448" s="83">
        <f ca="1">IFERROR(__xludf.DUMMYFUNCTION("""COMPUTED_VALUE"""),0)</f>
        <v>0</v>
      </c>
      <c r="I448" s="83">
        <f ca="1">IFERROR(__xludf.DUMMYFUNCTION("""COMPUTED_VALUE"""),23)</f>
        <v>23</v>
      </c>
    </row>
    <row r="449" spans="1:9">
      <c r="A449" s="79">
        <v>419</v>
      </c>
      <c r="B449" s="79">
        <v>6</v>
      </c>
      <c r="C449" s="79">
        <v>420</v>
      </c>
      <c r="D449" s="80">
        <v>43318.4690162037</v>
      </c>
      <c r="E449" s="81">
        <f t="shared" ca="1" si="2"/>
        <v>43313</v>
      </c>
      <c r="F449" s="82">
        <f ca="1">IFERROR(__xludf.DUMMYFUNCTION("""COMPUTED_VALUE"""),0.469016203703703)</f>
        <v>0.46901620370370301</v>
      </c>
      <c r="G449" s="83">
        <f t="shared" ca="1" si="3"/>
        <v>19</v>
      </c>
      <c r="H449" s="83">
        <f ca="1">IFERROR(__xludf.DUMMYFUNCTION("""COMPUTED_VALUE"""),15)</f>
        <v>15</v>
      </c>
      <c r="I449" s="83">
        <f ca="1">IFERROR(__xludf.DUMMYFUNCTION("""COMPUTED_VALUE"""),23)</f>
        <v>23</v>
      </c>
    </row>
    <row r="450" spans="1:9">
      <c r="A450" s="79">
        <v>349</v>
      </c>
      <c r="B450" s="79">
        <v>11</v>
      </c>
      <c r="C450" s="79">
        <v>360</v>
      </c>
      <c r="D450" s="80">
        <v>43318.479421296295</v>
      </c>
      <c r="E450" s="81">
        <f t="shared" ca="1" si="2"/>
        <v>43313</v>
      </c>
      <c r="F450" s="82">
        <f ca="1">IFERROR(__xludf.DUMMYFUNCTION("""COMPUTED_VALUE"""),0.479421296296296)</f>
        <v>0.47942129629629598</v>
      </c>
      <c r="G450" s="83">
        <f t="shared" ca="1" si="3"/>
        <v>19</v>
      </c>
      <c r="H450" s="83">
        <f ca="1">IFERROR(__xludf.DUMMYFUNCTION("""COMPUTED_VALUE"""),30)</f>
        <v>30</v>
      </c>
      <c r="I450" s="83">
        <f ca="1">IFERROR(__xludf.DUMMYFUNCTION("""COMPUTED_VALUE"""),22)</f>
        <v>22</v>
      </c>
    </row>
    <row r="451" spans="1:9">
      <c r="A451" s="79">
        <v>344</v>
      </c>
      <c r="B451" s="79">
        <v>4</v>
      </c>
      <c r="C451" s="79">
        <v>348</v>
      </c>
      <c r="D451" s="80">
        <v>43318.489849537036</v>
      </c>
      <c r="E451" s="81">
        <f t="shared" ca="1" si="2"/>
        <v>43313</v>
      </c>
      <c r="F451" s="82">
        <f ca="1">IFERROR(__xludf.DUMMYFUNCTION("""COMPUTED_VALUE"""),0.489849537037037)</f>
        <v>0.48984953703703699</v>
      </c>
      <c r="G451" s="83">
        <f t="shared" ca="1" si="3"/>
        <v>19</v>
      </c>
      <c r="H451" s="83">
        <f ca="1">IFERROR(__xludf.DUMMYFUNCTION("""COMPUTED_VALUE"""),45)</f>
        <v>45</v>
      </c>
      <c r="I451" s="83">
        <f ca="1">IFERROR(__xludf.DUMMYFUNCTION("""COMPUTED_VALUE"""),23)</f>
        <v>23</v>
      </c>
    </row>
    <row r="452" spans="1:9">
      <c r="A452" s="79">
        <v>277</v>
      </c>
      <c r="B452" s="79">
        <v>7</v>
      </c>
      <c r="C452" s="79">
        <v>284</v>
      </c>
      <c r="D452" s="80">
        <v>43318.5002662037</v>
      </c>
      <c r="E452" s="81">
        <f t="shared" ca="1" si="2"/>
        <v>43313</v>
      </c>
      <c r="F452" s="82">
        <f ca="1">IFERROR(__xludf.DUMMYFUNCTION("""COMPUTED_VALUE"""),0.500266203703703)</f>
        <v>0.50026620370370301</v>
      </c>
      <c r="G452" s="83">
        <f t="shared" ca="1" si="3"/>
        <v>19</v>
      </c>
      <c r="H452" s="83">
        <f ca="1">IFERROR(__xludf.DUMMYFUNCTION("""COMPUTED_VALUE"""),0)</f>
        <v>0</v>
      </c>
      <c r="I452" s="83">
        <f ca="1">IFERROR(__xludf.DUMMYFUNCTION("""COMPUTED_VALUE"""),23)</f>
        <v>23</v>
      </c>
    </row>
    <row r="453" spans="1:9">
      <c r="A453" s="79">
        <v>214</v>
      </c>
      <c r="B453" s="79">
        <v>4</v>
      </c>
      <c r="C453" s="79">
        <v>218</v>
      </c>
      <c r="D453" s="80">
        <v>43318.510671296295</v>
      </c>
      <c r="E453" s="81">
        <f t="shared" ca="1" si="2"/>
        <v>43313</v>
      </c>
      <c r="F453" s="82">
        <f ca="1">IFERROR(__xludf.DUMMYFUNCTION("""COMPUTED_VALUE"""),0.510671296296296)</f>
        <v>0.51067129629629604</v>
      </c>
      <c r="G453" s="83">
        <f t="shared" ca="1" si="3"/>
        <v>19</v>
      </c>
      <c r="H453" s="83">
        <f ca="1">IFERROR(__xludf.DUMMYFUNCTION("""COMPUTED_VALUE"""),15)</f>
        <v>15</v>
      </c>
      <c r="I453" s="83">
        <f ca="1">IFERROR(__xludf.DUMMYFUNCTION("""COMPUTED_VALUE"""),22)</f>
        <v>22</v>
      </c>
    </row>
    <row r="454" spans="1:9">
      <c r="A454" s="79">
        <v>237</v>
      </c>
      <c r="B454" s="79">
        <v>4</v>
      </c>
      <c r="C454" s="79">
        <v>241</v>
      </c>
      <c r="D454" s="80">
        <v>43318.521099537036</v>
      </c>
      <c r="E454" s="81">
        <f t="shared" ca="1" si="2"/>
        <v>43313</v>
      </c>
      <c r="F454" s="82">
        <f ca="1">IFERROR(__xludf.DUMMYFUNCTION("""COMPUTED_VALUE"""),0.521099537037037)</f>
        <v>0.52109953703703704</v>
      </c>
      <c r="G454" s="83">
        <f t="shared" ca="1" si="3"/>
        <v>19</v>
      </c>
      <c r="H454" s="83">
        <f ca="1">IFERROR(__xludf.DUMMYFUNCTION("""COMPUTED_VALUE"""),30)</f>
        <v>30</v>
      </c>
      <c r="I454" s="83">
        <f ca="1">IFERROR(__xludf.DUMMYFUNCTION("""COMPUTED_VALUE"""),23)</f>
        <v>23</v>
      </c>
    </row>
    <row r="455" spans="1:9">
      <c r="A455" s="79">
        <v>284</v>
      </c>
      <c r="B455" s="79">
        <v>9</v>
      </c>
      <c r="C455" s="79">
        <v>293</v>
      </c>
      <c r="D455" s="80">
        <v>43318.531504629631</v>
      </c>
      <c r="E455" s="81">
        <f t="shared" ca="1" si="2"/>
        <v>43313</v>
      </c>
      <c r="F455" s="82">
        <f ca="1">IFERROR(__xludf.DUMMYFUNCTION("""COMPUTED_VALUE"""),0.531504629629629)</f>
        <v>0.53150462962962897</v>
      </c>
      <c r="G455" s="83">
        <f t="shared" ca="1" si="3"/>
        <v>19</v>
      </c>
      <c r="H455" s="83">
        <f ca="1">IFERROR(__xludf.DUMMYFUNCTION("""COMPUTED_VALUE"""),45)</f>
        <v>45</v>
      </c>
      <c r="I455" s="83">
        <f ca="1">IFERROR(__xludf.DUMMYFUNCTION("""COMPUTED_VALUE"""),22)</f>
        <v>22</v>
      </c>
    </row>
    <row r="456" spans="1:9">
      <c r="A456" s="79">
        <v>234</v>
      </c>
      <c r="B456" s="79">
        <v>7</v>
      </c>
      <c r="C456" s="79">
        <v>241</v>
      </c>
      <c r="D456" s="80">
        <v>43318.541932870372</v>
      </c>
      <c r="E456" s="81">
        <f t="shared" ca="1" si="2"/>
        <v>43313</v>
      </c>
      <c r="F456" s="82">
        <f ca="1">IFERROR(__xludf.DUMMYFUNCTION("""COMPUTED_VALUE"""),0.54193287037037)</f>
        <v>0.54193287037036997</v>
      </c>
      <c r="G456" s="83">
        <f t="shared" ca="1" si="3"/>
        <v>19</v>
      </c>
      <c r="H456" s="83">
        <f ca="1">IFERROR(__xludf.DUMMYFUNCTION("""COMPUTED_VALUE"""),0)</f>
        <v>0</v>
      </c>
      <c r="I456" s="83">
        <f ca="1">IFERROR(__xludf.DUMMYFUNCTION("""COMPUTED_VALUE"""),23)</f>
        <v>23</v>
      </c>
    </row>
    <row r="457" spans="1:9">
      <c r="A457" s="79">
        <v>257</v>
      </c>
      <c r="B457" s="79">
        <v>8</v>
      </c>
      <c r="C457" s="79">
        <v>265</v>
      </c>
      <c r="D457" s="80">
        <v>43318.552349537036</v>
      </c>
      <c r="E457" s="81">
        <f t="shared" ca="1" si="2"/>
        <v>43313</v>
      </c>
      <c r="F457" s="82">
        <f ca="1">IFERROR(__xludf.DUMMYFUNCTION("""COMPUTED_VALUE"""),0.552349537037037)</f>
        <v>0.55234953703703704</v>
      </c>
      <c r="G457" s="83">
        <f t="shared" ca="1" si="3"/>
        <v>19</v>
      </c>
      <c r="H457" s="83">
        <f ca="1">IFERROR(__xludf.DUMMYFUNCTION("""COMPUTED_VALUE"""),15)</f>
        <v>15</v>
      </c>
      <c r="I457" s="83">
        <f ca="1">IFERROR(__xludf.DUMMYFUNCTION("""COMPUTED_VALUE"""),23)</f>
        <v>23</v>
      </c>
    </row>
    <row r="458" spans="1:9">
      <c r="A458" s="79">
        <v>250</v>
      </c>
      <c r="B458" s="79">
        <v>10</v>
      </c>
      <c r="C458" s="79">
        <v>260</v>
      </c>
      <c r="D458" s="80">
        <v>43318.562754629631</v>
      </c>
      <c r="E458" s="81">
        <f t="shared" ca="1" si="2"/>
        <v>43313</v>
      </c>
      <c r="F458" s="82">
        <f ca="1">IFERROR(__xludf.DUMMYFUNCTION("""COMPUTED_VALUE"""),0.562754629629629)</f>
        <v>0.56275462962962897</v>
      </c>
      <c r="G458" s="83">
        <f t="shared" ca="1" si="3"/>
        <v>19</v>
      </c>
      <c r="H458" s="83">
        <f ca="1">IFERROR(__xludf.DUMMYFUNCTION("""COMPUTED_VALUE"""),30)</f>
        <v>30</v>
      </c>
      <c r="I458" s="83">
        <f ca="1">IFERROR(__xludf.DUMMYFUNCTION("""COMPUTED_VALUE"""),22)</f>
        <v>22</v>
      </c>
    </row>
    <row r="459" spans="1:9">
      <c r="A459" s="79">
        <v>274</v>
      </c>
      <c r="B459" s="79">
        <v>10</v>
      </c>
      <c r="C459" s="79">
        <v>284</v>
      </c>
      <c r="D459" s="80">
        <v>43318.573171296295</v>
      </c>
      <c r="E459" s="81">
        <f t="shared" ca="1" si="2"/>
        <v>43313</v>
      </c>
      <c r="F459" s="82">
        <f ca="1">IFERROR(__xludf.DUMMYFUNCTION("""COMPUTED_VALUE"""),0.573171296296296)</f>
        <v>0.57317129629629604</v>
      </c>
      <c r="G459" s="83">
        <f t="shared" ca="1" si="3"/>
        <v>19</v>
      </c>
      <c r="H459" s="83">
        <f ca="1">IFERROR(__xludf.DUMMYFUNCTION("""COMPUTED_VALUE"""),45)</f>
        <v>45</v>
      </c>
      <c r="I459" s="83">
        <f ca="1">IFERROR(__xludf.DUMMYFUNCTION("""COMPUTED_VALUE"""),22)</f>
        <v>22</v>
      </c>
    </row>
    <row r="460" spans="1:9">
      <c r="A460" s="79">
        <v>238</v>
      </c>
      <c r="B460" s="79">
        <v>6</v>
      </c>
      <c r="C460" s="79">
        <v>244</v>
      </c>
      <c r="D460" s="80">
        <v>43318.583645833336</v>
      </c>
      <c r="E460" s="81">
        <f t="shared" ca="1" si="2"/>
        <v>43313</v>
      </c>
      <c r="F460" s="82">
        <f ca="1">IFERROR(__xludf.DUMMYFUNCTION("""COMPUTED_VALUE"""),0.583645833333333)</f>
        <v>0.58364583333333298</v>
      </c>
      <c r="G460" s="83">
        <f t="shared" ca="1" si="3"/>
        <v>19</v>
      </c>
      <c r="H460" s="83">
        <f ca="1">IFERROR(__xludf.DUMMYFUNCTION("""COMPUTED_VALUE"""),0)</f>
        <v>0</v>
      </c>
      <c r="I460" s="83">
        <f ca="1">IFERROR(__xludf.DUMMYFUNCTION("""COMPUTED_VALUE"""),27)</f>
        <v>27</v>
      </c>
    </row>
    <row r="461" spans="1:9">
      <c r="A461" s="79">
        <v>255</v>
      </c>
      <c r="B461" s="79">
        <v>5</v>
      </c>
      <c r="C461" s="79">
        <v>260</v>
      </c>
      <c r="D461" s="80">
        <v>43318.594004629631</v>
      </c>
      <c r="E461" s="81">
        <f t="shared" ca="1" si="2"/>
        <v>43313</v>
      </c>
      <c r="F461" s="82">
        <f ca="1">IFERROR(__xludf.DUMMYFUNCTION("""COMPUTED_VALUE"""),0.594004629629629)</f>
        <v>0.59400462962962897</v>
      </c>
      <c r="G461" s="83">
        <f t="shared" ca="1" si="3"/>
        <v>19</v>
      </c>
      <c r="H461" s="83">
        <f ca="1">IFERROR(__xludf.DUMMYFUNCTION("""COMPUTED_VALUE"""),15)</f>
        <v>15</v>
      </c>
      <c r="I461" s="83">
        <f ca="1">IFERROR(__xludf.DUMMYFUNCTION("""COMPUTED_VALUE"""),22)</f>
        <v>22</v>
      </c>
    </row>
    <row r="462" spans="1:9">
      <c r="A462" s="79">
        <v>260</v>
      </c>
      <c r="B462" s="79">
        <v>8</v>
      </c>
      <c r="C462" s="79">
        <v>268</v>
      </c>
      <c r="D462" s="80">
        <v>43318.604421296295</v>
      </c>
      <c r="E462" s="81">
        <f t="shared" ca="1" si="2"/>
        <v>43313</v>
      </c>
      <c r="F462" s="82">
        <f ca="1">IFERROR(__xludf.DUMMYFUNCTION("""COMPUTED_VALUE"""),0.604421296296296)</f>
        <v>0.60442129629629604</v>
      </c>
      <c r="G462" s="83">
        <f t="shared" ca="1" si="3"/>
        <v>19</v>
      </c>
      <c r="H462" s="83">
        <f ca="1">IFERROR(__xludf.DUMMYFUNCTION("""COMPUTED_VALUE"""),30)</f>
        <v>30</v>
      </c>
      <c r="I462" s="83">
        <f ca="1">IFERROR(__xludf.DUMMYFUNCTION("""COMPUTED_VALUE"""),22)</f>
        <v>22</v>
      </c>
    </row>
    <row r="463" spans="1:9">
      <c r="A463" s="79">
        <v>285</v>
      </c>
      <c r="B463" s="79">
        <v>6</v>
      </c>
      <c r="C463" s="79">
        <v>291</v>
      </c>
      <c r="D463" s="80">
        <v>43318.614849537036</v>
      </c>
      <c r="E463" s="81">
        <f t="shared" ca="1" si="2"/>
        <v>43313</v>
      </c>
      <c r="F463" s="82">
        <f ca="1">IFERROR(__xludf.DUMMYFUNCTION("""COMPUTED_VALUE"""),0.614849537037037)</f>
        <v>0.61484953703703704</v>
      </c>
      <c r="G463" s="83">
        <f t="shared" ca="1" si="3"/>
        <v>19</v>
      </c>
      <c r="H463" s="83">
        <f ca="1">IFERROR(__xludf.DUMMYFUNCTION("""COMPUTED_VALUE"""),45)</f>
        <v>45</v>
      </c>
      <c r="I463" s="83">
        <f ca="1">IFERROR(__xludf.DUMMYFUNCTION("""COMPUTED_VALUE"""),23)</f>
        <v>23</v>
      </c>
    </row>
    <row r="464" spans="1:9">
      <c r="A464" s="79">
        <v>280</v>
      </c>
      <c r="B464" s="79">
        <v>8</v>
      </c>
      <c r="C464" s="79">
        <v>284</v>
      </c>
      <c r="D464" s="80">
        <v>43318.6252662037</v>
      </c>
      <c r="E464" s="81">
        <f t="shared" ca="1" si="2"/>
        <v>43313</v>
      </c>
      <c r="F464" s="82">
        <f ca="1">IFERROR(__xludf.DUMMYFUNCTION("""COMPUTED_VALUE"""),0.625266203703703)</f>
        <v>0.62526620370370301</v>
      </c>
      <c r="G464" s="83">
        <f t="shared" ca="1" si="3"/>
        <v>19</v>
      </c>
      <c r="H464" s="83">
        <f ca="1">IFERROR(__xludf.DUMMYFUNCTION("""COMPUTED_VALUE"""),0)</f>
        <v>0</v>
      </c>
      <c r="I464" s="83">
        <f ca="1">IFERROR(__xludf.DUMMYFUNCTION("""COMPUTED_VALUE"""),23)</f>
        <v>23</v>
      </c>
    </row>
    <row r="465" spans="1:9">
      <c r="A465" s="79">
        <v>310</v>
      </c>
      <c r="B465" s="79">
        <v>10</v>
      </c>
      <c r="C465" s="79">
        <v>320</v>
      </c>
      <c r="D465" s="80">
        <v>43318.635671296295</v>
      </c>
      <c r="E465" s="81">
        <f t="shared" ca="1" si="2"/>
        <v>43313</v>
      </c>
      <c r="F465" s="82">
        <f ca="1">IFERROR(__xludf.DUMMYFUNCTION("""COMPUTED_VALUE"""),0.635671296296296)</f>
        <v>0.63567129629629604</v>
      </c>
      <c r="G465" s="83">
        <f t="shared" ca="1" si="3"/>
        <v>19</v>
      </c>
      <c r="H465" s="83">
        <f ca="1">IFERROR(__xludf.DUMMYFUNCTION("""COMPUTED_VALUE"""),15)</f>
        <v>15</v>
      </c>
      <c r="I465" s="83">
        <f ca="1">IFERROR(__xludf.DUMMYFUNCTION("""COMPUTED_VALUE"""),22)</f>
        <v>22</v>
      </c>
    </row>
    <row r="466" spans="1:9">
      <c r="A466" s="79">
        <v>301</v>
      </c>
      <c r="B466" s="79">
        <v>9</v>
      </c>
      <c r="C466" s="79">
        <v>310</v>
      </c>
      <c r="D466" s="80">
        <v>43318.646087962959</v>
      </c>
      <c r="E466" s="81">
        <f t="shared" ca="1" si="2"/>
        <v>43313</v>
      </c>
      <c r="F466" s="82">
        <f ca="1">IFERROR(__xludf.DUMMYFUNCTION("""COMPUTED_VALUE"""),0.646087962962963)</f>
        <v>0.646087962962963</v>
      </c>
      <c r="G466" s="83">
        <f t="shared" ca="1" si="3"/>
        <v>19</v>
      </c>
      <c r="H466" s="83">
        <f ca="1">IFERROR(__xludf.DUMMYFUNCTION("""COMPUTED_VALUE"""),30)</f>
        <v>30</v>
      </c>
      <c r="I466" s="83">
        <f ca="1">IFERROR(__xludf.DUMMYFUNCTION("""COMPUTED_VALUE"""),22)</f>
        <v>22</v>
      </c>
    </row>
    <row r="467" spans="1:9">
      <c r="A467" s="79">
        <v>333</v>
      </c>
      <c r="B467" s="79">
        <v>5</v>
      </c>
      <c r="C467" s="79">
        <v>338</v>
      </c>
      <c r="D467" s="80">
        <v>43318.6565162037</v>
      </c>
      <c r="E467" s="81">
        <f t="shared" ca="1" si="2"/>
        <v>43313</v>
      </c>
      <c r="F467" s="82">
        <f ca="1">IFERROR(__xludf.DUMMYFUNCTION("""COMPUTED_VALUE"""),0.656516203703703)</f>
        <v>0.65651620370370301</v>
      </c>
      <c r="G467" s="83">
        <f t="shared" ca="1" si="3"/>
        <v>19</v>
      </c>
      <c r="H467" s="83">
        <f ca="1">IFERROR(__xludf.DUMMYFUNCTION("""COMPUTED_VALUE"""),45)</f>
        <v>45</v>
      </c>
      <c r="I467" s="83">
        <f ca="1">IFERROR(__xludf.DUMMYFUNCTION("""COMPUTED_VALUE"""),23)</f>
        <v>23</v>
      </c>
    </row>
    <row r="468" spans="1:9">
      <c r="A468" s="79">
        <v>285</v>
      </c>
      <c r="B468" s="79">
        <v>6</v>
      </c>
      <c r="C468" s="79">
        <v>291</v>
      </c>
      <c r="D468" s="80">
        <v>43318.666921296295</v>
      </c>
      <c r="E468" s="81">
        <f t="shared" ca="1" si="2"/>
        <v>43313</v>
      </c>
      <c r="F468" s="82">
        <f ca="1">IFERROR(__xludf.DUMMYFUNCTION("""COMPUTED_VALUE"""),0.666921296296296)</f>
        <v>0.66692129629629604</v>
      </c>
      <c r="G468" s="83">
        <f t="shared" ca="1" si="3"/>
        <v>19</v>
      </c>
      <c r="H468" s="83">
        <f ca="1">IFERROR(__xludf.DUMMYFUNCTION("""COMPUTED_VALUE"""),0)</f>
        <v>0</v>
      </c>
      <c r="I468" s="83">
        <f ca="1">IFERROR(__xludf.DUMMYFUNCTION("""COMPUTED_VALUE"""),22)</f>
        <v>22</v>
      </c>
    </row>
    <row r="469" spans="1:9">
      <c r="A469" s="79">
        <v>368</v>
      </c>
      <c r="B469" s="79">
        <v>9</v>
      </c>
      <c r="C469" s="79">
        <v>377</v>
      </c>
      <c r="D469" s="80">
        <v>43318.677337962959</v>
      </c>
      <c r="E469" s="81">
        <f t="shared" ca="1" si="2"/>
        <v>43313</v>
      </c>
      <c r="F469" s="82">
        <f ca="1">IFERROR(__xludf.DUMMYFUNCTION("""COMPUTED_VALUE"""),0.677337962962963)</f>
        <v>0.677337962962963</v>
      </c>
      <c r="G469" s="83">
        <f t="shared" ca="1" si="3"/>
        <v>19</v>
      </c>
      <c r="H469" s="83">
        <f ca="1">IFERROR(__xludf.DUMMYFUNCTION("""COMPUTED_VALUE"""),15)</f>
        <v>15</v>
      </c>
      <c r="I469" s="83">
        <f ca="1">IFERROR(__xludf.DUMMYFUNCTION("""COMPUTED_VALUE"""),22)</f>
        <v>22</v>
      </c>
    </row>
    <row r="470" spans="1:9">
      <c r="A470" s="79">
        <v>344</v>
      </c>
      <c r="B470" s="79">
        <v>11</v>
      </c>
      <c r="C470" s="79">
        <v>355</v>
      </c>
      <c r="D470" s="80">
        <v>43318.687754629631</v>
      </c>
      <c r="E470" s="81">
        <f t="shared" ca="1" si="2"/>
        <v>43313</v>
      </c>
      <c r="F470" s="82">
        <f ca="1">IFERROR(__xludf.DUMMYFUNCTION("""COMPUTED_VALUE"""),0.687754629629629)</f>
        <v>0.68775462962962897</v>
      </c>
      <c r="G470" s="83">
        <f t="shared" ca="1" si="3"/>
        <v>19</v>
      </c>
      <c r="H470" s="83">
        <f ca="1">IFERROR(__xludf.DUMMYFUNCTION("""COMPUTED_VALUE"""),30)</f>
        <v>30</v>
      </c>
      <c r="I470" s="83">
        <f ca="1">IFERROR(__xludf.DUMMYFUNCTION("""COMPUTED_VALUE"""),22)</f>
        <v>22</v>
      </c>
    </row>
    <row r="471" spans="1:9">
      <c r="A471" s="79">
        <v>377</v>
      </c>
      <c r="B471" s="79">
        <v>10</v>
      </c>
      <c r="C471" s="79">
        <v>387</v>
      </c>
      <c r="D471" s="80">
        <v>43318.698171296295</v>
      </c>
      <c r="E471" s="81">
        <f t="shared" ca="1" si="2"/>
        <v>43313</v>
      </c>
      <c r="F471" s="82">
        <f ca="1">IFERROR(__xludf.DUMMYFUNCTION("""COMPUTED_VALUE"""),0.698171296296296)</f>
        <v>0.69817129629629604</v>
      </c>
      <c r="G471" s="83">
        <f t="shared" ca="1" si="3"/>
        <v>19</v>
      </c>
      <c r="H471" s="83">
        <f ca="1">IFERROR(__xludf.DUMMYFUNCTION("""COMPUTED_VALUE"""),45)</f>
        <v>45</v>
      </c>
      <c r="I471" s="83">
        <f ca="1">IFERROR(__xludf.DUMMYFUNCTION("""COMPUTED_VALUE"""),22)</f>
        <v>22</v>
      </c>
    </row>
    <row r="472" spans="1:9">
      <c r="A472" s="79">
        <v>293</v>
      </c>
      <c r="B472" s="79">
        <v>9</v>
      </c>
      <c r="C472" s="79">
        <v>302</v>
      </c>
      <c r="D472" s="80">
        <v>43318.708587962959</v>
      </c>
      <c r="E472" s="81">
        <f t="shared" ca="1" si="2"/>
        <v>43313</v>
      </c>
      <c r="F472" s="82">
        <f ca="1">IFERROR(__xludf.DUMMYFUNCTION("""COMPUTED_VALUE"""),0.708587962962963)</f>
        <v>0.708587962962963</v>
      </c>
      <c r="G472" s="83">
        <f t="shared" ca="1" si="3"/>
        <v>19</v>
      </c>
      <c r="H472" s="83">
        <f ca="1">IFERROR(__xludf.DUMMYFUNCTION("""COMPUTED_VALUE"""),0)</f>
        <v>0</v>
      </c>
      <c r="I472" s="83">
        <f ca="1">IFERROR(__xludf.DUMMYFUNCTION("""COMPUTED_VALUE"""),22)</f>
        <v>22</v>
      </c>
    </row>
    <row r="473" spans="1:9">
      <c r="A473" s="79">
        <v>538</v>
      </c>
      <c r="B473" s="79">
        <v>16</v>
      </c>
      <c r="C473" s="79">
        <v>554</v>
      </c>
      <c r="D473" s="80">
        <v>43318.719004629631</v>
      </c>
      <c r="E473" s="81">
        <f t="shared" ca="1" si="2"/>
        <v>43313</v>
      </c>
      <c r="F473" s="82">
        <f ca="1">IFERROR(__xludf.DUMMYFUNCTION("""COMPUTED_VALUE"""),0.719004629629629)</f>
        <v>0.71900462962962897</v>
      </c>
      <c r="G473" s="83">
        <f t="shared" ca="1" si="3"/>
        <v>19</v>
      </c>
      <c r="H473" s="83">
        <f ca="1">IFERROR(__xludf.DUMMYFUNCTION("""COMPUTED_VALUE"""),15)</f>
        <v>15</v>
      </c>
      <c r="I473" s="83">
        <f ca="1">IFERROR(__xludf.DUMMYFUNCTION("""COMPUTED_VALUE"""),22)</f>
        <v>22</v>
      </c>
    </row>
    <row r="474" spans="1:9">
      <c r="A474" s="79">
        <v>382</v>
      </c>
      <c r="B474" s="79">
        <v>15</v>
      </c>
      <c r="C474" s="79">
        <v>397</v>
      </c>
      <c r="D474" s="80">
        <v>43318.729421296295</v>
      </c>
      <c r="E474" s="81">
        <f t="shared" ca="1" si="2"/>
        <v>43313</v>
      </c>
      <c r="F474" s="82">
        <f ca="1">IFERROR(__xludf.DUMMYFUNCTION("""COMPUTED_VALUE"""),0.729421296296296)</f>
        <v>0.72942129629629604</v>
      </c>
      <c r="G474" s="83">
        <f t="shared" ca="1" si="3"/>
        <v>19</v>
      </c>
      <c r="H474" s="83">
        <f ca="1">IFERROR(__xludf.DUMMYFUNCTION("""COMPUTED_VALUE"""),30)</f>
        <v>30</v>
      </c>
      <c r="I474" s="83">
        <f ca="1">IFERROR(__xludf.DUMMYFUNCTION("""COMPUTED_VALUE"""),22)</f>
        <v>22</v>
      </c>
    </row>
    <row r="475" spans="1:9">
      <c r="A475" s="79">
        <v>357</v>
      </c>
      <c r="B475" s="79">
        <v>12</v>
      </c>
      <c r="C475" s="79">
        <v>369</v>
      </c>
      <c r="D475" s="80">
        <v>43318.739837962959</v>
      </c>
      <c r="E475" s="81">
        <f t="shared" ca="1" si="2"/>
        <v>43313</v>
      </c>
      <c r="F475" s="82">
        <f ca="1">IFERROR(__xludf.DUMMYFUNCTION("""COMPUTED_VALUE"""),0.739837962962963)</f>
        <v>0.739837962962963</v>
      </c>
      <c r="G475" s="83">
        <f t="shared" ca="1" si="3"/>
        <v>19</v>
      </c>
      <c r="H475" s="83">
        <f ca="1">IFERROR(__xludf.DUMMYFUNCTION("""COMPUTED_VALUE"""),45)</f>
        <v>45</v>
      </c>
      <c r="I475" s="83">
        <f ca="1">IFERROR(__xludf.DUMMYFUNCTION("""COMPUTED_VALUE"""),22)</f>
        <v>22</v>
      </c>
    </row>
    <row r="476" spans="1:9">
      <c r="A476" s="79">
        <v>349</v>
      </c>
      <c r="B476" s="79">
        <v>10</v>
      </c>
      <c r="C476" s="79">
        <v>357</v>
      </c>
      <c r="D476" s="80">
        <v>43318.7502662037</v>
      </c>
      <c r="E476" s="81">
        <f t="shared" ca="1" si="2"/>
        <v>43313</v>
      </c>
      <c r="F476" s="82">
        <f ca="1">IFERROR(__xludf.DUMMYFUNCTION("""COMPUTED_VALUE"""),0.750266203703703)</f>
        <v>0.75026620370370301</v>
      </c>
      <c r="G476" s="83">
        <f t="shared" ca="1" si="3"/>
        <v>19</v>
      </c>
      <c r="H476" s="83">
        <f ca="1">IFERROR(__xludf.DUMMYFUNCTION("""COMPUTED_VALUE"""),0)</f>
        <v>0</v>
      </c>
      <c r="I476" s="83">
        <f ca="1">IFERROR(__xludf.DUMMYFUNCTION("""COMPUTED_VALUE"""),23)</f>
        <v>23</v>
      </c>
    </row>
    <row r="477" spans="1:9">
      <c r="A477" s="79">
        <v>426</v>
      </c>
      <c r="B477" s="79">
        <v>9</v>
      </c>
      <c r="C477" s="79">
        <v>435</v>
      </c>
      <c r="D477" s="80">
        <v>43318.760671296295</v>
      </c>
      <c r="E477" s="81">
        <f t="shared" ca="1" si="2"/>
        <v>43313</v>
      </c>
      <c r="F477" s="82">
        <f ca="1">IFERROR(__xludf.DUMMYFUNCTION("""COMPUTED_VALUE"""),0.760671296296296)</f>
        <v>0.76067129629629604</v>
      </c>
      <c r="G477" s="83">
        <f t="shared" ca="1" si="3"/>
        <v>19</v>
      </c>
      <c r="H477" s="83">
        <f ca="1">IFERROR(__xludf.DUMMYFUNCTION("""COMPUTED_VALUE"""),15)</f>
        <v>15</v>
      </c>
      <c r="I477" s="83">
        <f ca="1">IFERROR(__xludf.DUMMYFUNCTION("""COMPUTED_VALUE"""),22)</f>
        <v>22</v>
      </c>
    </row>
    <row r="478" spans="1:9">
      <c r="A478" s="79">
        <v>392</v>
      </c>
      <c r="B478" s="79">
        <v>8</v>
      </c>
      <c r="C478" s="79">
        <v>392</v>
      </c>
      <c r="D478" s="80">
        <v>43318.771087962959</v>
      </c>
      <c r="E478" s="81">
        <f t="shared" ca="1" si="2"/>
        <v>43313</v>
      </c>
      <c r="F478" s="82">
        <f ca="1">IFERROR(__xludf.DUMMYFUNCTION("""COMPUTED_VALUE"""),0.771087962962963)</f>
        <v>0.771087962962963</v>
      </c>
      <c r="G478" s="83">
        <f t="shared" ca="1" si="3"/>
        <v>19</v>
      </c>
      <c r="H478" s="83">
        <f ca="1">IFERROR(__xludf.DUMMYFUNCTION("""COMPUTED_VALUE"""),30)</f>
        <v>30</v>
      </c>
      <c r="I478" s="83">
        <f ca="1">IFERROR(__xludf.DUMMYFUNCTION("""COMPUTED_VALUE"""),22)</f>
        <v>22</v>
      </c>
    </row>
    <row r="479" spans="1:9">
      <c r="A479" s="79">
        <v>392</v>
      </c>
      <c r="B479" s="79">
        <v>9</v>
      </c>
      <c r="C479" s="79">
        <v>401</v>
      </c>
      <c r="D479" s="80">
        <v>43318.781504629631</v>
      </c>
      <c r="E479" s="81">
        <f t="shared" ca="1" si="2"/>
        <v>43313</v>
      </c>
      <c r="F479" s="82">
        <f ca="1">IFERROR(__xludf.DUMMYFUNCTION("""COMPUTED_VALUE"""),0.781504629629629)</f>
        <v>0.78150462962962897</v>
      </c>
      <c r="G479" s="83">
        <f t="shared" ca="1" si="3"/>
        <v>19</v>
      </c>
      <c r="H479" s="83">
        <f ca="1">IFERROR(__xludf.DUMMYFUNCTION("""COMPUTED_VALUE"""),45)</f>
        <v>45</v>
      </c>
      <c r="I479" s="83">
        <f ca="1">IFERROR(__xludf.DUMMYFUNCTION("""COMPUTED_VALUE"""),22)</f>
        <v>22</v>
      </c>
    </row>
    <row r="480" spans="1:9">
      <c r="A480" s="79">
        <v>380</v>
      </c>
      <c r="B480" s="79">
        <v>13</v>
      </c>
      <c r="C480" s="79">
        <v>393</v>
      </c>
      <c r="D480" s="80">
        <v>43318.791921296295</v>
      </c>
      <c r="E480" s="81">
        <f t="shared" ca="1" si="2"/>
        <v>43313</v>
      </c>
      <c r="F480" s="82">
        <f ca="1">IFERROR(__xludf.DUMMYFUNCTION("""COMPUTED_VALUE"""),0.791921296296296)</f>
        <v>0.79192129629629604</v>
      </c>
      <c r="G480" s="83">
        <f t="shared" ca="1" si="3"/>
        <v>19</v>
      </c>
      <c r="H480" s="83">
        <f ca="1">IFERROR(__xludf.DUMMYFUNCTION("""COMPUTED_VALUE"""),0)</f>
        <v>0</v>
      </c>
      <c r="I480" s="83">
        <f ca="1">IFERROR(__xludf.DUMMYFUNCTION("""COMPUTED_VALUE"""),22)</f>
        <v>22</v>
      </c>
    </row>
    <row r="481" spans="1:9">
      <c r="A481" s="79">
        <v>490</v>
      </c>
      <c r="B481" s="79">
        <v>14</v>
      </c>
      <c r="C481" s="79">
        <v>504</v>
      </c>
      <c r="D481" s="80">
        <v>43318.802337962959</v>
      </c>
      <c r="E481" s="81">
        <f t="shared" ca="1" si="2"/>
        <v>43313</v>
      </c>
      <c r="F481" s="82">
        <f ca="1">IFERROR(__xludf.DUMMYFUNCTION("""COMPUTED_VALUE"""),0.802337962962963)</f>
        <v>0.802337962962963</v>
      </c>
      <c r="G481" s="83">
        <f t="shared" ca="1" si="3"/>
        <v>19</v>
      </c>
      <c r="H481" s="83">
        <f ca="1">IFERROR(__xludf.DUMMYFUNCTION("""COMPUTED_VALUE"""),15)</f>
        <v>15</v>
      </c>
      <c r="I481" s="83">
        <f ca="1">IFERROR(__xludf.DUMMYFUNCTION("""COMPUTED_VALUE"""),22)</f>
        <v>22</v>
      </c>
    </row>
    <row r="482" spans="1:9">
      <c r="A482" s="79">
        <v>515</v>
      </c>
      <c r="B482" s="79">
        <v>6</v>
      </c>
      <c r="C482" s="79">
        <v>521</v>
      </c>
      <c r="D482" s="80">
        <v>43318.812754629631</v>
      </c>
      <c r="E482" s="81">
        <f t="shared" ca="1" si="2"/>
        <v>43313</v>
      </c>
      <c r="F482" s="82">
        <f ca="1">IFERROR(__xludf.DUMMYFUNCTION("""COMPUTED_VALUE"""),0.812754629629629)</f>
        <v>0.81275462962962897</v>
      </c>
      <c r="G482" s="83">
        <f t="shared" ca="1" si="3"/>
        <v>19</v>
      </c>
      <c r="H482" s="83">
        <f ca="1">IFERROR(__xludf.DUMMYFUNCTION("""COMPUTED_VALUE"""),30)</f>
        <v>30</v>
      </c>
      <c r="I482" s="83">
        <f ca="1">IFERROR(__xludf.DUMMYFUNCTION("""COMPUTED_VALUE"""),22)</f>
        <v>22</v>
      </c>
    </row>
    <row r="483" spans="1:9">
      <c r="A483" s="79">
        <v>534</v>
      </c>
      <c r="B483" s="79">
        <v>11</v>
      </c>
      <c r="C483" s="79">
        <v>545</v>
      </c>
      <c r="D483" s="80">
        <v>43318.823171296295</v>
      </c>
      <c r="E483" s="81">
        <f t="shared" ca="1" si="2"/>
        <v>43313</v>
      </c>
      <c r="F483" s="82">
        <f ca="1">IFERROR(__xludf.DUMMYFUNCTION("""COMPUTED_VALUE"""),0.823171296296296)</f>
        <v>0.82317129629629604</v>
      </c>
      <c r="G483" s="83">
        <f t="shared" ca="1" si="3"/>
        <v>19</v>
      </c>
      <c r="H483" s="83">
        <f ca="1">IFERROR(__xludf.DUMMYFUNCTION("""COMPUTED_VALUE"""),45)</f>
        <v>45</v>
      </c>
      <c r="I483" s="83">
        <f ca="1">IFERROR(__xludf.DUMMYFUNCTION("""COMPUTED_VALUE"""),22)</f>
        <v>22</v>
      </c>
    </row>
    <row r="484" spans="1:9">
      <c r="A484" s="79">
        <v>544</v>
      </c>
      <c r="B484" s="79">
        <v>10</v>
      </c>
      <c r="C484" s="79">
        <v>554</v>
      </c>
      <c r="D484" s="80">
        <v>43318.833622685182</v>
      </c>
      <c r="E484" s="81">
        <f t="shared" ca="1" si="2"/>
        <v>43313</v>
      </c>
      <c r="F484" s="82">
        <f ca="1">IFERROR(__xludf.DUMMYFUNCTION("""COMPUTED_VALUE"""),0.833622685185185)</f>
        <v>0.83362268518518501</v>
      </c>
      <c r="G484" s="83">
        <f t="shared" ca="1" si="3"/>
        <v>19</v>
      </c>
      <c r="H484" s="83">
        <f ca="1">IFERROR(__xludf.DUMMYFUNCTION("""COMPUTED_VALUE"""),0)</f>
        <v>0</v>
      </c>
      <c r="I484" s="83">
        <f ca="1">IFERROR(__xludf.DUMMYFUNCTION("""COMPUTED_VALUE"""),25)</f>
        <v>25</v>
      </c>
    </row>
    <row r="485" spans="1:9">
      <c r="A485" s="79">
        <v>744</v>
      </c>
      <c r="B485" s="79">
        <v>10</v>
      </c>
      <c r="C485" s="79">
        <v>754</v>
      </c>
      <c r="D485" s="80">
        <v>43318.844004629631</v>
      </c>
      <c r="E485" s="81">
        <f t="shared" ca="1" si="2"/>
        <v>43313</v>
      </c>
      <c r="F485" s="82">
        <f ca="1">IFERROR(__xludf.DUMMYFUNCTION("""COMPUTED_VALUE"""),0.844004629629629)</f>
        <v>0.84400462962962897</v>
      </c>
      <c r="G485" s="83">
        <f t="shared" ca="1" si="3"/>
        <v>19</v>
      </c>
      <c r="H485" s="83">
        <f ca="1">IFERROR(__xludf.DUMMYFUNCTION("""COMPUTED_VALUE"""),15)</f>
        <v>15</v>
      </c>
      <c r="I485" s="83">
        <f ca="1">IFERROR(__xludf.DUMMYFUNCTION("""COMPUTED_VALUE"""),22)</f>
        <v>22</v>
      </c>
    </row>
    <row r="486" spans="1:9">
      <c r="A486" s="79">
        <v>690</v>
      </c>
      <c r="B486" s="79">
        <v>9</v>
      </c>
      <c r="C486" s="79">
        <v>699</v>
      </c>
      <c r="D486" s="80">
        <v>43318.854409722226</v>
      </c>
      <c r="E486" s="81">
        <f t="shared" ca="1" si="2"/>
        <v>43313</v>
      </c>
      <c r="F486" s="82">
        <f ca="1">IFERROR(__xludf.DUMMYFUNCTION("""COMPUTED_VALUE"""),0.854409722222222)</f>
        <v>0.854409722222222</v>
      </c>
      <c r="G486" s="83">
        <f t="shared" ca="1" si="3"/>
        <v>19</v>
      </c>
      <c r="H486" s="83">
        <f ca="1">IFERROR(__xludf.DUMMYFUNCTION("""COMPUTED_VALUE"""),30)</f>
        <v>30</v>
      </c>
      <c r="I486" s="83">
        <f ca="1">IFERROR(__xludf.DUMMYFUNCTION("""COMPUTED_VALUE"""),21)</f>
        <v>21</v>
      </c>
    </row>
    <row r="487" spans="1:9">
      <c r="A487" s="79">
        <v>680</v>
      </c>
      <c r="B487" s="79">
        <v>12</v>
      </c>
      <c r="C487" s="79">
        <v>692</v>
      </c>
      <c r="D487" s="80">
        <v>43318.86482638889</v>
      </c>
      <c r="E487" s="81">
        <f t="shared" ca="1" si="2"/>
        <v>43313</v>
      </c>
      <c r="F487" s="82">
        <f ca="1">IFERROR(__xludf.DUMMYFUNCTION("""COMPUTED_VALUE"""),0.864826388888888)</f>
        <v>0.86482638888888796</v>
      </c>
      <c r="G487" s="83">
        <f t="shared" ca="1" si="3"/>
        <v>19</v>
      </c>
      <c r="H487" s="83">
        <f ca="1">IFERROR(__xludf.DUMMYFUNCTION("""COMPUTED_VALUE"""),45)</f>
        <v>45</v>
      </c>
      <c r="I487" s="83">
        <f ca="1">IFERROR(__xludf.DUMMYFUNCTION("""COMPUTED_VALUE"""),21)</f>
        <v>21</v>
      </c>
    </row>
    <row r="488" spans="1:9">
      <c r="A488" s="79">
        <v>626</v>
      </c>
      <c r="B488" s="79">
        <v>5</v>
      </c>
      <c r="C488" s="79">
        <v>631</v>
      </c>
      <c r="D488" s="80">
        <v>43318.875289351854</v>
      </c>
      <c r="E488" s="81">
        <f t="shared" ca="1" si="2"/>
        <v>43313</v>
      </c>
      <c r="F488" s="82">
        <f ca="1">IFERROR(__xludf.DUMMYFUNCTION("""COMPUTED_VALUE"""),0.875289351851851)</f>
        <v>0.87528935185185097</v>
      </c>
      <c r="G488" s="83">
        <f t="shared" ca="1" si="3"/>
        <v>19</v>
      </c>
      <c r="H488" s="83">
        <f ca="1">IFERROR(__xludf.DUMMYFUNCTION("""COMPUTED_VALUE"""),0)</f>
        <v>0</v>
      </c>
      <c r="I488" s="83">
        <f ca="1">IFERROR(__xludf.DUMMYFUNCTION("""COMPUTED_VALUE"""),25)</f>
        <v>25</v>
      </c>
    </row>
    <row r="489" spans="1:9">
      <c r="A489" s="79">
        <v>598</v>
      </c>
      <c r="B489" s="79">
        <v>6</v>
      </c>
      <c r="C489" s="79">
        <v>604</v>
      </c>
      <c r="D489" s="80">
        <v>43318.885659722226</v>
      </c>
      <c r="E489" s="81">
        <f t="shared" ca="1" si="2"/>
        <v>43313</v>
      </c>
      <c r="F489" s="82">
        <f ca="1">IFERROR(__xludf.DUMMYFUNCTION("""COMPUTED_VALUE"""),0.885659722222222)</f>
        <v>0.885659722222222</v>
      </c>
      <c r="G489" s="83">
        <f t="shared" ca="1" si="3"/>
        <v>19</v>
      </c>
      <c r="H489" s="83">
        <f ca="1">IFERROR(__xludf.DUMMYFUNCTION("""COMPUTED_VALUE"""),15)</f>
        <v>15</v>
      </c>
      <c r="I489" s="83">
        <f ca="1">IFERROR(__xludf.DUMMYFUNCTION("""COMPUTED_VALUE"""),21)</f>
        <v>21</v>
      </c>
    </row>
    <row r="490" spans="1:9">
      <c r="A490" s="79">
        <v>569</v>
      </c>
      <c r="B490" s="79">
        <v>10</v>
      </c>
      <c r="C490" s="79">
        <v>579</v>
      </c>
      <c r="D490" s="80">
        <v>43318.896087962959</v>
      </c>
      <c r="E490" s="81">
        <f t="shared" ca="1" si="2"/>
        <v>43313</v>
      </c>
      <c r="F490" s="82">
        <f ca="1">IFERROR(__xludf.DUMMYFUNCTION("""COMPUTED_VALUE"""),0.896087962962963)</f>
        <v>0.896087962962963</v>
      </c>
      <c r="G490" s="83">
        <f t="shared" ca="1" si="3"/>
        <v>19</v>
      </c>
      <c r="H490" s="83">
        <f ca="1">IFERROR(__xludf.DUMMYFUNCTION("""COMPUTED_VALUE"""),30)</f>
        <v>30</v>
      </c>
      <c r="I490" s="83">
        <f ca="1">IFERROR(__xludf.DUMMYFUNCTION("""COMPUTED_VALUE"""),22)</f>
        <v>22</v>
      </c>
    </row>
    <row r="491" spans="1:9">
      <c r="A491" s="79">
        <v>600</v>
      </c>
      <c r="B491" s="79">
        <v>9</v>
      </c>
      <c r="C491" s="79">
        <v>609</v>
      </c>
      <c r="D491" s="80">
        <v>43318.906504629631</v>
      </c>
      <c r="E491" s="81">
        <f t="shared" ca="1" si="2"/>
        <v>43313</v>
      </c>
      <c r="F491" s="82">
        <f ca="1">IFERROR(__xludf.DUMMYFUNCTION("""COMPUTED_VALUE"""),0.906504629629629)</f>
        <v>0.90650462962962897</v>
      </c>
      <c r="G491" s="83">
        <f t="shared" ca="1" si="3"/>
        <v>19</v>
      </c>
      <c r="H491" s="83">
        <f ca="1">IFERROR(__xludf.DUMMYFUNCTION("""COMPUTED_VALUE"""),45)</f>
        <v>45</v>
      </c>
      <c r="I491" s="83">
        <f ca="1">IFERROR(__xludf.DUMMYFUNCTION("""COMPUTED_VALUE"""),22)</f>
        <v>22</v>
      </c>
    </row>
    <row r="492" spans="1:9">
      <c r="A492" s="79">
        <v>487</v>
      </c>
      <c r="B492" s="79">
        <v>9</v>
      </c>
      <c r="C492" s="79">
        <v>496</v>
      </c>
      <c r="D492" s="80">
        <v>43318.916956018518</v>
      </c>
      <c r="E492" s="81">
        <f t="shared" ca="1" si="2"/>
        <v>43313</v>
      </c>
      <c r="F492" s="82">
        <f ca="1">IFERROR(__xludf.DUMMYFUNCTION("""COMPUTED_VALUE"""),0.916956018518518)</f>
        <v>0.91695601851851805</v>
      </c>
      <c r="G492" s="83">
        <f t="shared" ca="1" si="3"/>
        <v>19</v>
      </c>
      <c r="H492" s="83">
        <f ca="1">IFERROR(__xludf.DUMMYFUNCTION("""COMPUTED_VALUE"""),0)</f>
        <v>0</v>
      </c>
      <c r="I492" s="83">
        <f ca="1">IFERROR(__xludf.DUMMYFUNCTION("""COMPUTED_VALUE"""),25)</f>
        <v>25</v>
      </c>
    </row>
    <row r="493" spans="1:9">
      <c r="A493" s="79">
        <v>560</v>
      </c>
      <c r="B493" s="79">
        <v>9</v>
      </c>
      <c r="C493" s="79">
        <v>569</v>
      </c>
      <c r="D493" s="80">
        <v>43318.92732638889</v>
      </c>
      <c r="E493" s="81">
        <f t="shared" ca="1" si="2"/>
        <v>43313</v>
      </c>
      <c r="F493" s="82">
        <f ca="1">IFERROR(__xludf.DUMMYFUNCTION("""COMPUTED_VALUE"""),0.927326388888888)</f>
        <v>0.92732638888888796</v>
      </c>
      <c r="G493" s="83">
        <f t="shared" ca="1" si="3"/>
        <v>19</v>
      </c>
      <c r="H493" s="83">
        <f ca="1">IFERROR(__xludf.DUMMYFUNCTION("""COMPUTED_VALUE"""),15)</f>
        <v>15</v>
      </c>
      <c r="I493" s="83">
        <f ca="1">IFERROR(__xludf.DUMMYFUNCTION("""COMPUTED_VALUE"""),21)</f>
        <v>21</v>
      </c>
    </row>
    <row r="494" spans="1:9">
      <c r="A494" s="79">
        <v>544</v>
      </c>
      <c r="B494" s="79">
        <v>8</v>
      </c>
      <c r="C494" s="79">
        <v>552</v>
      </c>
      <c r="D494" s="80">
        <v>43318.937754629631</v>
      </c>
      <c r="E494" s="81">
        <f t="shared" ca="1" si="2"/>
        <v>43313</v>
      </c>
      <c r="F494" s="82">
        <f ca="1">IFERROR(__xludf.DUMMYFUNCTION("""COMPUTED_VALUE"""),0.937754629629629)</f>
        <v>0.93775462962962897</v>
      </c>
      <c r="G494" s="83">
        <f t="shared" ca="1" si="3"/>
        <v>19</v>
      </c>
      <c r="H494" s="83">
        <f ca="1">IFERROR(__xludf.DUMMYFUNCTION("""COMPUTED_VALUE"""),30)</f>
        <v>30</v>
      </c>
      <c r="I494" s="83">
        <f ca="1">IFERROR(__xludf.DUMMYFUNCTION("""COMPUTED_VALUE"""),22)</f>
        <v>22</v>
      </c>
    </row>
    <row r="495" spans="1:9">
      <c r="A495" s="79">
        <v>498</v>
      </c>
      <c r="B495" s="79">
        <v>7</v>
      </c>
      <c r="C495" s="79">
        <v>505</v>
      </c>
      <c r="D495" s="80">
        <v>43318.948171296295</v>
      </c>
      <c r="E495" s="81">
        <f t="shared" ca="1" si="2"/>
        <v>43313</v>
      </c>
      <c r="F495" s="82">
        <f ca="1">IFERROR(__xludf.DUMMYFUNCTION("""COMPUTED_VALUE"""),0.948171296296296)</f>
        <v>0.94817129629629604</v>
      </c>
      <c r="G495" s="83">
        <f t="shared" ca="1" si="3"/>
        <v>19</v>
      </c>
      <c r="H495" s="83">
        <f ca="1">IFERROR(__xludf.DUMMYFUNCTION("""COMPUTED_VALUE"""),45)</f>
        <v>45</v>
      </c>
      <c r="I495" s="83">
        <f ca="1">IFERROR(__xludf.DUMMYFUNCTION("""COMPUTED_VALUE"""),22)</f>
        <v>22</v>
      </c>
    </row>
    <row r="496" spans="1:9">
      <c r="A496" s="79">
        <v>457</v>
      </c>
      <c r="B496" s="79">
        <v>5</v>
      </c>
      <c r="C496" s="79">
        <v>462</v>
      </c>
      <c r="D496" s="80">
        <v>43318.958634259259</v>
      </c>
      <c r="E496" s="81">
        <f t="shared" ca="1" si="2"/>
        <v>43313</v>
      </c>
      <c r="F496" s="82">
        <f ca="1">IFERROR(__xludf.DUMMYFUNCTION("""COMPUTED_VALUE"""),0.958634259259259)</f>
        <v>0.95863425925925905</v>
      </c>
      <c r="G496" s="83">
        <f t="shared" ca="1" si="3"/>
        <v>19</v>
      </c>
      <c r="H496" s="83">
        <f ca="1">IFERROR(__xludf.DUMMYFUNCTION("""COMPUTED_VALUE"""),0)</f>
        <v>0</v>
      </c>
      <c r="I496" s="83">
        <f ca="1">IFERROR(__xludf.DUMMYFUNCTION("""COMPUTED_VALUE"""),26)</f>
        <v>26</v>
      </c>
    </row>
    <row r="497" spans="1:9">
      <c r="A497" s="79">
        <v>449</v>
      </c>
      <c r="B497" s="79">
        <v>8</v>
      </c>
      <c r="C497" s="79">
        <v>457</v>
      </c>
      <c r="D497" s="80">
        <v>43318.968993055554</v>
      </c>
      <c r="E497" s="81">
        <f t="shared" ca="1" si="2"/>
        <v>43313</v>
      </c>
      <c r="F497" s="82">
        <f ca="1">IFERROR(__xludf.DUMMYFUNCTION("""COMPUTED_VALUE"""),0.968993055555555)</f>
        <v>0.96899305555555504</v>
      </c>
      <c r="G497" s="83">
        <f t="shared" ca="1" si="3"/>
        <v>19</v>
      </c>
      <c r="H497" s="83">
        <f ca="1">IFERROR(__xludf.DUMMYFUNCTION("""COMPUTED_VALUE"""),15)</f>
        <v>15</v>
      </c>
      <c r="I497" s="83">
        <f ca="1">IFERROR(__xludf.DUMMYFUNCTION("""COMPUTED_VALUE"""),21)</f>
        <v>21</v>
      </c>
    </row>
    <row r="498" spans="1:9">
      <c r="A498" s="79">
        <v>415</v>
      </c>
      <c r="B498" s="79">
        <v>2</v>
      </c>
      <c r="C498" s="79">
        <v>417</v>
      </c>
      <c r="D498" s="80">
        <v>43318.979409722226</v>
      </c>
      <c r="E498" s="81">
        <f t="shared" ca="1" si="2"/>
        <v>43313</v>
      </c>
      <c r="F498" s="82">
        <f ca="1">IFERROR(__xludf.DUMMYFUNCTION("""COMPUTED_VALUE"""),0.979409722222222)</f>
        <v>0.979409722222222</v>
      </c>
      <c r="G498" s="83">
        <f t="shared" ca="1" si="3"/>
        <v>19</v>
      </c>
      <c r="H498" s="83">
        <f ca="1">IFERROR(__xludf.DUMMYFUNCTION("""COMPUTED_VALUE"""),30)</f>
        <v>30</v>
      </c>
      <c r="I498" s="83">
        <f ca="1">IFERROR(__xludf.DUMMYFUNCTION("""COMPUTED_VALUE"""),21)</f>
        <v>21</v>
      </c>
    </row>
    <row r="499" spans="1:9">
      <c r="A499" s="79">
        <v>420</v>
      </c>
      <c r="B499" s="79">
        <v>3</v>
      </c>
      <c r="C499" s="79">
        <v>423</v>
      </c>
      <c r="D499" s="80">
        <v>43318.98982638889</v>
      </c>
      <c r="E499" s="81">
        <f t="shared" ca="1" si="2"/>
        <v>43313</v>
      </c>
      <c r="F499" s="82">
        <f ca="1">IFERROR(__xludf.DUMMYFUNCTION("""COMPUTED_VALUE"""),0.989826388888888)</f>
        <v>0.98982638888888796</v>
      </c>
      <c r="G499" s="83">
        <f t="shared" ca="1" si="3"/>
        <v>19</v>
      </c>
      <c r="H499" s="83">
        <f ca="1">IFERROR(__xludf.DUMMYFUNCTION("""COMPUTED_VALUE"""),45)</f>
        <v>45</v>
      </c>
      <c r="I499" s="83">
        <f ca="1">IFERROR(__xludf.DUMMYFUNCTION("""COMPUTED_VALUE"""),21)</f>
        <v>21</v>
      </c>
    </row>
    <row r="500" spans="1:9">
      <c r="A500" s="79">
        <v>335</v>
      </c>
      <c r="B500" s="79">
        <v>3</v>
      </c>
      <c r="C500" s="79">
        <v>338</v>
      </c>
      <c r="D500" s="80">
        <v>43319.0002662037</v>
      </c>
      <c r="E500" s="81">
        <f t="shared" ca="1" si="2"/>
        <v>43313</v>
      </c>
      <c r="F500" s="82">
        <f ca="1">IFERROR(__xludf.DUMMYFUNCTION("""COMPUTED_VALUE"""),0.000266203703703703)</f>
        <v>2.6620370370370301E-4</v>
      </c>
      <c r="G500" s="83">
        <f t="shared" ca="1" si="3"/>
        <v>19</v>
      </c>
      <c r="H500" s="83">
        <f ca="1">IFERROR(__xludf.DUMMYFUNCTION("""COMPUTED_VALUE"""),0)</f>
        <v>0</v>
      </c>
      <c r="I500" s="83">
        <f ca="1">IFERROR(__xludf.DUMMYFUNCTION("""COMPUTED_VALUE"""),23)</f>
        <v>23</v>
      </c>
    </row>
    <row r="501" spans="1:9">
      <c r="A501" s="79">
        <v>376</v>
      </c>
      <c r="B501" s="79">
        <v>7</v>
      </c>
      <c r="C501" s="79">
        <v>383</v>
      </c>
      <c r="D501" s="80">
        <v>43319.010682870372</v>
      </c>
      <c r="E501" s="81">
        <f t="shared" ca="1" si="2"/>
        <v>43313</v>
      </c>
      <c r="F501" s="82">
        <f ca="1">IFERROR(__xludf.DUMMYFUNCTION("""COMPUTED_VALUE"""),0.0106828703703703)</f>
        <v>1.0682870370370299E-2</v>
      </c>
      <c r="G501" s="83">
        <f t="shared" ca="1" si="3"/>
        <v>19</v>
      </c>
      <c r="H501" s="83">
        <f ca="1">IFERROR(__xludf.DUMMYFUNCTION("""COMPUTED_VALUE"""),15)</f>
        <v>15</v>
      </c>
      <c r="I501" s="83">
        <f ca="1">IFERROR(__xludf.DUMMYFUNCTION("""COMPUTED_VALUE"""),23)</f>
        <v>23</v>
      </c>
    </row>
    <row r="502" spans="1:9">
      <c r="A502" s="79">
        <v>324</v>
      </c>
      <c r="B502" s="79">
        <v>3</v>
      </c>
      <c r="C502" s="79">
        <v>327</v>
      </c>
      <c r="D502" s="80">
        <v>43319.02107638889</v>
      </c>
      <c r="E502" s="81">
        <f t="shared" ca="1" si="2"/>
        <v>43313</v>
      </c>
      <c r="F502" s="82">
        <f ca="1">IFERROR(__xludf.DUMMYFUNCTION("""COMPUTED_VALUE"""),0.0210763888888888)</f>
        <v>2.1076388888888801E-2</v>
      </c>
      <c r="G502" s="83">
        <f t="shared" ca="1" si="3"/>
        <v>19</v>
      </c>
      <c r="H502" s="83">
        <f ca="1">IFERROR(__xludf.DUMMYFUNCTION("""COMPUTED_VALUE"""),30)</f>
        <v>30</v>
      </c>
      <c r="I502" s="83">
        <f ca="1">IFERROR(__xludf.DUMMYFUNCTION("""COMPUTED_VALUE"""),21)</f>
        <v>21</v>
      </c>
    </row>
    <row r="503" spans="1:9">
      <c r="A503" s="79">
        <v>285</v>
      </c>
      <c r="B503" s="79">
        <v>4</v>
      </c>
      <c r="C503" s="79">
        <v>289</v>
      </c>
      <c r="D503" s="80">
        <v>43319.031493055554</v>
      </c>
      <c r="E503" s="81">
        <f t="shared" ca="1" si="2"/>
        <v>43313</v>
      </c>
      <c r="F503" s="82">
        <f ca="1">IFERROR(__xludf.DUMMYFUNCTION("""COMPUTED_VALUE"""),0.0314930555555555)</f>
        <v>3.1493055555555503E-2</v>
      </c>
      <c r="G503" s="83">
        <f t="shared" ca="1" si="3"/>
        <v>19</v>
      </c>
      <c r="H503" s="83">
        <f ca="1">IFERROR(__xludf.DUMMYFUNCTION("""COMPUTED_VALUE"""),45)</f>
        <v>45</v>
      </c>
      <c r="I503" s="83">
        <f ca="1">IFERROR(__xludf.DUMMYFUNCTION("""COMPUTED_VALUE"""),21)</f>
        <v>21</v>
      </c>
    </row>
    <row r="504" spans="1:9">
      <c r="A504" s="79">
        <v>228</v>
      </c>
      <c r="B504" s="79">
        <v>6</v>
      </c>
      <c r="C504" s="79">
        <v>234</v>
      </c>
      <c r="D504" s="80">
        <v>43319.041932870372</v>
      </c>
      <c r="E504" s="81">
        <f t="shared" ca="1" si="2"/>
        <v>43313</v>
      </c>
      <c r="F504" s="82">
        <f ca="1">IFERROR(__xludf.DUMMYFUNCTION("""COMPUTED_VALUE"""),0.0419328703703703)</f>
        <v>4.1932870370370301E-2</v>
      </c>
      <c r="G504" s="83">
        <f t="shared" ca="1" si="3"/>
        <v>19</v>
      </c>
      <c r="H504" s="83">
        <f ca="1">IFERROR(__xludf.DUMMYFUNCTION("""COMPUTED_VALUE"""),0)</f>
        <v>0</v>
      </c>
      <c r="I504" s="83">
        <f ca="1">IFERROR(__xludf.DUMMYFUNCTION("""COMPUTED_VALUE"""),23)</f>
        <v>23</v>
      </c>
    </row>
    <row r="505" spans="1:9">
      <c r="A505" s="79">
        <v>221</v>
      </c>
      <c r="B505" s="79">
        <v>4</v>
      </c>
      <c r="C505" s="79">
        <v>225</v>
      </c>
      <c r="D505" s="80">
        <v>43319.052337962959</v>
      </c>
      <c r="E505" s="81">
        <f t="shared" ca="1" si="2"/>
        <v>43313</v>
      </c>
      <c r="F505" s="82">
        <f ca="1">IFERROR(__xludf.DUMMYFUNCTION("""COMPUTED_VALUE"""),0.0523379629629629)</f>
        <v>5.2337962962962899E-2</v>
      </c>
      <c r="G505" s="83">
        <f t="shared" ca="1" si="3"/>
        <v>19</v>
      </c>
      <c r="H505" s="83">
        <f ca="1">IFERROR(__xludf.DUMMYFUNCTION("""COMPUTED_VALUE"""),15)</f>
        <v>15</v>
      </c>
      <c r="I505" s="83">
        <f ca="1">IFERROR(__xludf.DUMMYFUNCTION("""COMPUTED_VALUE"""),22)</f>
        <v>22</v>
      </c>
    </row>
    <row r="506" spans="1:9">
      <c r="A506" s="79">
        <v>226</v>
      </c>
      <c r="B506" s="79">
        <v>5</v>
      </c>
      <c r="C506" s="79">
        <v>222</v>
      </c>
      <c r="D506" s="80">
        <v>43319.062754629631</v>
      </c>
      <c r="E506" s="81">
        <f t="shared" ca="1" si="2"/>
        <v>43313</v>
      </c>
      <c r="F506" s="82">
        <f ca="1">IFERROR(__xludf.DUMMYFUNCTION("""COMPUTED_VALUE"""),0.0627546296296296)</f>
        <v>6.2754629629629605E-2</v>
      </c>
      <c r="G506" s="83">
        <f t="shared" ca="1" si="3"/>
        <v>19</v>
      </c>
      <c r="H506" s="83">
        <f ca="1">IFERROR(__xludf.DUMMYFUNCTION("""COMPUTED_VALUE"""),30)</f>
        <v>30</v>
      </c>
      <c r="I506" s="83">
        <f ca="1">IFERROR(__xludf.DUMMYFUNCTION("""COMPUTED_VALUE"""),22)</f>
        <v>22</v>
      </c>
    </row>
    <row r="507" spans="1:9">
      <c r="A507" s="79">
        <v>208</v>
      </c>
      <c r="B507" s="79">
        <v>3</v>
      </c>
      <c r="C507" s="79">
        <v>211</v>
      </c>
      <c r="D507" s="80">
        <v>43319.073159722226</v>
      </c>
      <c r="E507" s="81">
        <f t="shared" ca="1" si="2"/>
        <v>43313</v>
      </c>
      <c r="F507" s="82">
        <f ca="1">IFERROR(__xludf.DUMMYFUNCTION("""COMPUTED_VALUE"""),0.0731597222222222)</f>
        <v>7.3159722222222195E-2</v>
      </c>
      <c r="G507" s="83">
        <f t="shared" ca="1" si="3"/>
        <v>19</v>
      </c>
      <c r="H507" s="83">
        <f ca="1">IFERROR(__xludf.DUMMYFUNCTION("""COMPUTED_VALUE"""),45)</f>
        <v>45</v>
      </c>
      <c r="I507" s="83">
        <f ca="1">IFERROR(__xludf.DUMMYFUNCTION("""COMPUTED_VALUE"""),21)</f>
        <v>21</v>
      </c>
    </row>
    <row r="508" spans="1:9">
      <c r="A508" s="79">
        <v>178</v>
      </c>
      <c r="B508" s="79">
        <v>3</v>
      </c>
      <c r="C508" s="79">
        <v>181</v>
      </c>
      <c r="D508" s="80">
        <v>43319.083587962959</v>
      </c>
      <c r="E508" s="81">
        <f t="shared" ca="1" si="2"/>
        <v>43313</v>
      </c>
      <c r="F508" s="82">
        <f ca="1">IFERROR(__xludf.DUMMYFUNCTION("""COMPUTED_VALUE"""),0.0835879629629629)</f>
        <v>8.3587962962962906E-2</v>
      </c>
      <c r="G508" s="83">
        <f t="shared" ca="1" si="3"/>
        <v>19</v>
      </c>
      <c r="H508" s="83">
        <f ca="1">IFERROR(__xludf.DUMMYFUNCTION("""COMPUTED_VALUE"""),0)</f>
        <v>0</v>
      </c>
      <c r="I508" s="83">
        <f ca="1">IFERROR(__xludf.DUMMYFUNCTION("""COMPUTED_VALUE"""),22)</f>
        <v>22</v>
      </c>
    </row>
    <row r="509" spans="1:9">
      <c r="A509" s="79">
        <v>237</v>
      </c>
      <c r="B509" s="79">
        <v>5</v>
      </c>
      <c r="C509" s="79">
        <v>238</v>
      </c>
      <c r="D509" s="80">
        <v>43319.093993055554</v>
      </c>
      <c r="E509" s="81">
        <f t="shared" ca="1" si="2"/>
        <v>43313</v>
      </c>
      <c r="F509" s="82">
        <f ca="1">IFERROR(__xludf.DUMMYFUNCTION("""COMPUTED_VALUE"""),0.0939930555555555)</f>
        <v>9.3993055555555496E-2</v>
      </c>
      <c r="G509" s="83">
        <f t="shared" ca="1" si="3"/>
        <v>19</v>
      </c>
      <c r="H509" s="83">
        <f ca="1">IFERROR(__xludf.DUMMYFUNCTION("""COMPUTED_VALUE"""),15)</f>
        <v>15</v>
      </c>
      <c r="I509" s="83">
        <f ca="1">IFERROR(__xludf.DUMMYFUNCTION("""COMPUTED_VALUE"""),21)</f>
        <v>21</v>
      </c>
    </row>
    <row r="510" spans="1:9">
      <c r="A510" s="79">
        <v>180</v>
      </c>
      <c r="B510" s="79">
        <v>7</v>
      </c>
      <c r="C510" s="79">
        <v>187</v>
      </c>
      <c r="D510" s="80">
        <v>43319.104421296295</v>
      </c>
      <c r="E510" s="81">
        <f t="shared" ca="1" si="2"/>
        <v>43313</v>
      </c>
      <c r="F510" s="82">
        <f ca="1">IFERROR(__xludf.DUMMYFUNCTION("""COMPUTED_VALUE"""),0.104421296296296)</f>
        <v>0.104421296296296</v>
      </c>
      <c r="G510" s="83">
        <f t="shared" ca="1" si="3"/>
        <v>19</v>
      </c>
      <c r="H510" s="83">
        <f ca="1">IFERROR(__xludf.DUMMYFUNCTION("""COMPUTED_VALUE"""),30)</f>
        <v>30</v>
      </c>
      <c r="I510" s="83">
        <f ca="1">IFERROR(__xludf.DUMMYFUNCTION("""COMPUTED_VALUE"""),22)</f>
        <v>22</v>
      </c>
    </row>
    <row r="511" spans="1:9">
      <c r="A511" s="79">
        <v>180</v>
      </c>
      <c r="B511" s="79">
        <v>6</v>
      </c>
      <c r="C511" s="79">
        <v>186</v>
      </c>
      <c r="D511" s="80">
        <v>43319.114837962959</v>
      </c>
      <c r="E511" s="81">
        <f t="shared" ca="1" si="2"/>
        <v>43313</v>
      </c>
      <c r="F511" s="82">
        <f ca="1">IFERROR(__xludf.DUMMYFUNCTION("""COMPUTED_VALUE"""),0.114837962962962)</f>
        <v>0.114837962962962</v>
      </c>
      <c r="G511" s="83">
        <f t="shared" ca="1" si="3"/>
        <v>19</v>
      </c>
      <c r="H511" s="83">
        <f ca="1">IFERROR(__xludf.DUMMYFUNCTION("""COMPUTED_VALUE"""),45)</f>
        <v>45</v>
      </c>
      <c r="I511" s="83">
        <f ca="1">IFERROR(__xludf.DUMMYFUNCTION("""COMPUTED_VALUE"""),22)</f>
        <v>22</v>
      </c>
    </row>
    <row r="512" spans="1:9">
      <c r="A512" s="79">
        <v>174</v>
      </c>
      <c r="B512" s="79">
        <v>3</v>
      </c>
      <c r="C512" s="79">
        <v>177</v>
      </c>
      <c r="D512" s="80">
        <v>43319.125243055554</v>
      </c>
      <c r="E512" s="81">
        <f t="shared" ref="E512:E2834" ca="1" si="4">IFERROR(__xludf.DUMMYFUNCTION("SPLIT(D2, "" "")"),43313)</f>
        <v>43313</v>
      </c>
      <c r="F512" s="82">
        <f ca="1">IFERROR(__xludf.DUMMYFUNCTION("""COMPUTED_VALUE"""),0.125243055555555)</f>
        <v>0.12524305555555501</v>
      </c>
      <c r="G512" s="83">
        <f t="shared" ref="G512:G2834" ca="1" si="5">IFERROR(__xludf.DUMMYFUNCTION("SPLIT(F2, "":"")"),19)</f>
        <v>19</v>
      </c>
      <c r="H512" s="83">
        <f ca="1">IFERROR(__xludf.DUMMYFUNCTION("""COMPUTED_VALUE"""),0)</f>
        <v>0</v>
      </c>
      <c r="I512" s="83">
        <f ca="1">IFERROR(__xludf.DUMMYFUNCTION("""COMPUTED_VALUE"""),21)</f>
        <v>21</v>
      </c>
    </row>
    <row r="513" spans="1:9">
      <c r="A513" s="79">
        <v>144</v>
      </c>
      <c r="B513" s="79">
        <v>4</v>
      </c>
      <c r="C513" s="79">
        <v>148</v>
      </c>
      <c r="D513" s="80">
        <v>43319.135659722226</v>
      </c>
      <c r="E513" s="81">
        <f t="shared" ca="1" si="4"/>
        <v>43313</v>
      </c>
      <c r="F513" s="82">
        <f ca="1">IFERROR(__xludf.DUMMYFUNCTION("""COMPUTED_VALUE"""),0.135659722222222)</f>
        <v>0.135659722222222</v>
      </c>
      <c r="G513" s="83">
        <f t="shared" ca="1" si="5"/>
        <v>19</v>
      </c>
      <c r="H513" s="83">
        <f ca="1">IFERROR(__xludf.DUMMYFUNCTION("""COMPUTED_VALUE"""),15)</f>
        <v>15</v>
      </c>
      <c r="I513" s="83">
        <f ca="1">IFERROR(__xludf.DUMMYFUNCTION("""COMPUTED_VALUE"""),21)</f>
        <v>21</v>
      </c>
    </row>
    <row r="514" spans="1:9">
      <c r="A514" s="79">
        <v>137</v>
      </c>
      <c r="B514" s="79">
        <v>5</v>
      </c>
      <c r="C514" s="79">
        <v>142</v>
      </c>
      <c r="D514" s="80">
        <v>43319.146087962959</v>
      </c>
      <c r="E514" s="81">
        <f t="shared" ca="1" si="4"/>
        <v>43313</v>
      </c>
      <c r="F514" s="82">
        <f ca="1">IFERROR(__xludf.DUMMYFUNCTION("""COMPUTED_VALUE"""),0.146087962962962)</f>
        <v>0.146087962962962</v>
      </c>
      <c r="G514" s="83">
        <f t="shared" ca="1" si="5"/>
        <v>19</v>
      </c>
      <c r="H514" s="83">
        <f ca="1">IFERROR(__xludf.DUMMYFUNCTION("""COMPUTED_VALUE"""),30)</f>
        <v>30</v>
      </c>
      <c r="I514" s="83">
        <f ca="1">IFERROR(__xludf.DUMMYFUNCTION("""COMPUTED_VALUE"""),22)</f>
        <v>22</v>
      </c>
    </row>
    <row r="515" spans="1:9">
      <c r="A515" s="79">
        <v>119</v>
      </c>
      <c r="B515" s="79">
        <v>4</v>
      </c>
      <c r="C515" s="79">
        <v>123</v>
      </c>
      <c r="D515" s="80">
        <v>43319.156493055554</v>
      </c>
      <c r="E515" s="81">
        <f t="shared" ca="1" si="4"/>
        <v>43313</v>
      </c>
      <c r="F515" s="82">
        <f ca="1">IFERROR(__xludf.DUMMYFUNCTION("""COMPUTED_VALUE"""),0.156493055555555)</f>
        <v>0.15649305555555501</v>
      </c>
      <c r="G515" s="83">
        <f t="shared" ca="1" si="5"/>
        <v>19</v>
      </c>
      <c r="H515" s="83">
        <f ca="1">IFERROR(__xludf.DUMMYFUNCTION("""COMPUTED_VALUE"""),45)</f>
        <v>45</v>
      </c>
      <c r="I515" s="83">
        <f ca="1">IFERROR(__xludf.DUMMYFUNCTION("""COMPUTED_VALUE"""),21)</f>
        <v>21</v>
      </c>
    </row>
    <row r="516" spans="1:9">
      <c r="A516" s="79">
        <v>105</v>
      </c>
      <c r="B516" s="79">
        <v>3</v>
      </c>
      <c r="C516" s="79">
        <v>108</v>
      </c>
      <c r="D516" s="80">
        <v>43319.166909722226</v>
      </c>
      <c r="E516" s="81">
        <f t="shared" ca="1" si="4"/>
        <v>43313</v>
      </c>
      <c r="F516" s="82">
        <f ca="1">IFERROR(__xludf.DUMMYFUNCTION("""COMPUTED_VALUE"""),0.166909722222222)</f>
        <v>0.166909722222222</v>
      </c>
      <c r="G516" s="83">
        <f t="shared" ca="1" si="5"/>
        <v>19</v>
      </c>
      <c r="H516" s="83">
        <f ca="1">IFERROR(__xludf.DUMMYFUNCTION("""COMPUTED_VALUE"""),0)</f>
        <v>0</v>
      </c>
      <c r="I516" s="83">
        <f ca="1">IFERROR(__xludf.DUMMYFUNCTION("""COMPUTED_VALUE"""),21)</f>
        <v>21</v>
      </c>
    </row>
    <row r="517" spans="1:9">
      <c r="A517" s="79">
        <v>48</v>
      </c>
      <c r="B517" s="79">
        <v>2</v>
      </c>
      <c r="C517" s="79">
        <v>50</v>
      </c>
      <c r="D517" s="80">
        <v>43319.17732638889</v>
      </c>
      <c r="E517" s="81">
        <f t="shared" ca="1" si="4"/>
        <v>43313</v>
      </c>
      <c r="F517" s="82">
        <f ca="1">IFERROR(__xludf.DUMMYFUNCTION("""COMPUTED_VALUE"""),0.177326388888888)</f>
        <v>0.17732638888888799</v>
      </c>
      <c r="G517" s="83">
        <f t="shared" ca="1" si="5"/>
        <v>19</v>
      </c>
      <c r="H517" s="83">
        <f ca="1">IFERROR(__xludf.DUMMYFUNCTION("""COMPUTED_VALUE"""),15)</f>
        <v>15</v>
      </c>
      <c r="I517" s="83">
        <f ca="1">IFERROR(__xludf.DUMMYFUNCTION("""COMPUTED_VALUE"""),21)</f>
        <v>21</v>
      </c>
    </row>
    <row r="518" spans="1:9">
      <c r="A518" s="79">
        <v>32</v>
      </c>
      <c r="B518" s="79">
        <v>2</v>
      </c>
      <c r="C518" s="79">
        <v>34</v>
      </c>
      <c r="D518" s="80">
        <v>43319.187743055554</v>
      </c>
      <c r="E518" s="81">
        <f t="shared" ca="1" si="4"/>
        <v>43313</v>
      </c>
      <c r="F518" s="82">
        <f ca="1">IFERROR(__xludf.DUMMYFUNCTION("""COMPUTED_VALUE"""),0.187743055555555)</f>
        <v>0.18774305555555501</v>
      </c>
      <c r="G518" s="83">
        <f t="shared" ca="1" si="5"/>
        <v>19</v>
      </c>
      <c r="H518" s="83">
        <f ca="1">IFERROR(__xludf.DUMMYFUNCTION("""COMPUTED_VALUE"""),30)</f>
        <v>30</v>
      </c>
      <c r="I518" s="83">
        <f ca="1">IFERROR(__xludf.DUMMYFUNCTION("""COMPUTED_VALUE"""),21)</f>
        <v>21</v>
      </c>
    </row>
    <row r="519" spans="1:9">
      <c r="A519" s="79">
        <v>27</v>
      </c>
      <c r="B519" s="79">
        <v>2</v>
      </c>
      <c r="C519" s="79">
        <v>29</v>
      </c>
      <c r="D519" s="80">
        <v>43319.198148148149</v>
      </c>
      <c r="E519" s="81">
        <f t="shared" ca="1" si="4"/>
        <v>43313</v>
      </c>
      <c r="F519" s="82">
        <f ca="1">IFERROR(__xludf.DUMMYFUNCTION("""COMPUTED_VALUE"""),0.198148148148148)</f>
        <v>0.19814814814814799</v>
      </c>
      <c r="G519" s="83">
        <f t="shared" ca="1" si="5"/>
        <v>19</v>
      </c>
      <c r="H519" s="83">
        <f ca="1">IFERROR(__xludf.DUMMYFUNCTION("""COMPUTED_VALUE"""),45)</f>
        <v>45</v>
      </c>
      <c r="I519" s="83">
        <f ca="1">IFERROR(__xludf.DUMMYFUNCTION("""COMPUTED_VALUE"""),20)</f>
        <v>20</v>
      </c>
    </row>
    <row r="520" spans="1:9">
      <c r="A520" s="79">
        <v>26</v>
      </c>
      <c r="B520" s="79">
        <v>2</v>
      </c>
      <c r="C520" s="79">
        <v>28</v>
      </c>
      <c r="D520" s="80">
        <v>43319.208611111113</v>
      </c>
      <c r="E520" s="81">
        <f t="shared" ca="1" si="4"/>
        <v>43313</v>
      </c>
      <c r="F520" s="82">
        <f ca="1">IFERROR(__xludf.DUMMYFUNCTION("""COMPUTED_VALUE"""),0.208611111111111)</f>
        <v>0.208611111111111</v>
      </c>
      <c r="G520" s="83">
        <f t="shared" ca="1" si="5"/>
        <v>19</v>
      </c>
      <c r="H520" s="83">
        <f ca="1">IFERROR(__xludf.DUMMYFUNCTION("""COMPUTED_VALUE"""),0)</f>
        <v>0</v>
      </c>
      <c r="I520" s="83">
        <f ca="1">IFERROR(__xludf.DUMMYFUNCTION("""COMPUTED_VALUE"""),24)</f>
        <v>24</v>
      </c>
    </row>
    <row r="521" spans="1:9">
      <c r="A521" s="79">
        <v>23</v>
      </c>
      <c r="B521" s="79">
        <v>2</v>
      </c>
      <c r="C521" s="79">
        <v>25</v>
      </c>
      <c r="D521" s="80">
        <v>43319.218993055554</v>
      </c>
      <c r="E521" s="81">
        <f t="shared" ca="1" si="4"/>
        <v>43313</v>
      </c>
      <c r="F521" s="82">
        <f ca="1">IFERROR(__xludf.DUMMYFUNCTION("""COMPUTED_VALUE"""),0.218993055555555)</f>
        <v>0.21899305555555501</v>
      </c>
      <c r="G521" s="83">
        <f t="shared" ca="1" si="5"/>
        <v>19</v>
      </c>
      <c r="H521" s="83">
        <f ca="1">IFERROR(__xludf.DUMMYFUNCTION("""COMPUTED_VALUE"""),15)</f>
        <v>15</v>
      </c>
      <c r="I521" s="83">
        <f ca="1">IFERROR(__xludf.DUMMYFUNCTION("""COMPUTED_VALUE"""),21)</f>
        <v>21</v>
      </c>
    </row>
    <row r="522" spans="1:9">
      <c r="A522" s="79">
        <v>23</v>
      </c>
      <c r="B522" s="79">
        <v>2</v>
      </c>
      <c r="C522" s="79">
        <v>25</v>
      </c>
      <c r="D522" s="80">
        <v>43319.229409722226</v>
      </c>
      <c r="E522" s="81">
        <f t="shared" ca="1" si="4"/>
        <v>43313</v>
      </c>
      <c r="F522" s="82">
        <f ca="1">IFERROR(__xludf.DUMMYFUNCTION("""COMPUTED_VALUE"""),0.229409722222222)</f>
        <v>0.229409722222222</v>
      </c>
      <c r="G522" s="83">
        <f t="shared" ca="1" si="5"/>
        <v>19</v>
      </c>
      <c r="H522" s="83">
        <f ca="1">IFERROR(__xludf.DUMMYFUNCTION("""COMPUTED_VALUE"""),30)</f>
        <v>30</v>
      </c>
      <c r="I522" s="83">
        <f ca="1">IFERROR(__xludf.DUMMYFUNCTION("""COMPUTED_VALUE"""),21)</f>
        <v>21</v>
      </c>
    </row>
    <row r="523" spans="1:9">
      <c r="A523" s="79">
        <v>22</v>
      </c>
      <c r="B523" s="79">
        <v>2</v>
      </c>
      <c r="C523" s="79">
        <v>24</v>
      </c>
      <c r="D523" s="80">
        <v>43319.239814814813</v>
      </c>
      <c r="E523" s="81">
        <f t="shared" ca="1" si="4"/>
        <v>43313</v>
      </c>
      <c r="F523" s="82">
        <f ca="1">IFERROR(__xludf.DUMMYFUNCTION("""COMPUTED_VALUE"""),0.239814814814814)</f>
        <v>0.23981481481481401</v>
      </c>
      <c r="G523" s="83">
        <f t="shared" ca="1" si="5"/>
        <v>19</v>
      </c>
      <c r="H523" s="83">
        <f ca="1">IFERROR(__xludf.DUMMYFUNCTION("""COMPUTED_VALUE"""),45)</f>
        <v>45</v>
      </c>
      <c r="I523" s="83">
        <f ca="1">IFERROR(__xludf.DUMMYFUNCTION("""COMPUTED_VALUE"""),20)</f>
        <v>20</v>
      </c>
    </row>
    <row r="524" spans="1:9">
      <c r="A524" s="79">
        <v>19</v>
      </c>
      <c r="B524" s="79">
        <v>2</v>
      </c>
      <c r="C524" s="79">
        <v>21</v>
      </c>
      <c r="D524" s="80">
        <v>43319.250277777777</v>
      </c>
      <c r="E524" s="81">
        <f t="shared" ca="1" si="4"/>
        <v>43313</v>
      </c>
      <c r="F524" s="82">
        <f ca="1">IFERROR(__xludf.DUMMYFUNCTION("""COMPUTED_VALUE"""),0.250277777777777)</f>
        <v>0.25027777777777699</v>
      </c>
      <c r="G524" s="83">
        <f t="shared" ca="1" si="5"/>
        <v>19</v>
      </c>
      <c r="H524" s="83">
        <f ca="1">IFERROR(__xludf.DUMMYFUNCTION("""COMPUTED_VALUE"""),0)</f>
        <v>0</v>
      </c>
      <c r="I524" s="83">
        <f ca="1">IFERROR(__xludf.DUMMYFUNCTION("""COMPUTED_VALUE"""),24)</f>
        <v>24</v>
      </c>
    </row>
    <row r="525" spans="1:9">
      <c r="A525" s="79">
        <v>27</v>
      </c>
      <c r="B525" s="79">
        <v>2</v>
      </c>
      <c r="C525" s="79">
        <v>21</v>
      </c>
      <c r="D525" s="80">
        <v>43319.260659722226</v>
      </c>
      <c r="E525" s="81">
        <f t="shared" ca="1" si="4"/>
        <v>43313</v>
      </c>
      <c r="F525" s="82">
        <f ca="1">IFERROR(__xludf.DUMMYFUNCTION("""COMPUTED_VALUE"""),0.260659722222222)</f>
        <v>0.260659722222222</v>
      </c>
      <c r="G525" s="83">
        <f t="shared" ca="1" si="5"/>
        <v>19</v>
      </c>
      <c r="H525" s="83">
        <f ca="1">IFERROR(__xludf.DUMMYFUNCTION("""COMPUTED_VALUE"""),15)</f>
        <v>15</v>
      </c>
      <c r="I525" s="83">
        <f ca="1">IFERROR(__xludf.DUMMYFUNCTION("""COMPUTED_VALUE"""),21)</f>
        <v>21</v>
      </c>
    </row>
    <row r="526" spans="1:9">
      <c r="A526" s="79">
        <v>19</v>
      </c>
      <c r="B526" s="79">
        <v>2</v>
      </c>
      <c r="C526" s="79">
        <v>21</v>
      </c>
      <c r="D526" s="80">
        <v>43319.273784722223</v>
      </c>
      <c r="E526" s="81">
        <f t="shared" ca="1" si="4"/>
        <v>43313</v>
      </c>
      <c r="F526" s="82">
        <f ca="1">IFERROR(__xludf.DUMMYFUNCTION("""COMPUTED_VALUE"""),0.273784722222222)</f>
        <v>0.273784722222222</v>
      </c>
      <c r="G526" s="83">
        <f t="shared" ca="1" si="5"/>
        <v>19</v>
      </c>
      <c r="H526" s="83">
        <f ca="1">IFERROR(__xludf.DUMMYFUNCTION("""COMPUTED_VALUE"""),34)</f>
        <v>34</v>
      </c>
      <c r="I526" s="83">
        <f ca="1">IFERROR(__xludf.DUMMYFUNCTION("""COMPUTED_VALUE"""),15)</f>
        <v>15</v>
      </c>
    </row>
    <row r="527" spans="1:9">
      <c r="A527" s="79">
        <v>19</v>
      </c>
      <c r="B527" s="79">
        <v>2</v>
      </c>
      <c r="C527" s="79">
        <v>21</v>
      </c>
      <c r="D527" s="80">
        <v>43319.281481481485</v>
      </c>
      <c r="E527" s="81">
        <f t="shared" ca="1" si="4"/>
        <v>43313</v>
      </c>
      <c r="F527" s="82">
        <f ca="1">IFERROR(__xludf.DUMMYFUNCTION("""COMPUTED_VALUE"""),0.281481481481481)</f>
        <v>0.281481481481481</v>
      </c>
      <c r="G527" s="83">
        <f t="shared" ca="1" si="5"/>
        <v>19</v>
      </c>
      <c r="H527" s="83">
        <f ca="1">IFERROR(__xludf.DUMMYFUNCTION("""COMPUTED_VALUE"""),45)</f>
        <v>45</v>
      </c>
      <c r="I527" s="83">
        <f ca="1">IFERROR(__xludf.DUMMYFUNCTION("""COMPUTED_VALUE"""),20)</f>
        <v>20</v>
      </c>
    </row>
    <row r="528" spans="1:9">
      <c r="A528" s="79">
        <v>22</v>
      </c>
      <c r="B528" s="79">
        <v>2</v>
      </c>
      <c r="C528" s="79">
        <v>24</v>
      </c>
      <c r="D528" s="80">
        <v>43319.291909722226</v>
      </c>
      <c r="E528" s="81">
        <f t="shared" ca="1" si="4"/>
        <v>43313</v>
      </c>
      <c r="F528" s="82">
        <f ca="1">IFERROR(__xludf.DUMMYFUNCTION("""COMPUTED_VALUE"""),0.291909722222222)</f>
        <v>0.291909722222222</v>
      </c>
      <c r="G528" s="83">
        <f t="shared" ca="1" si="5"/>
        <v>19</v>
      </c>
      <c r="H528" s="83">
        <f ca="1">IFERROR(__xludf.DUMMYFUNCTION("""COMPUTED_VALUE"""),0)</f>
        <v>0</v>
      </c>
      <c r="I528" s="83">
        <f ca="1">IFERROR(__xludf.DUMMYFUNCTION("""COMPUTED_VALUE"""),21)</f>
        <v>21</v>
      </c>
    </row>
    <row r="529" spans="1:9">
      <c r="A529" s="79">
        <v>42</v>
      </c>
      <c r="B529" s="79">
        <v>2</v>
      </c>
      <c r="C529" s="79">
        <v>44</v>
      </c>
      <c r="D529" s="80">
        <v>43319.302349537036</v>
      </c>
      <c r="E529" s="81">
        <f t="shared" ca="1" si="4"/>
        <v>43313</v>
      </c>
      <c r="F529" s="82">
        <f ca="1">IFERROR(__xludf.DUMMYFUNCTION("""COMPUTED_VALUE"""),0.302349537037037)</f>
        <v>0.30234953703703699</v>
      </c>
      <c r="G529" s="83">
        <f t="shared" ca="1" si="5"/>
        <v>19</v>
      </c>
      <c r="H529" s="83">
        <f ca="1">IFERROR(__xludf.DUMMYFUNCTION("""COMPUTED_VALUE"""),15)</f>
        <v>15</v>
      </c>
      <c r="I529" s="83">
        <f ca="1">IFERROR(__xludf.DUMMYFUNCTION("""COMPUTED_VALUE"""),23)</f>
        <v>23</v>
      </c>
    </row>
    <row r="530" spans="1:9">
      <c r="A530" s="79">
        <v>57</v>
      </c>
      <c r="B530" s="79">
        <v>2</v>
      </c>
      <c r="C530" s="79">
        <v>52</v>
      </c>
      <c r="D530" s="80">
        <v>43319.3127662037</v>
      </c>
      <c r="E530" s="81">
        <f t="shared" ca="1" si="4"/>
        <v>43313</v>
      </c>
      <c r="F530" s="82">
        <f ca="1">IFERROR(__xludf.DUMMYFUNCTION("""COMPUTED_VALUE"""),0.312766203703703)</f>
        <v>0.31276620370370301</v>
      </c>
      <c r="G530" s="83">
        <f t="shared" ca="1" si="5"/>
        <v>19</v>
      </c>
      <c r="H530" s="83">
        <f ca="1">IFERROR(__xludf.DUMMYFUNCTION("""COMPUTED_VALUE"""),30)</f>
        <v>30</v>
      </c>
      <c r="I530" s="83">
        <f ca="1">IFERROR(__xludf.DUMMYFUNCTION("""COMPUTED_VALUE"""),23)</f>
        <v>23</v>
      </c>
    </row>
    <row r="531" spans="1:9">
      <c r="A531" s="79">
        <v>66</v>
      </c>
      <c r="B531" s="79">
        <v>2</v>
      </c>
      <c r="C531" s="79">
        <v>68</v>
      </c>
      <c r="D531" s="80">
        <v>43319.323182870372</v>
      </c>
      <c r="E531" s="81">
        <f t="shared" ca="1" si="4"/>
        <v>43313</v>
      </c>
      <c r="F531" s="82">
        <f ca="1">IFERROR(__xludf.DUMMYFUNCTION("""COMPUTED_VALUE"""),0.32318287037037)</f>
        <v>0.32318287037037002</v>
      </c>
      <c r="G531" s="83">
        <f t="shared" ca="1" si="5"/>
        <v>19</v>
      </c>
      <c r="H531" s="83">
        <f ca="1">IFERROR(__xludf.DUMMYFUNCTION("""COMPUTED_VALUE"""),45)</f>
        <v>45</v>
      </c>
      <c r="I531" s="83">
        <f ca="1">IFERROR(__xludf.DUMMYFUNCTION("""COMPUTED_VALUE"""),23)</f>
        <v>23</v>
      </c>
    </row>
    <row r="532" spans="1:9">
      <c r="A532" s="79">
        <v>53</v>
      </c>
      <c r="B532" s="79">
        <v>2</v>
      </c>
      <c r="C532" s="79">
        <v>55</v>
      </c>
      <c r="D532" s="80">
        <v>43319.333611111113</v>
      </c>
      <c r="E532" s="81">
        <f t="shared" ca="1" si="4"/>
        <v>43313</v>
      </c>
      <c r="F532" s="82">
        <f ca="1">IFERROR(__xludf.DUMMYFUNCTION("""COMPUTED_VALUE"""),0.333611111111111)</f>
        <v>0.33361111111111103</v>
      </c>
      <c r="G532" s="83">
        <f t="shared" ca="1" si="5"/>
        <v>19</v>
      </c>
      <c r="H532" s="83">
        <f ca="1">IFERROR(__xludf.DUMMYFUNCTION("""COMPUTED_VALUE"""),0)</f>
        <v>0</v>
      </c>
      <c r="I532" s="83">
        <f ca="1">IFERROR(__xludf.DUMMYFUNCTION("""COMPUTED_VALUE"""),24)</f>
        <v>24</v>
      </c>
    </row>
    <row r="533" spans="1:9">
      <c r="A533" s="79">
        <v>72</v>
      </c>
      <c r="B533" s="79">
        <v>2</v>
      </c>
      <c r="C533" s="79">
        <v>74</v>
      </c>
      <c r="D533" s="80">
        <v>43319.344004629631</v>
      </c>
      <c r="E533" s="81">
        <f t="shared" ca="1" si="4"/>
        <v>43313</v>
      </c>
      <c r="F533" s="82">
        <f ca="1">IFERROR(__xludf.DUMMYFUNCTION("""COMPUTED_VALUE"""),0.344004629629629)</f>
        <v>0.34400462962962902</v>
      </c>
      <c r="G533" s="83">
        <f t="shared" ca="1" si="5"/>
        <v>19</v>
      </c>
      <c r="H533" s="83">
        <f ca="1">IFERROR(__xludf.DUMMYFUNCTION("""COMPUTED_VALUE"""),15)</f>
        <v>15</v>
      </c>
      <c r="I533" s="83">
        <f ca="1">IFERROR(__xludf.DUMMYFUNCTION("""COMPUTED_VALUE"""),22)</f>
        <v>22</v>
      </c>
    </row>
    <row r="534" spans="1:9">
      <c r="A534" s="79">
        <v>117</v>
      </c>
      <c r="B534" s="79">
        <v>3</v>
      </c>
      <c r="C534" s="79">
        <v>120</v>
      </c>
      <c r="D534" s="80">
        <v>43319.354421296295</v>
      </c>
      <c r="E534" s="81">
        <f t="shared" ca="1" si="4"/>
        <v>43313</v>
      </c>
      <c r="F534" s="82">
        <f ca="1">IFERROR(__xludf.DUMMYFUNCTION("""COMPUTED_VALUE"""),0.354421296296296)</f>
        <v>0.35442129629629598</v>
      </c>
      <c r="G534" s="83">
        <f t="shared" ca="1" si="5"/>
        <v>19</v>
      </c>
      <c r="H534" s="83">
        <f ca="1">IFERROR(__xludf.DUMMYFUNCTION("""COMPUTED_VALUE"""),30)</f>
        <v>30</v>
      </c>
      <c r="I534" s="83">
        <f ca="1">IFERROR(__xludf.DUMMYFUNCTION("""COMPUTED_VALUE"""),22)</f>
        <v>22</v>
      </c>
    </row>
    <row r="535" spans="1:9">
      <c r="A535" s="79">
        <v>172</v>
      </c>
      <c r="B535" s="79">
        <v>5</v>
      </c>
      <c r="C535" s="79">
        <v>177</v>
      </c>
      <c r="D535" s="80">
        <v>43319.364849537036</v>
      </c>
      <c r="E535" s="81">
        <f t="shared" ca="1" si="4"/>
        <v>43313</v>
      </c>
      <c r="F535" s="82">
        <f ca="1">IFERROR(__xludf.DUMMYFUNCTION("""COMPUTED_VALUE"""),0.364849537037037)</f>
        <v>0.36484953703703699</v>
      </c>
      <c r="G535" s="83">
        <f t="shared" ca="1" si="5"/>
        <v>19</v>
      </c>
      <c r="H535" s="83">
        <f ca="1">IFERROR(__xludf.DUMMYFUNCTION("""COMPUTED_VALUE"""),45)</f>
        <v>45</v>
      </c>
      <c r="I535" s="83">
        <f ca="1">IFERROR(__xludf.DUMMYFUNCTION("""COMPUTED_VALUE"""),23)</f>
        <v>23</v>
      </c>
    </row>
    <row r="536" spans="1:9">
      <c r="A536" s="79">
        <v>145</v>
      </c>
      <c r="B536" s="79">
        <v>2</v>
      </c>
      <c r="C536" s="79">
        <v>140</v>
      </c>
      <c r="D536" s="80">
        <v>43319.375300925924</v>
      </c>
      <c r="E536" s="81">
        <f t="shared" ca="1" si="4"/>
        <v>43313</v>
      </c>
      <c r="F536" s="82">
        <f ca="1">IFERROR(__xludf.DUMMYFUNCTION("""COMPUTED_VALUE"""),0.375300925925925)</f>
        <v>0.37530092592592501</v>
      </c>
      <c r="G536" s="83">
        <f t="shared" ca="1" si="5"/>
        <v>19</v>
      </c>
      <c r="H536" s="83">
        <f ca="1">IFERROR(__xludf.DUMMYFUNCTION("""COMPUTED_VALUE"""),0)</f>
        <v>0</v>
      </c>
      <c r="I536" s="83">
        <f ca="1">IFERROR(__xludf.DUMMYFUNCTION("""COMPUTED_VALUE"""),26)</f>
        <v>26</v>
      </c>
    </row>
    <row r="537" spans="1:9">
      <c r="A537" s="79">
        <v>211</v>
      </c>
      <c r="B537" s="79">
        <v>3</v>
      </c>
      <c r="C537" s="79">
        <v>212</v>
      </c>
      <c r="D537" s="80">
        <v>43319.385671296295</v>
      </c>
      <c r="E537" s="81">
        <f t="shared" ca="1" si="4"/>
        <v>43313</v>
      </c>
      <c r="F537" s="82">
        <f ca="1">IFERROR(__xludf.DUMMYFUNCTION("""COMPUTED_VALUE"""),0.385671296296296)</f>
        <v>0.38567129629629598</v>
      </c>
      <c r="G537" s="83">
        <f t="shared" ca="1" si="5"/>
        <v>19</v>
      </c>
      <c r="H537" s="83">
        <f ca="1">IFERROR(__xludf.DUMMYFUNCTION("""COMPUTED_VALUE"""),15)</f>
        <v>15</v>
      </c>
      <c r="I537" s="83">
        <f ca="1">IFERROR(__xludf.DUMMYFUNCTION("""COMPUTED_VALUE"""),22)</f>
        <v>22</v>
      </c>
    </row>
    <row r="538" spans="1:9">
      <c r="A538" s="79">
        <v>331</v>
      </c>
      <c r="B538" s="79">
        <v>6</v>
      </c>
      <c r="C538" s="79">
        <v>337</v>
      </c>
      <c r="D538" s="80">
        <v>43319.396099537036</v>
      </c>
      <c r="E538" s="81">
        <f t="shared" ca="1" si="4"/>
        <v>43313</v>
      </c>
      <c r="F538" s="82">
        <f ca="1">IFERROR(__xludf.DUMMYFUNCTION("""COMPUTED_VALUE"""),0.396099537037037)</f>
        <v>0.39609953703703699</v>
      </c>
      <c r="G538" s="83">
        <f t="shared" ca="1" si="5"/>
        <v>19</v>
      </c>
      <c r="H538" s="83">
        <f ca="1">IFERROR(__xludf.DUMMYFUNCTION("""COMPUTED_VALUE"""),30)</f>
        <v>30</v>
      </c>
      <c r="I538" s="83">
        <f ca="1">IFERROR(__xludf.DUMMYFUNCTION("""COMPUTED_VALUE"""),23)</f>
        <v>23</v>
      </c>
    </row>
    <row r="539" spans="1:9">
      <c r="A539" s="79">
        <v>633</v>
      </c>
      <c r="B539" s="79">
        <v>6</v>
      </c>
      <c r="C539" s="79">
        <v>639</v>
      </c>
      <c r="D539" s="80">
        <v>43319.4065162037</v>
      </c>
      <c r="E539" s="81">
        <f t="shared" ca="1" si="4"/>
        <v>43313</v>
      </c>
      <c r="F539" s="82">
        <f ca="1">IFERROR(__xludf.DUMMYFUNCTION("""COMPUTED_VALUE"""),0.406516203703703)</f>
        <v>0.40651620370370301</v>
      </c>
      <c r="G539" s="83">
        <f t="shared" ca="1" si="5"/>
        <v>19</v>
      </c>
      <c r="H539" s="83">
        <f ca="1">IFERROR(__xludf.DUMMYFUNCTION("""COMPUTED_VALUE"""),45)</f>
        <v>45</v>
      </c>
      <c r="I539" s="83">
        <f ca="1">IFERROR(__xludf.DUMMYFUNCTION("""COMPUTED_VALUE"""),23)</f>
        <v>23</v>
      </c>
    </row>
    <row r="540" spans="1:9">
      <c r="A540" s="79">
        <v>579</v>
      </c>
      <c r="B540" s="79">
        <v>8</v>
      </c>
      <c r="C540" s="79">
        <v>587</v>
      </c>
      <c r="D540" s="80">
        <v>43319.416944444441</v>
      </c>
      <c r="E540" s="81">
        <f t="shared" ca="1" si="4"/>
        <v>43313</v>
      </c>
      <c r="F540" s="82">
        <f ca="1">IFERROR(__xludf.DUMMYFUNCTION("""COMPUTED_VALUE"""),0.416944444444444)</f>
        <v>0.41694444444444401</v>
      </c>
      <c r="G540" s="83">
        <f t="shared" ca="1" si="5"/>
        <v>19</v>
      </c>
      <c r="H540" s="83">
        <f ca="1">IFERROR(__xludf.DUMMYFUNCTION("""COMPUTED_VALUE"""),0)</f>
        <v>0</v>
      </c>
      <c r="I540" s="83">
        <f ca="1">IFERROR(__xludf.DUMMYFUNCTION("""COMPUTED_VALUE"""),24)</f>
        <v>24</v>
      </c>
    </row>
    <row r="541" spans="1:9">
      <c r="A541" s="79">
        <v>545</v>
      </c>
      <c r="B541" s="79">
        <v>10</v>
      </c>
      <c r="C541" s="79">
        <v>555</v>
      </c>
      <c r="D541" s="80">
        <v>43319.427337962959</v>
      </c>
      <c r="E541" s="81">
        <f t="shared" ca="1" si="4"/>
        <v>43313</v>
      </c>
      <c r="F541" s="82">
        <f ca="1">IFERROR(__xludf.DUMMYFUNCTION("""COMPUTED_VALUE"""),0.427337962962962)</f>
        <v>0.427337962962962</v>
      </c>
      <c r="G541" s="83">
        <f t="shared" ca="1" si="5"/>
        <v>19</v>
      </c>
      <c r="H541" s="83">
        <f ca="1">IFERROR(__xludf.DUMMYFUNCTION("""COMPUTED_VALUE"""),15)</f>
        <v>15</v>
      </c>
      <c r="I541" s="83">
        <f ca="1">IFERROR(__xludf.DUMMYFUNCTION("""COMPUTED_VALUE"""),22)</f>
        <v>22</v>
      </c>
    </row>
    <row r="542" spans="1:9">
      <c r="A542" s="79">
        <v>598</v>
      </c>
      <c r="B542" s="79">
        <v>12</v>
      </c>
      <c r="C542" s="79">
        <v>610</v>
      </c>
      <c r="D542" s="80">
        <v>43319.437754629631</v>
      </c>
      <c r="E542" s="81">
        <f t="shared" ca="1" si="4"/>
        <v>43313</v>
      </c>
      <c r="F542" s="82">
        <f ca="1">IFERROR(__xludf.DUMMYFUNCTION("""COMPUTED_VALUE"""),0.437754629629629)</f>
        <v>0.43775462962962902</v>
      </c>
      <c r="G542" s="83">
        <f t="shared" ca="1" si="5"/>
        <v>19</v>
      </c>
      <c r="H542" s="83">
        <f ca="1">IFERROR(__xludf.DUMMYFUNCTION("""COMPUTED_VALUE"""),30)</f>
        <v>30</v>
      </c>
      <c r="I542" s="83">
        <f ca="1">IFERROR(__xludf.DUMMYFUNCTION("""COMPUTED_VALUE"""),22)</f>
        <v>22</v>
      </c>
    </row>
    <row r="543" spans="1:9">
      <c r="A543" s="79">
        <v>702</v>
      </c>
      <c r="B543" s="79">
        <v>18</v>
      </c>
      <c r="C543" s="79">
        <v>720</v>
      </c>
      <c r="D543" s="80">
        <v>43319.448171296295</v>
      </c>
      <c r="E543" s="81">
        <f t="shared" ca="1" si="4"/>
        <v>43313</v>
      </c>
      <c r="F543" s="82">
        <f ca="1">IFERROR(__xludf.DUMMYFUNCTION("""COMPUTED_VALUE"""),0.448171296296296)</f>
        <v>0.44817129629629598</v>
      </c>
      <c r="G543" s="83">
        <f t="shared" ca="1" si="5"/>
        <v>19</v>
      </c>
      <c r="H543" s="83">
        <f ca="1">IFERROR(__xludf.DUMMYFUNCTION("""COMPUTED_VALUE"""),45)</f>
        <v>45</v>
      </c>
      <c r="I543" s="83">
        <f ca="1">IFERROR(__xludf.DUMMYFUNCTION("""COMPUTED_VALUE"""),22)</f>
        <v>22</v>
      </c>
    </row>
    <row r="544" spans="1:9">
      <c r="A544" s="79">
        <v>544</v>
      </c>
      <c r="B544" s="79">
        <v>14</v>
      </c>
      <c r="C544" s="79">
        <v>558</v>
      </c>
      <c r="D544" s="80">
        <v>43319.458634259259</v>
      </c>
      <c r="E544" s="81">
        <f t="shared" ca="1" si="4"/>
        <v>43313</v>
      </c>
      <c r="F544" s="82">
        <f ca="1">IFERROR(__xludf.DUMMYFUNCTION("""COMPUTED_VALUE"""),0.458634259259259)</f>
        <v>0.45863425925925899</v>
      </c>
      <c r="G544" s="83">
        <f t="shared" ca="1" si="5"/>
        <v>19</v>
      </c>
      <c r="H544" s="83">
        <f ca="1">IFERROR(__xludf.DUMMYFUNCTION("""COMPUTED_VALUE"""),0)</f>
        <v>0</v>
      </c>
      <c r="I544" s="83">
        <f ca="1">IFERROR(__xludf.DUMMYFUNCTION("""COMPUTED_VALUE"""),26)</f>
        <v>26</v>
      </c>
    </row>
    <row r="545" spans="1:9">
      <c r="A545" s="79">
        <v>472</v>
      </c>
      <c r="B545" s="79">
        <v>9</v>
      </c>
      <c r="C545" s="79">
        <v>481</v>
      </c>
      <c r="D545" s="80">
        <v>43319.469004629631</v>
      </c>
      <c r="E545" s="81">
        <f t="shared" ca="1" si="4"/>
        <v>43313</v>
      </c>
      <c r="F545" s="82">
        <f ca="1">IFERROR(__xludf.DUMMYFUNCTION("""COMPUTED_VALUE"""),0.469004629629629)</f>
        <v>0.46900462962962902</v>
      </c>
      <c r="G545" s="83">
        <f t="shared" ca="1" si="5"/>
        <v>19</v>
      </c>
      <c r="H545" s="83">
        <f ca="1">IFERROR(__xludf.DUMMYFUNCTION("""COMPUTED_VALUE"""),15)</f>
        <v>15</v>
      </c>
      <c r="I545" s="83">
        <f ca="1">IFERROR(__xludf.DUMMYFUNCTION("""COMPUTED_VALUE"""),22)</f>
        <v>22</v>
      </c>
    </row>
    <row r="546" spans="1:9">
      <c r="A546" s="79">
        <v>374</v>
      </c>
      <c r="B546" s="79">
        <v>9</v>
      </c>
      <c r="C546" s="79">
        <v>383</v>
      </c>
      <c r="D546" s="80">
        <v>43319.479421296295</v>
      </c>
      <c r="E546" s="81">
        <f t="shared" ca="1" si="4"/>
        <v>43313</v>
      </c>
      <c r="F546" s="82">
        <f ca="1">IFERROR(__xludf.DUMMYFUNCTION("""COMPUTED_VALUE"""),0.479421296296296)</f>
        <v>0.47942129629629598</v>
      </c>
      <c r="G546" s="83">
        <f t="shared" ca="1" si="5"/>
        <v>19</v>
      </c>
      <c r="H546" s="83">
        <f ca="1">IFERROR(__xludf.DUMMYFUNCTION("""COMPUTED_VALUE"""),30)</f>
        <v>30</v>
      </c>
      <c r="I546" s="83">
        <f ca="1">IFERROR(__xludf.DUMMYFUNCTION("""COMPUTED_VALUE"""),22)</f>
        <v>22</v>
      </c>
    </row>
    <row r="547" spans="1:9">
      <c r="A547" s="79">
        <v>399</v>
      </c>
      <c r="B547" s="79">
        <v>7</v>
      </c>
      <c r="C547" s="79">
        <v>406</v>
      </c>
      <c r="D547" s="80">
        <v>43319.489837962959</v>
      </c>
      <c r="E547" s="81">
        <f t="shared" ca="1" si="4"/>
        <v>43313</v>
      </c>
      <c r="F547" s="82">
        <f ca="1">IFERROR(__xludf.DUMMYFUNCTION("""COMPUTED_VALUE"""),0.489837962962962)</f>
        <v>0.489837962962962</v>
      </c>
      <c r="G547" s="83">
        <f t="shared" ca="1" si="5"/>
        <v>19</v>
      </c>
      <c r="H547" s="83">
        <f ca="1">IFERROR(__xludf.DUMMYFUNCTION("""COMPUTED_VALUE"""),45)</f>
        <v>45</v>
      </c>
      <c r="I547" s="83">
        <f ca="1">IFERROR(__xludf.DUMMYFUNCTION("""COMPUTED_VALUE"""),22)</f>
        <v>22</v>
      </c>
    </row>
    <row r="548" spans="1:9">
      <c r="A548" s="79">
        <v>329</v>
      </c>
      <c r="B548" s="79">
        <v>5</v>
      </c>
      <c r="C548" s="79">
        <v>334</v>
      </c>
      <c r="D548" s="80">
        <v>43319.5002662037</v>
      </c>
      <c r="E548" s="81">
        <f t="shared" ca="1" si="4"/>
        <v>43313</v>
      </c>
      <c r="F548" s="82">
        <f ca="1">IFERROR(__xludf.DUMMYFUNCTION("""COMPUTED_VALUE"""),0.500266203703703)</f>
        <v>0.50026620370370301</v>
      </c>
      <c r="G548" s="83">
        <f t="shared" ca="1" si="5"/>
        <v>19</v>
      </c>
      <c r="H548" s="83">
        <f ca="1">IFERROR(__xludf.DUMMYFUNCTION("""COMPUTED_VALUE"""),0)</f>
        <v>0</v>
      </c>
      <c r="I548" s="83">
        <f ca="1">IFERROR(__xludf.DUMMYFUNCTION("""COMPUTED_VALUE"""),23)</f>
        <v>23</v>
      </c>
    </row>
    <row r="549" spans="1:9">
      <c r="A549" s="79">
        <v>261</v>
      </c>
      <c r="B549" s="79">
        <v>2</v>
      </c>
      <c r="C549" s="79">
        <v>263</v>
      </c>
      <c r="D549" s="80">
        <v>43319.510671296295</v>
      </c>
      <c r="E549" s="81">
        <f t="shared" ca="1" si="4"/>
        <v>43313</v>
      </c>
      <c r="F549" s="82">
        <f ca="1">IFERROR(__xludf.DUMMYFUNCTION("""COMPUTED_VALUE"""),0.510671296296296)</f>
        <v>0.51067129629629604</v>
      </c>
      <c r="G549" s="83">
        <f t="shared" ca="1" si="5"/>
        <v>19</v>
      </c>
      <c r="H549" s="83">
        <f ca="1">IFERROR(__xludf.DUMMYFUNCTION("""COMPUTED_VALUE"""),15)</f>
        <v>15</v>
      </c>
      <c r="I549" s="83">
        <f ca="1">IFERROR(__xludf.DUMMYFUNCTION("""COMPUTED_VALUE"""),22)</f>
        <v>22</v>
      </c>
    </row>
    <row r="550" spans="1:9">
      <c r="A550" s="79">
        <v>264</v>
      </c>
      <c r="B550" s="79">
        <v>3</v>
      </c>
      <c r="C550" s="79">
        <v>267</v>
      </c>
      <c r="D550" s="80">
        <v>43319.521087962959</v>
      </c>
      <c r="E550" s="81">
        <f t="shared" ca="1" si="4"/>
        <v>43313</v>
      </c>
      <c r="F550" s="82">
        <f ca="1">IFERROR(__xludf.DUMMYFUNCTION("""COMPUTED_VALUE"""),0.521087962962963)</f>
        <v>0.521087962962963</v>
      </c>
      <c r="G550" s="83">
        <f t="shared" ca="1" si="5"/>
        <v>19</v>
      </c>
      <c r="H550" s="83">
        <f ca="1">IFERROR(__xludf.DUMMYFUNCTION("""COMPUTED_VALUE"""),30)</f>
        <v>30</v>
      </c>
      <c r="I550" s="83">
        <f ca="1">IFERROR(__xludf.DUMMYFUNCTION("""COMPUTED_VALUE"""),22)</f>
        <v>22</v>
      </c>
    </row>
    <row r="551" spans="1:9">
      <c r="A551" s="79">
        <v>287</v>
      </c>
      <c r="B551" s="79">
        <v>3</v>
      </c>
      <c r="C551" s="79">
        <v>290</v>
      </c>
      <c r="D551" s="80">
        <v>43319.531504629631</v>
      </c>
      <c r="E551" s="81">
        <f t="shared" ca="1" si="4"/>
        <v>43313</v>
      </c>
      <c r="F551" s="82">
        <f ca="1">IFERROR(__xludf.DUMMYFUNCTION("""COMPUTED_VALUE"""),0.531504629629629)</f>
        <v>0.53150462962962897</v>
      </c>
      <c r="G551" s="83">
        <f t="shared" ca="1" si="5"/>
        <v>19</v>
      </c>
      <c r="H551" s="83">
        <f ca="1">IFERROR(__xludf.DUMMYFUNCTION("""COMPUTED_VALUE"""),45)</f>
        <v>45</v>
      </c>
      <c r="I551" s="83">
        <f ca="1">IFERROR(__xludf.DUMMYFUNCTION("""COMPUTED_VALUE"""),22)</f>
        <v>22</v>
      </c>
    </row>
    <row r="552" spans="1:9">
      <c r="A552" s="79">
        <v>262</v>
      </c>
      <c r="B552" s="79">
        <v>2</v>
      </c>
      <c r="C552" s="79">
        <v>264</v>
      </c>
      <c r="D552" s="80">
        <v>43319.541932870372</v>
      </c>
      <c r="E552" s="81">
        <f t="shared" ca="1" si="4"/>
        <v>43313</v>
      </c>
      <c r="F552" s="82">
        <f ca="1">IFERROR(__xludf.DUMMYFUNCTION("""COMPUTED_VALUE"""),0.54193287037037)</f>
        <v>0.54193287037036997</v>
      </c>
      <c r="G552" s="83">
        <f t="shared" ca="1" si="5"/>
        <v>19</v>
      </c>
      <c r="H552" s="83">
        <f ca="1">IFERROR(__xludf.DUMMYFUNCTION("""COMPUTED_VALUE"""),0)</f>
        <v>0</v>
      </c>
      <c r="I552" s="83">
        <f ca="1">IFERROR(__xludf.DUMMYFUNCTION("""COMPUTED_VALUE"""),23)</f>
        <v>23</v>
      </c>
    </row>
    <row r="553" spans="1:9">
      <c r="A553" s="79">
        <v>261</v>
      </c>
      <c r="B553" s="79">
        <v>4</v>
      </c>
      <c r="C553" s="79">
        <v>265</v>
      </c>
      <c r="D553" s="80">
        <v>43319.552337962959</v>
      </c>
      <c r="E553" s="81">
        <f t="shared" ca="1" si="4"/>
        <v>43313</v>
      </c>
      <c r="F553" s="82">
        <f ca="1">IFERROR(__xludf.DUMMYFUNCTION("""COMPUTED_VALUE"""),0.552337962962963)</f>
        <v>0.552337962962963</v>
      </c>
      <c r="G553" s="83">
        <f t="shared" ca="1" si="5"/>
        <v>19</v>
      </c>
      <c r="H553" s="83">
        <f ca="1">IFERROR(__xludf.DUMMYFUNCTION("""COMPUTED_VALUE"""),15)</f>
        <v>15</v>
      </c>
      <c r="I553" s="83">
        <f ca="1">IFERROR(__xludf.DUMMYFUNCTION("""COMPUTED_VALUE"""),22)</f>
        <v>22</v>
      </c>
    </row>
    <row r="554" spans="1:9">
      <c r="A554" s="79">
        <v>288</v>
      </c>
      <c r="B554" s="79">
        <v>4</v>
      </c>
      <c r="C554" s="79">
        <v>292</v>
      </c>
      <c r="D554" s="80">
        <v>43319.562754629631</v>
      </c>
      <c r="E554" s="81">
        <f t="shared" ca="1" si="4"/>
        <v>43313</v>
      </c>
      <c r="F554" s="82">
        <f ca="1">IFERROR(__xludf.DUMMYFUNCTION("""COMPUTED_VALUE"""),0.562754629629629)</f>
        <v>0.56275462962962897</v>
      </c>
      <c r="G554" s="83">
        <f t="shared" ca="1" si="5"/>
        <v>19</v>
      </c>
      <c r="H554" s="83">
        <f ca="1">IFERROR(__xludf.DUMMYFUNCTION("""COMPUTED_VALUE"""),30)</f>
        <v>30</v>
      </c>
      <c r="I554" s="83">
        <f ca="1">IFERROR(__xludf.DUMMYFUNCTION("""COMPUTED_VALUE"""),22)</f>
        <v>22</v>
      </c>
    </row>
    <row r="555" spans="1:9">
      <c r="A555" s="79">
        <v>318</v>
      </c>
      <c r="B555" s="79">
        <v>2</v>
      </c>
      <c r="C555" s="79">
        <v>313</v>
      </c>
      <c r="D555" s="80">
        <v>43319.573171296295</v>
      </c>
      <c r="E555" s="81">
        <f t="shared" ca="1" si="4"/>
        <v>43313</v>
      </c>
      <c r="F555" s="82">
        <f ca="1">IFERROR(__xludf.DUMMYFUNCTION("""COMPUTED_VALUE"""),0.573171296296296)</f>
        <v>0.57317129629629604</v>
      </c>
      <c r="G555" s="83">
        <f t="shared" ca="1" si="5"/>
        <v>19</v>
      </c>
      <c r="H555" s="83">
        <f ca="1">IFERROR(__xludf.DUMMYFUNCTION("""COMPUTED_VALUE"""),45)</f>
        <v>45</v>
      </c>
      <c r="I555" s="83">
        <f ca="1">IFERROR(__xludf.DUMMYFUNCTION("""COMPUTED_VALUE"""),22)</f>
        <v>22</v>
      </c>
    </row>
    <row r="556" spans="1:9">
      <c r="A556" s="79">
        <v>285</v>
      </c>
      <c r="B556" s="79">
        <v>2</v>
      </c>
      <c r="C556" s="79">
        <v>287</v>
      </c>
      <c r="D556" s="80">
        <v>43319.583645833336</v>
      </c>
      <c r="E556" s="81">
        <f t="shared" ca="1" si="4"/>
        <v>43313</v>
      </c>
      <c r="F556" s="82">
        <f ca="1">IFERROR(__xludf.DUMMYFUNCTION("""COMPUTED_VALUE"""),0.583645833333333)</f>
        <v>0.58364583333333298</v>
      </c>
      <c r="G556" s="83">
        <f t="shared" ca="1" si="5"/>
        <v>19</v>
      </c>
      <c r="H556" s="83">
        <f ca="1">IFERROR(__xludf.DUMMYFUNCTION("""COMPUTED_VALUE"""),0)</f>
        <v>0</v>
      </c>
      <c r="I556" s="83">
        <f ca="1">IFERROR(__xludf.DUMMYFUNCTION("""COMPUTED_VALUE"""),27)</f>
        <v>27</v>
      </c>
    </row>
    <row r="557" spans="1:9">
      <c r="A557" s="79">
        <v>270</v>
      </c>
      <c r="B557" s="79">
        <v>4</v>
      </c>
      <c r="C557" s="79">
        <v>274</v>
      </c>
      <c r="D557" s="80">
        <v>43319.594004629631</v>
      </c>
      <c r="E557" s="81">
        <f t="shared" ca="1" si="4"/>
        <v>43313</v>
      </c>
      <c r="F557" s="82">
        <f ca="1">IFERROR(__xludf.DUMMYFUNCTION("""COMPUTED_VALUE"""),0.594004629629629)</f>
        <v>0.59400462962962897</v>
      </c>
      <c r="G557" s="83">
        <f t="shared" ca="1" si="5"/>
        <v>19</v>
      </c>
      <c r="H557" s="83">
        <f ca="1">IFERROR(__xludf.DUMMYFUNCTION("""COMPUTED_VALUE"""),15)</f>
        <v>15</v>
      </c>
      <c r="I557" s="83">
        <f ca="1">IFERROR(__xludf.DUMMYFUNCTION("""COMPUTED_VALUE"""),22)</f>
        <v>22</v>
      </c>
    </row>
    <row r="558" spans="1:9">
      <c r="A558" s="79">
        <v>259</v>
      </c>
      <c r="B558" s="79">
        <v>3</v>
      </c>
      <c r="C558" s="79">
        <v>262</v>
      </c>
      <c r="D558" s="80">
        <v>43319.604421296295</v>
      </c>
      <c r="E558" s="81">
        <f t="shared" ca="1" si="4"/>
        <v>43313</v>
      </c>
      <c r="F558" s="82">
        <f ca="1">IFERROR(__xludf.DUMMYFUNCTION("""COMPUTED_VALUE"""),0.604421296296296)</f>
        <v>0.60442129629629604</v>
      </c>
      <c r="G558" s="83">
        <f t="shared" ca="1" si="5"/>
        <v>19</v>
      </c>
      <c r="H558" s="83">
        <f ca="1">IFERROR(__xludf.DUMMYFUNCTION("""COMPUTED_VALUE"""),30)</f>
        <v>30</v>
      </c>
      <c r="I558" s="83">
        <f ca="1">IFERROR(__xludf.DUMMYFUNCTION("""COMPUTED_VALUE"""),22)</f>
        <v>22</v>
      </c>
    </row>
    <row r="559" spans="1:9">
      <c r="A559" s="79">
        <v>273</v>
      </c>
      <c r="B559" s="79">
        <v>3</v>
      </c>
      <c r="C559" s="79">
        <v>276</v>
      </c>
      <c r="D559" s="80">
        <v>43319.614837962959</v>
      </c>
      <c r="E559" s="81">
        <f t="shared" ca="1" si="4"/>
        <v>43313</v>
      </c>
      <c r="F559" s="82">
        <f ca="1">IFERROR(__xludf.DUMMYFUNCTION("""COMPUTED_VALUE"""),0.614837962962963)</f>
        <v>0.614837962962963</v>
      </c>
      <c r="G559" s="83">
        <f t="shared" ca="1" si="5"/>
        <v>19</v>
      </c>
      <c r="H559" s="83">
        <f ca="1">IFERROR(__xludf.DUMMYFUNCTION("""COMPUTED_VALUE"""),45)</f>
        <v>45</v>
      </c>
      <c r="I559" s="83">
        <f ca="1">IFERROR(__xludf.DUMMYFUNCTION("""COMPUTED_VALUE"""),22)</f>
        <v>22</v>
      </c>
    </row>
    <row r="560" spans="1:9">
      <c r="A560" s="79">
        <v>238</v>
      </c>
      <c r="B560" s="79">
        <v>5</v>
      </c>
      <c r="C560" s="79">
        <v>243</v>
      </c>
      <c r="D560" s="80">
        <v>43319.625277777777</v>
      </c>
      <c r="E560" s="81">
        <f t="shared" ca="1" si="4"/>
        <v>43313</v>
      </c>
      <c r="F560" s="82">
        <f ca="1">IFERROR(__xludf.DUMMYFUNCTION("""COMPUTED_VALUE"""),0.625277777777777)</f>
        <v>0.62527777777777704</v>
      </c>
      <c r="G560" s="83">
        <f t="shared" ca="1" si="5"/>
        <v>19</v>
      </c>
      <c r="H560" s="83">
        <f ca="1">IFERROR(__xludf.DUMMYFUNCTION("""COMPUTED_VALUE"""),0)</f>
        <v>0</v>
      </c>
      <c r="I560" s="83">
        <f ca="1">IFERROR(__xludf.DUMMYFUNCTION("""COMPUTED_VALUE"""),24)</f>
        <v>24</v>
      </c>
    </row>
    <row r="561" spans="1:9">
      <c r="A561" s="79">
        <v>318</v>
      </c>
      <c r="B561" s="79">
        <v>10</v>
      </c>
      <c r="C561" s="79">
        <v>328</v>
      </c>
      <c r="D561" s="80">
        <v>43319.635671296295</v>
      </c>
      <c r="E561" s="81">
        <f t="shared" ca="1" si="4"/>
        <v>43313</v>
      </c>
      <c r="F561" s="82">
        <f ca="1">IFERROR(__xludf.DUMMYFUNCTION("""COMPUTED_VALUE"""),0.635671296296296)</f>
        <v>0.63567129629629604</v>
      </c>
      <c r="G561" s="83">
        <f t="shared" ca="1" si="5"/>
        <v>19</v>
      </c>
      <c r="H561" s="83">
        <f ca="1">IFERROR(__xludf.DUMMYFUNCTION("""COMPUTED_VALUE"""),15)</f>
        <v>15</v>
      </c>
      <c r="I561" s="83">
        <f ca="1">IFERROR(__xludf.DUMMYFUNCTION("""COMPUTED_VALUE"""),22)</f>
        <v>22</v>
      </c>
    </row>
    <row r="562" spans="1:9">
      <c r="A562" s="79">
        <v>295</v>
      </c>
      <c r="B562" s="79">
        <v>5</v>
      </c>
      <c r="C562" s="79">
        <v>300</v>
      </c>
      <c r="D562" s="80">
        <v>43319.646087962959</v>
      </c>
      <c r="E562" s="81">
        <f t="shared" ca="1" si="4"/>
        <v>43313</v>
      </c>
      <c r="F562" s="82">
        <f ca="1">IFERROR(__xludf.DUMMYFUNCTION("""COMPUTED_VALUE"""),0.646087962962963)</f>
        <v>0.646087962962963</v>
      </c>
      <c r="G562" s="83">
        <f t="shared" ca="1" si="5"/>
        <v>19</v>
      </c>
      <c r="H562" s="83">
        <f ca="1">IFERROR(__xludf.DUMMYFUNCTION("""COMPUTED_VALUE"""),30)</f>
        <v>30</v>
      </c>
      <c r="I562" s="83">
        <f ca="1">IFERROR(__xludf.DUMMYFUNCTION("""COMPUTED_VALUE"""),22)</f>
        <v>22</v>
      </c>
    </row>
    <row r="563" spans="1:9">
      <c r="A563" s="79">
        <v>318</v>
      </c>
      <c r="B563" s="79">
        <v>2</v>
      </c>
      <c r="C563" s="79">
        <v>320</v>
      </c>
      <c r="D563" s="80">
        <v>43319.656493055554</v>
      </c>
      <c r="E563" s="81">
        <f t="shared" ca="1" si="4"/>
        <v>43313</v>
      </c>
      <c r="F563" s="82">
        <f ca="1">IFERROR(__xludf.DUMMYFUNCTION("""COMPUTED_VALUE"""),0.656493055555555)</f>
        <v>0.65649305555555504</v>
      </c>
      <c r="G563" s="83">
        <f t="shared" ca="1" si="5"/>
        <v>19</v>
      </c>
      <c r="H563" s="83">
        <f ca="1">IFERROR(__xludf.DUMMYFUNCTION("""COMPUTED_VALUE"""),45)</f>
        <v>45</v>
      </c>
      <c r="I563" s="83">
        <f ca="1">IFERROR(__xludf.DUMMYFUNCTION("""COMPUTED_VALUE"""),21)</f>
        <v>21</v>
      </c>
    </row>
    <row r="564" spans="1:9">
      <c r="A564" s="79">
        <v>327</v>
      </c>
      <c r="B564" s="79">
        <v>1</v>
      </c>
      <c r="C564" s="79">
        <v>328</v>
      </c>
      <c r="D564" s="80">
        <v>43319.666944444441</v>
      </c>
      <c r="E564" s="81">
        <f t="shared" ca="1" si="4"/>
        <v>43313</v>
      </c>
      <c r="F564" s="82">
        <f ca="1">IFERROR(__xludf.DUMMYFUNCTION("""COMPUTED_VALUE"""),0.666944444444444)</f>
        <v>0.66694444444444401</v>
      </c>
      <c r="G564" s="83">
        <f t="shared" ca="1" si="5"/>
        <v>19</v>
      </c>
      <c r="H564" s="83">
        <f ca="1">IFERROR(__xludf.DUMMYFUNCTION("""COMPUTED_VALUE"""),0)</f>
        <v>0</v>
      </c>
      <c r="I564" s="83">
        <f ca="1">IFERROR(__xludf.DUMMYFUNCTION("""COMPUTED_VALUE"""),24)</f>
        <v>24</v>
      </c>
    </row>
    <row r="565" spans="1:9">
      <c r="A565" s="79">
        <v>386</v>
      </c>
      <c r="B565" s="79">
        <v>7</v>
      </c>
      <c r="C565" s="79">
        <v>393</v>
      </c>
      <c r="D565" s="80">
        <v>43319.677337962959</v>
      </c>
      <c r="E565" s="81">
        <f t="shared" ca="1" si="4"/>
        <v>43313</v>
      </c>
      <c r="F565" s="82">
        <f ca="1">IFERROR(__xludf.DUMMYFUNCTION("""COMPUTED_VALUE"""),0.677337962962963)</f>
        <v>0.677337962962963</v>
      </c>
      <c r="G565" s="83">
        <f t="shared" ca="1" si="5"/>
        <v>19</v>
      </c>
      <c r="H565" s="83">
        <f ca="1">IFERROR(__xludf.DUMMYFUNCTION("""COMPUTED_VALUE"""),15)</f>
        <v>15</v>
      </c>
      <c r="I565" s="83">
        <f ca="1">IFERROR(__xludf.DUMMYFUNCTION("""COMPUTED_VALUE"""),22)</f>
        <v>22</v>
      </c>
    </row>
    <row r="566" spans="1:9">
      <c r="A566" s="79">
        <v>362</v>
      </c>
      <c r="B566" s="79">
        <v>8</v>
      </c>
      <c r="C566" s="79">
        <v>370</v>
      </c>
      <c r="D566" s="80">
        <v>43319.687754629631</v>
      </c>
      <c r="E566" s="81">
        <f t="shared" ca="1" si="4"/>
        <v>43313</v>
      </c>
      <c r="F566" s="82">
        <f ca="1">IFERROR(__xludf.DUMMYFUNCTION("""COMPUTED_VALUE"""),0.687754629629629)</f>
        <v>0.68775462962962897</v>
      </c>
      <c r="G566" s="83">
        <f t="shared" ca="1" si="5"/>
        <v>19</v>
      </c>
      <c r="H566" s="83">
        <f ca="1">IFERROR(__xludf.DUMMYFUNCTION("""COMPUTED_VALUE"""),30)</f>
        <v>30</v>
      </c>
      <c r="I566" s="83">
        <f ca="1">IFERROR(__xludf.DUMMYFUNCTION("""COMPUTED_VALUE"""),22)</f>
        <v>22</v>
      </c>
    </row>
    <row r="567" spans="1:9">
      <c r="A567" s="79">
        <v>361</v>
      </c>
      <c r="B567" s="79">
        <v>6</v>
      </c>
      <c r="C567" s="79">
        <v>367</v>
      </c>
      <c r="D567" s="80">
        <v>43319.698171296295</v>
      </c>
      <c r="E567" s="81">
        <f t="shared" ca="1" si="4"/>
        <v>43313</v>
      </c>
      <c r="F567" s="82">
        <f ca="1">IFERROR(__xludf.DUMMYFUNCTION("""COMPUTED_VALUE"""),0.698171296296296)</f>
        <v>0.69817129629629604</v>
      </c>
      <c r="G567" s="83">
        <f t="shared" ca="1" si="5"/>
        <v>19</v>
      </c>
      <c r="H567" s="83">
        <f ca="1">IFERROR(__xludf.DUMMYFUNCTION("""COMPUTED_VALUE"""),45)</f>
        <v>45</v>
      </c>
      <c r="I567" s="83">
        <f ca="1">IFERROR(__xludf.DUMMYFUNCTION("""COMPUTED_VALUE"""),22)</f>
        <v>22</v>
      </c>
    </row>
    <row r="568" spans="1:9">
      <c r="A568" s="79">
        <v>343</v>
      </c>
      <c r="B568" s="79">
        <v>4</v>
      </c>
      <c r="C568" s="79">
        <v>347</v>
      </c>
      <c r="D568" s="80">
        <v>43319.708611111113</v>
      </c>
      <c r="E568" s="81">
        <f t="shared" ca="1" si="4"/>
        <v>43313</v>
      </c>
      <c r="F568" s="82">
        <f ca="1">IFERROR(__xludf.DUMMYFUNCTION("""COMPUTED_VALUE"""),0.708611111111111)</f>
        <v>0.70861111111111097</v>
      </c>
      <c r="G568" s="83">
        <f t="shared" ca="1" si="5"/>
        <v>19</v>
      </c>
      <c r="H568" s="83">
        <f ca="1">IFERROR(__xludf.DUMMYFUNCTION("""COMPUTED_VALUE"""),0)</f>
        <v>0</v>
      </c>
      <c r="I568" s="83">
        <f ca="1">IFERROR(__xludf.DUMMYFUNCTION("""COMPUTED_VALUE"""),24)</f>
        <v>24</v>
      </c>
    </row>
    <row r="569" spans="1:9">
      <c r="A569" s="79">
        <v>520</v>
      </c>
      <c r="B569" s="79">
        <v>8</v>
      </c>
      <c r="C569" s="79">
        <v>528</v>
      </c>
      <c r="D569" s="80">
        <v>43319.719004629631</v>
      </c>
      <c r="E569" s="81">
        <f t="shared" ca="1" si="4"/>
        <v>43313</v>
      </c>
      <c r="F569" s="82">
        <f ca="1">IFERROR(__xludf.DUMMYFUNCTION("""COMPUTED_VALUE"""),0.719004629629629)</f>
        <v>0.71900462962962897</v>
      </c>
      <c r="G569" s="83">
        <f t="shared" ca="1" si="5"/>
        <v>19</v>
      </c>
      <c r="H569" s="83">
        <f ca="1">IFERROR(__xludf.DUMMYFUNCTION("""COMPUTED_VALUE"""),15)</f>
        <v>15</v>
      </c>
      <c r="I569" s="83">
        <f ca="1">IFERROR(__xludf.DUMMYFUNCTION("""COMPUTED_VALUE"""),22)</f>
        <v>22</v>
      </c>
    </row>
    <row r="570" spans="1:9">
      <c r="A570" s="79">
        <v>434</v>
      </c>
      <c r="B570" s="79">
        <v>4</v>
      </c>
      <c r="C570" s="79">
        <v>437</v>
      </c>
      <c r="D570" s="80">
        <v>43319.729421296295</v>
      </c>
      <c r="E570" s="81">
        <f t="shared" ca="1" si="4"/>
        <v>43313</v>
      </c>
      <c r="F570" s="82">
        <f ca="1">IFERROR(__xludf.DUMMYFUNCTION("""COMPUTED_VALUE"""),0.729421296296296)</f>
        <v>0.72942129629629604</v>
      </c>
      <c r="G570" s="83">
        <f t="shared" ca="1" si="5"/>
        <v>19</v>
      </c>
      <c r="H570" s="83">
        <f ca="1">IFERROR(__xludf.DUMMYFUNCTION("""COMPUTED_VALUE"""),30)</f>
        <v>30</v>
      </c>
      <c r="I570" s="83">
        <f ca="1">IFERROR(__xludf.DUMMYFUNCTION("""COMPUTED_VALUE"""),22)</f>
        <v>22</v>
      </c>
    </row>
    <row r="571" spans="1:9">
      <c r="A571" s="79">
        <v>429</v>
      </c>
      <c r="B571" s="79">
        <v>2</v>
      </c>
      <c r="C571" s="79">
        <v>430</v>
      </c>
      <c r="D571" s="80">
        <v>43319.73982638889</v>
      </c>
      <c r="E571" s="81">
        <f t="shared" ca="1" si="4"/>
        <v>43313</v>
      </c>
      <c r="F571" s="82">
        <f ca="1">IFERROR(__xludf.DUMMYFUNCTION("""COMPUTED_VALUE"""),0.739826388888888)</f>
        <v>0.73982638888888796</v>
      </c>
      <c r="G571" s="83">
        <f t="shared" ca="1" si="5"/>
        <v>19</v>
      </c>
      <c r="H571" s="83">
        <f ca="1">IFERROR(__xludf.DUMMYFUNCTION("""COMPUTED_VALUE"""),45)</f>
        <v>45</v>
      </c>
      <c r="I571" s="83">
        <f ca="1">IFERROR(__xludf.DUMMYFUNCTION("""COMPUTED_VALUE"""),21)</f>
        <v>21</v>
      </c>
    </row>
    <row r="572" spans="1:9">
      <c r="A572" s="79">
        <v>374</v>
      </c>
      <c r="B572" s="79">
        <v>5</v>
      </c>
      <c r="C572" s="79">
        <v>379</v>
      </c>
      <c r="D572" s="80">
        <v>43319.7502662037</v>
      </c>
      <c r="E572" s="81">
        <f t="shared" ca="1" si="4"/>
        <v>43313</v>
      </c>
      <c r="F572" s="82">
        <f ca="1">IFERROR(__xludf.DUMMYFUNCTION("""COMPUTED_VALUE"""),0.750266203703703)</f>
        <v>0.75026620370370301</v>
      </c>
      <c r="G572" s="83">
        <f t="shared" ca="1" si="5"/>
        <v>19</v>
      </c>
      <c r="H572" s="83">
        <f ca="1">IFERROR(__xludf.DUMMYFUNCTION("""COMPUTED_VALUE"""),0)</f>
        <v>0</v>
      </c>
      <c r="I572" s="83">
        <f ca="1">IFERROR(__xludf.DUMMYFUNCTION("""COMPUTED_VALUE"""),23)</f>
        <v>23</v>
      </c>
    </row>
    <row r="573" spans="1:9">
      <c r="A573" s="79">
        <v>419</v>
      </c>
      <c r="B573" s="79">
        <v>5</v>
      </c>
      <c r="C573" s="79">
        <v>424</v>
      </c>
      <c r="D573" s="80">
        <v>43319.760659722226</v>
      </c>
      <c r="E573" s="81">
        <f t="shared" ca="1" si="4"/>
        <v>43313</v>
      </c>
      <c r="F573" s="82">
        <f ca="1">IFERROR(__xludf.DUMMYFUNCTION("""COMPUTED_VALUE"""),0.760659722222222)</f>
        <v>0.760659722222222</v>
      </c>
      <c r="G573" s="83">
        <f t="shared" ca="1" si="5"/>
        <v>19</v>
      </c>
      <c r="H573" s="83">
        <f ca="1">IFERROR(__xludf.DUMMYFUNCTION("""COMPUTED_VALUE"""),15)</f>
        <v>15</v>
      </c>
      <c r="I573" s="83">
        <f ca="1">IFERROR(__xludf.DUMMYFUNCTION("""COMPUTED_VALUE"""),21)</f>
        <v>21</v>
      </c>
    </row>
    <row r="574" spans="1:9">
      <c r="A574" s="79">
        <v>415</v>
      </c>
      <c r="B574" s="79">
        <v>4</v>
      </c>
      <c r="C574" s="79">
        <v>411</v>
      </c>
      <c r="D574" s="80">
        <v>43319.77107638889</v>
      </c>
      <c r="E574" s="81">
        <f t="shared" ca="1" si="4"/>
        <v>43313</v>
      </c>
      <c r="F574" s="82">
        <f ca="1">IFERROR(__xludf.DUMMYFUNCTION("""COMPUTED_VALUE"""),0.771076388888888)</f>
        <v>0.77107638888888796</v>
      </c>
      <c r="G574" s="83">
        <f t="shared" ca="1" si="5"/>
        <v>19</v>
      </c>
      <c r="H574" s="83">
        <f ca="1">IFERROR(__xludf.DUMMYFUNCTION("""COMPUTED_VALUE"""),30)</f>
        <v>30</v>
      </c>
      <c r="I574" s="83">
        <f ca="1">IFERROR(__xludf.DUMMYFUNCTION("""COMPUTED_VALUE"""),21)</f>
        <v>21</v>
      </c>
    </row>
    <row r="575" spans="1:9">
      <c r="A575" s="79">
        <v>419</v>
      </c>
      <c r="B575" s="79">
        <v>9</v>
      </c>
      <c r="C575" s="79">
        <v>428</v>
      </c>
      <c r="D575" s="80">
        <v>43319.781493055554</v>
      </c>
      <c r="E575" s="81">
        <f t="shared" ca="1" si="4"/>
        <v>43313</v>
      </c>
      <c r="F575" s="82">
        <f ca="1">IFERROR(__xludf.DUMMYFUNCTION("""COMPUTED_VALUE"""),0.781493055555555)</f>
        <v>0.78149305555555504</v>
      </c>
      <c r="G575" s="83">
        <f t="shared" ca="1" si="5"/>
        <v>19</v>
      </c>
      <c r="H575" s="83">
        <f ca="1">IFERROR(__xludf.DUMMYFUNCTION("""COMPUTED_VALUE"""),45)</f>
        <v>45</v>
      </c>
      <c r="I575" s="83">
        <f ca="1">IFERROR(__xludf.DUMMYFUNCTION("""COMPUTED_VALUE"""),21)</f>
        <v>21</v>
      </c>
    </row>
    <row r="576" spans="1:9">
      <c r="A576" s="79">
        <v>414</v>
      </c>
      <c r="B576" s="79">
        <v>6</v>
      </c>
      <c r="C576" s="79">
        <v>420</v>
      </c>
      <c r="D576" s="80">
        <v>43319.791921296295</v>
      </c>
      <c r="E576" s="81">
        <f t="shared" ca="1" si="4"/>
        <v>43313</v>
      </c>
      <c r="F576" s="82">
        <f ca="1">IFERROR(__xludf.DUMMYFUNCTION("""COMPUTED_VALUE"""),0.791921296296296)</f>
        <v>0.79192129629629604</v>
      </c>
      <c r="G576" s="83">
        <f t="shared" ca="1" si="5"/>
        <v>19</v>
      </c>
      <c r="H576" s="83">
        <f ca="1">IFERROR(__xludf.DUMMYFUNCTION("""COMPUTED_VALUE"""),0)</f>
        <v>0</v>
      </c>
      <c r="I576" s="83">
        <f ca="1">IFERROR(__xludf.DUMMYFUNCTION("""COMPUTED_VALUE"""),22)</f>
        <v>22</v>
      </c>
    </row>
    <row r="577" spans="1:9">
      <c r="A577" s="79">
        <v>526</v>
      </c>
      <c r="B577" s="79">
        <v>5</v>
      </c>
      <c r="C577" s="79">
        <v>531</v>
      </c>
      <c r="D577" s="80">
        <v>43319.80232638889</v>
      </c>
      <c r="E577" s="81">
        <f t="shared" ca="1" si="4"/>
        <v>43313</v>
      </c>
      <c r="F577" s="82">
        <f ca="1">IFERROR(__xludf.DUMMYFUNCTION("""COMPUTED_VALUE"""),0.802326388888888)</f>
        <v>0.80232638888888796</v>
      </c>
      <c r="G577" s="83">
        <f t="shared" ca="1" si="5"/>
        <v>19</v>
      </c>
      <c r="H577" s="83">
        <f ca="1">IFERROR(__xludf.DUMMYFUNCTION("""COMPUTED_VALUE"""),15)</f>
        <v>15</v>
      </c>
      <c r="I577" s="83">
        <f ca="1">IFERROR(__xludf.DUMMYFUNCTION("""COMPUTED_VALUE"""),21)</f>
        <v>21</v>
      </c>
    </row>
    <row r="578" spans="1:9">
      <c r="A578" s="79">
        <v>498</v>
      </c>
      <c r="B578" s="79">
        <v>8</v>
      </c>
      <c r="C578" s="79">
        <v>504</v>
      </c>
      <c r="D578" s="80">
        <v>43319.812754629631</v>
      </c>
      <c r="E578" s="81">
        <f t="shared" ca="1" si="4"/>
        <v>43313</v>
      </c>
      <c r="F578" s="82">
        <f ca="1">IFERROR(__xludf.DUMMYFUNCTION("""COMPUTED_VALUE"""),0.812754629629629)</f>
        <v>0.81275462962962897</v>
      </c>
      <c r="G578" s="83">
        <f t="shared" ca="1" si="5"/>
        <v>19</v>
      </c>
      <c r="H578" s="83">
        <f ca="1">IFERROR(__xludf.DUMMYFUNCTION("""COMPUTED_VALUE"""),30)</f>
        <v>30</v>
      </c>
      <c r="I578" s="83">
        <f ca="1">IFERROR(__xludf.DUMMYFUNCTION("""COMPUTED_VALUE"""),22)</f>
        <v>22</v>
      </c>
    </row>
    <row r="579" spans="1:9">
      <c r="A579" s="79">
        <v>581</v>
      </c>
      <c r="B579" s="79">
        <v>5</v>
      </c>
      <c r="C579" s="79">
        <v>586</v>
      </c>
      <c r="D579" s="80">
        <v>43319.823171296295</v>
      </c>
      <c r="E579" s="81">
        <f t="shared" ca="1" si="4"/>
        <v>43313</v>
      </c>
      <c r="F579" s="82">
        <f ca="1">IFERROR(__xludf.DUMMYFUNCTION("""COMPUTED_VALUE"""),0.823171296296296)</f>
        <v>0.82317129629629604</v>
      </c>
      <c r="G579" s="83">
        <f t="shared" ca="1" si="5"/>
        <v>19</v>
      </c>
      <c r="H579" s="83">
        <f ca="1">IFERROR(__xludf.DUMMYFUNCTION("""COMPUTED_VALUE"""),45)</f>
        <v>45</v>
      </c>
      <c r="I579" s="83">
        <f ca="1">IFERROR(__xludf.DUMMYFUNCTION("""COMPUTED_VALUE"""),22)</f>
        <v>22</v>
      </c>
    </row>
    <row r="580" spans="1:9">
      <c r="A580" s="79">
        <v>574</v>
      </c>
      <c r="B580" s="79">
        <v>6</v>
      </c>
      <c r="C580" s="79">
        <v>580</v>
      </c>
      <c r="D580" s="80">
        <v>43319.83357638889</v>
      </c>
      <c r="E580" s="81">
        <f t="shared" ca="1" si="4"/>
        <v>43313</v>
      </c>
      <c r="F580" s="82">
        <f ca="1">IFERROR(__xludf.DUMMYFUNCTION("""COMPUTED_VALUE"""),0.833576388888888)</f>
        <v>0.83357638888888796</v>
      </c>
      <c r="G580" s="83">
        <f t="shared" ca="1" si="5"/>
        <v>19</v>
      </c>
      <c r="H580" s="83">
        <f ca="1">IFERROR(__xludf.DUMMYFUNCTION("""COMPUTED_VALUE"""),0)</f>
        <v>0</v>
      </c>
      <c r="I580" s="83">
        <f ca="1">IFERROR(__xludf.DUMMYFUNCTION("""COMPUTED_VALUE"""),21)</f>
        <v>21</v>
      </c>
    </row>
    <row r="581" spans="1:9">
      <c r="A581" s="79">
        <v>800</v>
      </c>
      <c r="B581" s="79">
        <v>17</v>
      </c>
      <c r="C581" s="79">
        <v>808</v>
      </c>
      <c r="D581" s="80">
        <v>43319.843993055554</v>
      </c>
      <c r="E581" s="81">
        <f t="shared" ca="1" si="4"/>
        <v>43313</v>
      </c>
      <c r="F581" s="82">
        <f ca="1">IFERROR(__xludf.DUMMYFUNCTION("""COMPUTED_VALUE"""),0.843993055555555)</f>
        <v>0.84399305555555504</v>
      </c>
      <c r="G581" s="83">
        <f t="shared" ca="1" si="5"/>
        <v>19</v>
      </c>
      <c r="H581" s="83">
        <f ca="1">IFERROR(__xludf.DUMMYFUNCTION("""COMPUTED_VALUE"""),15)</f>
        <v>15</v>
      </c>
      <c r="I581" s="83">
        <f ca="1">IFERROR(__xludf.DUMMYFUNCTION("""COMPUTED_VALUE"""),21)</f>
        <v>21</v>
      </c>
    </row>
    <row r="582" spans="1:9">
      <c r="A582" s="79">
        <v>735</v>
      </c>
      <c r="B582" s="79">
        <v>9</v>
      </c>
      <c r="C582" s="79">
        <v>744</v>
      </c>
      <c r="D582" s="80">
        <v>43319.854409722226</v>
      </c>
      <c r="E582" s="81">
        <f t="shared" ca="1" si="4"/>
        <v>43313</v>
      </c>
      <c r="F582" s="82">
        <f ca="1">IFERROR(__xludf.DUMMYFUNCTION("""COMPUTED_VALUE"""),0.854409722222222)</f>
        <v>0.854409722222222</v>
      </c>
      <c r="G582" s="83">
        <f t="shared" ca="1" si="5"/>
        <v>19</v>
      </c>
      <c r="H582" s="83">
        <f ca="1">IFERROR(__xludf.DUMMYFUNCTION("""COMPUTED_VALUE"""),30)</f>
        <v>30</v>
      </c>
      <c r="I582" s="83">
        <f ca="1">IFERROR(__xludf.DUMMYFUNCTION("""COMPUTED_VALUE"""),21)</f>
        <v>21</v>
      </c>
    </row>
    <row r="583" spans="1:9">
      <c r="A583" s="79">
        <v>681</v>
      </c>
      <c r="B583" s="79">
        <v>8</v>
      </c>
      <c r="C583" s="79">
        <v>689</v>
      </c>
      <c r="D583" s="80">
        <v>43319.86482638889</v>
      </c>
      <c r="E583" s="81">
        <f t="shared" ca="1" si="4"/>
        <v>43313</v>
      </c>
      <c r="F583" s="82">
        <f ca="1">IFERROR(__xludf.DUMMYFUNCTION("""COMPUTED_VALUE"""),0.864826388888888)</f>
        <v>0.86482638888888796</v>
      </c>
      <c r="G583" s="83">
        <f t="shared" ca="1" si="5"/>
        <v>19</v>
      </c>
      <c r="H583" s="83">
        <f ca="1">IFERROR(__xludf.DUMMYFUNCTION("""COMPUTED_VALUE"""),45)</f>
        <v>45</v>
      </c>
      <c r="I583" s="83">
        <f ca="1">IFERROR(__xludf.DUMMYFUNCTION("""COMPUTED_VALUE"""),21)</f>
        <v>21</v>
      </c>
    </row>
    <row r="584" spans="1:9">
      <c r="A584" s="79">
        <v>650</v>
      </c>
      <c r="B584" s="79">
        <v>5</v>
      </c>
      <c r="C584" s="79">
        <v>655</v>
      </c>
      <c r="D584" s="80">
        <v>43319.875254629631</v>
      </c>
      <c r="E584" s="81">
        <f t="shared" ca="1" si="4"/>
        <v>43313</v>
      </c>
      <c r="F584" s="82">
        <f ca="1">IFERROR(__xludf.DUMMYFUNCTION("""COMPUTED_VALUE"""),0.875254629629629)</f>
        <v>0.87525462962962897</v>
      </c>
      <c r="G584" s="83">
        <f t="shared" ca="1" si="5"/>
        <v>19</v>
      </c>
      <c r="H584" s="83">
        <f ca="1">IFERROR(__xludf.DUMMYFUNCTION("""COMPUTED_VALUE"""),0)</f>
        <v>0</v>
      </c>
      <c r="I584" s="83">
        <f ca="1">IFERROR(__xludf.DUMMYFUNCTION("""COMPUTED_VALUE"""),22)</f>
        <v>22</v>
      </c>
    </row>
    <row r="585" spans="1:9">
      <c r="A585" s="79">
        <v>661</v>
      </c>
      <c r="B585" s="79">
        <v>7</v>
      </c>
      <c r="C585" s="79">
        <v>668</v>
      </c>
      <c r="D585" s="80">
        <v>43319.885659722226</v>
      </c>
      <c r="E585" s="81">
        <f t="shared" ca="1" si="4"/>
        <v>43313</v>
      </c>
      <c r="F585" s="82">
        <f ca="1">IFERROR(__xludf.DUMMYFUNCTION("""COMPUTED_VALUE"""),0.885659722222222)</f>
        <v>0.885659722222222</v>
      </c>
      <c r="G585" s="83">
        <f t="shared" ca="1" si="5"/>
        <v>19</v>
      </c>
      <c r="H585" s="83">
        <f ca="1">IFERROR(__xludf.DUMMYFUNCTION("""COMPUTED_VALUE"""),15)</f>
        <v>15</v>
      </c>
      <c r="I585" s="83">
        <f ca="1">IFERROR(__xludf.DUMMYFUNCTION("""COMPUTED_VALUE"""),21)</f>
        <v>21</v>
      </c>
    </row>
    <row r="586" spans="1:9">
      <c r="A586" s="79">
        <v>657</v>
      </c>
      <c r="B586" s="79">
        <v>7</v>
      </c>
      <c r="C586" s="79">
        <v>657</v>
      </c>
      <c r="D586" s="80">
        <v>43319.89607638889</v>
      </c>
      <c r="E586" s="81">
        <f t="shared" ca="1" si="4"/>
        <v>43313</v>
      </c>
      <c r="F586" s="82">
        <f ca="1">IFERROR(__xludf.DUMMYFUNCTION("""COMPUTED_VALUE"""),0.896076388888888)</f>
        <v>0.89607638888888796</v>
      </c>
      <c r="G586" s="83">
        <f t="shared" ca="1" si="5"/>
        <v>19</v>
      </c>
      <c r="H586" s="83">
        <f ca="1">IFERROR(__xludf.DUMMYFUNCTION("""COMPUTED_VALUE"""),30)</f>
        <v>30</v>
      </c>
      <c r="I586" s="83">
        <f ca="1">IFERROR(__xludf.DUMMYFUNCTION("""COMPUTED_VALUE"""),21)</f>
        <v>21</v>
      </c>
    </row>
    <row r="587" spans="1:9">
      <c r="A587" s="79">
        <v>673</v>
      </c>
      <c r="B587" s="79">
        <v>7</v>
      </c>
      <c r="C587" s="79">
        <v>680</v>
      </c>
      <c r="D587" s="80">
        <v>43319.906493055554</v>
      </c>
      <c r="E587" s="81">
        <f t="shared" ca="1" si="4"/>
        <v>43313</v>
      </c>
      <c r="F587" s="82">
        <f ca="1">IFERROR(__xludf.DUMMYFUNCTION("""COMPUTED_VALUE"""),0.906493055555555)</f>
        <v>0.90649305555555504</v>
      </c>
      <c r="G587" s="83">
        <f t="shared" ca="1" si="5"/>
        <v>19</v>
      </c>
      <c r="H587" s="83">
        <f ca="1">IFERROR(__xludf.DUMMYFUNCTION("""COMPUTED_VALUE"""),45)</f>
        <v>45</v>
      </c>
      <c r="I587" s="83">
        <f ca="1">IFERROR(__xludf.DUMMYFUNCTION("""COMPUTED_VALUE"""),21)</f>
        <v>21</v>
      </c>
    </row>
    <row r="588" spans="1:9">
      <c r="A588" s="79">
        <v>556</v>
      </c>
      <c r="B588" s="79">
        <v>10</v>
      </c>
      <c r="C588" s="79">
        <v>566</v>
      </c>
      <c r="D588" s="80">
        <v>43319.916909722226</v>
      </c>
      <c r="E588" s="81">
        <f t="shared" ca="1" si="4"/>
        <v>43313</v>
      </c>
      <c r="F588" s="82">
        <f ca="1">IFERROR(__xludf.DUMMYFUNCTION("""COMPUTED_VALUE"""),0.916909722222222)</f>
        <v>0.916909722222222</v>
      </c>
      <c r="G588" s="83">
        <f t="shared" ca="1" si="5"/>
        <v>19</v>
      </c>
      <c r="H588" s="83">
        <f ca="1">IFERROR(__xludf.DUMMYFUNCTION("""COMPUTED_VALUE"""),0)</f>
        <v>0</v>
      </c>
      <c r="I588" s="83">
        <f ca="1">IFERROR(__xludf.DUMMYFUNCTION("""COMPUTED_VALUE"""),21)</f>
        <v>21</v>
      </c>
    </row>
    <row r="589" spans="1:9">
      <c r="A589" s="79">
        <v>575</v>
      </c>
      <c r="B589" s="79">
        <v>10</v>
      </c>
      <c r="C589" s="79">
        <v>585</v>
      </c>
      <c r="D589" s="80">
        <v>43319.92732638889</v>
      </c>
      <c r="E589" s="81">
        <f t="shared" ca="1" si="4"/>
        <v>43313</v>
      </c>
      <c r="F589" s="82">
        <f ca="1">IFERROR(__xludf.DUMMYFUNCTION("""COMPUTED_VALUE"""),0.927326388888888)</f>
        <v>0.92732638888888796</v>
      </c>
      <c r="G589" s="83">
        <f t="shared" ca="1" si="5"/>
        <v>19</v>
      </c>
      <c r="H589" s="83">
        <f ca="1">IFERROR(__xludf.DUMMYFUNCTION("""COMPUTED_VALUE"""),15)</f>
        <v>15</v>
      </c>
      <c r="I589" s="83">
        <f ca="1">IFERROR(__xludf.DUMMYFUNCTION("""COMPUTED_VALUE"""),21)</f>
        <v>21</v>
      </c>
    </row>
    <row r="590" spans="1:9">
      <c r="A590" s="79">
        <v>576</v>
      </c>
      <c r="B590" s="79">
        <v>6</v>
      </c>
      <c r="C590" s="79">
        <v>582</v>
      </c>
      <c r="D590" s="80">
        <v>43319.937743055554</v>
      </c>
      <c r="E590" s="81">
        <f t="shared" ca="1" si="4"/>
        <v>43313</v>
      </c>
      <c r="F590" s="82">
        <f ca="1">IFERROR(__xludf.DUMMYFUNCTION("""COMPUTED_VALUE"""),0.937743055555555)</f>
        <v>0.93774305555555504</v>
      </c>
      <c r="G590" s="83">
        <f t="shared" ca="1" si="5"/>
        <v>19</v>
      </c>
      <c r="H590" s="83">
        <f ca="1">IFERROR(__xludf.DUMMYFUNCTION("""COMPUTED_VALUE"""),30)</f>
        <v>30</v>
      </c>
      <c r="I590" s="83">
        <f ca="1">IFERROR(__xludf.DUMMYFUNCTION("""COMPUTED_VALUE"""),21)</f>
        <v>21</v>
      </c>
    </row>
    <row r="591" spans="1:9">
      <c r="A591" s="79">
        <v>522</v>
      </c>
      <c r="B591" s="79">
        <v>5</v>
      </c>
      <c r="C591" s="79">
        <v>527</v>
      </c>
      <c r="D591" s="80">
        <v>43319.948159722226</v>
      </c>
      <c r="E591" s="81">
        <f t="shared" ca="1" si="4"/>
        <v>43313</v>
      </c>
      <c r="F591" s="82">
        <f ca="1">IFERROR(__xludf.DUMMYFUNCTION("""COMPUTED_VALUE"""),0.948159722222222)</f>
        <v>0.948159722222222</v>
      </c>
      <c r="G591" s="83">
        <f t="shared" ca="1" si="5"/>
        <v>19</v>
      </c>
      <c r="H591" s="83">
        <f ca="1">IFERROR(__xludf.DUMMYFUNCTION("""COMPUTED_VALUE"""),45)</f>
        <v>45</v>
      </c>
      <c r="I591" s="83">
        <f ca="1">IFERROR(__xludf.DUMMYFUNCTION("""COMPUTED_VALUE"""),21)</f>
        <v>21</v>
      </c>
    </row>
    <row r="592" spans="1:9">
      <c r="A592" s="79">
        <v>493</v>
      </c>
      <c r="B592" s="79">
        <v>7</v>
      </c>
      <c r="C592" s="79">
        <v>499</v>
      </c>
      <c r="D592" s="80">
        <v>43319.958622685182</v>
      </c>
      <c r="E592" s="81">
        <f t="shared" ca="1" si="4"/>
        <v>43313</v>
      </c>
      <c r="F592" s="82">
        <f ca="1">IFERROR(__xludf.DUMMYFUNCTION("""COMPUTED_VALUE"""),0.958622685185185)</f>
        <v>0.95862268518518501</v>
      </c>
      <c r="G592" s="83">
        <f t="shared" ca="1" si="5"/>
        <v>19</v>
      </c>
      <c r="H592" s="83">
        <f ca="1">IFERROR(__xludf.DUMMYFUNCTION("""COMPUTED_VALUE"""),0)</f>
        <v>0</v>
      </c>
      <c r="I592" s="83">
        <f ca="1">IFERROR(__xludf.DUMMYFUNCTION("""COMPUTED_VALUE"""),25)</f>
        <v>25</v>
      </c>
    </row>
    <row r="593" spans="1:9">
      <c r="A593" s="79">
        <v>493</v>
      </c>
      <c r="B593" s="79">
        <v>5</v>
      </c>
      <c r="C593" s="79">
        <v>498</v>
      </c>
      <c r="D593" s="80">
        <v>43319.968993055554</v>
      </c>
      <c r="E593" s="81">
        <f t="shared" ca="1" si="4"/>
        <v>43313</v>
      </c>
      <c r="F593" s="82">
        <f ca="1">IFERROR(__xludf.DUMMYFUNCTION("""COMPUTED_VALUE"""),0.968993055555555)</f>
        <v>0.96899305555555504</v>
      </c>
      <c r="G593" s="83">
        <f t="shared" ca="1" si="5"/>
        <v>19</v>
      </c>
      <c r="H593" s="83">
        <f ca="1">IFERROR(__xludf.DUMMYFUNCTION("""COMPUTED_VALUE"""),15)</f>
        <v>15</v>
      </c>
      <c r="I593" s="83">
        <f ca="1">IFERROR(__xludf.DUMMYFUNCTION("""COMPUTED_VALUE"""),21)</f>
        <v>21</v>
      </c>
    </row>
    <row r="594" spans="1:9">
      <c r="A594" s="79">
        <v>446</v>
      </c>
      <c r="B594" s="79">
        <v>11</v>
      </c>
      <c r="C594" s="79">
        <v>457</v>
      </c>
      <c r="D594" s="80">
        <v>43319.979409722226</v>
      </c>
      <c r="E594" s="81">
        <f t="shared" ca="1" si="4"/>
        <v>43313</v>
      </c>
      <c r="F594" s="82">
        <f ca="1">IFERROR(__xludf.DUMMYFUNCTION("""COMPUTED_VALUE"""),0.979409722222222)</f>
        <v>0.979409722222222</v>
      </c>
      <c r="G594" s="83">
        <f t="shared" ca="1" si="5"/>
        <v>19</v>
      </c>
      <c r="H594" s="83">
        <f ca="1">IFERROR(__xludf.DUMMYFUNCTION("""COMPUTED_VALUE"""),30)</f>
        <v>30</v>
      </c>
      <c r="I594" s="83">
        <f ca="1">IFERROR(__xludf.DUMMYFUNCTION("""COMPUTED_VALUE"""),21)</f>
        <v>21</v>
      </c>
    </row>
    <row r="595" spans="1:9">
      <c r="A595" s="79">
        <v>392</v>
      </c>
      <c r="B595" s="79">
        <v>11</v>
      </c>
      <c r="C595" s="79">
        <v>403</v>
      </c>
      <c r="D595" s="80">
        <v>43319.989814814813</v>
      </c>
      <c r="E595" s="81">
        <f t="shared" ca="1" si="4"/>
        <v>43313</v>
      </c>
      <c r="F595" s="82">
        <f ca="1">IFERROR(__xludf.DUMMYFUNCTION("""COMPUTED_VALUE"""),0.989814814814814)</f>
        <v>0.98981481481481404</v>
      </c>
      <c r="G595" s="83">
        <f t="shared" ca="1" si="5"/>
        <v>19</v>
      </c>
      <c r="H595" s="83">
        <f ca="1">IFERROR(__xludf.DUMMYFUNCTION("""COMPUTED_VALUE"""),45)</f>
        <v>45</v>
      </c>
      <c r="I595" s="83">
        <f ca="1">IFERROR(__xludf.DUMMYFUNCTION("""COMPUTED_VALUE"""),20)</f>
        <v>20</v>
      </c>
    </row>
    <row r="596" spans="1:9">
      <c r="A596" s="79">
        <v>367</v>
      </c>
      <c r="B596" s="79">
        <v>4</v>
      </c>
      <c r="C596" s="79">
        <v>371</v>
      </c>
      <c r="D596" s="80">
        <v>43320.000277777777</v>
      </c>
      <c r="E596" s="81">
        <f t="shared" ca="1" si="4"/>
        <v>43313</v>
      </c>
      <c r="F596" s="82">
        <f ca="1">IFERROR(__xludf.DUMMYFUNCTION("""COMPUTED_VALUE"""),0.000277777777777777)</f>
        <v>2.7777777777777702E-4</v>
      </c>
      <c r="G596" s="83">
        <f t="shared" ca="1" si="5"/>
        <v>19</v>
      </c>
      <c r="H596" s="83">
        <f ca="1">IFERROR(__xludf.DUMMYFUNCTION("""COMPUTED_VALUE"""),0)</f>
        <v>0</v>
      </c>
      <c r="I596" s="83">
        <f ca="1">IFERROR(__xludf.DUMMYFUNCTION("""COMPUTED_VALUE"""),24)</f>
        <v>24</v>
      </c>
    </row>
    <row r="597" spans="1:9">
      <c r="A597" s="79">
        <v>376</v>
      </c>
      <c r="B597" s="79">
        <v>1</v>
      </c>
      <c r="C597" s="79">
        <v>377</v>
      </c>
      <c r="D597" s="80">
        <v>43320.010659722226</v>
      </c>
      <c r="E597" s="81">
        <f t="shared" ca="1" si="4"/>
        <v>43313</v>
      </c>
      <c r="F597" s="82">
        <f ca="1">IFERROR(__xludf.DUMMYFUNCTION("""COMPUTED_VALUE"""),0.0106597222222222)</f>
        <v>1.0659722222222201E-2</v>
      </c>
      <c r="G597" s="83">
        <f t="shared" ca="1" si="5"/>
        <v>19</v>
      </c>
      <c r="H597" s="83">
        <f ca="1">IFERROR(__xludf.DUMMYFUNCTION("""COMPUTED_VALUE"""),15)</f>
        <v>15</v>
      </c>
      <c r="I597" s="83">
        <f ca="1">IFERROR(__xludf.DUMMYFUNCTION("""COMPUTED_VALUE"""),21)</f>
        <v>21</v>
      </c>
    </row>
    <row r="598" spans="1:9">
      <c r="A598" s="79">
        <v>311</v>
      </c>
      <c r="B598" s="79">
        <v>2</v>
      </c>
      <c r="C598" s="79">
        <v>313</v>
      </c>
      <c r="D598" s="80">
        <v>43320.02107638889</v>
      </c>
      <c r="E598" s="81">
        <f t="shared" ca="1" si="4"/>
        <v>43313</v>
      </c>
      <c r="F598" s="82">
        <f ca="1">IFERROR(__xludf.DUMMYFUNCTION("""COMPUTED_VALUE"""),0.0210763888888888)</f>
        <v>2.1076388888888801E-2</v>
      </c>
      <c r="G598" s="83">
        <f t="shared" ca="1" si="5"/>
        <v>19</v>
      </c>
      <c r="H598" s="83">
        <f ca="1">IFERROR(__xludf.DUMMYFUNCTION("""COMPUTED_VALUE"""),30)</f>
        <v>30</v>
      </c>
      <c r="I598" s="83">
        <f ca="1">IFERROR(__xludf.DUMMYFUNCTION("""COMPUTED_VALUE"""),21)</f>
        <v>21</v>
      </c>
    </row>
    <row r="599" spans="1:9">
      <c r="A599" s="79">
        <v>287</v>
      </c>
      <c r="B599" s="79">
        <v>2</v>
      </c>
      <c r="C599" s="79">
        <v>289</v>
      </c>
      <c r="D599" s="80">
        <v>43320.031504629631</v>
      </c>
      <c r="E599" s="81">
        <f t="shared" ca="1" si="4"/>
        <v>43313</v>
      </c>
      <c r="F599" s="82">
        <f ca="1">IFERROR(__xludf.DUMMYFUNCTION("""COMPUTED_VALUE"""),0.0315046296296296)</f>
        <v>3.1504629629629598E-2</v>
      </c>
      <c r="G599" s="83">
        <f t="shared" ca="1" si="5"/>
        <v>19</v>
      </c>
      <c r="H599" s="83">
        <f ca="1">IFERROR(__xludf.DUMMYFUNCTION("""COMPUTED_VALUE"""),45)</f>
        <v>45</v>
      </c>
      <c r="I599" s="83">
        <f ca="1">IFERROR(__xludf.DUMMYFUNCTION("""COMPUTED_VALUE"""),22)</f>
        <v>22</v>
      </c>
    </row>
    <row r="600" spans="1:9">
      <c r="A600" s="79">
        <v>250</v>
      </c>
      <c r="B600" s="79">
        <v>6</v>
      </c>
      <c r="C600" s="79">
        <v>256</v>
      </c>
      <c r="D600" s="80">
        <v>43320.041932870372</v>
      </c>
      <c r="E600" s="81">
        <f t="shared" ca="1" si="4"/>
        <v>43313</v>
      </c>
      <c r="F600" s="82">
        <f ca="1">IFERROR(__xludf.DUMMYFUNCTION("""COMPUTED_VALUE"""),0.0419328703703703)</f>
        <v>4.1932870370370301E-2</v>
      </c>
      <c r="G600" s="83">
        <f t="shared" ca="1" si="5"/>
        <v>19</v>
      </c>
      <c r="H600" s="83">
        <f ca="1">IFERROR(__xludf.DUMMYFUNCTION("""COMPUTED_VALUE"""),0)</f>
        <v>0</v>
      </c>
      <c r="I600" s="83">
        <f ca="1">IFERROR(__xludf.DUMMYFUNCTION("""COMPUTED_VALUE"""),23)</f>
        <v>23</v>
      </c>
    </row>
    <row r="601" spans="1:9">
      <c r="A601" s="79">
        <v>293</v>
      </c>
      <c r="B601" s="79">
        <v>9</v>
      </c>
      <c r="C601" s="79">
        <v>296</v>
      </c>
      <c r="D601" s="80">
        <v>43320.05232638889</v>
      </c>
      <c r="E601" s="81">
        <f t="shared" ca="1" si="4"/>
        <v>43313</v>
      </c>
      <c r="F601" s="82">
        <f ca="1">IFERROR(__xludf.DUMMYFUNCTION("""COMPUTED_VALUE"""),0.0523263888888888)</f>
        <v>5.2326388888888797E-2</v>
      </c>
      <c r="G601" s="83">
        <f t="shared" ca="1" si="5"/>
        <v>19</v>
      </c>
      <c r="H601" s="83">
        <f ca="1">IFERROR(__xludf.DUMMYFUNCTION("""COMPUTED_VALUE"""),15)</f>
        <v>15</v>
      </c>
      <c r="I601" s="83">
        <f ca="1">IFERROR(__xludf.DUMMYFUNCTION("""COMPUTED_VALUE"""),21)</f>
        <v>21</v>
      </c>
    </row>
    <row r="602" spans="1:9">
      <c r="A602" s="79">
        <v>276</v>
      </c>
      <c r="B602" s="79">
        <v>7</v>
      </c>
      <c r="C602" s="79">
        <v>283</v>
      </c>
      <c r="D602" s="80">
        <v>43320.062743055554</v>
      </c>
      <c r="E602" s="81">
        <f t="shared" ca="1" si="4"/>
        <v>43313</v>
      </c>
      <c r="F602" s="82">
        <f ca="1">IFERROR(__xludf.DUMMYFUNCTION("""COMPUTED_VALUE"""),0.0627430555555555)</f>
        <v>6.2743055555555496E-2</v>
      </c>
      <c r="G602" s="83">
        <f t="shared" ca="1" si="5"/>
        <v>19</v>
      </c>
      <c r="H602" s="83">
        <f ca="1">IFERROR(__xludf.DUMMYFUNCTION("""COMPUTED_VALUE"""),30)</f>
        <v>30</v>
      </c>
      <c r="I602" s="83">
        <f ca="1">IFERROR(__xludf.DUMMYFUNCTION("""COMPUTED_VALUE"""),21)</f>
        <v>21</v>
      </c>
    </row>
    <row r="603" spans="1:9">
      <c r="A603" s="79">
        <v>255</v>
      </c>
      <c r="B603" s="79">
        <v>2</v>
      </c>
      <c r="C603" s="79">
        <v>257</v>
      </c>
      <c r="D603" s="80">
        <v>43320.073148148149</v>
      </c>
      <c r="E603" s="81">
        <f t="shared" ca="1" si="4"/>
        <v>43313</v>
      </c>
      <c r="F603" s="82">
        <f ca="1">IFERROR(__xludf.DUMMYFUNCTION("""COMPUTED_VALUE"""),0.0731481481481481)</f>
        <v>7.3148148148148101E-2</v>
      </c>
      <c r="G603" s="83">
        <f t="shared" ca="1" si="5"/>
        <v>19</v>
      </c>
      <c r="H603" s="83">
        <f ca="1">IFERROR(__xludf.DUMMYFUNCTION("""COMPUTED_VALUE"""),45)</f>
        <v>45</v>
      </c>
      <c r="I603" s="83">
        <f ca="1">IFERROR(__xludf.DUMMYFUNCTION("""COMPUTED_VALUE"""),20)</f>
        <v>20</v>
      </c>
    </row>
    <row r="604" spans="1:9">
      <c r="A604" s="79">
        <v>249</v>
      </c>
      <c r="B604" s="79">
        <v>1</v>
      </c>
      <c r="C604" s="79">
        <v>250</v>
      </c>
      <c r="D604" s="80">
        <v>43320.08357638889</v>
      </c>
      <c r="E604" s="81">
        <f t="shared" ca="1" si="4"/>
        <v>43313</v>
      </c>
      <c r="F604" s="82">
        <f ca="1">IFERROR(__xludf.DUMMYFUNCTION("""COMPUTED_VALUE"""),0.0835763888888889)</f>
        <v>8.3576388888888895E-2</v>
      </c>
      <c r="G604" s="83">
        <f t="shared" ca="1" si="5"/>
        <v>19</v>
      </c>
      <c r="H604" s="83">
        <f ca="1">IFERROR(__xludf.DUMMYFUNCTION("""COMPUTED_VALUE"""),0)</f>
        <v>0</v>
      </c>
      <c r="I604" s="83">
        <f ca="1">IFERROR(__xludf.DUMMYFUNCTION("""COMPUTED_VALUE"""),21)</f>
        <v>21</v>
      </c>
    </row>
    <row r="605" spans="1:9">
      <c r="A605" s="79">
        <v>260</v>
      </c>
      <c r="B605" s="79">
        <v>1</v>
      </c>
      <c r="C605" s="79">
        <v>261</v>
      </c>
      <c r="D605" s="80">
        <v>43320.093981481485</v>
      </c>
      <c r="E605" s="81">
        <f t="shared" ca="1" si="4"/>
        <v>43313</v>
      </c>
      <c r="F605" s="82">
        <f ca="1">IFERROR(__xludf.DUMMYFUNCTION("""COMPUTED_VALUE"""),0.0939814814814814)</f>
        <v>9.3981481481481402E-2</v>
      </c>
      <c r="G605" s="83">
        <f t="shared" ca="1" si="5"/>
        <v>19</v>
      </c>
      <c r="H605" s="83">
        <f ca="1">IFERROR(__xludf.DUMMYFUNCTION("""COMPUTED_VALUE"""),15)</f>
        <v>15</v>
      </c>
      <c r="I605" s="83">
        <f ca="1">IFERROR(__xludf.DUMMYFUNCTION("""COMPUTED_VALUE"""),20)</f>
        <v>20</v>
      </c>
    </row>
    <row r="606" spans="1:9">
      <c r="A606" s="79">
        <v>233</v>
      </c>
      <c r="B606" s="79">
        <v>4</v>
      </c>
      <c r="C606" s="79">
        <v>237</v>
      </c>
      <c r="D606" s="80">
        <v>43320.104409722226</v>
      </c>
      <c r="E606" s="81">
        <f t="shared" ca="1" si="4"/>
        <v>43313</v>
      </c>
      <c r="F606" s="82">
        <f ca="1">IFERROR(__xludf.DUMMYFUNCTION("""COMPUTED_VALUE"""),0.104409722222222)</f>
        <v>0.104409722222222</v>
      </c>
      <c r="G606" s="83">
        <f t="shared" ca="1" si="5"/>
        <v>19</v>
      </c>
      <c r="H606" s="83">
        <f ca="1">IFERROR(__xludf.DUMMYFUNCTION("""COMPUTED_VALUE"""),30)</f>
        <v>30</v>
      </c>
      <c r="I606" s="83">
        <f ca="1">IFERROR(__xludf.DUMMYFUNCTION("""COMPUTED_VALUE"""),21)</f>
        <v>21</v>
      </c>
    </row>
    <row r="607" spans="1:9">
      <c r="A607" s="79">
        <v>194</v>
      </c>
      <c r="B607" s="79">
        <v>3</v>
      </c>
      <c r="C607" s="79">
        <v>197</v>
      </c>
      <c r="D607" s="80">
        <v>43320.114814814813</v>
      </c>
      <c r="E607" s="81">
        <f t="shared" ca="1" si="4"/>
        <v>43313</v>
      </c>
      <c r="F607" s="82">
        <f ca="1">IFERROR(__xludf.DUMMYFUNCTION("""COMPUTED_VALUE"""),0.114814814814814)</f>
        <v>0.114814814814814</v>
      </c>
      <c r="G607" s="83">
        <f t="shared" ca="1" si="5"/>
        <v>19</v>
      </c>
      <c r="H607" s="83">
        <f ca="1">IFERROR(__xludf.DUMMYFUNCTION("""COMPUTED_VALUE"""),45)</f>
        <v>45</v>
      </c>
      <c r="I607" s="83">
        <f ca="1">IFERROR(__xludf.DUMMYFUNCTION("""COMPUTED_VALUE"""),20)</f>
        <v>20</v>
      </c>
    </row>
    <row r="608" spans="1:9">
      <c r="A608" s="79">
        <v>188</v>
      </c>
      <c r="B608" s="79">
        <v>0</v>
      </c>
      <c r="C608" s="79">
        <v>188</v>
      </c>
      <c r="D608" s="80">
        <v>43320.125254629631</v>
      </c>
      <c r="E608" s="81">
        <f t="shared" ca="1" si="4"/>
        <v>43313</v>
      </c>
      <c r="F608" s="82">
        <f ca="1">IFERROR(__xludf.DUMMYFUNCTION("""COMPUTED_VALUE"""),0.125254629629629)</f>
        <v>0.12525462962962899</v>
      </c>
      <c r="G608" s="83">
        <f t="shared" ca="1" si="5"/>
        <v>19</v>
      </c>
      <c r="H608" s="83">
        <f ca="1">IFERROR(__xludf.DUMMYFUNCTION("""COMPUTED_VALUE"""),0)</f>
        <v>0</v>
      </c>
      <c r="I608" s="83">
        <f ca="1">IFERROR(__xludf.DUMMYFUNCTION("""COMPUTED_VALUE"""),22)</f>
        <v>22</v>
      </c>
    </row>
    <row r="609" spans="1:9">
      <c r="A609" s="79">
        <v>197</v>
      </c>
      <c r="B609" s="79">
        <v>2</v>
      </c>
      <c r="C609" s="79">
        <v>199</v>
      </c>
      <c r="D609" s="80">
        <v>43320.135648148149</v>
      </c>
      <c r="E609" s="81">
        <f t="shared" ca="1" si="4"/>
        <v>43313</v>
      </c>
      <c r="F609" s="82">
        <f ca="1">IFERROR(__xludf.DUMMYFUNCTION("""COMPUTED_VALUE"""),0.135648148148148)</f>
        <v>0.13564814814814799</v>
      </c>
      <c r="G609" s="83">
        <f t="shared" ca="1" si="5"/>
        <v>19</v>
      </c>
      <c r="H609" s="83">
        <f ca="1">IFERROR(__xludf.DUMMYFUNCTION("""COMPUTED_VALUE"""),15)</f>
        <v>15</v>
      </c>
      <c r="I609" s="83">
        <f ca="1">IFERROR(__xludf.DUMMYFUNCTION("""COMPUTED_VALUE"""),20)</f>
        <v>20</v>
      </c>
    </row>
    <row r="610" spans="1:9">
      <c r="A610" s="79">
        <v>162</v>
      </c>
      <c r="B610" s="79">
        <v>1</v>
      </c>
      <c r="C610" s="79">
        <v>163</v>
      </c>
      <c r="D610" s="80">
        <v>43320.14607638889</v>
      </c>
      <c r="E610" s="81">
        <f t="shared" ca="1" si="4"/>
        <v>43313</v>
      </c>
      <c r="F610" s="82">
        <f ca="1">IFERROR(__xludf.DUMMYFUNCTION("""COMPUTED_VALUE"""),0.146076388888888)</f>
        <v>0.14607638888888799</v>
      </c>
      <c r="G610" s="83">
        <f t="shared" ca="1" si="5"/>
        <v>19</v>
      </c>
      <c r="H610" s="83">
        <f ca="1">IFERROR(__xludf.DUMMYFUNCTION("""COMPUTED_VALUE"""),30)</f>
        <v>30</v>
      </c>
      <c r="I610" s="83">
        <f ca="1">IFERROR(__xludf.DUMMYFUNCTION("""COMPUTED_VALUE"""),21)</f>
        <v>21</v>
      </c>
    </row>
    <row r="611" spans="1:9">
      <c r="A611" s="79">
        <v>145</v>
      </c>
      <c r="B611" s="79">
        <v>1</v>
      </c>
      <c r="C611" s="79">
        <v>146</v>
      </c>
      <c r="D611" s="80">
        <v>43320.156481481485</v>
      </c>
      <c r="E611" s="81">
        <f t="shared" ca="1" si="4"/>
        <v>43313</v>
      </c>
      <c r="F611" s="82">
        <f ca="1">IFERROR(__xludf.DUMMYFUNCTION("""COMPUTED_VALUE"""),0.156481481481481)</f>
        <v>0.156481481481481</v>
      </c>
      <c r="G611" s="83">
        <f t="shared" ca="1" si="5"/>
        <v>19</v>
      </c>
      <c r="H611" s="83">
        <f ca="1">IFERROR(__xludf.DUMMYFUNCTION("""COMPUTED_VALUE"""),45)</f>
        <v>45</v>
      </c>
      <c r="I611" s="83">
        <f ca="1">IFERROR(__xludf.DUMMYFUNCTION("""COMPUTED_VALUE"""),20)</f>
        <v>20</v>
      </c>
    </row>
    <row r="612" spans="1:9">
      <c r="A612" s="79">
        <v>126</v>
      </c>
      <c r="B612" s="79">
        <v>0</v>
      </c>
      <c r="C612" s="79">
        <v>126</v>
      </c>
      <c r="D612" s="80">
        <v>43320.166909722226</v>
      </c>
      <c r="E612" s="81">
        <f t="shared" ca="1" si="4"/>
        <v>43313</v>
      </c>
      <c r="F612" s="82">
        <f ca="1">IFERROR(__xludf.DUMMYFUNCTION("""COMPUTED_VALUE"""),0.166909722222222)</f>
        <v>0.166909722222222</v>
      </c>
      <c r="G612" s="83">
        <f t="shared" ca="1" si="5"/>
        <v>19</v>
      </c>
      <c r="H612" s="83">
        <f ca="1">IFERROR(__xludf.DUMMYFUNCTION("""COMPUTED_VALUE"""),0)</f>
        <v>0</v>
      </c>
      <c r="I612" s="83">
        <f ca="1">IFERROR(__xludf.DUMMYFUNCTION("""COMPUTED_VALUE"""),21)</f>
        <v>21</v>
      </c>
    </row>
    <row r="613" spans="1:9">
      <c r="A613" s="79">
        <v>60</v>
      </c>
      <c r="B613" s="79">
        <v>0</v>
      </c>
      <c r="C613" s="79">
        <v>60</v>
      </c>
      <c r="D613" s="80">
        <v>43320.17732638889</v>
      </c>
      <c r="E613" s="81">
        <f t="shared" ca="1" si="4"/>
        <v>43313</v>
      </c>
      <c r="F613" s="82">
        <f ca="1">IFERROR(__xludf.DUMMYFUNCTION("""COMPUTED_VALUE"""),0.177326388888888)</f>
        <v>0.17732638888888799</v>
      </c>
      <c r="G613" s="83">
        <f t="shared" ca="1" si="5"/>
        <v>19</v>
      </c>
      <c r="H613" s="83">
        <f ca="1">IFERROR(__xludf.DUMMYFUNCTION("""COMPUTED_VALUE"""),15)</f>
        <v>15</v>
      </c>
      <c r="I613" s="83">
        <f ca="1">IFERROR(__xludf.DUMMYFUNCTION("""COMPUTED_VALUE"""),21)</f>
        <v>21</v>
      </c>
    </row>
    <row r="614" spans="1:9">
      <c r="A614" s="79">
        <v>49</v>
      </c>
      <c r="B614" s="79">
        <v>0</v>
      </c>
      <c r="C614" s="79">
        <v>46</v>
      </c>
      <c r="D614" s="80">
        <v>43320.187731481485</v>
      </c>
      <c r="E614" s="81">
        <f t="shared" ca="1" si="4"/>
        <v>43313</v>
      </c>
      <c r="F614" s="82">
        <f ca="1">IFERROR(__xludf.DUMMYFUNCTION("""COMPUTED_VALUE"""),0.187731481481481)</f>
        <v>0.187731481481481</v>
      </c>
      <c r="G614" s="83">
        <f t="shared" ca="1" si="5"/>
        <v>19</v>
      </c>
      <c r="H614" s="83">
        <f ca="1">IFERROR(__xludf.DUMMYFUNCTION("""COMPUTED_VALUE"""),30)</f>
        <v>30</v>
      </c>
      <c r="I614" s="83">
        <f ca="1">IFERROR(__xludf.DUMMYFUNCTION("""COMPUTED_VALUE"""),20)</f>
        <v>20</v>
      </c>
    </row>
    <row r="615" spans="1:9">
      <c r="A615" s="79">
        <v>50</v>
      </c>
      <c r="B615" s="79">
        <v>0</v>
      </c>
      <c r="C615" s="79">
        <v>44</v>
      </c>
      <c r="D615" s="80">
        <v>43320.198159722226</v>
      </c>
      <c r="E615" s="81">
        <f t="shared" ca="1" si="4"/>
        <v>43313</v>
      </c>
      <c r="F615" s="82">
        <f ca="1">IFERROR(__xludf.DUMMYFUNCTION("""COMPUTED_VALUE"""),0.198159722222222)</f>
        <v>0.198159722222222</v>
      </c>
      <c r="G615" s="83">
        <f t="shared" ca="1" si="5"/>
        <v>19</v>
      </c>
      <c r="H615" s="83">
        <f ca="1">IFERROR(__xludf.DUMMYFUNCTION("""COMPUTED_VALUE"""),45)</f>
        <v>45</v>
      </c>
      <c r="I615" s="83">
        <f ca="1">IFERROR(__xludf.DUMMYFUNCTION("""COMPUTED_VALUE"""),21)</f>
        <v>21</v>
      </c>
    </row>
    <row r="616" spans="1:9">
      <c r="A616" s="79">
        <v>40</v>
      </c>
      <c r="B616" s="79">
        <v>0</v>
      </c>
      <c r="C616" s="79">
        <v>40</v>
      </c>
      <c r="D616" s="80">
        <v>43320.208564814813</v>
      </c>
      <c r="E616" s="81">
        <f t="shared" ca="1" si="4"/>
        <v>43313</v>
      </c>
      <c r="F616" s="82">
        <f ca="1">IFERROR(__xludf.DUMMYFUNCTION("""COMPUTED_VALUE"""),0.208564814814814)</f>
        <v>0.20856481481481401</v>
      </c>
      <c r="G616" s="83">
        <f t="shared" ca="1" si="5"/>
        <v>19</v>
      </c>
      <c r="H616" s="83">
        <f ca="1">IFERROR(__xludf.DUMMYFUNCTION("""COMPUTED_VALUE"""),0)</f>
        <v>0</v>
      </c>
      <c r="I616" s="83">
        <f ca="1">IFERROR(__xludf.DUMMYFUNCTION("""COMPUTED_VALUE"""),20)</f>
        <v>20</v>
      </c>
    </row>
    <row r="617" spans="1:9">
      <c r="A617" s="79">
        <v>38</v>
      </c>
      <c r="B617" s="79">
        <v>0</v>
      </c>
      <c r="C617" s="79">
        <v>38</v>
      </c>
      <c r="D617" s="80">
        <v>43320.218981481485</v>
      </c>
      <c r="E617" s="81">
        <f t="shared" ca="1" si="4"/>
        <v>43313</v>
      </c>
      <c r="F617" s="82">
        <f ca="1">IFERROR(__xludf.DUMMYFUNCTION("""COMPUTED_VALUE"""),0.218981481481481)</f>
        <v>0.218981481481481</v>
      </c>
      <c r="G617" s="83">
        <f t="shared" ca="1" si="5"/>
        <v>19</v>
      </c>
      <c r="H617" s="83">
        <f ca="1">IFERROR(__xludf.DUMMYFUNCTION("""COMPUTED_VALUE"""),15)</f>
        <v>15</v>
      </c>
      <c r="I617" s="83">
        <f ca="1">IFERROR(__xludf.DUMMYFUNCTION("""COMPUTED_VALUE"""),20)</f>
        <v>20</v>
      </c>
    </row>
    <row r="618" spans="1:9">
      <c r="A618" s="79">
        <v>37</v>
      </c>
      <c r="B618" s="79">
        <v>0</v>
      </c>
      <c r="C618" s="79">
        <v>37</v>
      </c>
      <c r="D618" s="80">
        <v>43320.229398148149</v>
      </c>
      <c r="E618" s="81">
        <f t="shared" ca="1" si="4"/>
        <v>43313</v>
      </c>
      <c r="F618" s="82">
        <f ca="1">IFERROR(__xludf.DUMMYFUNCTION("""COMPUTED_VALUE"""),0.229398148148148)</f>
        <v>0.22939814814814799</v>
      </c>
      <c r="G618" s="83">
        <f t="shared" ca="1" si="5"/>
        <v>19</v>
      </c>
      <c r="H618" s="83">
        <f ca="1">IFERROR(__xludf.DUMMYFUNCTION("""COMPUTED_VALUE"""),30)</f>
        <v>30</v>
      </c>
      <c r="I618" s="83">
        <f ca="1">IFERROR(__xludf.DUMMYFUNCTION("""COMPUTED_VALUE"""),20)</f>
        <v>20</v>
      </c>
    </row>
    <row r="619" spans="1:9">
      <c r="A619" s="79">
        <v>36</v>
      </c>
      <c r="B619" s="79">
        <v>0</v>
      </c>
      <c r="C619" s="79">
        <v>36</v>
      </c>
      <c r="D619" s="80">
        <v>43320.23982638889</v>
      </c>
      <c r="E619" s="81">
        <f t="shared" ca="1" si="4"/>
        <v>43313</v>
      </c>
      <c r="F619" s="82">
        <f ca="1">IFERROR(__xludf.DUMMYFUNCTION("""COMPUTED_VALUE"""),0.239826388888888)</f>
        <v>0.23982638888888799</v>
      </c>
      <c r="G619" s="83">
        <f t="shared" ca="1" si="5"/>
        <v>19</v>
      </c>
      <c r="H619" s="83">
        <f ca="1">IFERROR(__xludf.DUMMYFUNCTION("""COMPUTED_VALUE"""),45)</f>
        <v>45</v>
      </c>
      <c r="I619" s="83">
        <f ca="1">IFERROR(__xludf.DUMMYFUNCTION("""COMPUTED_VALUE"""),21)</f>
        <v>21</v>
      </c>
    </row>
    <row r="620" spans="1:9">
      <c r="A620" s="79">
        <v>29</v>
      </c>
      <c r="B620" s="79">
        <v>0</v>
      </c>
      <c r="C620" s="79">
        <v>29</v>
      </c>
      <c r="D620" s="80">
        <v>43320.250231481485</v>
      </c>
      <c r="E620" s="81">
        <f t="shared" ca="1" si="4"/>
        <v>43313</v>
      </c>
      <c r="F620" s="82">
        <f ca="1">IFERROR(__xludf.DUMMYFUNCTION("""COMPUTED_VALUE"""),0.250231481481481)</f>
        <v>0.250231481481481</v>
      </c>
      <c r="G620" s="83">
        <f t="shared" ca="1" si="5"/>
        <v>19</v>
      </c>
      <c r="H620" s="83">
        <f ca="1">IFERROR(__xludf.DUMMYFUNCTION("""COMPUTED_VALUE"""),0)</f>
        <v>0</v>
      </c>
      <c r="I620" s="83">
        <f ca="1">IFERROR(__xludf.DUMMYFUNCTION("""COMPUTED_VALUE"""),20)</f>
        <v>20</v>
      </c>
    </row>
    <row r="621" spans="1:9">
      <c r="A621" s="79">
        <v>38</v>
      </c>
      <c r="B621" s="79">
        <v>0</v>
      </c>
      <c r="C621" s="79">
        <v>29</v>
      </c>
      <c r="D621" s="80">
        <v>43320.260659722226</v>
      </c>
      <c r="E621" s="81">
        <f t="shared" ca="1" si="4"/>
        <v>43313</v>
      </c>
      <c r="F621" s="82">
        <f ca="1">IFERROR(__xludf.DUMMYFUNCTION("""COMPUTED_VALUE"""),0.260659722222222)</f>
        <v>0.260659722222222</v>
      </c>
      <c r="G621" s="83">
        <f t="shared" ca="1" si="5"/>
        <v>19</v>
      </c>
      <c r="H621" s="83">
        <f ca="1">IFERROR(__xludf.DUMMYFUNCTION("""COMPUTED_VALUE"""),15)</f>
        <v>15</v>
      </c>
      <c r="I621" s="83">
        <f ca="1">IFERROR(__xludf.DUMMYFUNCTION("""COMPUTED_VALUE"""),21)</f>
        <v>21</v>
      </c>
    </row>
    <row r="622" spans="1:9">
      <c r="A622" s="79">
        <v>28</v>
      </c>
      <c r="B622" s="79">
        <v>0</v>
      </c>
      <c r="C622" s="79">
        <v>28</v>
      </c>
      <c r="D622" s="80">
        <v>43320.273773148147</v>
      </c>
      <c r="E622" s="81">
        <f t="shared" ca="1" si="4"/>
        <v>43313</v>
      </c>
      <c r="F622" s="82">
        <f ca="1">IFERROR(__xludf.DUMMYFUNCTION("""COMPUTED_VALUE"""),0.273773148148148)</f>
        <v>0.27377314814814802</v>
      </c>
      <c r="G622" s="83">
        <f t="shared" ca="1" si="5"/>
        <v>19</v>
      </c>
      <c r="H622" s="83">
        <f ca="1">IFERROR(__xludf.DUMMYFUNCTION("""COMPUTED_VALUE"""),34)</f>
        <v>34</v>
      </c>
      <c r="I622" s="83">
        <f ca="1">IFERROR(__xludf.DUMMYFUNCTION("""COMPUTED_VALUE"""),14)</f>
        <v>14</v>
      </c>
    </row>
    <row r="623" spans="1:9">
      <c r="A623" s="79">
        <v>28</v>
      </c>
      <c r="B623" s="79">
        <v>0</v>
      </c>
      <c r="C623" s="79">
        <v>28</v>
      </c>
      <c r="D623" s="80">
        <v>43320.281481481485</v>
      </c>
      <c r="E623" s="81">
        <f t="shared" ca="1" si="4"/>
        <v>43313</v>
      </c>
      <c r="F623" s="82">
        <f ca="1">IFERROR(__xludf.DUMMYFUNCTION("""COMPUTED_VALUE"""),0.281481481481481)</f>
        <v>0.281481481481481</v>
      </c>
      <c r="G623" s="83">
        <f t="shared" ca="1" si="5"/>
        <v>19</v>
      </c>
      <c r="H623" s="83">
        <f ca="1">IFERROR(__xludf.DUMMYFUNCTION("""COMPUTED_VALUE"""),45)</f>
        <v>45</v>
      </c>
      <c r="I623" s="83">
        <f ca="1">IFERROR(__xludf.DUMMYFUNCTION("""COMPUTED_VALUE"""),20)</f>
        <v>20</v>
      </c>
    </row>
    <row r="624" spans="1:9">
      <c r="A624" s="79">
        <v>31</v>
      </c>
      <c r="B624" s="79">
        <v>0</v>
      </c>
      <c r="C624" s="79">
        <v>31</v>
      </c>
      <c r="D624" s="80">
        <v>43320.291898148149</v>
      </c>
      <c r="E624" s="81">
        <f t="shared" ca="1" si="4"/>
        <v>43313</v>
      </c>
      <c r="F624" s="82">
        <f ca="1">IFERROR(__xludf.DUMMYFUNCTION("""COMPUTED_VALUE"""),0.291898148148148)</f>
        <v>0.29189814814814802</v>
      </c>
      <c r="G624" s="83">
        <f t="shared" ca="1" si="5"/>
        <v>19</v>
      </c>
      <c r="H624" s="83">
        <f ca="1">IFERROR(__xludf.DUMMYFUNCTION("""COMPUTED_VALUE"""),0)</f>
        <v>0</v>
      </c>
      <c r="I624" s="83">
        <f ca="1">IFERROR(__xludf.DUMMYFUNCTION("""COMPUTED_VALUE"""),20)</f>
        <v>20</v>
      </c>
    </row>
    <row r="625" spans="1:9">
      <c r="A625" s="79">
        <v>60</v>
      </c>
      <c r="B625" s="79">
        <v>0</v>
      </c>
      <c r="C625" s="79">
        <v>60</v>
      </c>
      <c r="D625" s="80">
        <v>43320.30232638889</v>
      </c>
      <c r="E625" s="81">
        <f t="shared" ca="1" si="4"/>
        <v>43313</v>
      </c>
      <c r="F625" s="82">
        <f ca="1">IFERROR(__xludf.DUMMYFUNCTION("""COMPUTED_VALUE"""),0.302326388888888)</f>
        <v>0.30232638888888802</v>
      </c>
      <c r="G625" s="83">
        <f t="shared" ca="1" si="5"/>
        <v>19</v>
      </c>
      <c r="H625" s="83">
        <f ca="1">IFERROR(__xludf.DUMMYFUNCTION("""COMPUTED_VALUE"""),15)</f>
        <v>15</v>
      </c>
      <c r="I625" s="83">
        <f ca="1">IFERROR(__xludf.DUMMYFUNCTION("""COMPUTED_VALUE"""),21)</f>
        <v>21</v>
      </c>
    </row>
    <row r="626" spans="1:9">
      <c r="A626" s="79">
        <v>60</v>
      </c>
      <c r="B626" s="79">
        <v>0</v>
      </c>
      <c r="C626" s="79">
        <v>60</v>
      </c>
      <c r="D626" s="80">
        <v>43320.312754629631</v>
      </c>
      <c r="E626" s="81">
        <f t="shared" ca="1" si="4"/>
        <v>43313</v>
      </c>
      <c r="F626" s="82">
        <f ca="1">IFERROR(__xludf.DUMMYFUNCTION("""COMPUTED_VALUE"""),0.312754629629629)</f>
        <v>0.31275462962962902</v>
      </c>
      <c r="G626" s="83">
        <f t="shared" ca="1" si="5"/>
        <v>19</v>
      </c>
      <c r="H626" s="83">
        <f ca="1">IFERROR(__xludf.DUMMYFUNCTION("""COMPUTED_VALUE"""),30)</f>
        <v>30</v>
      </c>
      <c r="I626" s="83">
        <f ca="1">IFERROR(__xludf.DUMMYFUNCTION("""COMPUTED_VALUE"""),22)</f>
        <v>22</v>
      </c>
    </row>
    <row r="627" spans="1:9">
      <c r="A627" s="79">
        <v>72</v>
      </c>
      <c r="B627" s="79">
        <v>0</v>
      </c>
      <c r="C627" s="79">
        <v>72</v>
      </c>
      <c r="D627" s="80">
        <v>43320.323171296295</v>
      </c>
      <c r="E627" s="81">
        <f t="shared" ca="1" si="4"/>
        <v>43313</v>
      </c>
      <c r="F627" s="82">
        <f ca="1">IFERROR(__xludf.DUMMYFUNCTION("""COMPUTED_VALUE"""),0.323171296296296)</f>
        <v>0.32317129629629598</v>
      </c>
      <c r="G627" s="83">
        <f t="shared" ca="1" si="5"/>
        <v>19</v>
      </c>
      <c r="H627" s="83">
        <f ca="1">IFERROR(__xludf.DUMMYFUNCTION("""COMPUTED_VALUE"""),45)</f>
        <v>45</v>
      </c>
      <c r="I627" s="83">
        <f ca="1">IFERROR(__xludf.DUMMYFUNCTION("""COMPUTED_VALUE"""),22)</f>
        <v>22</v>
      </c>
    </row>
    <row r="628" spans="1:9">
      <c r="A628" s="79">
        <v>66</v>
      </c>
      <c r="B628" s="79">
        <v>1</v>
      </c>
      <c r="C628" s="79">
        <v>67</v>
      </c>
      <c r="D628" s="80">
        <v>43320.333599537036</v>
      </c>
      <c r="E628" s="81">
        <f t="shared" ca="1" si="4"/>
        <v>43313</v>
      </c>
      <c r="F628" s="82">
        <f ca="1">IFERROR(__xludf.DUMMYFUNCTION("""COMPUTED_VALUE"""),0.333599537037037)</f>
        <v>0.33359953703703699</v>
      </c>
      <c r="G628" s="83">
        <f t="shared" ca="1" si="5"/>
        <v>19</v>
      </c>
      <c r="H628" s="83">
        <f ca="1">IFERROR(__xludf.DUMMYFUNCTION("""COMPUTED_VALUE"""),0)</f>
        <v>0</v>
      </c>
      <c r="I628" s="83">
        <f ca="1">IFERROR(__xludf.DUMMYFUNCTION("""COMPUTED_VALUE"""),23)</f>
        <v>23</v>
      </c>
    </row>
    <row r="629" spans="1:9">
      <c r="A629" s="79">
        <v>93</v>
      </c>
      <c r="B629" s="79">
        <v>2</v>
      </c>
      <c r="C629" s="79">
        <v>95</v>
      </c>
      <c r="D629" s="80">
        <v>43320.344004629631</v>
      </c>
      <c r="E629" s="81">
        <f t="shared" ca="1" si="4"/>
        <v>43313</v>
      </c>
      <c r="F629" s="82">
        <f ca="1">IFERROR(__xludf.DUMMYFUNCTION("""COMPUTED_VALUE"""),0.344004629629629)</f>
        <v>0.34400462962962902</v>
      </c>
      <c r="G629" s="83">
        <f t="shared" ca="1" si="5"/>
        <v>19</v>
      </c>
      <c r="H629" s="83">
        <f ca="1">IFERROR(__xludf.DUMMYFUNCTION("""COMPUTED_VALUE"""),15)</f>
        <v>15</v>
      </c>
      <c r="I629" s="83">
        <f ca="1">IFERROR(__xludf.DUMMYFUNCTION("""COMPUTED_VALUE"""),22)</f>
        <v>22</v>
      </c>
    </row>
    <row r="630" spans="1:9">
      <c r="A630" s="79">
        <v>130</v>
      </c>
      <c r="B630" s="79">
        <v>0</v>
      </c>
      <c r="C630" s="79">
        <v>130</v>
      </c>
      <c r="D630" s="80">
        <v>43320.354421296295</v>
      </c>
      <c r="E630" s="81">
        <f t="shared" ca="1" si="4"/>
        <v>43313</v>
      </c>
      <c r="F630" s="82">
        <f ca="1">IFERROR(__xludf.DUMMYFUNCTION("""COMPUTED_VALUE"""),0.354421296296296)</f>
        <v>0.35442129629629598</v>
      </c>
      <c r="G630" s="83">
        <f t="shared" ca="1" si="5"/>
        <v>19</v>
      </c>
      <c r="H630" s="83">
        <f ca="1">IFERROR(__xludf.DUMMYFUNCTION("""COMPUTED_VALUE"""),30)</f>
        <v>30</v>
      </c>
      <c r="I630" s="83">
        <f ca="1">IFERROR(__xludf.DUMMYFUNCTION("""COMPUTED_VALUE"""),22)</f>
        <v>22</v>
      </c>
    </row>
    <row r="631" spans="1:9">
      <c r="A631" s="79">
        <v>199</v>
      </c>
      <c r="B631" s="79">
        <v>2</v>
      </c>
      <c r="C631" s="79">
        <v>201</v>
      </c>
      <c r="D631" s="80">
        <v>43320.364837962959</v>
      </c>
      <c r="E631" s="81">
        <f t="shared" ca="1" si="4"/>
        <v>43313</v>
      </c>
      <c r="F631" s="82">
        <f ca="1">IFERROR(__xludf.DUMMYFUNCTION("""COMPUTED_VALUE"""),0.364837962962962)</f>
        <v>0.364837962962962</v>
      </c>
      <c r="G631" s="83">
        <f t="shared" ca="1" si="5"/>
        <v>19</v>
      </c>
      <c r="H631" s="83">
        <f ca="1">IFERROR(__xludf.DUMMYFUNCTION("""COMPUTED_VALUE"""),45)</f>
        <v>45</v>
      </c>
      <c r="I631" s="83">
        <f ca="1">IFERROR(__xludf.DUMMYFUNCTION("""COMPUTED_VALUE"""),22)</f>
        <v>22</v>
      </c>
    </row>
    <row r="632" spans="1:9">
      <c r="A632" s="79">
        <v>166</v>
      </c>
      <c r="B632" s="79">
        <v>1</v>
      </c>
      <c r="C632" s="79">
        <v>167</v>
      </c>
      <c r="D632" s="80">
        <v>43320.375254629631</v>
      </c>
      <c r="E632" s="81">
        <f t="shared" ca="1" si="4"/>
        <v>43313</v>
      </c>
      <c r="F632" s="82">
        <f ca="1">IFERROR(__xludf.DUMMYFUNCTION("""COMPUTED_VALUE"""),0.375254629629629)</f>
        <v>0.37525462962962902</v>
      </c>
      <c r="G632" s="83">
        <f t="shared" ca="1" si="5"/>
        <v>19</v>
      </c>
      <c r="H632" s="83">
        <f ca="1">IFERROR(__xludf.DUMMYFUNCTION("""COMPUTED_VALUE"""),0)</f>
        <v>0</v>
      </c>
      <c r="I632" s="83">
        <f ca="1">IFERROR(__xludf.DUMMYFUNCTION("""COMPUTED_VALUE"""),22)</f>
        <v>22</v>
      </c>
    </row>
    <row r="633" spans="1:9">
      <c r="A633" s="79">
        <v>219</v>
      </c>
      <c r="B633" s="79">
        <v>2</v>
      </c>
      <c r="C633" s="79">
        <v>221</v>
      </c>
      <c r="D633" s="80">
        <v>43320.385682870372</v>
      </c>
      <c r="E633" s="81">
        <f t="shared" ca="1" si="4"/>
        <v>43313</v>
      </c>
      <c r="F633" s="82">
        <f ca="1">IFERROR(__xludf.DUMMYFUNCTION("""COMPUTED_VALUE"""),0.38568287037037)</f>
        <v>0.38568287037037002</v>
      </c>
      <c r="G633" s="83">
        <f t="shared" ca="1" si="5"/>
        <v>19</v>
      </c>
      <c r="H633" s="83">
        <f ca="1">IFERROR(__xludf.DUMMYFUNCTION("""COMPUTED_VALUE"""),15)</f>
        <v>15</v>
      </c>
      <c r="I633" s="83">
        <f ca="1">IFERROR(__xludf.DUMMYFUNCTION("""COMPUTED_VALUE"""),23)</f>
        <v>23</v>
      </c>
    </row>
    <row r="634" spans="1:9">
      <c r="A634" s="79">
        <v>339</v>
      </c>
      <c r="B634" s="79">
        <v>5</v>
      </c>
      <c r="C634" s="79">
        <v>344</v>
      </c>
      <c r="D634" s="80">
        <v>43320.396087962959</v>
      </c>
      <c r="E634" s="81">
        <f t="shared" ca="1" si="4"/>
        <v>43313</v>
      </c>
      <c r="F634" s="82">
        <f ca="1">IFERROR(__xludf.DUMMYFUNCTION("""COMPUTED_VALUE"""),0.396087962962962)</f>
        <v>0.396087962962962</v>
      </c>
      <c r="G634" s="83">
        <f t="shared" ca="1" si="5"/>
        <v>19</v>
      </c>
      <c r="H634" s="83">
        <f ca="1">IFERROR(__xludf.DUMMYFUNCTION("""COMPUTED_VALUE"""),30)</f>
        <v>30</v>
      </c>
      <c r="I634" s="83">
        <f ca="1">IFERROR(__xludf.DUMMYFUNCTION("""COMPUTED_VALUE"""),22)</f>
        <v>22</v>
      </c>
    </row>
    <row r="635" spans="1:9">
      <c r="A635" s="79">
        <v>606</v>
      </c>
      <c r="B635" s="79">
        <v>5</v>
      </c>
      <c r="C635" s="79">
        <v>611</v>
      </c>
      <c r="D635" s="80">
        <v>43320.406504629631</v>
      </c>
      <c r="E635" s="81">
        <f t="shared" ca="1" si="4"/>
        <v>43313</v>
      </c>
      <c r="F635" s="82">
        <f ca="1">IFERROR(__xludf.DUMMYFUNCTION("""COMPUTED_VALUE"""),0.406504629629629)</f>
        <v>0.40650462962962902</v>
      </c>
      <c r="G635" s="83">
        <f t="shared" ca="1" si="5"/>
        <v>19</v>
      </c>
      <c r="H635" s="83">
        <f ca="1">IFERROR(__xludf.DUMMYFUNCTION("""COMPUTED_VALUE"""),45)</f>
        <v>45</v>
      </c>
      <c r="I635" s="83">
        <f ca="1">IFERROR(__xludf.DUMMYFUNCTION("""COMPUTED_VALUE"""),22)</f>
        <v>22</v>
      </c>
    </row>
    <row r="636" spans="1:9">
      <c r="A636" s="79">
        <v>540</v>
      </c>
      <c r="B636" s="79">
        <v>5</v>
      </c>
      <c r="C636" s="79">
        <v>545</v>
      </c>
      <c r="D636" s="80">
        <v>43320.416956018518</v>
      </c>
      <c r="E636" s="81">
        <f t="shared" ca="1" si="4"/>
        <v>43313</v>
      </c>
      <c r="F636" s="82">
        <f ca="1">IFERROR(__xludf.DUMMYFUNCTION("""COMPUTED_VALUE"""),0.416956018518518)</f>
        <v>0.41695601851851799</v>
      </c>
      <c r="G636" s="83">
        <f t="shared" ca="1" si="5"/>
        <v>19</v>
      </c>
      <c r="H636" s="83">
        <f ca="1">IFERROR(__xludf.DUMMYFUNCTION("""COMPUTED_VALUE"""),0)</f>
        <v>0</v>
      </c>
      <c r="I636" s="83">
        <f ca="1">IFERROR(__xludf.DUMMYFUNCTION("""COMPUTED_VALUE"""),25)</f>
        <v>25</v>
      </c>
    </row>
    <row r="637" spans="1:9">
      <c r="A637" s="79">
        <v>522</v>
      </c>
      <c r="B637" s="79">
        <v>9</v>
      </c>
      <c r="C637" s="79">
        <v>531</v>
      </c>
      <c r="D637" s="80">
        <v>43320.427337962959</v>
      </c>
      <c r="E637" s="81">
        <f t="shared" ca="1" si="4"/>
        <v>43313</v>
      </c>
      <c r="F637" s="82">
        <f ca="1">IFERROR(__xludf.DUMMYFUNCTION("""COMPUTED_VALUE"""),0.427337962962962)</f>
        <v>0.427337962962962</v>
      </c>
      <c r="G637" s="83">
        <f t="shared" ca="1" si="5"/>
        <v>19</v>
      </c>
      <c r="H637" s="83">
        <f ca="1">IFERROR(__xludf.DUMMYFUNCTION("""COMPUTED_VALUE"""),15)</f>
        <v>15</v>
      </c>
      <c r="I637" s="83">
        <f ca="1">IFERROR(__xludf.DUMMYFUNCTION("""COMPUTED_VALUE"""),22)</f>
        <v>22</v>
      </c>
    </row>
    <row r="638" spans="1:9">
      <c r="A638" s="79">
        <v>548</v>
      </c>
      <c r="B638" s="79">
        <v>11</v>
      </c>
      <c r="C638" s="79">
        <v>559</v>
      </c>
      <c r="D638" s="80">
        <v>43320.437754629631</v>
      </c>
      <c r="E638" s="81">
        <f t="shared" ca="1" si="4"/>
        <v>43313</v>
      </c>
      <c r="F638" s="82">
        <f ca="1">IFERROR(__xludf.DUMMYFUNCTION("""COMPUTED_VALUE"""),0.437754629629629)</f>
        <v>0.43775462962962902</v>
      </c>
      <c r="G638" s="83">
        <f t="shared" ca="1" si="5"/>
        <v>19</v>
      </c>
      <c r="H638" s="83">
        <f ca="1">IFERROR(__xludf.DUMMYFUNCTION("""COMPUTED_VALUE"""),30)</f>
        <v>30</v>
      </c>
      <c r="I638" s="83">
        <f ca="1">IFERROR(__xludf.DUMMYFUNCTION("""COMPUTED_VALUE"""),22)</f>
        <v>22</v>
      </c>
    </row>
    <row r="639" spans="1:9">
      <c r="A639" s="79">
        <v>664</v>
      </c>
      <c r="B639" s="79">
        <v>17</v>
      </c>
      <c r="C639" s="79">
        <v>681</v>
      </c>
      <c r="D639" s="80">
        <v>43320.448159722226</v>
      </c>
      <c r="E639" s="81">
        <f t="shared" ca="1" si="4"/>
        <v>43313</v>
      </c>
      <c r="F639" s="82">
        <f ca="1">IFERROR(__xludf.DUMMYFUNCTION("""COMPUTED_VALUE"""),0.448159722222222)</f>
        <v>0.448159722222222</v>
      </c>
      <c r="G639" s="83">
        <f t="shared" ca="1" si="5"/>
        <v>19</v>
      </c>
      <c r="H639" s="83">
        <f ca="1">IFERROR(__xludf.DUMMYFUNCTION("""COMPUTED_VALUE"""),45)</f>
        <v>45</v>
      </c>
      <c r="I639" s="83">
        <f ca="1">IFERROR(__xludf.DUMMYFUNCTION("""COMPUTED_VALUE"""),21)</f>
        <v>21</v>
      </c>
    </row>
    <row r="640" spans="1:9">
      <c r="A640" s="79">
        <v>517</v>
      </c>
      <c r="B640" s="79">
        <v>14</v>
      </c>
      <c r="C640" s="79">
        <v>523</v>
      </c>
      <c r="D640" s="80">
        <v>43320.458587962959</v>
      </c>
      <c r="E640" s="81">
        <f t="shared" ca="1" si="4"/>
        <v>43313</v>
      </c>
      <c r="F640" s="82">
        <f ca="1">IFERROR(__xludf.DUMMYFUNCTION("""COMPUTED_VALUE"""),0.458587962962962)</f>
        <v>0.458587962962962</v>
      </c>
      <c r="G640" s="83">
        <f t="shared" ca="1" si="5"/>
        <v>19</v>
      </c>
      <c r="H640" s="83">
        <f ca="1">IFERROR(__xludf.DUMMYFUNCTION("""COMPUTED_VALUE"""),0)</f>
        <v>0</v>
      </c>
      <c r="I640" s="83">
        <f ca="1">IFERROR(__xludf.DUMMYFUNCTION("""COMPUTED_VALUE"""),22)</f>
        <v>22</v>
      </c>
    </row>
    <row r="641" spans="1:9">
      <c r="A641" s="79">
        <v>447</v>
      </c>
      <c r="B641" s="79">
        <v>3</v>
      </c>
      <c r="C641" s="79">
        <v>450</v>
      </c>
      <c r="D641" s="80">
        <v>43320.468993055554</v>
      </c>
      <c r="E641" s="81">
        <f t="shared" ca="1" si="4"/>
        <v>43313</v>
      </c>
      <c r="F641" s="82">
        <f ca="1">IFERROR(__xludf.DUMMYFUNCTION("""COMPUTED_VALUE"""),0.468993055555555)</f>
        <v>0.46899305555555498</v>
      </c>
      <c r="G641" s="83">
        <f t="shared" ca="1" si="5"/>
        <v>19</v>
      </c>
      <c r="H641" s="83">
        <f ca="1">IFERROR(__xludf.DUMMYFUNCTION("""COMPUTED_VALUE"""),15)</f>
        <v>15</v>
      </c>
      <c r="I641" s="83">
        <f ca="1">IFERROR(__xludf.DUMMYFUNCTION("""COMPUTED_VALUE"""),21)</f>
        <v>21</v>
      </c>
    </row>
    <row r="642" spans="1:9">
      <c r="A642" s="79">
        <v>423</v>
      </c>
      <c r="B642" s="79">
        <v>8</v>
      </c>
      <c r="C642" s="79">
        <v>431</v>
      </c>
      <c r="D642" s="80">
        <v>43320.479421296295</v>
      </c>
      <c r="E642" s="81">
        <f t="shared" ca="1" si="4"/>
        <v>43313</v>
      </c>
      <c r="F642" s="82">
        <f ca="1">IFERROR(__xludf.DUMMYFUNCTION("""COMPUTED_VALUE"""),0.479421296296296)</f>
        <v>0.47942129629629598</v>
      </c>
      <c r="G642" s="83">
        <f t="shared" ca="1" si="5"/>
        <v>19</v>
      </c>
      <c r="H642" s="83">
        <f ca="1">IFERROR(__xludf.DUMMYFUNCTION("""COMPUTED_VALUE"""),30)</f>
        <v>30</v>
      </c>
      <c r="I642" s="83">
        <f ca="1">IFERROR(__xludf.DUMMYFUNCTION("""COMPUTED_VALUE"""),22)</f>
        <v>22</v>
      </c>
    </row>
    <row r="643" spans="1:9">
      <c r="A643" s="79">
        <v>392</v>
      </c>
      <c r="B643" s="79">
        <v>5</v>
      </c>
      <c r="C643" s="79">
        <v>393</v>
      </c>
      <c r="D643" s="80">
        <v>43320.489837962959</v>
      </c>
      <c r="E643" s="81">
        <f t="shared" ca="1" si="4"/>
        <v>43313</v>
      </c>
      <c r="F643" s="82">
        <f ca="1">IFERROR(__xludf.DUMMYFUNCTION("""COMPUTED_VALUE"""),0.489837962962962)</f>
        <v>0.489837962962962</v>
      </c>
      <c r="G643" s="83">
        <f t="shared" ca="1" si="5"/>
        <v>19</v>
      </c>
      <c r="H643" s="83">
        <f ca="1">IFERROR(__xludf.DUMMYFUNCTION("""COMPUTED_VALUE"""),45)</f>
        <v>45</v>
      </c>
      <c r="I643" s="83">
        <f ca="1">IFERROR(__xludf.DUMMYFUNCTION("""COMPUTED_VALUE"""),22)</f>
        <v>22</v>
      </c>
    </row>
    <row r="644" spans="1:9">
      <c r="A644" s="79">
        <v>286</v>
      </c>
      <c r="B644" s="79">
        <v>6</v>
      </c>
      <c r="C644" s="79">
        <v>292</v>
      </c>
      <c r="D644" s="80">
        <v>43320.500300925924</v>
      </c>
      <c r="E644" s="81">
        <f t="shared" ca="1" si="4"/>
        <v>43313</v>
      </c>
      <c r="F644" s="82">
        <f ca="1">IFERROR(__xludf.DUMMYFUNCTION("""COMPUTED_VALUE"""),0.500300925925925)</f>
        <v>0.50030092592592501</v>
      </c>
      <c r="G644" s="83">
        <f t="shared" ca="1" si="5"/>
        <v>19</v>
      </c>
      <c r="H644" s="83">
        <f ca="1">IFERROR(__xludf.DUMMYFUNCTION("""COMPUTED_VALUE"""),0)</f>
        <v>0</v>
      </c>
      <c r="I644" s="83">
        <f ca="1">IFERROR(__xludf.DUMMYFUNCTION("""COMPUTED_VALUE"""),26)</f>
        <v>26</v>
      </c>
    </row>
    <row r="645" spans="1:9">
      <c r="A645" s="79">
        <v>288</v>
      </c>
      <c r="B645" s="79">
        <v>3</v>
      </c>
      <c r="C645" s="79">
        <v>284</v>
      </c>
      <c r="D645" s="80">
        <v>43320.510659722226</v>
      </c>
      <c r="E645" s="81">
        <f t="shared" ca="1" si="4"/>
        <v>43313</v>
      </c>
      <c r="F645" s="82">
        <f ca="1">IFERROR(__xludf.DUMMYFUNCTION("""COMPUTED_VALUE"""),0.510659722222222)</f>
        <v>0.510659722222222</v>
      </c>
      <c r="G645" s="83">
        <f t="shared" ca="1" si="5"/>
        <v>19</v>
      </c>
      <c r="H645" s="83">
        <f ca="1">IFERROR(__xludf.DUMMYFUNCTION("""COMPUTED_VALUE"""),15)</f>
        <v>15</v>
      </c>
      <c r="I645" s="83">
        <f ca="1">IFERROR(__xludf.DUMMYFUNCTION("""COMPUTED_VALUE"""),21)</f>
        <v>21</v>
      </c>
    </row>
    <row r="646" spans="1:9">
      <c r="A646" s="79">
        <v>277</v>
      </c>
      <c r="B646" s="79">
        <v>2</v>
      </c>
      <c r="C646" s="79">
        <v>279</v>
      </c>
      <c r="D646" s="80">
        <v>43320.52107638889</v>
      </c>
      <c r="E646" s="81">
        <f t="shared" ca="1" si="4"/>
        <v>43313</v>
      </c>
      <c r="F646" s="82">
        <f ca="1">IFERROR(__xludf.DUMMYFUNCTION("""COMPUTED_VALUE"""),0.521076388888888)</f>
        <v>0.52107638888888796</v>
      </c>
      <c r="G646" s="83">
        <f t="shared" ca="1" si="5"/>
        <v>19</v>
      </c>
      <c r="H646" s="83">
        <f ca="1">IFERROR(__xludf.DUMMYFUNCTION("""COMPUTED_VALUE"""),30)</f>
        <v>30</v>
      </c>
      <c r="I646" s="83">
        <f ca="1">IFERROR(__xludf.DUMMYFUNCTION("""COMPUTED_VALUE"""),21)</f>
        <v>21</v>
      </c>
    </row>
    <row r="647" spans="1:9">
      <c r="A647" s="79">
        <v>275</v>
      </c>
      <c r="B647" s="79">
        <v>2</v>
      </c>
      <c r="C647" s="79">
        <v>277</v>
      </c>
      <c r="D647" s="80">
        <v>43320.531504629631</v>
      </c>
      <c r="E647" s="81">
        <f t="shared" ca="1" si="4"/>
        <v>43313</v>
      </c>
      <c r="F647" s="82">
        <f ca="1">IFERROR(__xludf.DUMMYFUNCTION("""COMPUTED_VALUE"""),0.531504629629629)</f>
        <v>0.53150462962962897</v>
      </c>
      <c r="G647" s="83">
        <f t="shared" ca="1" si="5"/>
        <v>19</v>
      </c>
      <c r="H647" s="83">
        <f ca="1">IFERROR(__xludf.DUMMYFUNCTION("""COMPUTED_VALUE"""),45)</f>
        <v>45</v>
      </c>
      <c r="I647" s="83">
        <f ca="1">IFERROR(__xludf.DUMMYFUNCTION("""COMPUTED_VALUE"""),22)</f>
        <v>22</v>
      </c>
    </row>
    <row r="648" spans="1:9">
      <c r="A648" s="79">
        <v>271</v>
      </c>
      <c r="B648" s="79">
        <v>2</v>
      </c>
      <c r="C648" s="79">
        <v>273</v>
      </c>
      <c r="D648" s="80">
        <v>43320.541944444441</v>
      </c>
      <c r="E648" s="81">
        <f t="shared" ca="1" si="4"/>
        <v>43313</v>
      </c>
      <c r="F648" s="82">
        <f ca="1">IFERROR(__xludf.DUMMYFUNCTION("""COMPUTED_VALUE"""),0.541944444444444)</f>
        <v>0.54194444444444401</v>
      </c>
      <c r="G648" s="83">
        <f t="shared" ca="1" si="5"/>
        <v>19</v>
      </c>
      <c r="H648" s="83">
        <f ca="1">IFERROR(__xludf.DUMMYFUNCTION("""COMPUTED_VALUE"""),0)</f>
        <v>0</v>
      </c>
      <c r="I648" s="83">
        <f ca="1">IFERROR(__xludf.DUMMYFUNCTION("""COMPUTED_VALUE"""),24)</f>
        <v>24</v>
      </c>
    </row>
    <row r="649" spans="1:9">
      <c r="A649" s="79">
        <v>266</v>
      </c>
      <c r="B649" s="79">
        <v>5</v>
      </c>
      <c r="C649" s="79">
        <v>271</v>
      </c>
      <c r="D649" s="80">
        <v>43320.552337962959</v>
      </c>
      <c r="E649" s="81">
        <f t="shared" ca="1" si="4"/>
        <v>43313</v>
      </c>
      <c r="F649" s="82">
        <f ca="1">IFERROR(__xludf.DUMMYFUNCTION("""COMPUTED_VALUE"""),0.552337962962963)</f>
        <v>0.552337962962963</v>
      </c>
      <c r="G649" s="83">
        <f t="shared" ca="1" si="5"/>
        <v>19</v>
      </c>
      <c r="H649" s="83">
        <f ca="1">IFERROR(__xludf.DUMMYFUNCTION("""COMPUTED_VALUE"""),15)</f>
        <v>15</v>
      </c>
      <c r="I649" s="83">
        <f ca="1">IFERROR(__xludf.DUMMYFUNCTION("""COMPUTED_VALUE"""),22)</f>
        <v>22</v>
      </c>
    </row>
    <row r="650" spans="1:9">
      <c r="A650" s="79">
        <v>275</v>
      </c>
      <c r="B650" s="79">
        <v>3</v>
      </c>
      <c r="C650" s="79">
        <v>278</v>
      </c>
      <c r="D650" s="80">
        <v>43320.562743055554</v>
      </c>
      <c r="E650" s="81">
        <f t="shared" ca="1" si="4"/>
        <v>43313</v>
      </c>
      <c r="F650" s="82">
        <f ca="1">IFERROR(__xludf.DUMMYFUNCTION("""COMPUTED_VALUE"""),0.562743055555555)</f>
        <v>0.56274305555555504</v>
      </c>
      <c r="G650" s="83">
        <f t="shared" ca="1" si="5"/>
        <v>19</v>
      </c>
      <c r="H650" s="83">
        <f ca="1">IFERROR(__xludf.DUMMYFUNCTION("""COMPUTED_VALUE"""),30)</f>
        <v>30</v>
      </c>
      <c r="I650" s="83">
        <f ca="1">IFERROR(__xludf.DUMMYFUNCTION("""COMPUTED_VALUE"""),21)</f>
        <v>21</v>
      </c>
    </row>
    <row r="651" spans="1:9">
      <c r="A651" s="79">
        <v>349</v>
      </c>
      <c r="B651" s="79">
        <v>5</v>
      </c>
      <c r="C651" s="79">
        <v>354</v>
      </c>
      <c r="D651" s="80">
        <v>43320.573171296295</v>
      </c>
      <c r="E651" s="81">
        <f t="shared" ca="1" si="4"/>
        <v>43313</v>
      </c>
      <c r="F651" s="82">
        <f ca="1">IFERROR(__xludf.DUMMYFUNCTION("""COMPUTED_VALUE"""),0.573171296296296)</f>
        <v>0.57317129629629604</v>
      </c>
      <c r="G651" s="83">
        <f t="shared" ca="1" si="5"/>
        <v>19</v>
      </c>
      <c r="H651" s="83">
        <f ca="1">IFERROR(__xludf.DUMMYFUNCTION("""COMPUTED_VALUE"""),45)</f>
        <v>45</v>
      </c>
      <c r="I651" s="83">
        <f ca="1">IFERROR(__xludf.DUMMYFUNCTION("""COMPUTED_VALUE"""),22)</f>
        <v>22</v>
      </c>
    </row>
    <row r="652" spans="1:9">
      <c r="A652" s="79">
        <v>292</v>
      </c>
      <c r="B652" s="79">
        <v>6</v>
      </c>
      <c r="C652" s="79">
        <v>298</v>
      </c>
      <c r="D652" s="80">
        <v>43320.58357638889</v>
      </c>
      <c r="E652" s="81">
        <f t="shared" ca="1" si="4"/>
        <v>43313</v>
      </c>
      <c r="F652" s="82">
        <f ca="1">IFERROR(__xludf.DUMMYFUNCTION("""COMPUTED_VALUE"""),0.583576388888888)</f>
        <v>0.58357638888888796</v>
      </c>
      <c r="G652" s="83">
        <f t="shared" ca="1" si="5"/>
        <v>19</v>
      </c>
      <c r="H652" s="83">
        <f ca="1">IFERROR(__xludf.DUMMYFUNCTION("""COMPUTED_VALUE"""),0)</f>
        <v>0</v>
      </c>
      <c r="I652" s="83">
        <f ca="1">IFERROR(__xludf.DUMMYFUNCTION("""COMPUTED_VALUE"""),21)</f>
        <v>21</v>
      </c>
    </row>
    <row r="653" spans="1:9">
      <c r="A653" s="79">
        <v>270</v>
      </c>
      <c r="B653" s="79">
        <v>4</v>
      </c>
      <c r="C653" s="79">
        <v>274</v>
      </c>
      <c r="D653" s="80">
        <v>43320.594004629631</v>
      </c>
      <c r="E653" s="81">
        <f t="shared" ca="1" si="4"/>
        <v>43313</v>
      </c>
      <c r="F653" s="82">
        <f ca="1">IFERROR(__xludf.DUMMYFUNCTION("""COMPUTED_VALUE"""),0.594004629629629)</f>
        <v>0.59400462962962897</v>
      </c>
      <c r="G653" s="83">
        <f t="shared" ca="1" si="5"/>
        <v>19</v>
      </c>
      <c r="H653" s="83">
        <f ca="1">IFERROR(__xludf.DUMMYFUNCTION("""COMPUTED_VALUE"""),15)</f>
        <v>15</v>
      </c>
      <c r="I653" s="83">
        <f ca="1">IFERROR(__xludf.DUMMYFUNCTION("""COMPUTED_VALUE"""),22)</f>
        <v>22</v>
      </c>
    </row>
    <row r="654" spans="1:9">
      <c r="A654" s="79">
        <v>282</v>
      </c>
      <c r="B654" s="79">
        <v>5</v>
      </c>
      <c r="C654" s="79">
        <v>285</v>
      </c>
      <c r="D654" s="80">
        <v>43320.604409722226</v>
      </c>
      <c r="E654" s="81">
        <f t="shared" ca="1" si="4"/>
        <v>43313</v>
      </c>
      <c r="F654" s="82">
        <f ca="1">IFERROR(__xludf.DUMMYFUNCTION("""COMPUTED_VALUE"""),0.604409722222222)</f>
        <v>0.604409722222222</v>
      </c>
      <c r="G654" s="83">
        <f t="shared" ca="1" si="5"/>
        <v>19</v>
      </c>
      <c r="H654" s="83">
        <f ca="1">IFERROR(__xludf.DUMMYFUNCTION("""COMPUTED_VALUE"""),30)</f>
        <v>30</v>
      </c>
      <c r="I654" s="83">
        <f ca="1">IFERROR(__xludf.DUMMYFUNCTION("""COMPUTED_VALUE"""),21)</f>
        <v>21</v>
      </c>
    </row>
    <row r="655" spans="1:9">
      <c r="A655" s="79">
        <v>281</v>
      </c>
      <c r="B655" s="79">
        <v>3</v>
      </c>
      <c r="C655" s="79">
        <v>284</v>
      </c>
      <c r="D655" s="80">
        <v>43320.61482638889</v>
      </c>
      <c r="E655" s="81">
        <f t="shared" ca="1" si="4"/>
        <v>43313</v>
      </c>
      <c r="F655" s="82">
        <f ca="1">IFERROR(__xludf.DUMMYFUNCTION("""COMPUTED_VALUE"""),0.614826388888888)</f>
        <v>0.61482638888888796</v>
      </c>
      <c r="G655" s="83">
        <f t="shared" ca="1" si="5"/>
        <v>19</v>
      </c>
      <c r="H655" s="83">
        <f ca="1">IFERROR(__xludf.DUMMYFUNCTION("""COMPUTED_VALUE"""),45)</f>
        <v>45</v>
      </c>
      <c r="I655" s="83">
        <f ca="1">IFERROR(__xludf.DUMMYFUNCTION("""COMPUTED_VALUE"""),21)</f>
        <v>21</v>
      </c>
    </row>
    <row r="656" spans="1:9">
      <c r="A656" s="79">
        <v>296</v>
      </c>
      <c r="B656" s="79">
        <v>5</v>
      </c>
      <c r="C656" s="79">
        <v>301</v>
      </c>
      <c r="D656" s="80">
        <v>43320.625277777777</v>
      </c>
      <c r="E656" s="81">
        <f t="shared" ca="1" si="4"/>
        <v>43313</v>
      </c>
      <c r="F656" s="82">
        <f ca="1">IFERROR(__xludf.DUMMYFUNCTION("""COMPUTED_VALUE"""),0.625277777777777)</f>
        <v>0.62527777777777704</v>
      </c>
      <c r="G656" s="83">
        <f t="shared" ca="1" si="5"/>
        <v>19</v>
      </c>
      <c r="H656" s="83">
        <f ca="1">IFERROR(__xludf.DUMMYFUNCTION("""COMPUTED_VALUE"""),0)</f>
        <v>0</v>
      </c>
      <c r="I656" s="83">
        <f ca="1">IFERROR(__xludf.DUMMYFUNCTION("""COMPUTED_VALUE"""),24)</f>
        <v>24</v>
      </c>
    </row>
    <row r="657" spans="1:9">
      <c r="A657" s="79">
        <v>342</v>
      </c>
      <c r="B657" s="79">
        <v>7</v>
      </c>
      <c r="C657" s="79">
        <v>349</v>
      </c>
      <c r="D657" s="80">
        <v>43320.635659722226</v>
      </c>
      <c r="E657" s="81">
        <f t="shared" ca="1" si="4"/>
        <v>43313</v>
      </c>
      <c r="F657" s="82">
        <f ca="1">IFERROR(__xludf.DUMMYFUNCTION("""COMPUTED_VALUE"""),0.635659722222222)</f>
        <v>0.635659722222222</v>
      </c>
      <c r="G657" s="83">
        <f t="shared" ca="1" si="5"/>
        <v>19</v>
      </c>
      <c r="H657" s="83">
        <f ca="1">IFERROR(__xludf.DUMMYFUNCTION("""COMPUTED_VALUE"""),15)</f>
        <v>15</v>
      </c>
      <c r="I657" s="83">
        <f ca="1">IFERROR(__xludf.DUMMYFUNCTION("""COMPUTED_VALUE"""),21)</f>
        <v>21</v>
      </c>
    </row>
    <row r="658" spans="1:9">
      <c r="A658" s="79">
        <v>361</v>
      </c>
      <c r="B658" s="79">
        <v>6</v>
      </c>
      <c r="C658" s="79">
        <v>367</v>
      </c>
      <c r="D658" s="80">
        <v>43320.64607638889</v>
      </c>
      <c r="E658" s="81">
        <f t="shared" ca="1" si="4"/>
        <v>43313</v>
      </c>
      <c r="F658" s="82">
        <f ca="1">IFERROR(__xludf.DUMMYFUNCTION("""COMPUTED_VALUE"""),0.646076388888888)</f>
        <v>0.64607638888888796</v>
      </c>
      <c r="G658" s="83">
        <f t="shared" ca="1" si="5"/>
        <v>19</v>
      </c>
      <c r="H658" s="83">
        <f ca="1">IFERROR(__xludf.DUMMYFUNCTION("""COMPUTED_VALUE"""),30)</f>
        <v>30</v>
      </c>
      <c r="I658" s="83">
        <f ca="1">IFERROR(__xludf.DUMMYFUNCTION("""COMPUTED_VALUE"""),21)</f>
        <v>21</v>
      </c>
    </row>
    <row r="659" spans="1:9">
      <c r="A659" s="79">
        <v>352</v>
      </c>
      <c r="B659" s="79">
        <v>3</v>
      </c>
      <c r="C659" s="79">
        <v>355</v>
      </c>
      <c r="D659" s="80">
        <v>43320.656504629631</v>
      </c>
      <c r="E659" s="81">
        <f t="shared" ca="1" si="4"/>
        <v>43313</v>
      </c>
      <c r="F659" s="82">
        <f ca="1">IFERROR(__xludf.DUMMYFUNCTION("""COMPUTED_VALUE"""),0.656504629629629)</f>
        <v>0.65650462962962897</v>
      </c>
      <c r="G659" s="83">
        <f t="shared" ca="1" si="5"/>
        <v>19</v>
      </c>
      <c r="H659" s="83">
        <f ca="1">IFERROR(__xludf.DUMMYFUNCTION("""COMPUTED_VALUE"""),45)</f>
        <v>45</v>
      </c>
      <c r="I659" s="83">
        <f ca="1">IFERROR(__xludf.DUMMYFUNCTION("""COMPUTED_VALUE"""),22)</f>
        <v>22</v>
      </c>
    </row>
    <row r="660" spans="1:9">
      <c r="A660" s="79">
        <v>341</v>
      </c>
      <c r="B660" s="79">
        <v>3</v>
      </c>
      <c r="C660" s="79">
        <v>344</v>
      </c>
      <c r="D660" s="80">
        <v>43320.666956018518</v>
      </c>
      <c r="E660" s="81">
        <f t="shared" ca="1" si="4"/>
        <v>43313</v>
      </c>
      <c r="F660" s="82">
        <f ca="1">IFERROR(__xludf.DUMMYFUNCTION("""COMPUTED_VALUE"""),0.666956018518518)</f>
        <v>0.66695601851851805</v>
      </c>
      <c r="G660" s="83">
        <f t="shared" ca="1" si="5"/>
        <v>19</v>
      </c>
      <c r="H660" s="83">
        <f ca="1">IFERROR(__xludf.DUMMYFUNCTION("""COMPUTED_VALUE"""),0)</f>
        <v>0</v>
      </c>
      <c r="I660" s="83">
        <f ca="1">IFERROR(__xludf.DUMMYFUNCTION("""COMPUTED_VALUE"""),25)</f>
        <v>25</v>
      </c>
    </row>
    <row r="661" spans="1:9">
      <c r="A661" s="79">
        <v>429</v>
      </c>
      <c r="B661" s="79">
        <v>6</v>
      </c>
      <c r="C661" s="79">
        <v>435</v>
      </c>
      <c r="D661" s="80">
        <v>43320.67732638889</v>
      </c>
      <c r="E661" s="81">
        <f t="shared" ca="1" si="4"/>
        <v>43313</v>
      </c>
      <c r="F661" s="82">
        <f ca="1">IFERROR(__xludf.DUMMYFUNCTION("""COMPUTED_VALUE"""),0.677326388888888)</f>
        <v>0.67732638888888796</v>
      </c>
      <c r="G661" s="83">
        <f t="shared" ca="1" si="5"/>
        <v>19</v>
      </c>
      <c r="H661" s="83">
        <f ca="1">IFERROR(__xludf.DUMMYFUNCTION("""COMPUTED_VALUE"""),15)</f>
        <v>15</v>
      </c>
      <c r="I661" s="83">
        <f ca="1">IFERROR(__xludf.DUMMYFUNCTION("""COMPUTED_VALUE"""),21)</f>
        <v>21</v>
      </c>
    </row>
    <row r="662" spans="1:9">
      <c r="A662" s="79">
        <v>359</v>
      </c>
      <c r="B662" s="79">
        <v>6</v>
      </c>
      <c r="C662" s="79">
        <v>365</v>
      </c>
      <c r="D662" s="80">
        <v>43320.687743055554</v>
      </c>
      <c r="E662" s="81">
        <f t="shared" ca="1" si="4"/>
        <v>43313</v>
      </c>
      <c r="F662" s="82">
        <f ca="1">IFERROR(__xludf.DUMMYFUNCTION("""COMPUTED_VALUE"""),0.687743055555555)</f>
        <v>0.68774305555555504</v>
      </c>
      <c r="G662" s="83">
        <f t="shared" ca="1" si="5"/>
        <v>19</v>
      </c>
      <c r="H662" s="83">
        <f ca="1">IFERROR(__xludf.DUMMYFUNCTION("""COMPUTED_VALUE"""),30)</f>
        <v>30</v>
      </c>
      <c r="I662" s="83">
        <f ca="1">IFERROR(__xludf.DUMMYFUNCTION("""COMPUTED_VALUE"""),21)</f>
        <v>21</v>
      </c>
    </row>
    <row r="663" spans="1:9">
      <c r="A663" s="79">
        <v>412</v>
      </c>
      <c r="B663" s="79">
        <v>5</v>
      </c>
      <c r="C663" s="79">
        <v>417</v>
      </c>
      <c r="D663" s="80">
        <v>43320.698159722226</v>
      </c>
      <c r="E663" s="81">
        <f t="shared" ca="1" si="4"/>
        <v>43313</v>
      </c>
      <c r="F663" s="82">
        <f ca="1">IFERROR(__xludf.DUMMYFUNCTION("""COMPUTED_VALUE"""),0.698159722222222)</f>
        <v>0.698159722222222</v>
      </c>
      <c r="G663" s="83">
        <f t="shared" ca="1" si="5"/>
        <v>19</v>
      </c>
      <c r="H663" s="83">
        <f ca="1">IFERROR(__xludf.DUMMYFUNCTION("""COMPUTED_VALUE"""),45)</f>
        <v>45</v>
      </c>
      <c r="I663" s="83">
        <f ca="1">IFERROR(__xludf.DUMMYFUNCTION("""COMPUTED_VALUE"""),21)</f>
        <v>21</v>
      </c>
    </row>
    <row r="664" spans="1:9">
      <c r="A664" s="79">
        <v>334</v>
      </c>
      <c r="B664" s="79">
        <v>3</v>
      </c>
      <c r="C664" s="79">
        <v>327</v>
      </c>
      <c r="D664" s="80">
        <v>43320.708611111113</v>
      </c>
      <c r="E664" s="81">
        <f t="shared" ca="1" si="4"/>
        <v>43313</v>
      </c>
      <c r="F664" s="82">
        <f ca="1">IFERROR(__xludf.DUMMYFUNCTION("""COMPUTED_VALUE"""),0.708611111111111)</f>
        <v>0.70861111111111097</v>
      </c>
      <c r="G664" s="83">
        <f t="shared" ca="1" si="5"/>
        <v>19</v>
      </c>
      <c r="H664" s="83">
        <f ca="1">IFERROR(__xludf.DUMMYFUNCTION("""COMPUTED_VALUE"""),0)</f>
        <v>0</v>
      </c>
      <c r="I664" s="83">
        <f ca="1">IFERROR(__xludf.DUMMYFUNCTION("""COMPUTED_VALUE"""),24)</f>
        <v>24</v>
      </c>
    </row>
    <row r="665" spans="1:9">
      <c r="A665" s="79">
        <v>537</v>
      </c>
      <c r="B665" s="79">
        <v>6</v>
      </c>
      <c r="C665" s="79">
        <v>543</v>
      </c>
      <c r="D665" s="80">
        <v>43320.718993055554</v>
      </c>
      <c r="E665" s="81">
        <f t="shared" ca="1" si="4"/>
        <v>43313</v>
      </c>
      <c r="F665" s="82">
        <f ca="1">IFERROR(__xludf.DUMMYFUNCTION("""COMPUTED_VALUE"""),0.718993055555555)</f>
        <v>0.71899305555555504</v>
      </c>
      <c r="G665" s="83">
        <f t="shared" ca="1" si="5"/>
        <v>19</v>
      </c>
      <c r="H665" s="83">
        <f ca="1">IFERROR(__xludf.DUMMYFUNCTION("""COMPUTED_VALUE"""),15)</f>
        <v>15</v>
      </c>
      <c r="I665" s="83">
        <f ca="1">IFERROR(__xludf.DUMMYFUNCTION("""COMPUTED_VALUE"""),21)</f>
        <v>21</v>
      </c>
    </row>
    <row r="666" spans="1:9">
      <c r="A666" s="79">
        <v>471</v>
      </c>
      <c r="B666" s="79">
        <v>8</v>
      </c>
      <c r="C666" s="79">
        <v>479</v>
      </c>
      <c r="D666" s="80">
        <v>43320.729421296295</v>
      </c>
      <c r="E666" s="81">
        <f t="shared" ca="1" si="4"/>
        <v>43313</v>
      </c>
      <c r="F666" s="82">
        <f ca="1">IFERROR(__xludf.DUMMYFUNCTION("""COMPUTED_VALUE"""),0.729421296296296)</f>
        <v>0.72942129629629604</v>
      </c>
      <c r="G666" s="83">
        <f t="shared" ca="1" si="5"/>
        <v>19</v>
      </c>
      <c r="H666" s="83">
        <f ca="1">IFERROR(__xludf.DUMMYFUNCTION("""COMPUTED_VALUE"""),30)</f>
        <v>30</v>
      </c>
      <c r="I666" s="83">
        <f ca="1">IFERROR(__xludf.DUMMYFUNCTION("""COMPUTED_VALUE"""),22)</f>
        <v>22</v>
      </c>
    </row>
    <row r="667" spans="1:9">
      <c r="A667" s="79">
        <v>418</v>
      </c>
      <c r="B667" s="79">
        <v>6</v>
      </c>
      <c r="C667" s="79">
        <v>424</v>
      </c>
      <c r="D667" s="80">
        <v>43320.73982638889</v>
      </c>
      <c r="E667" s="81">
        <f t="shared" ca="1" si="4"/>
        <v>43313</v>
      </c>
      <c r="F667" s="82">
        <f ca="1">IFERROR(__xludf.DUMMYFUNCTION("""COMPUTED_VALUE"""),0.739826388888888)</f>
        <v>0.73982638888888796</v>
      </c>
      <c r="G667" s="83">
        <f t="shared" ca="1" si="5"/>
        <v>19</v>
      </c>
      <c r="H667" s="83">
        <f ca="1">IFERROR(__xludf.DUMMYFUNCTION("""COMPUTED_VALUE"""),45)</f>
        <v>45</v>
      </c>
      <c r="I667" s="83">
        <f ca="1">IFERROR(__xludf.DUMMYFUNCTION("""COMPUTED_VALUE"""),21)</f>
        <v>21</v>
      </c>
    </row>
    <row r="668" spans="1:9">
      <c r="A668" s="79">
        <v>377</v>
      </c>
      <c r="B668" s="79">
        <v>7</v>
      </c>
      <c r="C668" s="79">
        <v>384</v>
      </c>
      <c r="D668" s="80">
        <v>43320.7502662037</v>
      </c>
      <c r="E668" s="81">
        <f t="shared" ca="1" si="4"/>
        <v>43313</v>
      </c>
      <c r="F668" s="82">
        <f ca="1">IFERROR(__xludf.DUMMYFUNCTION("""COMPUTED_VALUE"""),0.750266203703703)</f>
        <v>0.75026620370370301</v>
      </c>
      <c r="G668" s="83">
        <f t="shared" ca="1" si="5"/>
        <v>19</v>
      </c>
      <c r="H668" s="83">
        <f ca="1">IFERROR(__xludf.DUMMYFUNCTION("""COMPUTED_VALUE"""),0)</f>
        <v>0</v>
      </c>
      <c r="I668" s="83">
        <f ca="1">IFERROR(__xludf.DUMMYFUNCTION("""COMPUTED_VALUE"""),23)</f>
        <v>23</v>
      </c>
    </row>
    <row r="669" spans="1:9">
      <c r="A669" s="79">
        <v>424</v>
      </c>
      <c r="B669" s="79">
        <v>10</v>
      </c>
      <c r="C669" s="79">
        <v>434</v>
      </c>
      <c r="D669" s="80">
        <v>43320.760671296295</v>
      </c>
      <c r="E669" s="81">
        <f t="shared" ca="1" si="4"/>
        <v>43313</v>
      </c>
      <c r="F669" s="82">
        <f ca="1">IFERROR(__xludf.DUMMYFUNCTION("""COMPUTED_VALUE"""),0.760671296296296)</f>
        <v>0.76067129629629604</v>
      </c>
      <c r="G669" s="83">
        <f t="shared" ca="1" si="5"/>
        <v>19</v>
      </c>
      <c r="H669" s="83">
        <f ca="1">IFERROR(__xludf.DUMMYFUNCTION("""COMPUTED_VALUE"""),15)</f>
        <v>15</v>
      </c>
      <c r="I669" s="83">
        <f ca="1">IFERROR(__xludf.DUMMYFUNCTION("""COMPUTED_VALUE"""),22)</f>
        <v>22</v>
      </c>
    </row>
    <row r="670" spans="1:9">
      <c r="A670" s="79">
        <v>435</v>
      </c>
      <c r="B670" s="79">
        <v>9</v>
      </c>
      <c r="C670" s="79">
        <v>444</v>
      </c>
      <c r="D670" s="80">
        <v>43320.77107638889</v>
      </c>
      <c r="E670" s="81">
        <f t="shared" ca="1" si="4"/>
        <v>43313</v>
      </c>
      <c r="F670" s="82">
        <f ca="1">IFERROR(__xludf.DUMMYFUNCTION("""COMPUTED_VALUE"""),0.771076388888888)</f>
        <v>0.77107638888888796</v>
      </c>
      <c r="G670" s="83">
        <f t="shared" ca="1" si="5"/>
        <v>19</v>
      </c>
      <c r="H670" s="83">
        <f ca="1">IFERROR(__xludf.DUMMYFUNCTION("""COMPUTED_VALUE"""),30)</f>
        <v>30</v>
      </c>
      <c r="I670" s="83">
        <f ca="1">IFERROR(__xludf.DUMMYFUNCTION("""COMPUTED_VALUE"""),21)</f>
        <v>21</v>
      </c>
    </row>
    <row r="671" spans="1:9">
      <c r="A671" s="79">
        <v>446</v>
      </c>
      <c r="B671" s="79">
        <v>8</v>
      </c>
      <c r="C671" s="79">
        <v>454</v>
      </c>
      <c r="D671" s="80">
        <v>43320.781481481485</v>
      </c>
      <c r="E671" s="81">
        <f t="shared" ca="1" si="4"/>
        <v>43313</v>
      </c>
      <c r="F671" s="82">
        <f ca="1">IFERROR(__xludf.DUMMYFUNCTION("""COMPUTED_VALUE"""),0.781481481481481)</f>
        <v>0.781481481481481</v>
      </c>
      <c r="G671" s="83">
        <f t="shared" ca="1" si="5"/>
        <v>19</v>
      </c>
      <c r="H671" s="83">
        <f ca="1">IFERROR(__xludf.DUMMYFUNCTION("""COMPUTED_VALUE"""),45)</f>
        <v>45</v>
      </c>
      <c r="I671" s="83">
        <f ca="1">IFERROR(__xludf.DUMMYFUNCTION("""COMPUTED_VALUE"""),20)</f>
        <v>20</v>
      </c>
    </row>
    <row r="672" spans="1:9">
      <c r="A672" s="79">
        <v>432</v>
      </c>
      <c r="B672" s="79">
        <v>9</v>
      </c>
      <c r="C672" s="79">
        <v>441</v>
      </c>
      <c r="D672" s="80">
        <v>43320.791932870372</v>
      </c>
      <c r="E672" s="81">
        <f t="shared" ca="1" si="4"/>
        <v>43313</v>
      </c>
      <c r="F672" s="82">
        <f ca="1">IFERROR(__xludf.DUMMYFUNCTION("""COMPUTED_VALUE"""),0.79193287037037)</f>
        <v>0.79193287037036997</v>
      </c>
      <c r="G672" s="83">
        <f t="shared" ca="1" si="5"/>
        <v>19</v>
      </c>
      <c r="H672" s="83">
        <f ca="1">IFERROR(__xludf.DUMMYFUNCTION("""COMPUTED_VALUE"""),0)</f>
        <v>0</v>
      </c>
      <c r="I672" s="83">
        <f ca="1">IFERROR(__xludf.DUMMYFUNCTION("""COMPUTED_VALUE"""),23)</f>
        <v>23</v>
      </c>
    </row>
    <row r="673" spans="1:9">
      <c r="A673" s="79">
        <v>478</v>
      </c>
      <c r="B673" s="79">
        <v>9</v>
      </c>
      <c r="C673" s="79">
        <v>487</v>
      </c>
      <c r="D673" s="80">
        <v>43320.80232638889</v>
      </c>
      <c r="E673" s="81">
        <f t="shared" ca="1" si="4"/>
        <v>43313</v>
      </c>
      <c r="F673" s="82">
        <f ca="1">IFERROR(__xludf.DUMMYFUNCTION("""COMPUTED_VALUE"""),0.802326388888888)</f>
        <v>0.80232638888888796</v>
      </c>
      <c r="G673" s="83">
        <f t="shared" ca="1" si="5"/>
        <v>19</v>
      </c>
      <c r="H673" s="83">
        <f ca="1">IFERROR(__xludf.DUMMYFUNCTION("""COMPUTED_VALUE"""),15)</f>
        <v>15</v>
      </c>
      <c r="I673" s="83">
        <f ca="1">IFERROR(__xludf.DUMMYFUNCTION("""COMPUTED_VALUE"""),21)</f>
        <v>21</v>
      </c>
    </row>
    <row r="674" spans="1:9">
      <c r="A674" s="79">
        <v>516</v>
      </c>
      <c r="B674" s="79">
        <v>9</v>
      </c>
      <c r="C674" s="79">
        <v>525</v>
      </c>
      <c r="D674" s="80">
        <v>43320.812743055554</v>
      </c>
      <c r="E674" s="81">
        <f t="shared" ca="1" si="4"/>
        <v>43313</v>
      </c>
      <c r="F674" s="82">
        <f ca="1">IFERROR(__xludf.DUMMYFUNCTION("""COMPUTED_VALUE"""),0.812743055555555)</f>
        <v>0.81274305555555504</v>
      </c>
      <c r="G674" s="83">
        <f t="shared" ca="1" si="5"/>
        <v>19</v>
      </c>
      <c r="H674" s="83">
        <f ca="1">IFERROR(__xludf.DUMMYFUNCTION("""COMPUTED_VALUE"""),30)</f>
        <v>30</v>
      </c>
      <c r="I674" s="83">
        <f ca="1">IFERROR(__xludf.DUMMYFUNCTION("""COMPUTED_VALUE"""),21)</f>
        <v>21</v>
      </c>
    </row>
    <row r="675" spans="1:9">
      <c r="A675" s="79">
        <v>546</v>
      </c>
      <c r="B675" s="79">
        <v>8</v>
      </c>
      <c r="C675" s="79">
        <v>554</v>
      </c>
      <c r="D675" s="80">
        <v>43320.823159722226</v>
      </c>
      <c r="E675" s="81">
        <f t="shared" ca="1" si="4"/>
        <v>43313</v>
      </c>
      <c r="F675" s="82">
        <f ca="1">IFERROR(__xludf.DUMMYFUNCTION("""COMPUTED_VALUE"""),0.823159722222222)</f>
        <v>0.823159722222222</v>
      </c>
      <c r="G675" s="83">
        <f t="shared" ca="1" si="5"/>
        <v>19</v>
      </c>
      <c r="H675" s="83">
        <f ca="1">IFERROR(__xludf.DUMMYFUNCTION("""COMPUTED_VALUE"""),45)</f>
        <v>45</v>
      </c>
      <c r="I675" s="83">
        <f ca="1">IFERROR(__xludf.DUMMYFUNCTION("""COMPUTED_VALUE"""),21)</f>
        <v>21</v>
      </c>
    </row>
    <row r="676" spans="1:9">
      <c r="A676" s="79">
        <v>540</v>
      </c>
      <c r="B676" s="79">
        <v>10</v>
      </c>
      <c r="C676" s="79">
        <v>550</v>
      </c>
      <c r="D676" s="80">
        <v>43320.833564814813</v>
      </c>
      <c r="E676" s="81">
        <f t="shared" ca="1" si="4"/>
        <v>43313</v>
      </c>
      <c r="F676" s="82">
        <f ca="1">IFERROR(__xludf.DUMMYFUNCTION("""COMPUTED_VALUE"""),0.833564814814814)</f>
        <v>0.83356481481481404</v>
      </c>
      <c r="G676" s="83">
        <f t="shared" ca="1" si="5"/>
        <v>19</v>
      </c>
      <c r="H676" s="83">
        <f ca="1">IFERROR(__xludf.DUMMYFUNCTION("""COMPUTED_VALUE"""),0)</f>
        <v>0</v>
      </c>
      <c r="I676" s="83">
        <f ca="1">IFERROR(__xludf.DUMMYFUNCTION("""COMPUTED_VALUE"""),20)</f>
        <v>20</v>
      </c>
    </row>
    <row r="677" spans="1:9">
      <c r="A677" s="79">
        <v>742</v>
      </c>
      <c r="B677" s="79">
        <v>15</v>
      </c>
      <c r="C677" s="79">
        <v>757</v>
      </c>
      <c r="D677" s="80">
        <v>43320.843993055554</v>
      </c>
      <c r="E677" s="81">
        <f t="shared" ca="1" si="4"/>
        <v>43313</v>
      </c>
      <c r="F677" s="82">
        <f ca="1">IFERROR(__xludf.DUMMYFUNCTION("""COMPUTED_VALUE"""),0.843993055555555)</f>
        <v>0.84399305555555504</v>
      </c>
      <c r="G677" s="83">
        <f t="shared" ca="1" si="5"/>
        <v>19</v>
      </c>
      <c r="H677" s="83">
        <f ca="1">IFERROR(__xludf.DUMMYFUNCTION("""COMPUTED_VALUE"""),15)</f>
        <v>15</v>
      </c>
      <c r="I677" s="83">
        <f ca="1">IFERROR(__xludf.DUMMYFUNCTION("""COMPUTED_VALUE"""),21)</f>
        <v>21</v>
      </c>
    </row>
    <row r="678" spans="1:9">
      <c r="A678" s="79">
        <v>725</v>
      </c>
      <c r="B678" s="79">
        <v>9</v>
      </c>
      <c r="C678" s="79">
        <v>734</v>
      </c>
      <c r="D678" s="80">
        <v>43320.854398148149</v>
      </c>
      <c r="E678" s="81">
        <f t="shared" ca="1" si="4"/>
        <v>43313</v>
      </c>
      <c r="F678" s="82">
        <f ca="1">IFERROR(__xludf.DUMMYFUNCTION("""COMPUTED_VALUE"""),0.854398148148148)</f>
        <v>0.85439814814814796</v>
      </c>
      <c r="G678" s="83">
        <f t="shared" ca="1" si="5"/>
        <v>19</v>
      </c>
      <c r="H678" s="83">
        <f ca="1">IFERROR(__xludf.DUMMYFUNCTION("""COMPUTED_VALUE"""),30)</f>
        <v>30</v>
      </c>
      <c r="I678" s="83">
        <f ca="1">IFERROR(__xludf.DUMMYFUNCTION("""COMPUTED_VALUE"""),20)</f>
        <v>20</v>
      </c>
    </row>
    <row r="679" spans="1:9">
      <c r="A679" s="79">
        <v>699</v>
      </c>
      <c r="B679" s="79">
        <v>6</v>
      </c>
      <c r="C679" s="79">
        <v>704</v>
      </c>
      <c r="D679" s="80">
        <v>43320.86482638889</v>
      </c>
      <c r="E679" s="81">
        <f t="shared" ca="1" si="4"/>
        <v>43313</v>
      </c>
      <c r="F679" s="82">
        <f ca="1">IFERROR(__xludf.DUMMYFUNCTION("""COMPUTED_VALUE"""),0.864826388888888)</f>
        <v>0.86482638888888796</v>
      </c>
      <c r="G679" s="83">
        <f t="shared" ca="1" si="5"/>
        <v>19</v>
      </c>
      <c r="H679" s="83">
        <f ca="1">IFERROR(__xludf.DUMMYFUNCTION("""COMPUTED_VALUE"""),45)</f>
        <v>45</v>
      </c>
      <c r="I679" s="83">
        <f ca="1">IFERROR(__xludf.DUMMYFUNCTION("""COMPUTED_VALUE"""),21)</f>
        <v>21</v>
      </c>
    </row>
    <row r="680" spans="1:9">
      <c r="A680" s="79">
        <v>636</v>
      </c>
      <c r="B680" s="79">
        <v>10</v>
      </c>
      <c r="C680" s="79">
        <v>646</v>
      </c>
      <c r="D680" s="80">
        <v>43320.875277777777</v>
      </c>
      <c r="E680" s="81">
        <f t="shared" ca="1" si="4"/>
        <v>43313</v>
      </c>
      <c r="F680" s="82">
        <f ca="1">IFERROR(__xludf.DUMMYFUNCTION("""COMPUTED_VALUE"""),0.875277777777777)</f>
        <v>0.87527777777777704</v>
      </c>
      <c r="G680" s="83">
        <f t="shared" ca="1" si="5"/>
        <v>19</v>
      </c>
      <c r="H680" s="83">
        <f ca="1">IFERROR(__xludf.DUMMYFUNCTION("""COMPUTED_VALUE"""),0)</f>
        <v>0</v>
      </c>
      <c r="I680" s="83">
        <f ca="1">IFERROR(__xludf.DUMMYFUNCTION("""COMPUTED_VALUE"""),24)</f>
        <v>24</v>
      </c>
    </row>
    <row r="681" spans="1:9">
      <c r="A681" s="79">
        <v>669</v>
      </c>
      <c r="B681" s="79">
        <v>13</v>
      </c>
      <c r="C681" s="79">
        <v>682</v>
      </c>
      <c r="D681" s="80">
        <v>43320.885659722226</v>
      </c>
      <c r="E681" s="81">
        <f t="shared" ca="1" si="4"/>
        <v>43313</v>
      </c>
      <c r="F681" s="82">
        <f ca="1">IFERROR(__xludf.DUMMYFUNCTION("""COMPUTED_VALUE"""),0.885659722222222)</f>
        <v>0.885659722222222</v>
      </c>
      <c r="G681" s="83">
        <f t="shared" ca="1" si="5"/>
        <v>19</v>
      </c>
      <c r="H681" s="83">
        <f ca="1">IFERROR(__xludf.DUMMYFUNCTION("""COMPUTED_VALUE"""),15)</f>
        <v>15</v>
      </c>
      <c r="I681" s="83">
        <f ca="1">IFERROR(__xludf.DUMMYFUNCTION("""COMPUTED_VALUE"""),21)</f>
        <v>21</v>
      </c>
    </row>
    <row r="682" spans="1:9">
      <c r="A682" s="79">
        <v>646</v>
      </c>
      <c r="B682" s="79">
        <v>11</v>
      </c>
      <c r="C682" s="79">
        <v>657</v>
      </c>
      <c r="D682" s="80">
        <v>43320.89607638889</v>
      </c>
      <c r="E682" s="81">
        <f t="shared" ca="1" si="4"/>
        <v>43313</v>
      </c>
      <c r="F682" s="82">
        <f ca="1">IFERROR(__xludf.DUMMYFUNCTION("""COMPUTED_VALUE"""),0.896076388888888)</f>
        <v>0.89607638888888796</v>
      </c>
      <c r="G682" s="83">
        <f t="shared" ca="1" si="5"/>
        <v>19</v>
      </c>
      <c r="H682" s="83">
        <f ca="1">IFERROR(__xludf.DUMMYFUNCTION("""COMPUTED_VALUE"""),30)</f>
        <v>30</v>
      </c>
      <c r="I682" s="83">
        <f ca="1">IFERROR(__xludf.DUMMYFUNCTION("""COMPUTED_VALUE"""),21)</f>
        <v>21</v>
      </c>
    </row>
    <row r="683" spans="1:9">
      <c r="A683" s="79">
        <v>666</v>
      </c>
      <c r="B683" s="79">
        <v>12</v>
      </c>
      <c r="C683" s="79">
        <v>678</v>
      </c>
      <c r="D683" s="80">
        <v>43320.906504629631</v>
      </c>
      <c r="E683" s="81">
        <f t="shared" ca="1" si="4"/>
        <v>43313</v>
      </c>
      <c r="F683" s="82">
        <f ca="1">IFERROR(__xludf.DUMMYFUNCTION("""COMPUTED_VALUE"""),0.906504629629629)</f>
        <v>0.90650462962962897</v>
      </c>
      <c r="G683" s="83">
        <f t="shared" ca="1" si="5"/>
        <v>19</v>
      </c>
      <c r="H683" s="83">
        <f ca="1">IFERROR(__xludf.DUMMYFUNCTION("""COMPUTED_VALUE"""),45)</f>
        <v>45</v>
      </c>
      <c r="I683" s="83">
        <f ca="1">IFERROR(__xludf.DUMMYFUNCTION("""COMPUTED_VALUE"""),22)</f>
        <v>22</v>
      </c>
    </row>
    <row r="684" spans="1:9">
      <c r="A684" s="79">
        <v>585</v>
      </c>
      <c r="B684" s="79">
        <v>13</v>
      </c>
      <c r="C684" s="79">
        <v>598</v>
      </c>
      <c r="D684" s="80">
        <v>43320.916944444441</v>
      </c>
      <c r="E684" s="81">
        <f t="shared" ca="1" si="4"/>
        <v>43313</v>
      </c>
      <c r="F684" s="82">
        <f ca="1">IFERROR(__xludf.DUMMYFUNCTION("""COMPUTED_VALUE"""),0.916944444444444)</f>
        <v>0.91694444444444401</v>
      </c>
      <c r="G684" s="83">
        <f t="shared" ca="1" si="5"/>
        <v>19</v>
      </c>
      <c r="H684" s="83">
        <f ca="1">IFERROR(__xludf.DUMMYFUNCTION("""COMPUTED_VALUE"""),0)</f>
        <v>0</v>
      </c>
      <c r="I684" s="83">
        <f ca="1">IFERROR(__xludf.DUMMYFUNCTION("""COMPUTED_VALUE"""),24)</f>
        <v>24</v>
      </c>
    </row>
    <row r="685" spans="1:9">
      <c r="A685" s="79">
        <v>588</v>
      </c>
      <c r="B685" s="79">
        <v>12</v>
      </c>
      <c r="C685" s="79">
        <v>600</v>
      </c>
      <c r="D685" s="80">
        <v>43320.92732638889</v>
      </c>
      <c r="E685" s="81">
        <f t="shared" ca="1" si="4"/>
        <v>43313</v>
      </c>
      <c r="F685" s="82">
        <f ca="1">IFERROR(__xludf.DUMMYFUNCTION("""COMPUTED_VALUE"""),0.927326388888888)</f>
        <v>0.92732638888888796</v>
      </c>
      <c r="G685" s="83">
        <f t="shared" ca="1" si="5"/>
        <v>19</v>
      </c>
      <c r="H685" s="83">
        <f ca="1">IFERROR(__xludf.DUMMYFUNCTION("""COMPUTED_VALUE"""),15)</f>
        <v>15</v>
      </c>
      <c r="I685" s="83">
        <f ca="1">IFERROR(__xludf.DUMMYFUNCTION("""COMPUTED_VALUE"""),21)</f>
        <v>21</v>
      </c>
    </row>
    <row r="686" spans="1:9">
      <c r="A686" s="79">
        <v>538</v>
      </c>
      <c r="B686" s="79">
        <v>11</v>
      </c>
      <c r="C686" s="79">
        <v>549</v>
      </c>
      <c r="D686" s="80">
        <v>43320.937743055554</v>
      </c>
      <c r="E686" s="81">
        <f t="shared" ca="1" si="4"/>
        <v>43313</v>
      </c>
      <c r="F686" s="82">
        <f ca="1">IFERROR(__xludf.DUMMYFUNCTION("""COMPUTED_VALUE"""),0.937743055555555)</f>
        <v>0.93774305555555504</v>
      </c>
      <c r="G686" s="83">
        <f t="shared" ca="1" si="5"/>
        <v>19</v>
      </c>
      <c r="H686" s="83">
        <f ca="1">IFERROR(__xludf.DUMMYFUNCTION("""COMPUTED_VALUE"""),30)</f>
        <v>30</v>
      </c>
      <c r="I686" s="83">
        <f ca="1">IFERROR(__xludf.DUMMYFUNCTION("""COMPUTED_VALUE"""),21)</f>
        <v>21</v>
      </c>
    </row>
    <row r="687" spans="1:9">
      <c r="A687" s="79">
        <v>526</v>
      </c>
      <c r="B687" s="79">
        <v>18</v>
      </c>
      <c r="C687" s="79">
        <v>544</v>
      </c>
      <c r="D687" s="80">
        <v>43320.948159722226</v>
      </c>
      <c r="E687" s="81">
        <f t="shared" ca="1" si="4"/>
        <v>43313</v>
      </c>
      <c r="F687" s="82">
        <f ca="1">IFERROR(__xludf.DUMMYFUNCTION("""COMPUTED_VALUE"""),0.948159722222222)</f>
        <v>0.948159722222222</v>
      </c>
      <c r="G687" s="83">
        <f t="shared" ca="1" si="5"/>
        <v>19</v>
      </c>
      <c r="H687" s="83">
        <f ca="1">IFERROR(__xludf.DUMMYFUNCTION("""COMPUTED_VALUE"""),45)</f>
        <v>45</v>
      </c>
      <c r="I687" s="83">
        <f ca="1">IFERROR(__xludf.DUMMYFUNCTION("""COMPUTED_VALUE"""),21)</f>
        <v>21</v>
      </c>
    </row>
    <row r="688" spans="1:9">
      <c r="A688" s="79">
        <v>467</v>
      </c>
      <c r="B688" s="79">
        <v>13</v>
      </c>
      <c r="C688" s="79">
        <v>480</v>
      </c>
      <c r="D688" s="80">
        <v>43320.958599537036</v>
      </c>
      <c r="E688" s="81">
        <f t="shared" ca="1" si="4"/>
        <v>43313</v>
      </c>
      <c r="F688" s="82">
        <f ca="1">IFERROR(__xludf.DUMMYFUNCTION("""COMPUTED_VALUE"""),0.958599537037037)</f>
        <v>0.95859953703703704</v>
      </c>
      <c r="G688" s="83">
        <f t="shared" ca="1" si="5"/>
        <v>19</v>
      </c>
      <c r="H688" s="83">
        <f ca="1">IFERROR(__xludf.DUMMYFUNCTION("""COMPUTED_VALUE"""),0)</f>
        <v>0</v>
      </c>
      <c r="I688" s="83">
        <f ca="1">IFERROR(__xludf.DUMMYFUNCTION("""COMPUTED_VALUE"""),23)</f>
        <v>23</v>
      </c>
    </row>
    <row r="689" spans="1:9">
      <c r="A689" s="79">
        <v>345</v>
      </c>
      <c r="B689" s="79">
        <v>12</v>
      </c>
      <c r="C689" s="79">
        <v>357</v>
      </c>
      <c r="D689" s="80">
        <v>43320.968993055554</v>
      </c>
      <c r="E689" s="81">
        <f t="shared" ca="1" si="4"/>
        <v>43313</v>
      </c>
      <c r="F689" s="82">
        <f ca="1">IFERROR(__xludf.DUMMYFUNCTION("""COMPUTED_VALUE"""),0.968993055555555)</f>
        <v>0.96899305555555504</v>
      </c>
      <c r="G689" s="83">
        <f t="shared" ca="1" si="5"/>
        <v>19</v>
      </c>
      <c r="H689" s="83">
        <f ca="1">IFERROR(__xludf.DUMMYFUNCTION("""COMPUTED_VALUE"""),15)</f>
        <v>15</v>
      </c>
      <c r="I689" s="83">
        <f ca="1">IFERROR(__xludf.DUMMYFUNCTION("""COMPUTED_VALUE"""),21)</f>
        <v>21</v>
      </c>
    </row>
    <row r="690" spans="1:9">
      <c r="A690" s="79">
        <v>384</v>
      </c>
      <c r="B690" s="79">
        <v>10</v>
      </c>
      <c r="C690" s="79">
        <v>394</v>
      </c>
      <c r="D690" s="80">
        <v>43320.979398148149</v>
      </c>
      <c r="E690" s="81">
        <f t="shared" ca="1" si="4"/>
        <v>43313</v>
      </c>
      <c r="F690" s="82">
        <f ca="1">IFERROR(__xludf.DUMMYFUNCTION("""COMPUTED_VALUE"""),0.979398148148148)</f>
        <v>0.97939814814814796</v>
      </c>
      <c r="G690" s="83">
        <f t="shared" ca="1" si="5"/>
        <v>19</v>
      </c>
      <c r="H690" s="83">
        <f ca="1">IFERROR(__xludf.DUMMYFUNCTION("""COMPUTED_VALUE"""),30)</f>
        <v>30</v>
      </c>
      <c r="I690" s="83">
        <f ca="1">IFERROR(__xludf.DUMMYFUNCTION("""COMPUTED_VALUE"""),20)</f>
        <v>20</v>
      </c>
    </row>
    <row r="691" spans="1:9">
      <c r="A691" s="79">
        <v>327</v>
      </c>
      <c r="B691" s="79">
        <v>7</v>
      </c>
      <c r="C691" s="79">
        <v>334</v>
      </c>
      <c r="D691" s="80">
        <v>43320.98982638889</v>
      </c>
      <c r="E691" s="81">
        <f t="shared" ca="1" si="4"/>
        <v>43313</v>
      </c>
      <c r="F691" s="82">
        <f ca="1">IFERROR(__xludf.DUMMYFUNCTION("""COMPUTED_VALUE"""),0.989826388888888)</f>
        <v>0.98982638888888796</v>
      </c>
      <c r="G691" s="83">
        <f t="shared" ca="1" si="5"/>
        <v>19</v>
      </c>
      <c r="H691" s="83">
        <f ca="1">IFERROR(__xludf.DUMMYFUNCTION("""COMPUTED_VALUE"""),45)</f>
        <v>45</v>
      </c>
      <c r="I691" s="83">
        <f ca="1">IFERROR(__xludf.DUMMYFUNCTION("""COMPUTED_VALUE"""),21)</f>
        <v>21</v>
      </c>
    </row>
    <row r="692" spans="1:9">
      <c r="A692" s="79">
        <v>332</v>
      </c>
      <c r="B692" s="79">
        <v>9</v>
      </c>
      <c r="C692" s="79">
        <v>341</v>
      </c>
      <c r="D692" s="80">
        <v>43321.0002662037</v>
      </c>
      <c r="E692" s="81">
        <f t="shared" ca="1" si="4"/>
        <v>43313</v>
      </c>
      <c r="F692" s="82">
        <f ca="1">IFERROR(__xludf.DUMMYFUNCTION("""COMPUTED_VALUE"""),0.000266203703703703)</f>
        <v>2.6620370370370301E-4</v>
      </c>
      <c r="G692" s="83">
        <f t="shared" ca="1" si="5"/>
        <v>19</v>
      </c>
      <c r="H692" s="83">
        <f ca="1">IFERROR(__xludf.DUMMYFUNCTION("""COMPUTED_VALUE"""),0)</f>
        <v>0</v>
      </c>
      <c r="I692" s="83">
        <f ca="1">IFERROR(__xludf.DUMMYFUNCTION("""COMPUTED_VALUE"""),23)</f>
        <v>23</v>
      </c>
    </row>
    <row r="693" spans="1:9">
      <c r="A693" s="79">
        <v>337</v>
      </c>
      <c r="B693" s="79">
        <v>8</v>
      </c>
      <c r="C693" s="79">
        <v>345</v>
      </c>
      <c r="D693" s="80">
        <v>43321.010659722226</v>
      </c>
      <c r="E693" s="81">
        <f t="shared" ca="1" si="4"/>
        <v>43313</v>
      </c>
      <c r="F693" s="82">
        <f ca="1">IFERROR(__xludf.DUMMYFUNCTION("""COMPUTED_VALUE"""),0.0106597222222222)</f>
        <v>1.0659722222222201E-2</v>
      </c>
      <c r="G693" s="83">
        <f t="shared" ca="1" si="5"/>
        <v>19</v>
      </c>
      <c r="H693" s="83">
        <f ca="1">IFERROR(__xludf.DUMMYFUNCTION("""COMPUTED_VALUE"""),15)</f>
        <v>15</v>
      </c>
      <c r="I693" s="83">
        <f ca="1">IFERROR(__xludf.DUMMYFUNCTION("""COMPUTED_VALUE"""),21)</f>
        <v>21</v>
      </c>
    </row>
    <row r="694" spans="1:9">
      <c r="A694" s="79">
        <v>333</v>
      </c>
      <c r="B694" s="79">
        <v>7</v>
      </c>
      <c r="C694" s="79">
        <v>340</v>
      </c>
      <c r="D694" s="80">
        <v>43321.02107638889</v>
      </c>
      <c r="E694" s="81">
        <f t="shared" ca="1" si="4"/>
        <v>43313</v>
      </c>
      <c r="F694" s="82">
        <f ca="1">IFERROR(__xludf.DUMMYFUNCTION("""COMPUTED_VALUE"""),0.0210763888888888)</f>
        <v>2.1076388888888801E-2</v>
      </c>
      <c r="G694" s="83">
        <f t="shared" ca="1" si="5"/>
        <v>19</v>
      </c>
      <c r="H694" s="83">
        <f ca="1">IFERROR(__xludf.DUMMYFUNCTION("""COMPUTED_VALUE"""),30)</f>
        <v>30</v>
      </c>
      <c r="I694" s="83">
        <f ca="1">IFERROR(__xludf.DUMMYFUNCTION("""COMPUTED_VALUE"""),21)</f>
        <v>21</v>
      </c>
    </row>
    <row r="695" spans="1:9">
      <c r="A695" s="79">
        <v>282</v>
      </c>
      <c r="B695" s="79">
        <v>5</v>
      </c>
      <c r="C695" s="79">
        <v>287</v>
      </c>
      <c r="D695" s="80">
        <v>43321.031481481485</v>
      </c>
      <c r="E695" s="81">
        <f t="shared" ca="1" si="4"/>
        <v>43313</v>
      </c>
      <c r="F695" s="82">
        <f ca="1">IFERROR(__xludf.DUMMYFUNCTION("""COMPUTED_VALUE"""),0.0314814814814814)</f>
        <v>3.1481481481481402E-2</v>
      </c>
      <c r="G695" s="83">
        <f t="shared" ca="1" si="5"/>
        <v>19</v>
      </c>
      <c r="H695" s="83">
        <f ca="1">IFERROR(__xludf.DUMMYFUNCTION("""COMPUTED_VALUE"""),45)</f>
        <v>45</v>
      </c>
      <c r="I695" s="83">
        <f ca="1">IFERROR(__xludf.DUMMYFUNCTION("""COMPUTED_VALUE"""),20)</f>
        <v>20</v>
      </c>
    </row>
    <row r="696" spans="1:9">
      <c r="A696" s="79">
        <v>242</v>
      </c>
      <c r="B696" s="79">
        <v>10</v>
      </c>
      <c r="C696" s="79">
        <v>252</v>
      </c>
      <c r="D696" s="80">
        <v>43321.041921296295</v>
      </c>
      <c r="E696" s="81">
        <f t="shared" ca="1" si="4"/>
        <v>43313</v>
      </c>
      <c r="F696" s="82">
        <f ca="1">IFERROR(__xludf.DUMMYFUNCTION("""COMPUTED_VALUE"""),0.0419212962962963)</f>
        <v>4.1921296296296297E-2</v>
      </c>
      <c r="G696" s="83">
        <f t="shared" ca="1" si="5"/>
        <v>19</v>
      </c>
      <c r="H696" s="83">
        <f ca="1">IFERROR(__xludf.DUMMYFUNCTION("""COMPUTED_VALUE"""),0)</f>
        <v>0</v>
      </c>
      <c r="I696" s="83">
        <f ca="1">IFERROR(__xludf.DUMMYFUNCTION("""COMPUTED_VALUE"""),22)</f>
        <v>22</v>
      </c>
    </row>
    <row r="697" spans="1:9">
      <c r="A697" s="79">
        <v>270</v>
      </c>
      <c r="B697" s="79">
        <v>11</v>
      </c>
      <c r="C697" s="79">
        <v>281</v>
      </c>
      <c r="D697" s="80">
        <v>43321.052314814813</v>
      </c>
      <c r="E697" s="81">
        <f t="shared" ca="1" si="4"/>
        <v>43313</v>
      </c>
      <c r="F697" s="82">
        <f ca="1">IFERROR(__xludf.DUMMYFUNCTION("""COMPUTED_VALUE"""),0.0523148148148148)</f>
        <v>5.23148148148148E-2</v>
      </c>
      <c r="G697" s="83">
        <f t="shared" ca="1" si="5"/>
        <v>19</v>
      </c>
      <c r="H697" s="83">
        <f ca="1">IFERROR(__xludf.DUMMYFUNCTION("""COMPUTED_VALUE"""),15)</f>
        <v>15</v>
      </c>
      <c r="I697" s="83">
        <f ca="1">IFERROR(__xludf.DUMMYFUNCTION("""COMPUTED_VALUE"""),20)</f>
        <v>20</v>
      </c>
    </row>
    <row r="698" spans="1:9">
      <c r="A698" s="79">
        <v>253</v>
      </c>
      <c r="B698" s="79">
        <v>10</v>
      </c>
      <c r="C698" s="79">
        <v>263</v>
      </c>
      <c r="D698" s="80">
        <v>43321.062731481485</v>
      </c>
      <c r="E698" s="81">
        <f t="shared" ca="1" si="4"/>
        <v>43313</v>
      </c>
      <c r="F698" s="82">
        <f ca="1">IFERROR(__xludf.DUMMYFUNCTION("""COMPUTED_VALUE"""),0.0627314814814814)</f>
        <v>6.2731481481481402E-2</v>
      </c>
      <c r="G698" s="83">
        <f t="shared" ca="1" si="5"/>
        <v>19</v>
      </c>
      <c r="H698" s="83">
        <f ca="1">IFERROR(__xludf.DUMMYFUNCTION("""COMPUTED_VALUE"""),30)</f>
        <v>30</v>
      </c>
      <c r="I698" s="83">
        <f ca="1">IFERROR(__xludf.DUMMYFUNCTION("""COMPUTED_VALUE"""),20)</f>
        <v>20</v>
      </c>
    </row>
    <row r="699" spans="1:9">
      <c r="A699" s="79">
        <v>278</v>
      </c>
      <c r="B699" s="79">
        <v>8</v>
      </c>
      <c r="C699" s="79">
        <v>286</v>
      </c>
      <c r="D699" s="80">
        <v>43321.073159722226</v>
      </c>
      <c r="E699" s="81">
        <f t="shared" ca="1" si="4"/>
        <v>43313</v>
      </c>
      <c r="F699" s="82">
        <f ca="1">IFERROR(__xludf.DUMMYFUNCTION("""COMPUTED_VALUE"""),0.0731597222222222)</f>
        <v>7.3159722222222195E-2</v>
      </c>
      <c r="G699" s="83">
        <f t="shared" ca="1" si="5"/>
        <v>19</v>
      </c>
      <c r="H699" s="83">
        <f ca="1">IFERROR(__xludf.DUMMYFUNCTION("""COMPUTED_VALUE"""),45)</f>
        <v>45</v>
      </c>
      <c r="I699" s="83">
        <f ca="1">IFERROR(__xludf.DUMMYFUNCTION("""COMPUTED_VALUE"""),21)</f>
        <v>21</v>
      </c>
    </row>
    <row r="700" spans="1:9">
      <c r="A700" s="79">
        <v>286</v>
      </c>
      <c r="B700" s="79">
        <v>7</v>
      </c>
      <c r="C700" s="79">
        <v>293</v>
      </c>
      <c r="D700" s="80">
        <v>43321.08357638889</v>
      </c>
      <c r="E700" s="81">
        <f t="shared" ca="1" si="4"/>
        <v>43313</v>
      </c>
      <c r="F700" s="82">
        <f ca="1">IFERROR(__xludf.DUMMYFUNCTION("""COMPUTED_VALUE"""),0.0835763888888889)</f>
        <v>8.3576388888888895E-2</v>
      </c>
      <c r="G700" s="83">
        <f t="shared" ca="1" si="5"/>
        <v>19</v>
      </c>
      <c r="H700" s="83">
        <f ca="1">IFERROR(__xludf.DUMMYFUNCTION("""COMPUTED_VALUE"""),0)</f>
        <v>0</v>
      </c>
      <c r="I700" s="83">
        <f ca="1">IFERROR(__xludf.DUMMYFUNCTION("""COMPUTED_VALUE"""),21)</f>
        <v>21</v>
      </c>
    </row>
    <row r="701" spans="1:9">
      <c r="A701" s="79">
        <v>295</v>
      </c>
      <c r="B701" s="79">
        <v>6</v>
      </c>
      <c r="C701" s="79">
        <v>301</v>
      </c>
      <c r="D701" s="80">
        <v>43321.093981481485</v>
      </c>
      <c r="E701" s="81">
        <f t="shared" ca="1" si="4"/>
        <v>43313</v>
      </c>
      <c r="F701" s="82">
        <f ca="1">IFERROR(__xludf.DUMMYFUNCTION("""COMPUTED_VALUE"""),0.0939814814814814)</f>
        <v>9.3981481481481402E-2</v>
      </c>
      <c r="G701" s="83">
        <f t="shared" ca="1" si="5"/>
        <v>19</v>
      </c>
      <c r="H701" s="83">
        <f ca="1">IFERROR(__xludf.DUMMYFUNCTION("""COMPUTED_VALUE"""),15)</f>
        <v>15</v>
      </c>
      <c r="I701" s="83">
        <f ca="1">IFERROR(__xludf.DUMMYFUNCTION("""COMPUTED_VALUE"""),20)</f>
        <v>20</v>
      </c>
    </row>
    <row r="702" spans="1:9">
      <c r="A702" s="79">
        <v>240</v>
      </c>
      <c r="B702" s="79">
        <v>8</v>
      </c>
      <c r="C702" s="79">
        <v>248</v>
      </c>
      <c r="D702" s="80">
        <v>43321.104398148149</v>
      </c>
      <c r="E702" s="81">
        <f t="shared" ca="1" si="4"/>
        <v>43313</v>
      </c>
      <c r="F702" s="82">
        <f ca="1">IFERROR(__xludf.DUMMYFUNCTION("""COMPUTED_VALUE"""),0.104398148148148)</f>
        <v>0.104398148148148</v>
      </c>
      <c r="G702" s="83">
        <f t="shared" ca="1" si="5"/>
        <v>19</v>
      </c>
      <c r="H702" s="83">
        <f ca="1">IFERROR(__xludf.DUMMYFUNCTION("""COMPUTED_VALUE"""),30)</f>
        <v>30</v>
      </c>
      <c r="I702" s="83">
        <f ca="1">IFERROR(__xludf.DUMMYFUNCTION("""COMPUTED_VALUE"""),20)</f>
        <v>20</v>
      </c>
    </row>
    <row r="703" spans="1:9">
      <c r="A703" s="79">
        <v>218</v>
      </c>
      <c r="B703" s="79">
        <v>7</v>
      </c>
      <c r="C703" s="79">
        <v>225</v>
      </c>
      <c r="D703" s="80">
        <v>43321.11482638889</v>
      </c>
      <c r="E703" s="81">
        <f t="shared" ca="1" si="4"/>
        <v>43313</v>
      </c>
      <c r="F703" s="82">
        <f ca="1">IFERROR(__xludf.DUMMYFUNCTION("""COMPUTED_VALUE"""),0.114826388888888)</f>
        <v>0.11482638888888801</v>
      </c>
      <c r="G703" s="83">
        <f t="shared" ca="1" si="5"/>
        <v>19</v>
      </c>
      <c r="H703" s="83">
        <f ca="1">IFERROR(__xludf.DUMMYFUNCTION("""COMPUTED_VALUE"""),45)</f>
        <v>45</v>
      </c>
      <c r="I703" s="83">
        <f ca="1">IFERROR(__xludf.DUMMYFUNCTION("""COMPUTED_VALUE"""),21)</f>
        <v>21</v>
      </c>
    </row>
    <row r="704" spans="1:9">
      <c r="A704" s="79">
        <v>191</v>
      </c>
      <c r="B704" s="79">
        <v>5</v>
      </c>
      <c r="C704" s="79">
        <v>196</v>
      </c>
      <c r="D704" s="80">
        <v>43321.125231481485</v>
      </c>
      <c r="E704" s="81">
        <f t="shared" ca="1" si="4"/>
        <v>43313</v>
      </c>
      <c r="F704" s="82">
        <f ca="1">IFERROR(__xludf.DUMMYFUNCTION("""COMPUTED_VALUE"""),0.125231481481481)</f>
        <v>0.125231481481481</v>
      </c>
      <c r="G704" s="83">
        <f t="shared" ca="1" si="5"/>
        <v>19</v>
      </c>
      <c r="H704" s="83">
        <f ca="1">IFERROR(__xludf.DUMMYFUNCTION("""COMPUTED_VALUE"""),0)</f>
        <v>0</v>
      </c>
      <c r="I704" s="83">
        <f ca="1">IFERROR(__xludf.DUMMYFUNCTION("""COMPUTED_VALUE"""),20)</f>
        <v>20</v>
      </c>
    </row>
    <row r="705" spans="1:9">
      <c r="A705" s="79">
        <v>153</v>
      </c>
      <c r="B705" s="79">
        <v>7</v>
      </c>
      <c r="C705" s="79">
        <v>160</v>
      </c>
      <c r="D705" s="80">
        <v>43321.135659722226</v>
      </c>
      <c r="E705" s="81">
        <f t="shared" ca="1" si="4"/>
        <v>43313</v>
      </c>
      <c r="F705" s="82">
        <f ca="1">IFERROR(__xludf.DUMMYFUNCTION("""COMPUTED_VALUE"""),0.135659722222222)</f>
        <v>0.135659722222222</v>
      </c>
      <c r="G705" s="83">
        <f t="shared" ca="1" si="5"/>
        <v>19</v>
      </c>
      <c r="H705" s="83">
        <f ca="1">IFERROR(__xludf.DUMMYFUNCTION("""COMPUTED_VALUE"""),15)</f>
        <v>15</v>
      </c>
      <c r="I705" s="83">
        <f ca="1">IFERROR(__xludf.DUMMYFUNCTION("""COMPUTED_VALUE"""),21)</f>
        <v>21</v>
      </c>
    </row>
    <row r="706" spans="1:9">
      <c r="A706" s="79">
        <v>121</v>
      </c>
      <c r="B706" s="79">
        <v>9</v>
      </c>
      <c r="C706" s="79">
        <v>130</v>
      </c>
      <c r="D706" s="80">
        <v>43321.146064814813</v>
      </c>
      <c r="E706" s="81">
        <f t="shared" ca="1" si="4"/>
        <v>43313</v>
      </c>
      <c r="F706" s="82">
        <f ca="1">IFERROR(__xludf.DUMMYFUNCTION("""COMPUTED_VALUE"""),0.146064814814814)</f>
        <v>0.14606481481481401</v>
      </c>
      <c r="G706" s="83">
        <f t="shared" ca="1" si="5"/>
        <v>19</v>
      </c>
      <c r="H706" s="83">
        <f ca="1">IFERROR(__xludf.DUMMYFUNCTION("""COMPUTED_VALUE"""),30)</f>
        <v>30</v>
      </c>
      <c r="I706" s="83">
        <f ca="1">IFERROR(__xludf.DUMMYFUNCTION("""COMPUTED_VALUE"""),20)</f>
        <v>20</v>
      </c>
    </row>
    <row r="707" spans="1:9">
      <c r="A707" s="79">
        <v>97</v>
      </c>
      <c r="B707" s="79">
        <v>5</v>
      </c>
      <c r="C707" s="79">
        <v>102</v>
      </c>
      <c r="D707" s="80">
        <v>43321.156493055554</v>
      </c>
      <c r="E707" s="81">
        <f t="shared" ca="1" si="4"/>
        <v>43313</v>
      </c>
      <c r="F707" s="82">
        <f ca="1">IFERROR(__xludf.DUMMYFUNCTION("""COMPUTED_VALUE"""),0.156493055555555)</f>
        <v>0.15649305555555501</v>
      </c>
      <c r="G707" s="83">
        <f t="shared" ca="1" si="5"/>
        <v>19</v>
      </c>
      <c r="H707" s="83">
        <f ca="1">IFERROR(__xludf.DUMMYFUNCTION("""COMPUTED_VALUE"""),45)</f>
        <v>45</v>
      </c>
      <c r="I707" s="83">
        <f ca="1">IFERROR(__xludf.DUMMYFUNCTION("""COMPUTED_VALUE"""),21)</f>
        <v>21</v>
      </c>
    </row>
    <row r="708" spans="1:9">
      <c r="A708" s="79">
        <v>103</v>
      </c>
      <c r="B708" s="79">
        <v>9</v>
      </c>
      <c r="C708" s="79">
        <v>112</v>
      </c>
      <c r="D708" s="80">
        <v>43321.166898148149</v>
      </c>
      <c r="E708" s="81">
        <f t="shared" ca="1" si="4"/>
        <v>43313</v>
      </c>
      <c r="F708" s="82">
        <f ca="1">IFERROR(__xludf.DUMMYFUNCTION("""COMPUTED_VALUE"""),0.166898148148148)</f>
        <v>0.16689814814814799</v>
      </c>
      <c r="G708" s="83">
        <f t="shared" ca="1" si="5"/>
        <v>19</v>
      </c>
      <c r="H708" s="83">
        <f ca="1">IFERROR(__xludf.DUMMYFUNCTION("""COMPUTED_VALUE"""),0)</f>
        <v>0</v>
      </c>
      <c r="I708" s="83">
        <f ca="1">IFERROR(__xludf.DUMMYFUNCTION("""COMPUTED_VALUE"""),20)</f>
        <v>20</v>
      </c>
    </row>
    <row r="709" spans="1:9">
      <c r="A709" s="79">
        <v>39</v>
      </c>
      <c r="B709" s="79">
        <v>9</v>
      </c>
      <c r="C709" s="79">
        <v>48</v>
      </c>
      <c r="D709" s="80">
        <v>43321.177314814813</v>
      </c>
      <c r="E709" s="81">
        <f t="shared" ca="1" si="4"/>
        <v>43313</v>
      </c>
      <c r="F709" s="82">
        <f ca="1">IFERROR(__xludf.DUMMYFUNCTION("""COMPUTED_VALUE"""),0.177314814814814)</f>
        <v>0.17731481481481401</v>
      </c>
      <c r="G709" s="83">
        <f t="shared" ca="1" si="5"/>
        <v>19</v>
      </c>
      <c r="H709" s="83">
        <f ca="1">IFERROR(__xludf.DUMMYFUNCTION("""COMPUTED_VALUE"""),15)</f>
        <v>15</v>
      </c>
      <c r="I709" s="83">
        <f ca="1">IFERROR(__xludf.DUMMYFUNCTION("""COMPUTED_VALUE"""),20)</f>
        <v>20</v>
      </c>
    </row>
    <row r="710" spans="1:9">
      <c r="A710" s="79">
        <v>32</v>
      </c>
      <c r="B710" s="79">
        <v>7</v>
      </c>
      <c r="C710" s="79">
        <v>33</v>
      </c>
      <c r="D710" s="80">
        <v>43321.187731481485</v>
      </c>
      <c r="E710" s="81">
        <f t="shared" ca="1" si="4"/>
        <v>43313</v>
      </c>
      <c r="F710" s="82">
        <f ca="1">IFERROR(__xludf.DUMMYFUNCTION("""COMPUTED_VALUE"""),0.187731481481481)</f>
        <v>0.187731481481481</v>
      </c>
      <c r="G710" s="83">
        <f t="shared" ca="1" si="5"/>
        <v>19</v>
      </c>
      <c r="H710" s="83">
        <f ca="1">IFERROR(__xludf.DUMMYFUNCTION("""COMPUTED_VALUE"""),30)</f>
        <v>30</v>
      </c>
      <c r="I710" s="83">
        <f ca="1">IFERROR(__xludf.DUMMYFUNCTION("""COMPUTED_VALUE"""),20)</f>
        <v>20</v>
      </c>
    </row>
    <row r="711" spans="1:9">
      <c r="A711" s="79">
        <v>21</v>
      </c>
      <c r="B711" s="79">
        <v>2</v>
      </c>
      <c r="C711" s="79">
        <v>23</v>
      </c>
      <c r="D711" s="80">
        <v>43321.198159722226</v>
      </c>
      <c r="E711" s="81">
        <f t="shared" ca="1" si="4"/>
        <v>43313</v>
      </c>
      <c r="F711" s="82">
        <f ca="1">IFERROR(__xludf.DUMMYFUNCTION("""COMPUTED_VALUE"""),0.198159722222222)</f>
        <v>0.198159722222222</v>
      </c>
      <c r="G711" s="83">
        <f t="shared" ca="1" si="5"/>
        <v>19</v>
      </c>
      <c r="H711" s="83">
        <f ca="1">IFERROR(__xludf.DUMMYFUNCTION("""COMPUTED_VALUE"""),45)</f>
        <v>45</v>
      </c>
      <c r="I711" s="83">
        <f ca="1">IFERROR(__xludf.DUMMYFUNCTION("""COMPUTED_VALUE"""),21)</f>
        <v>21</v>
      </c>
    </row>
    <row r="712" spans="1:9">
      <c r="A712" s="79">
        <v>17</v>
      </c>
      <c r="B712" s="79">
        <v>2</v>
      </c>
      <c r="C712" s="79">
        <v>19</v>
      </c>
      <c r="D712" s="80">
        <v>43321.208622685182</v>
      </c>
      <c r="E712" s="81">
        <f t="shared" ca="1" si="4"/>
        <v>43313</v>
      </c>
      <c r="F712" s="82">
        <f ca="1">IFERROR(__xludf.DUMMYFUNCTION("""COMPUTED_VALUE"""),0.208622685185185)</f>
        <v>0.20862268518518501</v>
      </c>
      <c r="G712" s="83">
        <f t="shared" ca="1" si="5"/>
        <v>19</v>
      </c>
      <c r="H712" s="83">
        <f ca="1">IFERROR(__xludf.DUMMYFUNCTION("""COMPUTED_VALUE"""),0)</f>
        <v>0</v>
      </c>
      <c r="I712" s="83">
        <f ca="1">IFERROR(__xludf.DUMMYFUNCTION("""COMPUTED_VALUE"""),25)</f>
        <v>25</v>
      </c>
    </row>
    <row r="713" spans="1:9">
      <c r="A713" s="79">
        <v>17</v>
      </c>
      <c r="B713" s="79">
        <v>0</v>
      </c>
      <c r="C713" s="79">
        <v>17</v>
      </c>
      <c r="D713" s="80">
        <v>43321.218993055554</v>
      </c>
      <c r="E713" s="81">
        <f t="shared" ca="1" si="4"/>
        <v>43313</v>
      </c>
      <c r="F713" s="82">
        <f ca="1">IFERROR(__xludf.DUMMYFUNCTION("""COMPUTED_VALUE"""),0.218993055555555)</f>
        <v>0.21899305555555501</v>
      </c>
      <c r="G713" s="83">
        <f t="shared" ca="1" si="5"/>
        <v>19</v>
      </c>
      <c r="H713" s="83">
        <f ca="1">IFERROR(__xludf.DUMMYFUNCTION("""COMPUTED_VALUE"""),15)</f>
        <v>15</v>
      </c>
      <c r="I713" s="83">
        <f ca="1">IFERROR(__xludf.DUMMYFUNCTION("""COMPUTED_VALUE"""),21)</f>
        <v>21</v>
      </c>
    </row>
    <row r="714" spans="1:9">
      <c r="A714" s="79">
        <v>15</v>
      </c>
      <c r="B714" s="79">
        <v>0</v>
      </c>
      <c r="C714" s="79">
        <v>15</v>
      </c>
      <c r="D714" s="80">
        <v>43321.229398148149</v>
      </c>
      <c r="E714" s="81">
        <f t="shared" ca="1" si="4"/>
        <v>43313</v>
      </c>
      <c r="F714" s="82">
        <f ca="1">IFERROR(__xludf.DUMMYFUNCTION("""COMPUTED_VALUE"""),0.229398148148148)</f>
        <v>0.22939814814814799</v>
      </c>
      <c r="G714" s="83">
        <f t="shared" ca="1" si="5"/>
        <v>19</v>
      </c>
      <c r="H714" s="83">
        <f ca="1">IFERROR(__xludf.DUMMYFUNCTION("""COMPUTED_VALUE"""),30)</f>
        <v>30</v>
      </c>
      <c r="I714" s="83">
        <f ca="1">IFERROR(__xludf.DUMMYFUNCTION("""COMPUTED_VALUE"""),20)</f>
        <v>20</v>
      </c>
    </row>
    <row r="715" spans="1:9">
      <c r="A715" s="79">
        <v>20</v>
      </c>
      <c r="B715" s="79">
        <v>0</v>
      </c>
      <c r="C715" s="79">
        <v>14</v>
      </c>
      <c r="D715" s="80">
        <v>43321.239814814813</v>
      </c>
      <c r="E715" s="81">
        <f t="shared" ca="1" si="4"/>
        <v>43313</v>
      </c>
      <c r="F715" s="82">
        <f ca="1">IFERROR(__xludf.DUMMYFUNCTION("""COMPUTED_VALUE"""),0.239814814814814)</f>
        <v>0.23981481481481401</v>
      </c>
      <c r="G715" s="83">
        <f t="shared" ca="1" si="5"/>
        <v>19</v>
      </c>
      <c r="H715" s="83">
        <f ca="1">IFERROR(__xludf.DUMMYFUNCTION("""COMPUTED_VALUE"""),45)</f>
        <v>45</v>
      </c>
      <c r="I715" s="83">
        <f ca="1">IFERROR(__xludf.DUMMYFUNCTION("""COMPUTED_VALUE"""),20)</f>
        <v>20</v>
      </c>
    </row>
    <row r="716" spans="1:9">
      <c r="A716" s="79">
        <v>14</v>
      </c>
      <c r="B716" s="79">
        <v>0</v>
      </c>
      <c r="C716" s="79">
        <v>14</v>
      </c>
      <c r="D716" s="80">
        <v>43321.250277777777</v>
      </c>
      <c r="E716" s="81">
        <f t="shared" ca="1" si="4"/>
        <v>43313</v>
      </c>
      <c r="F716" s="82">
        <f ca="1">IFERROR(__xludf.DUMMYFUNCTION("""COMPUTED_VALUE"""),0.250277777777777)</f>
        <v>0.25027777777777699</v>
      </c>
      <c r="G716" s="83">
        <f t="shared" ca="1" si="5"/>
        <v>19</v>
      </c>
      <c r="H716" s="83">
        <f ca="1">IFERROR(__xludf.DUMMYFUNCTION("""COMPUTED_VALUE"""),0)</f>
        <v>0</v>
      </c>
      <c r="I716" s="83">
        <f ca="1">IFERROR(__xludf.DUMMYFUNCTION("""COMPUTED_VALUE"""),24)</f>
        <v>24</v>
      </c>
    </row>
    <row r="717" spans="1:9">
      <c r="A717" s="79">
        <v>14</v>
      </c>
      <c r="B717" s="79">
        <v>0</v>
      </c>
      <c r="C717" s="79">
        <v>14</v>
      </c>
      <c r="D717" s="80">
        <v>43321.260648148149</v>
      </c>
      <c r="E717" s="81">
        <f t="shared" ca="1" si="4"/>
        <v>43313</v>
      </c>
      <c r="F717" s="82">
        <f ca="1">IFERROR(__xludf.DUMMYFUNCTION("""COMPUTED_VALUE"""),0.260648148148148)</f>
        <v>0.26064814814814802</v>
      </c>
      <c r="G717" s="83">
        <f t="shared" ca="1" si="5"/>
        <v>19</v>
      </c>
      <c r="H717" s="83">
        <f ca="1">IFERROR(__xludf.DUMMYFUNCTION("""COMPUTED_VALUE"""),15)</f>
        <v>15</v>
      </c>
      <c r="I717" s="83">
        <f ca="1">IFERROR(__xludf.DUMMYFUNCTION("""COMPUTED_VALUE"""),20)</f>
        <v>20</v>
      </c>
    </row>
    <row r="718" spans="1:9">
      <c r="A718" s="79">
        <v>14</v>
      </c>
      <c r="B718" s="79">
        <v>0</v>
      </c>
      <c r="C718" s="79">
        <v>14</v>
      </c>
      <c r="D718" s="80">
        <v>43321.27380787037</v>
      </c>
      <c r="E718" s="81">
        <f t="shared" ca="1" si="4"/>
        <v>43313</v>
      </c>
      <c r="F718" s="82">
        <f ca="1">IFERROR(__xludf.DUMMYFUNCTION("""COMPUTED_VALUE"""),0.27380787037037)</f>
        <v>0.27380787037037002</v>
      </c>
      <c r="G718" s="83">
        <f t="shared" ca="1" si="5"/>
        <v>19</v>
      </c>
      <c r="H718" s="83">
        <f ca="1">IFERROR(__xludf.DUMMYFUNCTION("""COMPUTED_VALUE"""),34)</f>
        <v>34</v>
      </c>
      <c r="I718" s="83">
        <f ca="1">IFERROR(__xludf.DUMMYFUNCTION("""COMPUTED_VALUE"""),17)</f>
        <v>17</v>
      </c>
    </row>
    <row r="719" spans="1:9">
      <c r="A719" s="79">
        <v>14</v>
      </c>
      <c r="B719" s="79">
        <v>0</v>
      </c>
      <c r="C719" s="79">
        <v>14</v>
      </c>
      <c r="D719" s="80">
        <v>43321.281481481485</v>
      </c>
      <c r="E719" s="81">
        <f t="shared" ca="1" si="4"/>
        <v>43313</v>
      </c>
      <c r="F719" s="82">
        <f ca="1">IFERROR(__xludf.DUMMYFUNCTION("""COMPUTED_VALUE"""),0.281481481481481)</f>
        <v>0.281481481481481</v>
      </c>
      <c r="G719" s="83">
        <f t="shared" ca="1" si="5"/>
        <v>19</v>
      </c>
      <c r="H719" s="83">
        <f ca="1">IFERROR(__xludf.DUMMYFUNCTION("""COMPUTED_VALUE"""),45)</f>
        <v>45</v>
      </c>
      <c r="I719" s="83">
        <f ca="1">IFERROR(__xludf.DUMMYFUNCTION("""COMPUTED_VALUE"""),20)</f>
        <v>20</v>
      </c>
    </row>
    <row r="720" spans="1:9">
      <c r="A720" s="79">
        <v>20</v>
      </c>
      <c r="B720" s="79">
        <v>0</v>
      </c>
      <c r="C720" s="79">
        <v>20</v>
      </c>
      <c r="D720" s="80">
        <v>43321.291944444441</v>
      </c>
      <c r="E720" s="81">
        <f t="shared" ca="1" si="4"/>
        <v>43313</v>
      </c>
      <c r="F720" s="82">
        <f ca="1">IFERROR(__xludf.DUMMYFUNCTION("""COMPUTED_VALUE"""),0.291944444444444)</f>
        <v>0.29194444444444401</v>
      </c>
      <c r="G720" s="83">
        <f t="shared" ca="1" si="5"/>
        <v>19</v>
      </c>
      <c r="H720" s="83">
        <f ca="1">IFERROR(__xludf.DUMMYFUNCTION("""COMPUTED_VALUE"""),0)</f>
        <v>0</v>
      </c>
      <c r="I720" s="83">
        <f ca="1">IFERROR(__xludf.DUMMYFUNCTION("""COMPUTED_VALUE"""),24)</f>
        <v>24</v>
      </c>
    </row>
    <row r="721" spans="1:9">
      <c r="A721" s="79">
        <v>53</v>
      </c>
      <c r="B721" s="79">
        <v>0</v>
      </c>
      <c r="C721" s="79">
        <v>44</v>
      </c>
      <c r="D721" s="80">
        <v>43321.302337962959</v>
      </c>
      <c r="E721" s="81">
        <f t="shared" ca="1" si="4"/>
        <v>43313</v>
      </c>
      <c r="F721" s="82">
        <f ca="1">IFERROR(__xludf.DUMMYFUNCTION("""COMPUTED_VALUE"""),0.302337962962962)</f>
        <v>0.302337962962962</v>
      </c>
      <c r="G721" s="83">
        <f t="shared" ca="1" si="5"/>
        <v>19</v>
      </c>
      <c r="H721" s="83">
        <f ca="1">IFERROR(__xludf.DUMMYFUNCTION("""COMPUTED_VALUE"""),15)</f>
        <v>15</v>
      </c>
      <c r="I721" s="83">
        <f ca="1">IFERROR(__xludf.DUMMYFUNCTION("""COMPUTED_VALUE"""),22)</f>
        <v>22</v>
      </c>
    </row>
    <row r="722" spans="1:9">
      <c r="A722" s="79">
        <v>41</v>
      </c>
      <c r="B722" s="79">
        <v>0</v>
      </c>
      <c r="C722" s="79">
        <v>41</v>
      </c>
      <c r="D722" s="80">
        <v>43321.312743055554</v>
      </c>
      <c r="E722" s="81">
        <f t="shared" ca="1" si="4"/>
        <v>43313</v>
      </c>
      <c r="F722" s="82">
        <f ca="1">IFERROR(__xludf.DUMMYFUNCTION("""COMPUTED_VALUE"""),0.312743055555555)</f>
        <v>0.31274305555555498</v>
      </c>
      <c r="G722" s="83">
        <f t="shared" ca="1" si="5"/>
        <v>19</v>
      </c>
      <c r="H722" s="83">
        <f ca="1">IFERROR(__xludf.DUMMYFUNCTION("""COMPUTED_VALUE"""),30)</f>
        <v>30</v>
      </c>
      <c r="I722" s="83">
        <f ca="1">IFERROR(__xludf.DUMMYFUNCTION("""COMPUTED_VALUE"""),21)</f>
        <v>21</v>
      </c>
    </row>
    <row r="723" spans="1:9">
      <c r="A723" s="79">
        <v>64</v>
      </c>
      <c r="B723" s="79">
        <v>0</v>
      </c>
      <c r="C723" s="79">
        <v>64</v>
      </c>
      <c r="D723" s="80">
        <v>43321.323171296295</v>
      </c>
      <c r="E723" s="81">
        <f t="shared" ca="1" si="4"/>
        <v>43313</v>
      </c>
      <c r="F723" s="82">
        <f ca="1">IFERROR(__xludf.DUMMYFUNCTION("""COMPUTED_VALUE"""),0.323171296296296)</f>
        <v>0.32317129629629598</v>
      </c>
      <c r="G723" s="83">
        <f t="shared" ca="1" si="5"/>
        <v>19</v>
      </c>
      <c r="H723" s="83">
        <f ca="1">IFERROR(__xludf.DUMMYFUNCTION("""COMPUTED_VALUE"""),45)</f>
        <v>45</v>
      </c>
      <c r="I723" s="83">
        <f ca="1">IFERROR(__xludf.DUMMYFUNCTION("""COMPUTED_VALUE"""),22)</f>
        <v>22</v>
      </c>
    </row>
    <row r="724" spans="1:9">
      <c r="A724" s="79">
        <v>68</v>
      </c>
      <c r="B724" s="79">
        <v>0</v>
      </c>
      <c r="C724" s="79">
        <v>68</v>
      </c>
      <c r="D724" s="80">
        <v>43321.333599537036</v>
      </c>
      <c r="E724" s="81">
        <f t="shared" ca="1" si="4"/>
        <v>43313</v>
      </c>
      <c r="F724" s="82">
        <f ca="1">IFERROR(__xludf.DUMMYFUNCTION("""COMPUTED_VALUE"""),0.333599537037037)</f>
        <v>0.33359953703703699</v>
      </c>
      <c r="G724" s="83">
        <f t="shared" ca="1" si="5"/>
        <v>19</v>
      </c>
      <c r="H724" s="83">
        <f ca="1">IFERROR(__xludf.DUMMYFUNCTION("""COMPUTED_VALUE"""),0)</f>
        <v>0</v>
      </c>
      <c r="I724" s="83">
        <f ca="1">IFERROR(__xludf.DUMMYFUNCTION("""COMPUTED_VALUE"""),23)</f>
        <v>23</v>
      </c>
    </row>
    <row r="725" spans="1:9">
      <c r="A725" s="79">
        <v>77</v>
      </c>
      <c r="B725" s="79">
        <v>3</v>
      </c>
      <c r="C725" s="79">
        <v>77</v>
      </c>
      <c r="D725" s="80">
        <v>43321.344004629631</v>
      </c>
      <c r="E725" s="81">
        <f t="shared" ca="1" si="4"/>
        <v>43313</v>
      </c>
      <c r="F725" s="82">
        <f ca="1">IFERROR(__xludf.DUMMYFUNCTION("""COMPUTED_VALUE"""),0.344004629629629)</f>
        <v>0.34400462962962902</v>
      </c>
      <c r="G725" s="83">
        <f t="shared" ca="1" si="5"/>
        <v>19</v>
      </c>
      <c r="H725" s="83">
        <f ca="1">IFERROR(__xludf.DUMMYFUNCTION("""COMPUTED_VALUE"""),15)</f>
        <v>15</v>
      </c>
      <c r="I725" s="83">
        <f ca="1">IFERROR(__xludf.DUMMYFUNCTION("""COMPUTED_VALUE"""),22)</f>
        <v>22</v>
      </c>
    </row>
    <row r="726" spans="1:9">
      <c r="A726" s="79">
        <v>93</v>
      </c>
      <c r="B726" s="79">
        <v>0</v>
      </c>
      <c r="C726" s="79">
        <v>93</v>
      </c>
      <c r="D726" s="80">
        <v>43321.354409722226</v>
      </c>
      <c r="E726" s="81">
        <f t="shared" ca="1" si="4"/>
        <v>43313</v>
      </c>
      <c r="F726" s="82">
        <f ca="1">IFERROR(__xludf.DUMMYFUNCTION("""COMPUTED_VALUE"""),0.354409722222222)</f>
        <v>0.354409722222222</v>
      </c>
      <c r="G726" s="83">
        <f t="shared" ca="1" si="5"/>
        <v>19</v>
      </c>
      <c r="H726" s="83">
        <f ca="1">IFERROR(__xludf.DUMMYFUNCTION("""COMPUTED_VALUE"""),30)</f>
        <v>30</v>
      </c>
      <c r="I726" s="83">
        <f ca="1">IFERROR(__xludf.DUMMYFUNCTION("""COMPUTED_VALUE"""),21)</f>
        <v>21</v>
      </c>
    </row>
    <row r="727" spans="1:9">
      <c r="A727" s="79">
        <v>163</v>
      </c>
      <c r="B727" s="79">
        <v>2</v>
      </c>
      <c r="C727" s="79">
        <v>165</v>
      </c>
      <c r="D727" s="80">
        <v>43321.364837962959</v>
      </c>
      <c r="E727" s="81">
        <f t="shared" ca="1" si="4"/>
        <v>43313</v>
      </c>
      <c r="F727" s="82">
        <f ca="1">IFERROR(__xludf.DUMMYFUNCTION("""COMPUTED_VALUE"""),0.364837962962962)</f>
        <v>0.364837962962962</v>
      </c>
      <c r="G727" s="83">
        <f t="shared" ca="1" si="5"/>
        <v>19</v>
      </c>
      <c r="H727" s="83">
        <f ca="1">IFERROR(__xludf.DUMMYFUNCTION("""COMPUTED_VALUE"""),45)</f>
        <v>45</v>
      </c>
      <c r="I727" s="83">
        <f ca="1">IFERROR(__xludf.DUMMYFUNCTION("""COMPUTED_VALUE"""),22)</f>
        <v>22</v>
      </c>
    </row>
    <row r="728" spans="1:9">
      <c r="A728" s="79">
        <v>138</v>
      </c>
      <c r="B728" s="79">
        <v>0</v>
      </c>
      <c r="C728" s="79">
        <v>138</v>
      </c>
      <c r="D728" s="80">
        <v>43321.3752662037</v>
      </c>
      <c r="E728" s="81">
        <f t="shared" ca="1" si="4"/>
        <v>43313</v>
      </c>
      <c r="F728" s="82">
        <f ca="1">IFERROR(__xludf.DUMMYFUNCTION("""COMPUTED_VALUE"""),0.375266203703703)</f>
        <v>0.37526620370370301</v>
      </c>
      <c r="G728" s="83">
        <f t="shared" ca="1" si="5"/>
        <v>19</v>
      </c>
      <c r="H728" s="83">
        <f ca="1">IFERROR(__xludf.DUMMYFUNCTION("""COMPUTED_VALUE"""),0)</f>
        <v>0</v>
      </c>
      <c r="I728" s="83">
        <f ca="1">IFERROR(__xludf.DUMMYFUNCTION("""COMPUTED_VALUE"""),23)</f>
        <v>23</v>
      </c>
    </row>
    <row r="729" spans="1:9">
      <c r="A729" s="79">
        <v>204</v>
      </c>
      <c r="B729" s="79">
        <v>2</v>
      </c>
      <c r="C729" s="79">
        <v>206</v>
      </c>
      <c r="D729" s="80">
        <v>43321.385671296295</v>
      </c>
      <c r="E729" s="81">
        <f t="shared" ca="1" si="4"/>
        <v>43313</v>
      </c>
      <c r="F729" s="82">
        <f ca="1">IFERROR(__xludf.DUMMYFUNCTION("""COMPUTED_VALUE"""),0.385671296296296)</f>
        <v>0.38567129629629598</v>
      </c>
      <c r="G729" s="83">
        <f t="shared" ca="1" si="5"/>
        <v>19</v>
      </c>
      <c r="H729" s="83">
        <f ca="1">IFERROR(__xludf.DUMMYFUNCTION("""COMPUTED_VALUE"""),15)</f>
        <v>15</v>
      </c>
      <c r="I729" s="83">
        <f ca="1">IFERROR(__xludf.DUMMYFUNCTION("""COMPUTED_VALUE"""),22)</f>
        <v>22</v>
      </c>
    </row>
    <row r="730" spans="1:9">
      <c r="A730" s="79">
        <v>303</v>
      </c>
      <c r="B730" s="79">
        <v>4</v>
      </c>
      <c r="C730" s="79">
        <v>307</v>
      </c>
      <c r="D730" s="80">
        <v>43321.39607638889</v>
      </c>
      <c r="E730" s="81">
        <f t="shared" ca="1" si="4"/>
        <v>43313</v>
      </c>
      <c r="F730" s="82">
        <f ca="1">IFERROR(__xludf.DUMMYFUNCTION("""COMPUTED_VALUE"""),0.396076388888888)</f>
        <v>0.39607638888888802</v>
      </c>
      <c r="G730" s="83">
        <f t="shared" ca="1" si="5"/>
        <v>19</v>
      </c>
      <c r="H730" s="83">
        <f ca="1">IFERROR(__xludf.DUMMYFUNCTION("""COMPUTED_VALUE"""),30)</f>
        <v>30</v>
      </c>
      <c r="I730" s="83">
        <f ca="1">IFERROR(__xludf.DUMMYFUNCTION("""COMPUTED_VALUE"""),21)</f>
        <v>21</v>
      </c>
    </row>
    <row r="731" spans="1:9">
      <c r="A731" s="79">
        <v>543</v>
      </c>
      <c r="B731" s="79">
        <v>5</v>
      </c>
      <c r="C731" s="79">
        <v>548</v>
      </c>
      <c r="D731" s="80">
        <v>43321.4065162037</v>
      </c>
      <c r="E731" s="81">
        <f t="shared" ca="1" si="4"/>
        <v>43313</v>
      </c>
      <c r="F731" s="82">
        <f ca="1">IFERROR(__xludf.DUMMYFUNCTION("""COMPUTED_VALUE"""),0.406516203703703)</f>
        <v>0.40651620370370301</v>
      </c>
      <c r="G731" s="83">
        <f t="shared" ca="1" si="5"/>
        <v>19</v>
      </c>
      <c r="H731" s="83">
        <f ca="1">IFERROR(__xludf.DUMMYFUNCTION("""COMPUTED_VALUE"""),45)</f>
        <v>45</v>
      </c>
      <c r="I731" s="83">
        <f ca="1">IFERROR(__xludf.DUMMYFUNCTION("""COMPUTED_VALUE"""),23)</f>
        <v>23</v>
      </c>
    </row>
    <row r="732" spans="1:9">
      <c r="A732" s="79">
        <v>499</v>
      </c>
      <c r="B732" s="79">
        <v>8</v>
      </c>
      <c r="C732" s="79">
        <v>501</v>
      </c>
      <c r="D732" s="80">
        <v>43321.416921296295</v>
      </c>
      <c r="E732" s="81">
        <f t="shared" ca="1" si="4"/>
        <v>43313</v>
      </c>
      <c r="F732" s="82">
        <f ca="1">IFERROR(__xludf.DUMMYFUNCTION("""COMPUTED_VALUE"""),0.416921296296296)</f>
        <v>0.41692129629629598</v>
      </c>
      <c r="G732" s="83">
        <f t="shared" ca="1" si="5"/>
        <v>19</v>
      </c>
      <c r="H732" s="83">
        <f ca="1">IFERROR(__xludf.DUMMYFUNCTION("""COMPUTED_VALUE"""),0)</f>
        <v>0</v>
      </c>
      <c r="I732" s="83">
        <f ca="1">IFERROR(__xludf.DUMMYFUNCTION("""COMPUTED_VALUE"""),22)</f>
        <v>22</v>
      </c>
    </row>
    <row r="733" spans="1:9">
      <c r="A733" s="79">
        <v>475</v>
      </c>
      <c r="B733" s="79">
        <v>8</v>
      </c>
      <c r="C733" s="79">
        <v>483</v>
      </c>
      <c r="D733" s="80">
        <v>43321.427337962959</v>
      </c>
      <c r="E733" s="81">
        <f t="shared" ca="1" si="4"/>
        <v>43313</v>
      </c>
      <c r="F733" s="82">
        <f ca="1">IFERROR(__xludf.DUMMYFUNCTION("""COMPUTED_VALUE"""),0.427337962962962)</f>
        <v>0.427337962962962</v>
      </c>
      <c r="G733" s="83">
        <f t="shared" ca="1" si="5"/>
        <v>19</v>
      </c>
      <c r="H733" s="83">
        <f ca="1">IFERROR(__xludf.DUMMYFUNCTION("""COMPUTED_VALUE"""),15)</f>
        <v>15</v>
      </c>
      <c r="I733" s="83">
        <f ca="1">IFERROR(__xludf.DUMMYFUNCTION("""COMPUTED_VALUE"""),22)</f>
        <v>22</v>
      </c>
    </row>
    <row r="734" spans="1:9">
      <c r="A734" s="79">
        <v>536</v>
      </c>
      <c r="B734" s="79">
        <v>12</v>
      </c>
      <c r="C734" s="79">
        <v>548</v>
      </c>
      <c r="D734" s="80">
        <v>43321.437743055554</v>
      </c>
      <c r="E734" s="81">
        <f t="shared" ca="1" si="4"/>
        <v>43313</v>
      </c>
      <c r="F734" s="82">
        <f ca="1">IFERROR(__xludf.DUMMYFUNCTION("""COMPUTED_VALUE"""),0.437743055555555)</f>
        <v>0.43774305555555498</v>
      </c>
      <c r="G734" s="83">
        <f t="shared" ca="1" si="5"/>
        <v>19</v>
      </c>
      <c r="H734" s="83">
        <f ca="1">IFERROR(__xludf.DUMMYFUNCTION("""COMPUTED_VALUE"""),30)</f>
        <v>30</v>
      </c>
      <c r="I734" s="83">
        <f ca="1">IFERROR(__xludf.DUMMYFUNCTION("""COMPUTED_VALUE"""),21)</f>
        <v>21</v>
      </c>
    </row>
    <row r="735" spans="1:9">
      <c r="A735" s="79">
        <v>649</v>
      </c>
      <c r="B735" s="79">
        <v>9</v>
      </c>
      <c r="C735" s="79">
        <v>658</v>
      </c>
      <c r="D735" s="80">
        <v>43321.448171296295</v>
      </c>
      <c r="E735" s="81">
        <f t="shared" ca="1" si="4"/>
        <v>43313</v>
      </c>
      <c r="F735" s="82">
        <f ca="1">IFERROR(__xludf.DUMMYFUNCTION("""COMPUTED_VALUE"""),0.448171296296296)</f>
        <v>0.44817129629629598</v>
      </c>
      <c r="G735" s="83">
        <f t="shared" ca="1" si="5"/>
        <v>19</v>
      </c>
      <c r="H735" s="83">
        <f ca="1">IFERROR(__xludf.DUMMYFUNCTION("""COMPUTED_VALUE"""),45)</f>
        <v>45</v>
      </c>
      <c r="I735" s="83">
        <f ca="1">IFERROR(__xludf.DUMMYFUNCTION("""COMPUTED_VALUE"""),22)</f>
        <v>22</v>
      </c>
    </row>
    <row r="736" spans="1:9">
      <c r="A736" s="79">
        <v>496</v>
      </c>
      <c r="B736" s="79">
        <v>12</v>
      </c>
      <c r="C736" s="79">
        <v>498</v>
      </c>
      <c r="D736" s="80">
        <v>43321.45857638889</v>
      </c>
      <c r="E736" s="81">
        <f t="shared" ca="1" si="4"/>
        <v>43313</v>
      </c>
      <c r="F736" s="82">
        <f ca="1">IFERROR(__xludf.DUMMYFUNCTION("""COMPUTED_VALUE"""),0.458576388888888)</f>
        <v>0.45857638888888802</v>
      </c>
      <c r="G736" s="83">
        <f t="shared" ca="1" si="5"/>
        <v>19</v>
      </c>
      <c r="H736" s="83">
        <f ca="1">IFERROR(__xludf.DUMMYFUNCTION("""COMPUTED_VALUE"""),0)</f>
        <v>0</v>
      </c>
      <c r="I736" s="83">
        <f ca="1">IFERROR(__xludf.DUMMYFUNCTION("""COMPUTED_VALUE"""),21)</f>
        <v>21</v>
      </c>
    </row>
    <row r="737" spans="1:9">
      <c r="A737" s="79">
        <v>313</v>
      </c>
      <c r="B737" s="79">
        <v>8</v>
      </c>
      <c r="C737" s="79">
        <v>321</v>
      </c>
      <c r="D737" s="80">
        <v>43321.468993055554</v>
      </c>
      <c r="E737" s="81">
        <f t="shared" ca="1" si="4"/>
        <v>43313</v>
      </c>
      <c r="F737" s="82">
        <f ca="1">IFERROR(__xludf.DUMMYFUNCTION("""COMPUTED_VALUE"""),0.468993055555555)</f>
        <v>0.46899305555555498</v>
      </c>
      <c r="G737" s="83">
        <f t="shared" ca="1" si="5"/>
        <v>19</v>
      </c>
      <c r="H737" s="83">
        <f ca="1">IFERROR(__xludf.DUMMYFUNCTION("""COMPUTED_VALUE"""),15)</f>
        <v>15</v>
      </c>
      <c r="I737" s="83">
        <f ca="1">IFERROR(__xludf.DUMMYFUNCTION("""COMPUTED_VALUE"""),21)</f>
        <v>21</v>
      </c>
    </row>
    <row r="738" spans="1:9">
      <c r="A738" s="79">
        <v>256</v>
      </c>
      <c r="B738" s="79">
        <v>9</v>
      </c>
      <c r="C738" s="79">
        <v>265</v>
      </c>
      <c r="D738" s="80">
        <v>43321.479421296295</v>
      </c>
      <c r="E738" s="81">
        <f t="shared" ca="1" si="4"/>
        <v>43313</v>
      </c>
      <c r="F738" s="82">
        <f ca="1">IFERROR(__xludf.DUMMYFUNCTION("""COMPUTED_VALUE"""),0.479421296296296)</f>
        <v>0.47942129629629598</v>
      </c>
      <c r="G738" s="83">
        <f t="shared" ca="1" si="5"/>
        <v>19</v>
      </c>
      <c r="H738" s="83">
        <f ca="1">IFERROR(__xludf.DUMMYFUNCTION("""COMPUTED_VALUE"""),30)</f>
        <v>30</v>
      </c>
      <c r="I738" s="83">
        <f ca="1">IFERROR(__xludf.DUMMYFUNCTION("""COMPUTED_VALUE"""),22)</f>
        <v>22</v>
      </c>
    </row>
    <row r="739" spans="1:9">
      <c r="A739" s="79">
        <v>316</v>
      </c>
      <c r="B739" s="79">
        <v>5</v>
      </c>
      <c r="C739" s="79">
        <v>321</v>
      </c>
      <c r="D739" s="80">
        <v>43321.48982638889</v>
      </c>
      <c r="E739" s="81">
        <f t="shared" ca="1" si="4"/>
        <v>43313</v>
      </c>
      <c r="F739" s="82">
        <f ca="1">IFERROR(__xludf.DUMMYFUNCTION("""COMPUTED_VALUE"""),0.489826388888888)</f>
        <v>0.48982638888888802</v>
      </c>
      <c r="G739" s="83">
        <f t="shared" ca="1" si="5"/>
        <v>19</v>
      </c>
      <c r="H739" s="83">
        <f ca="1">IFERROR(__xludf.DUMMYFUNCTION("""COMPUTED_VALUE"""),45)</f>
        <v>45</v>
      </c>
      <c r="I739" s="83">
        <f ca="1">IFERROR(__xludf.DUMMYFUNCTION("""COMPUTED_VALUE"""),21)</f>
        <v>21</v>
      </c>
    </row>
    <row r="740" spans="1:9">
      <c r="A740" s="79">
        <v>224</v>
      </c>
      <c r="B740" s="79">
        <v>6</v>
      </c>
      <c r="C740" s="79">
        <v>230</v>
      </c>
      <c r="D740" s="80">
        <v>43321.500243055554</v>
      </c>
      <c r="E740" s="81">
        <f t="shared" ca="1" si="4"/>
        <v>43313</v>
      </c>
      <c r="F740" s="82">
        <f ca="1">IFERROR(__xludf.DUMMYFUNCTION("""COMPUTED_VALUE"""),0.500243055555555)</f>
        <v>0.50024305555555504</v>
      </c>
      <c r="G740" s="83">
        <f t="shared" ca="1" si="5"/>
        <v>19</v>
      </c>
      <c r="H740" s="83">
        <f ca="1">IFERROR(__xludf.DUMMYFUNCTION("""COMPUTED_VALUE"""),0)</f>
        <v>0</v>
      </c>
      <c r="I740" s="83">
        <f ca="1">IFERROR(__xludf.DUMMYFUNCTION("""COMPUTED_VALUE"""),21)</f>
        <v>21</v>
      </c>
    </row>
    <row r="741" spans="1:9">
      <c r="A741" s="79">
        <v>197</v>
      </c>
      <c r="B741" s="79">
        <v>4</v>
      </c>
      <c r="C741" s="79">
        <v>201</v>
      </c>
      <c r="D741" s="80">
        <v>43321.510659722226</v>
      </c>
      <c r="E741" s="81">
        <f t="shared" ca="1" si="4"/>
        <v>43313</v>
      </c>
      <c r="F741" s="82">
        <f ca="1">IFERROR(__xludf.DUMMYFUNCTION("""COMPUTED_VALUE"""),0.510659722222222)</f>
        <v>0.510659722222222</v>
      </c>
      <c r="G741" s="83">
        <f t="shared" ca="1" si="5"/>
        <v>19</v>
      </c>
      <c r="H741" s="83">
        <f ca="1">IFERROR(__xludf.DUMMYFUNCTION("""COMPUTED_VALUE"""),15)</f>
        <v>15</v>
      </c>
      <c r="I741" s="83">
        <f ca="1">IFERROR(__xludf.DUMMYFUNCTION("""COMPUTED_VALUE"""),21)</f>
        <v>21</v>
      </c>
    </row>
    <row r="742" spans="1:9">
      <c r="A742" s="79">
        <v>205</v>
      </c>
      <c r="B742" s="79">
        <v>5</v>
      </c>
      <c r="C742" s="79">
        <v>209</v>
      </c>
      <c r="D742" s="80">
        <v>43321.521087962959</v>
      </c>
      <c r="E742" s="81">
        <f t="shared" ca="1" si="4"/>
        <v>43313</v>
      </c>
      <c r="F742" s="82">
        <f ca="1">IFERROR(__xludf.DUMMYFUNCTION("""COMPUTED_VALUE"""),0.521087962962963)</f>
        <v>0.521087962962963</v>
      </c>
      <c r="G742" s="83">
        <f t="shared" ca="1" si="5"/>
        <v>19</v>
      </c>
      <c r="H742" s="83">
        <f ca="1">IFERROR(__xludf.DUMMYFUNCTION("""COMPUTED_VALUE"""),30)</f>
        <v>30</v>
      </c>
      <c r="I742" s="83">
        <f ca="1">IFERROR(__xludf.DUMMYFUNCTION("""COMPUTED_VALUE"""),22)</f>
        <v>22</v>
      </c>
    </row>
    <row r="743" spans="1:9">
      <c r="A743" s="79">
        <v>202</v>
      </c>
      <c r="B743" s="79">
        <v>5</v>
      </c>
      <c r="C743" s="79">
        <v>207</v>
      </c>
      <c r="D743" s="80">
        <v>43321.531493055554</v>
      </c>
      <c r="E743" s="81">
        <f t="shared" ca="1" si="4"/>
        <v>43313</v>
      </c>
      <c r="F743" s="82">
        <f ca="1">IFERROR(__xludf.DUMMYFUNCTION("""COMPUTED_VALUE"""),0.531493055555555)</f>
        <v>0.53149305555555504</v>
      </c>
      <c r="G743" s="83">
        <f t="shared" ca="1" si="5"/>
        <v>19</v>
      </c>
      <c r="H743" s="83">
        <f ca="1">IFERROR(__xludf.DUMMYFUNCTION("""COMPUTED_VALUE"""),45)</f>
        <v>45</v>
      </c>
      <c r="I743" s="83">
        <f ca="1">IFERROR(__xludf.DUMMYFUNCTION("""COMPUTED_VALUE"""),21)</f>
        <v>21</v>
      </c>
    </row>
    <row r="744" spans="1:9">
      <c r="A744" s="79">
        <v>211</v>
      </c>
      <c r="B744" s="79">
        <v>5</v>
      </c>
      <c r="C744" s="79">
        <v>216</v>
      </c>
      <c r="D744" s="80">
        <v>43321.541909722226</v>
      </c>
      <c r="E744" s="81">
        <f t="shared" ca="1" si="4"/>
        <v>43313</v>
      </c>
      <c r="F744" s="82">
        <f ca="1">IFERROR(__xludf.DUMMYFUNCTION("""COMPUTED_VALUE"""),0.541909722222222)</f>
        <v>0.541909722222222</v>
      </c>
      <c r="G744" s="83">
        <f t="shared" ca="1" si="5"/>
        <v>19</v>
      </c>
      <c r="H744" s="83">
        <f ca="1">IFERROR(__xludf.DUMMYFUNCTION("""COMPUTED_VALUE"""),0)</f>
        <v>0</v>
      </c>
      <c r="I744" s="83">
        <f ca="1">IFERROR(__xludf.DUMMYFUNCTION("""COMPUTED_VALUE"""),21)</f>
        <v>21</v>
      </c>
    </row>
    <row r="745" spans="1:9">
      <c r="A745" s="79">
        <v>218</v>
      </c>
      <c r="B745" s="79">
        <v>4</v>
      </c>
      <c r="C745" s="79">
        <v>222</v>
      </c>
      <c r="D745" s="80">
        <v>43321.55232638889</v>
      </c>
      <c r="E745" s="81">
        <f t="shared" ca="1" si="4"/>
        <v>43313</v>
      </c>
      <c r="F745" s="82">
        <f ca="1">IFERROR(__xludf.DUMMYFUNCTION("""COMPUTED_VALUE"""),0.552326388888888)</f>
        <v>0.55232638888888796</v>
      </c>
      <c r="G745" s="83">
        <f t="shared" ca="1" si="5"/>
        <v>19</v>
      </c>
      <c r="H745" s="83">
        <f ca="1">IFERROR(__xludf.DUMMYFUNCTION("""COMPUTED_VALUE"""),15)</f>
        <v>15</v>
      </c>
      <c r="I745" s="83">
        <f ca="1">IFERROR(__xludf.DUMMYFUNCTION("""COMPUTED_VALUE"""),21)</f>
        <v>21</v>
      </c>
    </row>
    <row r="746" spans="1:9">
      <c r="A746" s="79">
        <v>240</v>
      </c>
      <c r="B746" s="79">
        <v>4</v>
      </c>
      <c r="C746" s="79">
        <v>244</v>
      </c>
      <c r="D746" s="80">
        <v>43321.562743055554</v>
      </c>
      <c r="E746" s="81">
        <f t="shared" ca="1" si="4"/>
        <v>43313</v>
      </c>
      <c r="F746" s="82">
        <f ca="1">IFERROR(__xludf.DUMMYFUNCTION("""COMPUTED_VALUE"""),0.562743055555555)</f>
        <v>0.56274305555555504</v>
      </c>
      <c r="G746" s="83">
        <f t="shared" ca="1" si="5"/>
        <v>19</v>
      </c>
      <c r="H746" s="83">
        <f ca="1">IFERROR(__xludf.DUMMYFUNCTION("""COMPUTED_VALUE"""),30)</f>
        <v>30</v>
      </c>
      <c r="I746" s="83">
        <f ca="1">IFERROR(__xludf.DUMMYFUNCTION("""COMPUTED_VALUE"""),21)</f>
        <v>21</v>
      </c>
    </row>
    <row r="747" spans="1:9">
      <c r="A747" s="79">
        <v>288</v>
      </c>
      <c r="B747" s="79">
        <v>5</v>
      </c>
      <c r="C747" s="79">
        <v>283</v>
      </c>
      <c r="D747" s="80">
        <v>43321.573159722226</v>
      </c>
      <c r="E747" s="81">
        <f t="shared" ca="1" si="4"/>
        <v>43313</v>
      </c>
      <c r="F747" s="82">
        <f ca="1">IFERROR(__xludf.DUMMYFUNCTION("""COMPUTED_VALUE"""),0.573159722222222)</f>
        <v>0.573159722222222</v>
      </c>
      <c r="G747" s="83">
        <f t="shared" ca="1" si="5"/>
        <v>19</v>
      </c>
      <c r="H747" s="83">
        <f ca="1">IFERROR(__xludf.DUMMYFUNCTION("""COMPUTED_VALUE"""),45)</f>
        <v>45</v>
      </c>
      <c r="I747" s="83">
        <f ca="1">IFERROR(__xludf.DUMMYFUNCTION("""COMPUTED_VALUE"""),21)</f>
        <v>21</v>
      </c>
    </row>
    <row r="748" spans="1:9">
      <c r="A748" s="79">
        <v>276</v>
      </c>
      <c r="B748" s="79">
        <v>5</v>
      </c>
      <c r="C748" s="79">
        <v>281</v>
      </c>
      <c r="D748" s="80">
        <v>43321.583611111113</v>
      </c>
      <c r="E748" s="81">
        <f t="shared" ca="1" si="4"/>
        <v>43313</v>
      </c>
      <c r="F748" s="82">
        <f ca="1">IFERROR(__xludf.DUMMYFUNCTION("""COMPUTED_VALUE"""),0.583611111111111)</f>
        <v>0.58361111111111097</v>
      </c>
      <c r="G748" s="83">
        <f t="shared" ca="1" si="5"/>
        <v>19</v>
      </c>
      <c r="H748" s="83">
        <f ca="1">IFERROR(__xludf.DUMMYFUNCTION("""COMPUTED_VALUE"""),0)</f>
        <v>0</v>
      </c>
      <c r="I748" s="83">
        <f ca="1">IFERROR(__xludf.DUMMYFUNCTION("""COMPUTED_VALUE"""),24)</f>
        <v>24</v>
      </c>
    </row>
    <row r="749" spans="1:9">
      <c r="A749" s="79">
        <v>291</v>
      </c>
      <c r="B749" s="79">
        <v>4</v>
      </c>
      <c r="C749" s="79">
        <v>295</v>
      </c>
      <c r="D749" s="80">
        <v>43321.593981481485</v>
      </c>
      <c r="E749" s="81">
        <f t="shared" ca="1" si="4"/>
        <v>43313</v>
      </c>
      <c r="F749" s="82">
        <f ca="1">IFERROR(__xludf.DUMMYFUNCTION("""COMPUTED_VALUE"""),0.593981481481481)</f>
        <v>0.593981481481481</v>
      </c>
      <c r="G749" s="83">
        <f t="shared" ca="1" si="5"/>
        <v>19</v>
      </c>
      <c r="H749" s="83">
        <f ca="1">IFERROR(__xludf.DUMMYFUNCTION("""COMPUTED_VALUE"""),15)</f>
        <v>15</v>
      </c>
      <c r="I749" s="83">
        <f ca="1">IFERROR(__xludf.DUMMYFUNCTION("""COMPUTED_VALUE"""),20)</f>
        <v>20</v>
      </c>
    </row>
    <row r="750" spans="1:9">
      <c r="A750" s="79">
        <v>260</v>
      </c>
      <c r="B750" s="79">
        <v>6</v>
      </c>
      <c r="C750" s="79">
        <v>266</v>
      </c>
      <c r="D750" s="80">
        <v>43321.604409722226</v>
      </c>
      <c r="E750" s="81">
        <f t="shared" ca="1" si="4"/>
        <v>43313</v>
      </c>
      <c r="F750" s="82">
        <f ca="1">IFERROR(__xludf.DUMMYFUNCTION("""COMPUTED_VALUE"""),0.604409722222222)</f>
        <v>0.604409722222222</v>
      </c>
      <c r="G750" s="83">
        <f t="shared" ca="1" si="5"/>
        <v>19</v>
      </c>
      <c r="H750" s="83">
        <f ca="1">IFERROR(__xludf.DUMMYFUNCTION("""COMPUTED_VALUE"""),30)</f>
        <v>30</v>
      </c>
      <c r="I750" s="83">
        <f ca="1">IFERROR(__xludf.DUMMYFUNCTION("""COMPUTED_VALUE"""),21)</f>
        <v>21</v>
      </c>
    </row>
    <row r="751" spans="1:9">
      <c r="A751" s="79">
        <v>265</v>
      </c>
      <c r="B751" s="79">
        <v>7</v>
      </c>
      <c r="C751" s="79">
        <v>272</v>
      </c>
      <c r="D751" s="80">
        <v>43321.61482638889</v>
      </c>
      <c r="E751" s="81">
        <f t="shared" ca="1" si="4"/>
        <v>43313</v>
      </c>
      <c r="F751" s="82">
        <f ca="1">IFERROR(__xludf.DUMMYFUNCTION("""COMPUTED_VALUE"""),0.614826388888888)</f>
        <v>0.61482638888888796</v>
      </c>
      <c r="G751" s="83">
        <f t="shared" ca="1" si="5"/>
        <v>19</v>
      </c>
      <c r="H751" s="83">
        <f ca="1">IFERROR(__xludf.DUMMYFUNCTION("""COMPUTED_VALUE"""),45)</f>
        <v>45</v>
      </c>
      <c r="I751" s="83">
        <f ca="1">IFERROR(__xludf.DUMMYFUNCTION("""COMPUTED_VALUE"""),21)</f>
        <v>21</v>
      </c>
    </row>
    <row r="752" spans="1:9">
      <c r="A752" s="79">
        <v>265</v>
      </c>
      <c r="B752" s="79">
        <v>5</v>
      </c>
      <c r="C752" s="79">
        <v>268</v>
      </c>
      <c r="D752" s="80">
        <v>43321.625277777777</v>
      </c>
      <c r="E752" s="81">
        <f t="shared" ca="1" si="4"/>
        <v>43313</v>
      </c>
      <c r="F752" s="82">
        <f ca="1">IFERROR(__xludf.DUMMYFUNCTION("""COMPUTED_VALUE"""),0.625277777777777)</f>
        <v>0.62527777777777704</v>
      </c>
      <c r="G752" s="83">
        <f t="shared" ca="1" si="5"/>
        <v>19</v>
      </c>
      <c r="H752" s="83">
        <f ca="1">IFERROR(__xludf.DUMMYFUNCTION("""COMPUTED_VALUE"""),0)</f>
        <v>0</v>
      </c>
      <c r="I752" s="83">
        <f ca="1">IFERROR(__xludf.DUMMYFUNCTION("""COMPUTED_VALUE"""),24)</f>
        <v>24</v>
      </c>
    </row>
    <row r="753" spans="1:9">
      <c r="A753" s="79">
        <v>321</v>
      </c>
      <c r="B753" s="79">
        <v>7</v>
      </c>
      <c r="C753" s="79">
        <v>328</v>
      </c>
      <c r="D753" s="80">
        <v>43321.635648148149</v>
      </c>
      <c r="E753" s="81">
        <f t="shared" ca="1" si="4"/>
        <v>43313</v>
      </c>
      <c r="F753" s="82">
        <f ca="1">IFERROR(__xludf.DUMMYFUNCTION("""COMPUTED_VALUE"""),0.635648148148148)</f>
        <v>0.63564814814814796</v>
      </c>
      <c r="G753" s="83">
        <f t="shared" ca="1" si="5"/>
        <v>19</v>
      </c>
      <c r="H753" s="83">
        <f ca="1">IFERROR(__xludf.DUMMYFUNCTION("""COMPUTED_VALUE"""),15)</f>
        <v>15</v>
      </c>
      <c r="I753" s="83">
        <f ca="1">IFERROR(__xludf.DUMMYFUNCTION("""COMPUTED_VALUE"""),20)</f>
        <v>20</v>
      </c>
    </row>
    <row r="754" spans="1:9">
      <c r="A754" s="79">
        <v>299</v>
      </c>
      <c r="B754" s="79">
        <v>6</v>
      </c>
      <c r="C754" s="79">
        <v>305</v>
      </c>
      <c r="D754" s="80">
        <v>43321.64607638889</v>
      </c>
      <c r="E754" s="81">
        <f t="shared" ca="1" si="4"/>
        <v>43313</v>
      </c>
      <c r="F754" s="82">
        <f ca="1">IFERROR(__xludf.DUMMYFUNCTION("""COMPUTED_VALUE"""),0.646076388888888)</f>
        <v>0.64607638888888796</v>
      </c>
      <c r="G754" s="83">
        <f t="shared" ca="1" si="5"/>
        <v>19</v>
      </c>
      <c r="H754" s="83">
        <f ca="1">IFERROR(__xludf.DUMMYFUNCTION("""COMPUTED_VALUE"""),30)</f>
        <v>30</v>
      </c>
      <c r="I754" s="83">
        <f ca="1">IFERROR(__xludf.DUMMYFUNCTION("""COMPUTED_VALUE"""),21)</f>
        <v>21</v>
      </c>
    </row>
    <row r="755" spans="1:9">
      <c r="A755" s="79">
        <v>327</v>
      </c>
      <c r="B755" s="79">
        <v>7</v>
      </c>
      <c r="C755" s="79">
        <v>334</v>
      </c>
      <c r="D755" s="80">
        <v>43321.656493055554</v>
      </c>
      <c r="E755" s="81">
        <f t="shared" ca="1" si="4"/>
        <v>43313</v>
      </c>
      <c r="F755" s="82">
        <f ca="1">IFERROR(__xludf.DUMMYFUNCTION("""COMPUTED_VALUE"""),0.656493055555555)</f>
        <v>0.65649305555555504</v>
      </c>
      <c r="G755" s="83">
        <f t="shared" ca="1" si="5"/>
        <v>19</v>
      </c>
      <c r="H755" s="83">
        <f ca="1">IFERROR(__xludf.DUMMYFUNCTION("""COMPUTED_VALUE"""),45)</f>
        <v>45</v>
      </c>
      <c r="I755" s="83">
        <f ca="1">IFERROR(__xludf.DUMMYFUNCTION("""COMPUTED_VALUE"""),21)</f>
        <v>21</v>
      </c>
    </row>
    <row r="756" spans="1:9">
      <c r="A756" s="79">
        <v>326</v>
      </c>
      <c r="B756" s="79">
        <v>6</v>
      </c>
      <c r="C756" s="79">
        <v>332</v>
      </c>
      <c r="D756" s="80">
        <v>43321.666932870372</v>
      </c>
      <c r="E756" s="81">
        <f t="shared" ca="1" si="4"/>
        <v>43313</v>
      </c>
      <c r="F756" s="82">
        <f ca="1">IFERROR(__xludf.DUMMYFUNCTION("""COMPUTED_VALUE"""),0.66693287037037)</f>
        <v>0.66693287037036997</v>
      </c>
      <c r="G756" s="83">
        <f t="shared" ca="1" si="5"/>
        <v>19</v>
      </c>
      <c r="H756" s="83">
        <f ca="1">IFERROR(__xludf.DUMMYFUNCTION("""COMPUTED_VALUE"""),0)</f>
        <v>0</v>
      </c>
      <c r="I756" s="83">
        <f ca="1">IFERROR(__xludf.DUMMYFUNCTION("""COMPUTED_VALUE"""),23)</f>
        <v>23</v>
      </c>
    </row>
    <row r="757" spans="1:9">
      <c r="A757" s="79">
        <v>374</v>
      </c>
      <c r="B757" s="79">
        <v>5</v>
      </c>
      <c r="C757" s="79">
        <v>379</v>
      </c>
      <c r="D757" s="80">
        <v>43321.67732638889</v>
      </c>
      <c r="E757" s="81">
        <f t="shared" ca="1" si="4"/>
        <v>43313</v>
      </c>
      <c r="F757" s="82">
        <f ca="1">IFERROR(__xludf.DUMMYFUNCTION("""COMPUTED_VALUE"""),0.677326388888888)</f>
        <v>0.67732638888888796</v>
      </c>
      <c r="G757" s="83">
        <f t="shared" ca="1" si="5"/>
        <v>19</v>
      </c>
      <c r="H757" s="83">
        <f ca="1">IFERROR(__xludf.DUMMYFUNCTION("""COMPUTED_VALUE"""),15)</f>
        <v>15</v>
      </c>
      <c r="I757" s="83">
        <f ca="1">IFERROR(__xludf.DUMMYFUNCTION("""COMPUTED_VALUE"""),21)</f>
        <v>21</v>
      </c>
    </row>
    <row r="758" spans="1:9">
      <c r="A758" s="79">
        <v>362</v>
      </c>
      <c r="B758" s="79">
        <v>5</v>
      </c>
      <c r="C758" s="79">
        <v>367</v>
      </c>
      <c r="D758" s="80">
        <v>43321.687743055554</v>
      </c>
      <c r="E758" s="81">
        <f t="shared" ca="1" si="4"/>
        <v>43313</v>
      </c>
      <c r="F758" s="82">
        <f ca="1">IFERROR(__xludf.DUMMYFUNCTION("""COMPUTED_VALUE"""),0.687743055555555)</f>
        <v>0.68774305555555504</v>
      </c>
      <c r="G758" s="83">
        <f t="shared" ca="1" si="5"/>
        <v>19</v>
      </c>
      <c r="H758" s="83">
        <f ca="1">IFERROR(__xludf.DUMMYFUNCTION("""COMPUTED_VALUE"""),30)</f>
        <v>30</v>
      </c>
      <c r="I758" s="83">
        <f ca="1">IFERROR(__xludf.DUMMYFUNCTION("""COMPUTED_VALUE"""),21)</f>
        <v>21</v>
      </c>
    </row>
    <row r="759" spans="1:9">
      <c r="A759" s="79">
        <v>415</v>
      </c>
      <c r="B759" s="79">
        <v>6</v>
      </c>
      <c r="C759" s="79">
        <v>419</v>
      </c>
      <c r="D759" s="80">
        <v>43321.698159722226</v>
      </c>
      <c r="E759" s="81">
        <f t="shared" ca="1" si="4"/>
        <v>43313</v>
      </c>
      <c r="F759" s="82">
        <f ca="1">IFERROR(__xludf.DUMMYFUNCTION("""COMPUTED_VALUE"""),0.698159722222222)</f>
        <v>0.698159722222222</v>
      </c>
      <c r="G759" s="83">
        <f t="shared" ca="1" si="5"/>
        <v>19</v>
      </c>
      <c r="H759" s="83">
        <f ca="1">IFERROR(__xludf.DUMMYFUNCTION("""COMPUTED_VALUE"""),45)</f>
        <v>45</v>
      </c>
      <c r="I759" s="83">
        <f ca="1">IFERROR(__xludf.DUMMYFUNCTION("""COMPUTED_VALUE"""),21)</f>
        <v>21</v>
      </c>
    </row>
    <row r="760" spans="1:9">
      <c r="A760" s="79">
        <v>362</v>
      </c>
      <c r="B760" s="79">
        <v>4</v>
      </c>
      <c r="C760" s="79">
        <v>366</v>
      </c>
      <c r="D760" s="80">
        <v>43321.708599537036</v>
      </c>
      <c r="E760" s="81">
        <f t="shared" ca="1" si="4"/>
        <v>43313</v>
      </c>
      <c r="F760" s="82">
        <f ca="1">IFERROR(__xludf.DUMMYFUNCTION("""COMPUTED_VALUE"""),0.708599537037037)</f>
        <v>0.70859953703703704</v>
      </c>
      <c r="G760" s="83">
        <f t="shared" ca="1" si="5"/>
        <v>19</v>
      </c>
      <c r="H760" s="83">
        <f ca="1">IFERROR(__xludf.DUMMYFUNCTION("""COMPUTED_VALUE"""),0)</f>
        <v>0</v>
      </c>
      <c r="I760" s="83">
        <f ca="1">IFERROR(__xludf.DUMMYFUNCTION("""COMPUTED_VALUE"""),23)</f>
        <v>23</v>
      </c>
    </row>
    <row r="761" spans="1:9">
      <c r="A761" s="79">
        <v>578</v>
      </c>
      <c r="B761" s="79">
        <v>11</v>
      </c>
      <c r="C761" s="79">
        <v>589</v>
      </c>
      <c r="D761" s="80">
        <v>43321.718993055554</v>
      </c>
      <c r="E761" s="81">
        <f t="shared" ca="1" si="4"/>
        <v>43313</v>
      </c>
      <c r="F761" s="82">
        <f ca="1">IFERROR(__xludf.DUMMYFUNCTION("""COMPUTED_VALUE"""),0.718993055555555)</f>
        <v>0.71899305555555504</v>
      </c>
      <c r="G761" s="83">
        <f t="shared" ca="1" si="5"/>
        <v>19</v>
      </c>
      <c r="H761" s="83">
        <f ca="1">IFERROR(__xludf.DUMMYFUNCTION("""COMPUTED_VALUE"""),15)</f>
        <v>15</v>
      </c>
      <c r="I761" s="83">
        <f ca="1">IFERROR(__xludf.DUMMYFUNCTION("""COMPUTED_VALUE"""),21)</f>
        <v>21</v>
      </c>
    </row>
    <row r="762" spans="1:9">
      <c r="A762" s="79">
        <v>454</v>
      </c>
      <c r="B762" s="79">
        <v>9</v>
      </c>
      <c r="C762" s="79">
        <v>463</v>
      </c>
      <c r="D762" s="80">
        <v>43321.729398148149</v>
      </c>
      <c r="E762" s="81">
        <f t="shared" ca="1" si="4"/>
        <v>43313</v>
      </c>
      <c r="F762" s="82">
        <f ca="1">IFERROR(__xludf.DUMMYFUNCTION("""COMPUTED_VALUE"""),0.729398148148148)</f>
        <v>0.72939814814814796</v>
      </c>
      <c r="G762" s="83">
        <f t="shared" ca="1" si="5"/>
        <v>19</v>
      </c>
      <c r="H762" s="83">
        <f ca="1">IFERROR(__xludf.DUMMYFUNCTION("""COMPUTED_VALUE"""),30)</f>
        <v>30</v>
      </c>
      <c r="I762" s="83">
        <f ca="1">IFERROR(__xludf.DUMMYFUNCTION("""COMPUTED_VALUE"""),20)</f>
        <v>20</v>
      </c>
    </row>
    <row r="763" spans="1:9">
      <c r="A763" s="79">
        <v>439</v>
      </c>
      <c r="B763" s="79">
        <v>7</v>
      </c>
      <c r="C763" s="79">
        <v>446</v>
      </c>
      <c r="D763" s="80">
        <v>43321.739814814813</v>
      </c>
      <c r="E763" s="81">
        <f t="shared" ca="1" si="4"/>
        <v>43313</v>
      </c>
      <c r="F763" s="82">
        <f ca="1">IFERROR(__xludf.DUMMYFUNCTION("""COMPUTED_VALUE"""),0.739814814814814)</f>
        <v>0.73981481481481404</v>
      </c>
      <c r="G763" s="83">
        <f t="shared" ca="1" si="5"/>
        <v>19</v>
      </c>
      <c r="H763" s="83">
        <f ca="1">IFERROR(__xludf.DUMMYFUNCTION("""COMPUTED_VALUE"""),45)</f>
        <v>45</v>
      </c>
      <c r="I763" s="83">
        <f ca="1">IFERROR(__xludf.DUMMYFUNCTION("""COMPUTED_VALUE"""),20)</f>
        <v>20</v>
      </c>
    </row>
    <row r="764" spans="1:9">
      <c r="A764" s="79">
        <v>377</v>
      </c>
      <c r="B764" s="79">
        <v>2</v>
      </c>
      <c r="C764" s="79">
        <v>379</v>
      </c>
      <c r="D764" s="80">
        <v>43321.750254629631</v>
      </c>
      <c r="E764" s="81">
        <f t="shared" ca="1" si="4"/>
        <v>43313</v>
      </c>
      <c r="F764" s="82">
        <f ca="1">IFERROR(__xludf.DUMMYFUNCTION("""COMPUTED_VALUE"""),0.750254629629629)</f>
        <v>0.75025462962962897</v>
      </c>
      <c r="G764" s="83">
        <f t="shared" ca="1" si="5"/>
        <v>19</v>
      </c>
      <c r="H764" s="83">
        <f ca="1">IFERROR(__xludf.DUMMYFUNCTION("""COMPUTED_VALUE"""),0)</f>
        <v>0</v>
      </c>
      <c r="I764" s="83">
        <f ca="1">IFERROR(__xludf.DUMMYFUNCTION("""COMPUTED_VALUE"""),22)</f>
        <v>22</v>
      </c>
    </row>
    <row r="765" spans="1:9">
      <c r="A765" s="79">
        <v>435</v>
      </c>
      <c r="B765" s="79">
        <v>1</v>
      </c>
      <c r="C765" s="79">
        <v>436</v>
      </c>
      <c r="D765" s="80">
        <v>43321.760659722226</v>
      </c>
      <c r="E765" s="81">
        <f t="shared" ca="1" si="4"/>
        <v>43313</v>
      </c>
      <c r="F765" s="82">
        <f ca="1">IFERROR(__xludf.DUMMYFUNCTION("""COMPUTED_VALUE"""),0.760659722222222)</f>
        <v>0.760659722222222</v>
      </c>
      <c r="G765" s="83">
        <f t="shared" ca="1" si="5"/>
        <v>19</v>
      </c>
      <c r="H765" s="83">
        <f ca="1">IFERROR(__xludf.DUMMYFUNCTION("""COMPUTED_VALUE"""),15)</f>
        <v>15</v>
      </c>
      <c r="I765" s="83">
        <f ca="1">IFERROR(__xludf.DUMMYFUNCTION("""COMPUTED_VALUE"""),21)</f>
        <v>21</v>
      </c>
    </row>
    <row r="766" spans="1:9">
      <c r="A766" s="79">
        <v>475</v>
      </c>
      <c r="B766" s="79">
        <v>3</v>
      </c>
      <c r="C766" s="79">
        <v>478</v>
      </c>
      <c r="D766" s="80">
        <v>43321.77107638889</v>
      </c>
      <c r="E766" s="81">
        <f t="shared" ca="1" si="4"/>
        <v>43313</v>
      </c>
      <c r="F766" s="82">
        <f ca="1">IFERROR(__xludf.DUMMYFUNCTION("""COMPUTED_VALUE"""),0.771076388888888)</f>
        <v>0.77107638888888796</v>
      </c>
      <c r="G766" s="83">
        <f t="shared" ca="1" si="5"/>
        <v>19</v>
      </c>
      <c r="H766" s="83">
        <f ca="1">IFERROR(__xludf.DUMMYFUNCTION("""COMPUTED_VALUE"""),30)</f>
        <v>30</v>
      </c>
      <c r="I766" s="83">
        <f ca="1">IFERROR(__xludf.DUMMYFUNCTION("""COMPUTED_VALUE"""),21)</f>
        <v>21</v>
      </c>
    </row>
    <row r="767" spans="1:9">
      <c r="A767" s="79">
        <v>401</v>
      </c>
      <c r="B767" s="79">
        <v>3</v>
      </c>
      <c r="C767" s="79">
        <v>403</v>
      </c>
      <c r="D767" s="80">
        <v>43321.781493055554</v>
      </c>
      <c r="E767" s="81">
        <f t="shared" ref="E767:E2834" ca="1" si="6">IFERROR(__xludf.DUMMYFUNCTION("SPLIT(D2, "" "")"),43313)</f>
        <v>43313</v>
      </c>
      <c r="F767" s="82">
        <f ca="1">IFERROR(__xludf.DUMMYFUNCTION("""COMPUTED_VALUE"""),0.781493055555555)</f>
        <v>0.78149305555555504</v>
      </c>
      <c r="G767" s="83">
        <f t="shared" ref="G767:G2834" ca="1" si="7">IFERROR(__xludf.DUMMYFUNCTION("SPLIT(F2, "":"")"),19)</f>
        <v>19</v>
      </c>
      <c r="H767" s="83">
        <f ca="1">IFERROR(__xludf.DUMMYFUNCTION("""COMPUTED_VALUE"""),45)</f>
        <v>45</v>
      </c>
      <c r="I767" s="83">
        <f ca="1">IFERROR(__xludf.DUMMYFUNCTION("""COMPUTED_VALUE"""),21)</f>
        <v>21</v>
      </c>
    </row>
    <row r="768" spans="1:9">
      <c r="A768" s="79">
        <v>230</v>
      </c>
      <c r="B768" s="79">
        <v>3</v>
      </c>
      <c r="C768" s="79">
        <v>233</v>
      </c>
      <c r="D768" s="80">
        <v>43321.791921296295</v>
      </c>
      <c r="E768" s="81">
        <f t="shared" ca="1" si="6"/>
        <v>43313</v>
      </c>
      <c r="F768" s="82">
        <f ca="1">IFERROR(__xludf.DUMMYFUNCTION("""COMPUTED_VALUE"""),0.791921296296296)</f>
        <v>0.79192129629629604</v>
      </c>
      <c r="G768" s="83">
        <f t="shared" ca="1" si="7"/>
        <v>19</v>
      </c>
      <c r="H768" s="83">
        <f ca="1">IFERROR(__xludf.DUMMYFUNCTION("""COMPUTED_VALUE"""),0)</f>
        <v>0</v>
      </c>
      <c r="I768" s="83">
        <f ca="1">IFERROR(__xludf.DUMMYFUNCTION("""COMPUTED_VALUE"""),22)</f>
        <v>22</v>
      </c>
    </row>
    <row r="769" spans="1:9">
      <c r="A769" s="79">
        <v>271</v>
      </c>
      <c r="B769" s="79">
        <v>2</v>
      </c>
      <c r="C769" s="79">
        <v>273</v>
      </c>
      <c r="D769" s="80">
        <v>43321.80232638889</v>
      </c>
      <c r="E769" s="81">
        <f t="shared" ca="1" si="6"/>
        <v>43313</v>
      </c>
      <c r="F769" s="82">
        <f ca="1">IFERROR(__xludf.DUMMYFUNCTION("""COMPUTED_VALUE"""),0.802326388888888)</f>
        <v>0.80232638888888796</v>
      </c>
      <c r="G769" s="83">
        <f t="shared" ca="1" si="7"/>
        <v>19</v>
      </c>
      <c r="H769" s="83">
        <f ca="1">IFERROR(__xludf.DUMMYFUNCTION("""COMPUTED_VALUE"""),15)</f>
        <v>15</v>
      </c>
      <c r="I769" s="83">
        <f ca="1">IFERROR(__xludf.DUMMYFUNCTION("""COMPUTED_VALUE"""),21)</f>
        <v>21</v>
      </c>
    </row>
    <row r="770" spans="1:9">
      <c r="A770" s="79">
        <v>269</v>
      </c>
      <c r="B770" s="79">
        <v>0</v>
      </c>
      <c r="C770" s="79">
        <v>269</v>
      </c>
      <c r="D770" s="80">
        <v>43321.812731481485</v>
      </c>
      <c r="E770" s="81">
        <f t="shared" ca="1" si="6"/>
        <v>43313</v>
      </c>
      <c r="F770" s="82">
        <f ca="1">IFERROR(__xludf.DUMMYFUNCTION("""COMPUTED_VALUE"""),0.812731481481481)</f>
        <v>0.812731481481481</v>
      </c>
      <c r="G770" s="83">
        <f t="shared" ca="1" si="7"/>
        <v>19</v>
      </c>
      <c r="H770" s="83">
        <f ca="1">IFERROR(__xludf.DUMMYFUNCTION("""COMPUTED_VALUE"""),30)</f>
        <v>30</v>
      </c>
      <c r="I770" s="83">
        <f ca="1">IFERROR(__xludf.DUMMYFUNCTION("""COMPUTED_VALUE"""),20)</f>
        <v>20</v>
      </c>
    </row>
    <row r="771" spans="1:9">
      <c r="A771" s="79">
        <v>364</v>
      </c>
      <c r="B771" s="79">
        <v>3</v>
      </c>
      <c r="C771" s="79">
        <v>367</v>
      </c>
      <c r="D771" s="80">
        <v>43321.823159722226</v>
      </c>
      <c r="E771" s="81">
        <f t="shared" ca="1" si="6"/>
        <v>43313</v>
      </c>
      <c r="F771" s="82">
        <f ca="1">IFERROR(__xludf.DUMMYFUNCTION("""COMPUTED_VALUE"""),0.823159722222222)</f>
        <v>0.823159722222222</v>
      </c>
      <c r="G771" s="83">
        <f t="shared" ca="1" si="7"/>
        <v>19</v>
      </c>
      <c r="H771" s="83">
        <f ca="1">IFERROR(__xludf.DUMMYFUNCTION("""COMPUTED_VALUE"""),45)</f>
        <v>45</v>
      </c>
      <c r="I771" s="83">
        <f ca="1">IFERROR(__xludf.DUMMYFUNCTION("""COMPUTED_VALUE"""),21)</f>
        <v>21</v>
      </c>
    </row>
    <row r="772" spans="1:9">
      <c r="A772" s="79">
        <v>387</v>
      </c>
      <c r="B772" s="79">
        <v>4</v>
      </c>
      <c r="C772" s="79">
        <v>391</v>
      </c>
      <c r="D772" s="80">
        <v>43321.833564814813</v>
      </c>
      <c r="E772" s="81">
        <f t="shared" ca="1" si="6"/>
        <v>43313</v>
      </c>
      <c r="F772" s="82">
        <f ca="1">IFERROR(__xludf.DUMMYFUNCTION("""COMPUTED_VALUE"""),0.833564814814814)</f>
        <v>0.83356481481481404</v>
      </c>
      <c r="G772" s="83">
        <f t="shared" ca="1" si="7"/>
        <v>19</v>
      </c>
      <c r="H772" s="83">
        <f ca="1">IFERROR(__xludf.DUMMYFUNCTION("""COMPUTED_VALUE"""),0)</f>
        <v>0</v>
      </c>
      <c r="I772" s="83">
        <f ca="1">IFERROR(__xludf.DUMMYFUNCTION("""COMPUTED_VALUE"""),20)</f>
        <v>20</v>
      </c>
    </row>
    <row r="773" spans="1:9">
      <c r="A773" s="79">
        <v>603</v>
      </c>
      <c r="B773" s="79">
        <v>12</v>
      </c>
      <c r="C773" s="79">
        <v>615</v>
      </c>
      <c r="D773" s="80">
        <v>43321.843993055554</v>
      </c>
      <c r="E773" s="81">
        <f t="shared" ca="1" si="6"/>
        <v>43313</v>
      </c>
      <c r="F773" s="82">
        <f ca="1">IFERROR(__xludf.DUMMYFUNCTION("""COMPUTED_VALUE"""),0.843993055555555)</f>
        <v>0.84399305555555504</v>
      </c>
      <c r="G773" s="83">
        <f t="shared" ca="1" si="7"/>
        <v>19</v>
      </c>
      <c r="H773" s="83">
        <f ca="1">IFERROR(__xludf.DUMMYFUNCTION("""COMPUTED_VALUE"""),15)</f>
        <v>15</v>
      </c>
      <c r="I773" s="83">
        <f ca="1">IFERROR(__xludf.DUMMYFUNCTION("""COMPUTED_VALUE"""),21)</f>
        <v>21</v>
      </c>
    </row>
    <row r="774" spans="1:9">
      <c r="A774" s="79">
        <v>560</v>
      </c>
      <c r="B774" s="79">
        <v>8</v>
      </c>
      <c r="C774" s="79">
        <v>568</v>
      </c>
      <c r="D774" s="80">
        <v>43321.854398148149</v>
      </c>
      <c r="E774" s="81">
        <f t="shared" ca="1" si="6"/>
        <v>43313</v>
      </c>
      <c r="F774" s="82">
        <f ca="1">IFERROR(__xludf.DUMMYFUNCTION("""COMPUTED_VALUE"""),0.854398148148148)</f>
        <v>0.85439814814814796</v>
      </c>
      <c r="G774" s="83">
        <f t="shared" ca="1" si="7"/>
        <v>19</v>
      </c>
      <c r="H774" s="83">
        <f ca="1">IFERROR(__xludf.DUMMYFUNCTION("""COMPUTED_VALUE"""),30)</f>
        <v>30</v>
      </c>
      <c r="I774" s="83">
        <f ca="1">IFERROR(__xludf.DUMMYFUNCTION("""COMPUTED_VALUE"""),20)</f>
        <v>20</v>
      </c>
    </row>
    <row r="775" spans="1:9">
      <c r="A775" s="79">
        <v>513</v>
      </c>
      <c r="B775" s="79">
        <v>4</v>
      </c>
      <c r="C775" s="79">
        <v>513</v>
      </c>
      <c r="D775" s="80">
        <v>43321.864814814813</v>
      </c>
      <c r="E775" s="81">
        <f t="shared" ca="1" si="6"/>
        <v>43313</v>
      </c>
      <c r="F775" s="82">
        <f ca="1">IFERROR(__xludf.DUMMYFUNCTION("""COMPUTED_VALUE"""),0.864814814814814)</f>
        <v>0.86481481481481404</v>
      </c>
      <c r="G775" s="83">
        <f t="shared" ca="1" si="7"/>
        <v>19</v>
      </c>
      <c r="H775" s="83">
        <f ca="1">IFERROR(__xludf.DUMMYFUNCTION("""COMPUTED_VALUE"""),45)</f>
        <v>45</v>
      </c>
      <c r="I775" s="83">
        <f ca="1">IFERROR(__xludf.DUMMYFUNCTION("""COMPUTED_VALUE"""),20)</f>
        <v>20</v>
      </c>
    </row>
    <row r="776" spans="1:9">
      <c r="A776" s="79">
        <v>532</v>
      </c>
      <c r="B776" s="79">
        <v>4</v>
      </c>
      <c r="C776" s="79">
        <v>536</v>
      </c>
      <c r="D776" s="80">
        <v>43321.875231481485</v>
      </c>
      <c r="E776" s="81">
        <f t="shared" ca="1" si="6"/>
        <v>43313</v>
      </c>
      <c r="F776" s="82">
        <f ca="1">IFERROR(__xludf.DUMMYFUNCTION("""COMPUTED_VALUE"""),0.875231481481481)</f>
        <v>0.875231481481481</v>
      </c>
      <c r="G776" s="83">
        <f t="shared" ca="1" si="7"/>
        <v>19</v>
      </c>
      <c r="H776" s="83">
        <f ca="1">IFERROR(__xludf.DUMMYFUNCTION("""COMPUTED_VALUE"""),0)</f>
        <v>0</v>
      </c>
      <c r="I776" s="83">
        <f ca="1">IFERROR(__xludf.DUMMYFUNCTION("""COMPUTED_VALUE"""),20)</f>
        <v>20</v>
      </c>
    </row>
    <row r="777" spans="1:9">
      <c r="A777" s="79">
        <v>567</v>
      </c>
      <c r="B777" s="79">
        <v>12</v>
      </c>
      <c r="C777" s="79">
        <v>579</v>
      </c>
      <c r="D777" s="80">
        <v>43321.885659722226</v>
      </c>
      <c r="E777" s="81">
        <f t="shared" ca="1" si="6"/>
        <v>43313</v>
      </c>
      <c r="F777" s="82">
        <f ca="1">IFERROR(__xludf.DUMMYFUNCTION("""COMPUTED_VALUE"""),0.885659722222222)</f>
        <v>0.885659722222222</v>
      </c>
      <c r="G777" s="83">
        <f t="shared" ca="1" si="7"/>
        <v>19</v>
      </c>
      <c r="H777" s="83">
        <f ca="1">IFERROR(__xludf.DUMMYFUNCTION("""COMPUTED_VALUE"""),15)</f>
        <v>15</v>
      </c>
      <c r="I777" s="83">
        <f ca="1">IFERROR(__xludf.DUMMYFUNCTION("""COMPUTED_VALUE"""),21)</f>
        <v>21</v>
      </c>
    </row>
    <row r="778" spans="1:9">
      <c r="A778" s="79">
        <v>506</v>
      </c>
      <c r="B778" s="79">
        <v>12</v>
      </c>
      <c r="C778" s="79">
        <v>518</v>
      </c>
      <c r="D778" s="80">
        <v>43321.896064814813</v>
      </c>
      <c r="E778" s="81">
        <f t="shared" ca="1" si="6"/>
        <v>43313</v>
      </c>
      <c r="F778" s="82">
        <f ca="1">IFERROR(__xludf.DUMMYFUNCTION("""COMPUTED_VALUE"""),0.896064814814814)</f>
        <v>0.89606481481481404</v>
      </c>
      <c r="G778" s="83">
        <f t="shared" ca="1" si="7"/>
        <v>19</v>
      </c>
      <c r="H778" s="83">
        <f ca="1">IFERROR(__xludf.DUMMYFUNCTION("""COMPUTED_VALUE"""),30)</f>
        <v>30</v>
      </c>
      <c r="I778" s="83">
        <f ca="1">IFERROR(__xludf.DUMMYFUNCTION("""COMPUTED_VALUE"""),20)</f>
        <v>20</v>
      </c>
    </row>
    <row r="779" spans="1:9">
      <c r="A779" s="79">
        <v>547</v>
      </c>
      <c r="B779" s="79">
        <v>8</v>
      </c>
      <c r="C779" s="79">
        <v>555</v>
      </c>
      <c r="D779" s="80">
        <v>43321.906493055554</v>
      </c>
      <c r="E779" s="81">
        <f t="shared" ca="1" si="6"/>
        <v>43313</v>
      </c>
      <c r="F779" s="82">
        <f ca="1">IFERROR(__xludf.DUMMYFUNCTION("""COMPUTED_VALUE"""),0.906493055555555)</f>
        <v>0.90649305555555504</v>
      </c>
      <c r="G779" s="83">
        <f t="shared" ca="1" si="7"/>
        <v>19</v>
      </c>
      <c r="H779" s="83">
        <f ca="1">IFERROR(__xludf.DUMMYFUNCTION("""COMPUTED_VALUE"""),45)</f>
        <v>45</v>
      </c>
      <c r="I779" s="83">
        <f ca="1">IFERROR(__xludf.DUMMYFUNCTION("""COMPUTED_VALUE"""),21)</f>
        <v>21</v>
      </c>
    </row>
    <row r="780" spans="1:9">
      <c r="A780" s="79">
        <v>494</v>
      </c>
      <c r="B780" s="79">
        <v>5</v>
      </c>
      <c r="C780" s="79">
        <v>499</v>
      </c>
      <c r="D780" s="80">
        <v>43321.916898148149</v>
      </c>
      <c r="E780" s="81">
        <f t="shared" ca="1" si="6"/>
        <v>43313</v>
      </c>
      <c r="F780" s="82">
        <f ca="1">IFERROR(__xludf.DUMMYFUNCTION("""COMPUTED_VALUE"""),0.916898148148148)</f>
        <v>0.91689814814814796</v>
      </c>
      <c r="G780" s="83">
        <f t="shared" ca="1" si="7"/>
        <v>19</v>
      </c>
      <c r="H780" s="83">
        <f ca="1">IFERROR(__xludf.DUMMYFUNCTION("""COMPUTED_VALUE"""),0)</f>
        <v>0</v>
      </c>
      <c r="I780" s="83">
        <f ca="1">IFERROR(__xludf.DUMMYFUNCTION("""COMPUTED_VALUE"""),20)</f>
        <v>20</v>
      </c>
    </row>
    <row r="781" spans="1:9">
      <c r="A781" s="79">
        <v>543</v>
      </c>
      <c r="B781" s="79">
        <v>8</v>
      </c>
      <c r="C781" s="79">
        <v>551</v>
      </c>
      <c r="D781" s="80">
        <v>43321.927314814813</v>
      </c>
      <c r="E781" s="81">
        <f t="shared" ca="1" si="6"/>
        <v>43313</v>
      </c>
      <c r="F781" s="82">
        <f ca="1">IFERROR(__xludf.DUMMYFUNCTION("""COMPUTED_VALUE"""),0.927314814814814)</f>
        <v>0.92731481481481404</v>
      </c>
      <c r="G781" s="83">
        <f t="shared" ca="1" si="7"/>
        <v>19</v>
      </c>
      <c r="H781" s="83">
        <f ca="1">IFERROR(__xludf.DUMMYFUNCTION("""COMPUTED_VALUE"""),15)</f>
        <v>15</v>
      </c>
      <c r="I781" s="83">
        <f ca="1">IFERROR(__xludf.DUMMYFUNCTION("""COMPUTED_VALUE"""),20)</f>
        <v>20</v>
      </c>
    </row>
    <row r="782" spans="1:9">
      <c r="A782" s="79">
        <v>483</v>
      </c>
      <c r="B782" s="79">
        <v>7</v>
      </c>
      <c r="C782" s="79">
        <v>490</v>
      </c>
      <c r="D782" s="80">
        <v>43321.937731481485</v>
      </c>
      <c r="E782" s="81">
        <f t="shared" ca="1" si="6"/>
        <v>43313</v>
      </c>
      <c r="F782" s="82">
        <f ca="1">IFERROR(__xludf.DUMMYFUNCTION("""COMPUTED_VALUE"""),0.937731481481481)</f>
        <v>0.937731481481481</v>
      </c>
      <c r="G782" s="83">
        <f t="shared" ca="1" si="7"/>
        <v>19</v>
      </c>
      <c r="H782" s="83">
        <f ca="1">IFERROR(__xludf.DUMMYFUNCTION("""COMPUTED_VALUE"""),30)</f>
        <v>30</v>
      </c>
      <c r="I782" s="83">
        <f ca="1">IFERROR(__xludf.DUMMYFUNCTION("""COMPUTED_VALUE"""),20)</f>
        <v>20</v>
      </c>
    </row>
    <row r="783" spans="1:9">
      <c r="A783" s="79">
        <v>476</v>
      </c>
      <c r="B783" s="79">
        <v>7</v>
      </c>
      <c r="C783" s="79">
        <v>483</v>
      </c>
      <c r="D783" s="80">
        <v>43321.948148148149</v>
      </c>
      <c r="E783" s="81">
        <f t="shared" ca="1" si="6"/>
        <v>43313</v>
      </c>
      <c r="F783" s="82">
        <f ca="1">IFERROR(__xludf.DUMMYFUNCTION("""COMPUTED_VALUE"""),0.948148148148148)</f>
        <v>0.94814814814814796</v>
      </c>
      <c r="G783" s="83">
        <f t="shared" ca="1" si="7"/>
        <v>19</v>
      </c>
      <c r="H783" s="83">
        <f ca="1">IFERROR(__xludf.DUMMYFUNCTION("""COMPUTED_VALUE"""),45)</f>
        <v>45</v>
      </c>
      <c r="I783" s="83">
        <f ca="1">IFERROR(__xludf.DUMMYFUNCTION("""COMPUTED_VALUE"""),20)</f>
        <v>20</v>
      </c>
    </row>
    <row r="784" spans="1:9">
      <c r="A784" s="79">
        <v>395</v>
      </c>
      <c r="B784" s="79">
        <v>7</v>
      </c>
      <c r="C784" s="79">
        <v>402</v>
      </c>
      <c r="D784" s="80">
        <v>43321.958622685182</v>
      </c>
      <c r="E784" s="81">
        <f t="shared" ca="1" si="6"/>
        <v>43313</v>
      </c>
      <c r="F784" s="82">
        <f ca="1">IFERROR(__xludf.DUMMYFUNCTION("""COMPUTED_VALUE"""),0.958622685185185)</f>
        <v>0.95862268518518501</v>
      </c>
      <c r="G784" s="83">
        <f t="shared" ca="1" si="7"/>
        <v>19</v>
      </c>
      <c r="H784" s="83">
        <f ca="1">IFERROR(__xludf.DUMMYFUNCTION("""COMPUTED_VALUE"""),0)</f>
        <v>0</v>
      </c>
      <c r="I784" s="83">
        <f ca="1">IFERROR(__xludf.DUMMYFUNCTION("""COMPUTED_VALUE"""),25)</f>
        <v>25</v>
      </c>
    </row>
    <row r="785" spans="1:9">
      <c r="A785" s="79">
        <v>424</v>
      </c>
      <c r="B785" s="79">
        <v>5</v>
      </c>
      <c r="C785" s="79">
        <v>429</v>
      </c>
      <c r="D785" s="80">
        <v>43321.968981481485</v>
      </c>
      <c r="E785" s="81">
        <f t="shared" ca="1" si="6"/>
        <v>43313</v>
      </c>
      <c r="F785" s="82">
        <f ca="1">IFERROR(__xludf.DUMMYFUNCTION("""COMPUTED_VALUE"""),0.968981481481481)</f>
        <v>0.968981481481481</v>
      </c>
      <c r="G785" s="83">
        <f t="shared" ca="1" si="7"/>
        <v>19</v>
      </c>
      <c r="H785" s="83">
        <f ca="1">IFERROR(__xludf.DUMMYFUNCTION("""COMPUTED_VALUE"""),15)</f>
        <v>15</v>
      </c>
      <c r="I785" s="83">
        <f ca="1">IFERROR(__xludf.DUMMYFUNCTION("""COMPUTED_VALUE"""),20)</f>
        <v>20</v>
      </c>
    </row>
    <row r="786" spans="1:9">
      <c r="A786" s="79">
        <v>391</v>
      </c>
      <c r="B786" s="79">
        <v>5</v>
      </c>
      <c r="C786" s="79">
        <v>396</v>
      </c>
      <c r="D786" s="80">
        <v>43321.979409722226</v>
      </c>
      <c r="E786" s="81">
        <f t="shared" ca="1" si="6"/>
        <v>43313</v>
      </c>
      <c r="F786" s="82">
        <f ca="1">IFERROR(__xludf.DUMMYFUNCTION("""COMPUTED_VALUE"""),0.979409722222222)</f>
        <v>0.979409722222222</v>
      </c>
      <c r="G786" s="83">
        <f t="shared" ca="1" si="7"/>
        <v>19</v>
      </c>
      <c r="H786" s="83">
        <f ca="1">IFERROR(__xludf.DUMMYFUNCTION("""COMPUTED_VALUE"""),30)</f>
        <v>30</v>
      </c>
      <c r="I786" s="83">
        <f ca="1">IFERROR(__xludf.DUMMYFUNCTION("""COMPUTED_VALUE"""),21)</f>
        <v>21</v>
      </c>
    </row>
    <row r="787" spans="1:9">
      <c r="A787" s="79">
        <v>328</v>
      </c>
      <c r="B787" s="79">
        <v>7</v>
      </c>
      <c r="C787" s="79">
        <v>335</v>
      </c>
      <c r="D787" s="80">
        <v>43321.989814814813</v>
      </c>
      <c r="E787" s="81">
        <f t="shared" ca="1" si="6"/>
        <v>43313</v>
      </c>
      <c r="F787" s="82">
        <f ca="1">IFERROR(__xludf.DUMMYFUNCTION("""COMPUTED_VALUE"""),0.989814814814814)</f>
        <v>0.98981481481481404</v>
      </c>
      <c r="G787" s="83">
        <f t="shared" ca="1" si="7"/>
        <v>19</v>
      </c>
      <c r="H787" s="83">
        <f ca="1">IFERROR(__xludf.DUMMYFUNCTION("""COMPUTED_VALUE"""),45)</f>
        <v>45</v>
      </c>
      <c r="I787" s="83">
        <f ca="1">IFERROR(__xludf.DUMMYFUNCTION("""COMPUTED_VALUE"""),20)</f>
        <v>20</v>
      </c>
    </row>
    <row r="788" spans="1:9">
      <c r="A788" s="79">
        <v>304</v>
      </c>
      <c r="B788" s="79">
        <v>6</v>
      </c>
      <c r="C788" s="79">
        <v>310</v>
      </c>
      <c r="D788" s="80">
        <v>43322.000289351854</v>
      </c>
      <c r="E788" s="81">
        <f t="shared" ca="1" si="6"/>
        <v>43313</v>
      </c>
      <c r="F788" s="82">
        <f ca="1">IFERROR(__xludf.DUMMYFUNCTION("""COMPUTED_VALUE"""),0.000289351851851851)</f>
        <v>2.8935185185185102E-4</v>
      </c>
      <c r="G788" s="83">
        <f t="shared" ca="1" si="7"/>
        <v>19</v>
      </c>
      <c r="H788" s="83">
        <f ca="1">IFERROR(__xludf.DUMMYFUNCTION("""COMPUTED_VALUE"""),0)</f>
        <v>0</v>
      </c>
      <c r="I788" s="83">
        <f ca="1">IFERROR(__xludf.DUMMYFUNCTION("""COMPUTED_VALUE"""),25)</f>
        <v>25</v>
      </c>
    </row>
    <row r="789" spans="1:9">
      <c r="A789" s="79">
        <v>287</v>
      </c>
      <c r="B789" s="79">
        <v>4</v>
      </c>
      <c r="C789" s="79">
        <v>291</v>
      </c>
      <c r="D789" s="80">
        <v>43322.010648148149</v>
      </c>
      <c r="E789" s="81">
        <f t="shared" ca="1" si="6"/>
        <v>43313</v>
      </c>
      <c r="F789" s="82">
        <f ca="1">IFERROR(__xludf.DUMMYFUNCTION("""COMPUTED_VALUE"""),0.0106481481481481)</f>
        <v>1.0648148148148099E-2</v>
      </c>
      <c r="G789" s="83">
        <f t="shared" ca="1" si="7"/>
        <v>19</v>
      </c>
      <c r="H789" s="83">
        <f ca="1">IFERROR(__xludf.DUMMYFUNCTION("""COMPUTED_VALUE"""),15)</f>
        <v>15</v>
      </c>
      <c r="I789" s="83">
        <f ca="1">IFERROR(__xludf.DUMMYFUNCTION("""COMPUTED_VALUE"""),20)</f>
        <v>20</v>
      </c>
    </row>
    <row r="790" spans="1:9">
      <c r="A790" s="79">
        <v>251</v>
      </c>
      <c r="B790" s="79">
        <v>1</v>
      </c>
      <c r="C790" s="79">
        <v>252</v>
      </c>
      <c r="D790" s="80">
        <v>43322.021064814813</v>
      </c>
      <c r="E790" s="81">
        <f t="shared" ca="1" si="6"/>
        <v>43313</v>
      </c>
      <c r="F790" s="82">
        <f ca="1">IFERROR(__xludf.DUMMYFUNCTION("""COMPUTED_VALUE"""),0.0210648148148148)</f>
        <v>2.10648148148148E-2</v>
      </c>
      <c r="G790" s="83">
        <f t="shared" ca="1" si="7"/>
        <v>19</v>
      </c>
      <c r="H790" s="83">
        <f ca="1">IFERROR(__xludf.DUMMYFUNCTION("""COMPUTED_VALUE"""),30)</f>
        <v>30</v>
      </c>
      <c r="I790" s="83">
        <f ca="1">IFERROR(__xludf.DUMMYFUNCTION("""COMPUTED_VALUE"""),20)</f>
        <v>20</v>
      </c>
    </row>
    <row r="791" spans="1:9">
      <c r="A791" s="79">
        <v>251</v>
      </c>
      <c r="B791" s="79">
        <v>3</v>
      </c>
      <c r="C791" s="79">
        <v>254</v>
      </c>
      <c r="D791" s="80">
        <v>43322.031481481485</v>
      </c>
      <c r="E791" s="81">
        <f t="shared" ca="1" si="6"/>
        <v>43313</v>
      </c>
      <c r="F791" s="82">
        <f ca="1">IFERROR(__xludf.DUMMYFUNCTION("""COMPUTED_VALUE"""),0.0314814814814814)</f>
        <v>3.1481481481481402E-2</v>
      </c>
      <c r="G791" s="83">
        <f t="shared" ca="1" si="7"/>
        <v>19</v>
      </c>
      <c r="H791" s="83">
        <f ca="1">IFERROR(__xludf.DUMMYFUNCTION("""COMPUTED_VALUE"""),45)</f>
        <v>45</v>
      </c>
      <c r="I791" s="83">
        <f ca="1">IFERROR(__xludf.DUMMYFUNCTION("""COMPUTED_VALUE"""),20)</f>
        <v>20</v>
      </c>
    </row>
    <row r="792" spans="1:9">
      <c r="A792" s="79">
        <v>210</v>
      </c>
      <c r="B792" s="79">
        <v>1</v>
      </c>
      <c r="C792" s="79">
        <v>211</v>
      </c>
      <c r="D792" s="80">
        <v>43322.041932870372</v>
      </c>
      <c r="E792" s="81">
        <f t="shared" ca="1" si="6"/>
        <v>43313</v>
      </c>
      <c r="F792" s="82">
        <f ca="1">IFERROR(__xludf.DUMMYFUNCTION("""COMPUTED_VALUE"""),0.0419328703703703)</f>
        <v>4.1932870370370301E-2</v>
      </c>
      <c r="G792" s="83">
        <f t="shared" ca="1" si="7"/>
        <v>19</v>
      </c>
      <c r="H792" s="83">
        <f ca="1">IFERROR(__xludf.DUMMYFUNCTION("""COMPUTED_VALUE"""),0)</f>
        <v>0</v>
      </c>
      <c r="I792" s="83">
        <f ca="1">IFERROR(__xludf.DUMMYFUNCTION("""COMPUTED_VALUE"""),23)</f>
        <v>23</v>
      </c>
    </row>
    <row r="793" spans="1:9">
      <c r="A793" s="79">
        <v>259</v>
      </c>
      <c r="B793" s="79">
        <v>5</v>
      </c>
      <c r="C793" s="79">
        <v>264</v>
      </c>
      <c r="D793" s="80">
        <v>43322.052314814813</v>
      </c>
      <c r="E793" s="81">
        <f t="shared" ca="1" si="6"/>
        <v>43313</v>
      </c>
      <c r="F793" s="82">
        <f ca="1">IFERROR(__xludf.DUMMYFUNCTION("""COMPUTED_VALUE"""),0.0523148148148148)</f>
        <v>5.23148148148148E-2</v>
      </c>
      <c r="G793" s="83">
        <f t="shared" ca="1" si="7"/>
        <v>19</v>
      </c>
      <c r="H793" s="83">
        <f ca="1">IFERROR(__xludf.DUMMYFUNCTION("""COMPUTED_VALUE"""),15)</f>
        <v>15</v>
      </c>
      <c r="I793" s="83">
        <f ca="1">IFERROR(__xludf.DUMMYFUNCTION("""COMPUTED_VALUE"""),20)</f>
        <v>20</v>
      </c>
    </row>
    <row r="794" spans="1:9">
      <c r="A794" s="79">
        <v>264</v>
      </c>
      <c r="B794" s="79">
        <v>2</v>
      </c>
      <c r="C794" s="79">
        <v>266</v>
      </c>
      <c r="D794" s="80">
        <v>43322.062731481485</v>
      </c>
      <c r="E794" s="81">
        <f t="shared" ca="1" si="6"/>
        <v>43313</v>
      </c>
      <c r="F794" s="82">
        <f ca="1">IFERROR(__xludf.DUMMYFUNCTION("""COMPUTED_VALUE"""),0.0627314814814814)</f>
        <v>6.2731481481481402E-2</v>
      </c>
      <c r="G794" s="83">
        <f t="shared" ca="1" si="7"/>
        <v>19</v>
      </c>
      <c r="H794" s="83">
        <f ca="1">IFERROR(__xludf.DUMMYFUNCTION("""COMPUTED_VALUE"""),30)</f>
        <v>30</v>
      </c>
      <c r="I794" s="83">
        <f ca="1">IFERROR(__xludf.DUMMYFUNCTION("""COMPUTED_VALUE"""),20)</f>
        <v>20</v>
      </c>
    </row>
    <row r="795" spans="1:9">
      <c r="A795" s="79">
        <v>251</v>
      </c>
      <c r="B795" s="79">
        <v>2</v>
      </c>
      <c r="C795" s="79">
        <v>250</v>
      </c>
      <c r="D795" s="80">
        <v>43322.073148148149</v>
      </c>
      <c r="E795" s="81">
        <f t="shared" ca="1" si="6"/>
        <v>43313</v>
      </c>
      <c r="F795" s="82">
        <f ca="1">IFERROR(__xludf.DUMMYFUNCTION("""COMPUTED_VALUE"""),0.0731481481481481)</f>
        <v>7.3148148148148101E-2</v>
      </c>
      <c r="G795" s="83">
        <f t="shared" ca="1" si="7"/>
        <v>19</v>
      </c>
      <c r="H795" s="83">
        <f ca="1">IFERROR(__xludf.DUMMYFUNCTION("""COMPUTED_VALUE"""),45)</f>
        <v>45</v>
      </c>
      <c r="I795" s="83">
        <f ca="1">IFERROR(__xludf.DUMMYFUNCTION("""COMPUTED_VALUE"""),20)</f>
        <v>20</v>
      </c>
    </row>
    <row r="796" spans="1:9">
      <c r="A796" s="79">
        <v>231</v>
      </c>
      <c r="B796" s="79">
        <v>2</v>
      </c>
      <c r="C796" s="79">
        <v>233</v>
      </c>
      <c r="D796" s="80">
        <v>43322.083564814813</v>
      </c>
      <c r="E796" s="81">
        <f t="shared" ca="1" si="6"/>
        <v>43313</v>
      </c>
      <c r="F796" s="82">
        <f ca="1">IFERROR(__xludf.DUMMYFUNCTION("""COMPUTED_VALUE"""),0.0835648148148148)</f>
        <v>8.35648148148148E-2</v>
      </c>
      <c r="G796" s="83">
        <f t="shared" ca="1" si="7"/>
        <v>19</v>
      </c>
      <c r="H796" s="83">
        <f ca="1">IFERROR(__xludf.DUMMYFUNCTION("""COMPUTED_VALUE"""),0)</f>
        <v>0</v>
      </c>
      <c r="I796" s="83">
        <f ca="1">IFERROR(__xludf.DUMMYFUNCTION("""COMPUTED_VALUE"""),20)</f>
        <v>20</v>
      </c>
    </row>
    <row r="797" spans="1:9">
      <c r="A797" s="79">
        <v>236</v>
      </c>
      <c r="B797" s="79">
        <v>3</v>
      </c>
      <c r="C797" s="79">
        <v>239</v>
      </c>
      <c r="D797" s="80">
        <v>43322.093981481485</v>
      </c>
      <c r="E797" s="81">
        <f t="shared" ca="1" si="6"/>
        <v>43313</v>
      </c>
      <c r="F797" s="82">
        <f ca="1">IFERROR(__xludf.DUMMYFUNCTION("""COMPUTED_VALUE"""),0.0939814814814814)</f>
        <v>9.3981481481481402E-2</v>
      </c>
      <c r="G797" s="83">
        <f t="shared" ca="1" si="7"/>
        <v>19</v>
      </c>
      <c r="H797" s="83">
        <f ca="1">IFERROR(__xludf.DUMMYFUNCTION("""COMPUTED_VALUE"""),15)</f>
        <v>15</v>
      </c>
      <c r="I797" s="83">
        <f ca="1">IFERROR(__xludf.DUMMYFUNCTION("""COMPUTED_VALUE"""),20)</f>
        <v>20</v>
      </c>
    </row>
    <row r="798" spans="1:9">
      <c r="A798" s="79">
        <v>203</v>
      </c>
      <c r="B798" s="79">
        <v>5</v>
      </c>
      <c r="C798" s="79">
        <v>208</v>
      </c>
      <c r="D798" s="80">
        <v>43322.104398148149</v>
      </c>
      <c r="E798" s="81">
        <f t="shared" ca="1" si="6"/>
        <v>43313</v>
      </c>
      <c r="F798" s="82">
        <f ca="1">IFERROR(__xludf.DUMMYFUNCTION("""COMPUTED_VALUE"""),0.104398148148148)</f>
        <v>0.104398148148148</v>
      </c>
      <c r="G798" s="83">
        <f t="shared" ca="1" si="7"/>
        <v>19</v>
      </c>
      <c r="H798" s="83">
        <f ca="1">IFERROR(__xludf.DUMMYFUNCTION("""COMPUTED_VALUE"""),30)</f>
        <v>30</v>
      </c>
      <c r="I798" s="83">
        <f ca="1">IFERROR(__xludf.DUMMYFUNCTION("""COMPUTED_VALUE"""),20)</f>
        <v>20</v>
      </c>
    </row>
    <row r="799" spans="1:9">
      <c r="A799" s="79">
        <v>178</v>
      </c>
      <c r="B799" s="79">
        <v>7</v>
      </c>
      <c r="C799" s="79">
        <v>185</v>
      </c>
      <c r="D799" s="80">
        <v>43322.114803240744</v>
      </c>
      <c r="E799" s="81">
        <f t="shared" ca="1" si="6"/>
        <v>43313</v>
      </c>
      <c r="F799" s="82">
        <f ca="1">IFERROR(__xludf.DUMMYFUNCTION("""COMPUTED_VALUE"""),0.11480324074074)</f>
        <v>0.11480324074074</v>
      </c>
      <c r="G799" s="83">
        <f t="shared" ca="1" si="7"/>
        <v>19</v>
      </c>
      <c r="H799" s="83">
        <f ca="1">IFERROR(__xludf.DUMMYFUNCTION("""COMPUTED_VALUE"""),45)</f>
        <v>45</v>
      </c>
      <c r="I799" s="83">
        <f ca="1">IFERROR(__xludf.DUMMYFUNCTION("""COMPUTED_VALUE"""),19)</f>
        <v>19</v>
      </c>
    </row>
    <row r="800" spans="1:9">
      <c r="A800" s="79">
        <v>176</v>
      </c>
      <c r="B800" s="79">
        <v>2</v>
      </c>
      <c r="C800" s="79">
        <v>178</v>
      </c>
      <c r="D800" s="80">
        <v>43322.125231481485</v>
      </c>
      <c r="E800" s="81">
        <f t="shared" ca="1" si="6"/>
        <v>43313</v>
      </c>
      <c r="F800" s="82">
        <f ca="1">IFERROR(__xludf.DUMMYFUNCTION("""COMPUTED_VALUE"""),0.125231481481481)</f>
        <v>0.125231481481481</v>
      </c>
      <c r="G800" s="83">
        <f t="shared" ca="1" si="7"/>
        <v>19</v>
      </c>
      <c r="H800" s="83">
        <f ca="1">IFERROR(__xludf.DUMMYFUNCTION("""COMPUTED_VALUE"""),0)</f>
        <v>0</v>
      </c>
      <c r="I800" s="83">
        <f ca="1">IFERROR(__xludf.DUMMYFUNCTION("""COMPUTED_VALUE"""),20)</f>
        <v>20</v>
      </c>
    </row>
    <row r="801" spans="1:9">
      <c r="A801" s="79">
        <v>154</v>
      </c>
      <c r="B801" s="79">
        <v>4</v>
      </c>
      <c r="C801" s="79">
        <v>158</v>
      </c>
      <c r="D801" s="80">
        <v>43322.135648148149</v>
      </c>
      <c r="E801" s="81">
        <f t="shared" ca="1" si="6"/>
        <v>43313</v>
      </c>
      <c r="F801" s="82">
        <f ca="1">IFERROR(__xludf.DUMMYFUNCTION("""COMPUTED_VALUE"""),0.135648148148148)</f>
        <v>0.13564814814814799</v>
      </c>
      <c r="G801" s="83">
        <f t="shared" ca="1" si="7"/>
        <v>19</v>
      </c>
      <c r="H801" s="83">
        <f ca="1">IFERROR(__xludf.DUMMYFUNCTION("""COMPUTED_VALUE"""),15)</f>
        <v>15</v>
      </c>
      <c r="I801" s="83">
        <f ca="1">IFERROR(__xludf.DUMMYFUNCTION("""COMPUTED_VALUE"""),20)</f>
        <v>20</v>
      </c>
    </row>
    <row r="802" spans="1:9">
      <c r="A802" s="79">
        <v>145</v>
      </c>
      <c r="B802" s="79">
        <v>4</v>
      </c>
      <c r="C802" s="79">
        <v>149</v>
      </c>
      <c r="D802" s="80">
        <v>43322.14607638889</v>
      </c>
      <c r="E802" s="81">
        <f t="shared" ca="1" si="6"/>
        <v>43313</v>
      </c>
      <c r="F802" s="82">
        <f ca="1">IFERROR(__xludf.DUMMYFUNCTION("""COMPUTED_VALUE"""),0.146076388888888)</f>
        <v>0.14607638888888799</v>
      </c>
      <c r="G802" s="83">
        <f t="shared" ca="1" si="7"/>
        <v>19</v>
      </c>
      <c r="H802" s="83">
        <f ca="1">IFERROR(__xludf.DUMMYFUNCTION("""COMPUTED_VALUE"""),30)</f>
        <v>30</v>
      </c>
      <c r="I802" s="83">
        <f ca="1">IFERROR(__xludf.DUMMYFUNCTION("""COMPUTED_VALUE"""),21)</f>
        <v>21</v>
      </c>
    </row>
    <row r="803" spans="1:9">
      <c r="A803" s="79">
        <v>117</v>
      </c>
      <c r="B803" s="79">
        <v>4</v>
      </c>
      <c r="C803" s="79">
        <v>114</v>
      </c>
      <c r="D803" s="80">
        <v>43322.156736111108</v>
      </c>
      <c r="E803" s="81">
        <f t="shared" ca="1" si="6"/>
        <v>43313</v>
      </c>
      <c r="F803" s="82">
        <f ca="1">IFERROR(__xludf.DUMMYFUNCTION("""COMPUTED_VALUE"""),0.156736111111111)</f>
        <v>0.15673611111111099</v>
      </c>
      <c r="G803" s="83">
        <f t="shared" ca="1" si="7"/>
        <v>19</v>
      </c>
      <c r="H803" s="83">
        <f ca="1">IFERROR(__xludf.DUMMYFUNCTION("""COMPUTED_VALUE"""),45)</f>
        <v>45</v>
      </c>
      <c r="I803" s="83">
        <f ca="1">IFERROR(__xludf.DUMMYFUNCTION("""COMPUTED_VALUE"""),42)</f>
        <v>42</v>
      </c>
    </row>
    <row r="804" spans="1:9">
      <c r="A804" s="79">
        <v>98</v>
      </c>
      <c r="B804" s="79">
        <v>3</v>
      </c>
      <c r="C804" s="79">
        <v>99</v>
      </c>
      <c r="D804" s="80">
        <v>43322.166886574072</v>
      </c>
      <c r="E804" s="81">
        <f t="shared" ca="1" si="6"/>
        <v>43313</v>
      </c>
      <c r="F804" s="82">
        <f ca="1">IFERROR(__xludf.DUMMYFUNCTION("""COMPUTED_VALUE"""),0.166886574074074)</f>
        <v>0.16688657407407401</v>
      </c>
      <c r="G804" s="83">
        <f t="shared" ca="1" si="7"/>
        <v>19</v>
      </c>
      <c r="H804" s="83">
        <f ca="1">IFERROR(__xludf.DUMMYFUNCTION("""COMPUTED_VALUE"""),0)</f>
        <v>0</v>
      </c>
      <c r="I804" s="83">
        <f ca="1">IFERROR(__xludf.DUMMYFUNCTION("""COMPUTED_VALUE"""),19)</f>
        <v>19</v>
      </c>
    </row>
    <row r="805" spans="1:9">
      <c r="A805" s="79">
        <v>67</v>
      </c>
      <c r="B805" s="79">
        <v>1</v>
      </c>
      <c r="C805" s="79">
        <v>68</v>
      </c>
      <c r="D805" s="80">
        <v>43322.177314814813</v>
      </c>
      <c r="E805" s="81">
        <f t="shared" ca="1" si="6"/>
        <v>43313</v>
      </c>
      <c r="F805" s="82">
        <f ca="1">IFERROR(__xludf.DUMMYFUNCTION("""COMPUTED_VALUE"""),0.177314814814814)</f>
        <v>0.17731481481481401</v>
      </c>
      <c r="G805" s="83">
        <f t="shared" ca="1" si="7"/>
        <v>19</v>
      </c>
      <c r="H805" s="83">
        <f ca="1">IFERROR(__xludf.DUMMYFUNCTION("""COMPUTED_VALUE"""),15)</f>
        <v>15</v>
      </c>
      <c r="I805" s="83">
        <f ca="1">IFERROR(__xludf.DUMMYFUNCTION("""COMPUTED_VALUE"""),20)</f>
        <v>20</v>
      </c>
    </row>
    <row r="806" spans="1:9">
      <c r="A806" s="79">
        <v>57</v>
      </c>
      <c r="B806" s="79">
        <v>2</v>
      </c>
      <c r="C806" s="79">
        <v>59</v>
      </c>
      <c r="D806" s="80">
        <v>43322.198148148149</v>
      </c>
      <c r="E806" s="81">
        <f t="shared" ca="1" si="6"/>
        <v>43313</v>
      </c>
      <c r="F806" s="82">
        <f ca="1">IFERROR(__xludf.DUMMYFUNCTION("""COMPUTED_VALUE"""),0.198148148148148)</f>
        <v>0.19814814814814799</v>
      </c>
      <c r="G806" s="83">
        <f t="shared" ca="1" si="7"/>
        <v>19</v>
      </c>
      <c r="H806" s="83">
        <f ca="1">IFERROR(__xludf.DUMMYFUNCTION("""COMPUTED_VALUE"""),45)</f>
        <v>45</v>
      </c>
      <c r="I806" s="83">
        <f ca="1">IFERROR(__xludf.DUMMYFUNCTION("""COMPUTED_VALUE"""),20)</f>
        <v>20</v>
      </c>
    </row>
    <row r="807" spans="1:9">
      <c r="A807" s="79">
        <v>72</v>
      </c>
      <c r="B807" s="79">
        <v>0</v>
      </c>
      <c r="C807" s="79">
        <v>66</v>
      </c>
      <c r="D807" s="80">
        <v>43322.208564814813</v>
      </c>
      <c r="E807" s="81">
        <f t="shared" ca="1" si="6"/>
        <v>43313</v>
      </c>
      <c r="F807" s="82">
        <f ca="1">IFERROR(__xludf.DUMMYFUNCTION("""COMPUTED_VALUE"""),0.208564814814814)</f>
        <v>0.20856481481481401</v>
      </c>
      <c r="G807" s="83">
        <f t="shared" ca="1" si="7"/>
        <v>19</v>
      </c>
      <c r="H807" s="83">
        <f ca="1">IFERROR(__xludf.DUMMYFUNCTION("""COMPUTED_VALUE"""),0)</f>
        <v>0</v>
      </c>
      <c r="I807" s="83">
        <f ca="1">IFERROR(__xludf.DUMMYFUNCTION("""COMPUTED_VALUE"""),20)</f>
        <v>20</v>
      </c>
    </row>
    <row r="808" spans="1:9">
      <c r="A808" s="79">
        <v>36</v>
      </c>
      <c r="B808" s="79">
        <v>0</v>
      </c>
      <c r="C808" s="79">
        <v>29</v>
      </c>
      <c r="D808" s="80">
        <v>43322.218969907408</v>
      </c>
      <c r="E808" s="81">
        <f t="shared" ca="1" si="6"/>
        <v>43313</v>
      </c>
      <c r="F808" s="82">
        <f ca="1">IFERROR(__xludf.DUMMYFUNCTION("""COMPUTED_VALUE"""),0.218969907407407)</f>
        <v>0.21896990740740699</v>
      </c>
      <c r="G808" s="83">
        <f t="shared" ca="1" si="7"/>
        <v>19</v>
      </c>
      <c r="H808" s="83">
        <f ca="1">IFERROR(__xludf.DUMMYFUNCTION("""COMPUTED_VALUE"""),15)</f>
        <v>15</v>
      </c>
      <c r="I808" s="83">
        <f ca="1">IFERROR(__xludf.DUMMYFUNCTION("""COMPUTED_VALUE"""),19)</f>
        <v>19</v>
      </c>
    </row>
    <row r="809" spans="1:9">
      <c r="A809" s="79">
        <v>24</v>
      </c>
      <c r="B809" s="79">
        <v>0</v>
      </c>
      <c r="C809" s="79">
        <v>24</v>
      </c>
      <c r="D809" s="80">
        <v>43322.229398148149</v>
      </c>
      <c r="E809" s="81">
        <f t="shared" ca="1" si="6"/>
        <v>43313</v>
      </c>
      <c r="F809" s="82">
        <f ca="1">IFERROR(__xludf.DUMMYFUNCTION("""COMPUTED_VALUE"""),0.229398148148148)</f>
        <v>0.22939814814814799</v>
      </c>
      <c r="G809" s="83">
        <f t="shared" ca="1" si="7"/>
        <v>19</v>
      </c>
      <c r="H809" s="83">
        <f ca="1">IFERROR(__xludf.DUMMYFUNCTION("""COMPUTED_VALUE"""),30)</f>
        <v>30</v>
      </c>
      <c r="I809" s="83">
        <f ca="1">IFERROR(__xludf.DUMMYFUNCTION("""COMPUTED_VALUE"""),20)</f>
        <v>20</v>
      </c>
    </row>
    <row r="810" spans="1:9">
      <c r="A810" s="79">
        <v>23</v>
      </c>
      <c r="B810" s="79">
        <v>0</v>
      </c>
      <c r="C810" s="79">
        <v>23</v>
      </c>
      <c r="D810" s="80">
        <v>43322.239803240744</v>
      </c>
      <c r="E810" s="81">
        <f t="shared" ca="1" si="6"/>
        <v>43313</v>
      </c>
      <c r="F810" s="82">
        <f ca="1">IFERROR(__xludf.DUMMYFUNCTION("""COMPUTED_VALUE"""),0.23980324074074)</f>
        <v>0.23980324074074</v>
      </c>
      <c r="G810" s="83">
        <f t="shared" ca="1" si="7"/>
        <v>19</v>
      </c>
      <c r="H810" s="83">
        <f ca="1">IFERROR(__xludf.DUMMYFUNCTION("""COMPUTED_VALUE"""),45)</f>
        <v>45</v>
      </c>
      <c r="I810" s="83">
        <f ca="1">IFERROR(__xludf.DUMMYFUNCTION("""COMPUTED_VALUE"""),19)</f>
        <v>19</v>
      </c>
    </row>
    <row r="811" spans="1:9">
      <c r="A811" s="79">
        <v>22</v>
      </c>
      <c r="B811" s="79">
        <v>0</v>
      </c>
      <c r="C811" s="79">
        <v>22</v>
      </c>
      <c r="D811" s="80">
        <v>43322.2502662037</v>
      </c>
      <c r="E811" s="81">
        <f t="shared" ca="1" si="6"/>
        <v>43313</v>
      </c>
      <c r="F811" s="82">
        <f ca="1">IFERROR(__xludf.DUMMYFUNCTION("""COMPUTED_VALUE"""),0.250266203703703)</f>
        <v>0.25026620370370301</v>
      </c>
      <c r="G811" s="83">
        <f t="shared" ca="1" si="7"/>
        <v>19</v>
      </c>
      <c r="H811" s="83">
        <f ca="1">IFERROR(__xludf.DUMMYFUNCTION("""COMPUTED_VALUE"""),0)</f>
        <v>0</v>
      </c>
      <c r="I811" s="83">
        <f ca="1">IFERROR(__xludf.DUMMYFUNCTION("""COMPUTED_VALUE"""),23)</f>
        <v>23</v>
      </c>
    </row>
    <row r="812" spans="1:9">
      <c r="A812" s="79">
        <v>22</v>
      </c>
      <c r="B812" s="79">
        <v>0</v>
      </c>
      <c r="C812" s="79">
        <v>22</v>
      </c>
      <c r="D812" s="80">
        <v>43322.260648148149</v>
      </c>
      <c r="E812" s="81">
        <f t="shared" ca="1" si="6"/>
        <v>43313</v>
      </c>
      <c r="F812" s="82">
        <f ca="1">IFERROR(__xludf.DUMMYFUNCTION("""COMPUTED_VALUE"""),0.260648148148148)</f>
        <v>0.26064814814814802</v>
      </c>
      <c r="G812" s="83">
        <f t="shared" ca="1" si="7"/>
        <v>19</v>
      </c>
      <c r="H812" s="83">
        <f ca="1">IFERROR(__xludf.DUMMYFUNCTION("""COMPUTED_VALUE"""),15)</f>
        <v>15</v>
      </c>
      <c r="I812" s="83">
        <f ca="1">IFERROR(__xludf.DUMMYFUNCTION("""COMPUTED_VALUE"""),20)</f>
        <v>20</v>
      </c>
    </row>
    <row r="813" spans="1:9">
      <c r="A813" s="79">
        <v>20</v>
      </c>
      <c r="B813" s="79">
        <v>0</v>
      </c>
      <c r="C813" s="79">
        <v>20</v>
      </c>
      <c r="D813" s="80">
        <v>43322.27375</v>
      </c>
      <c r="E813" s="81">
        <f t="shared" ca="1" si="6"/>
        <v>43313</v>
      </c>
      <c r="F813" s="82">
        <f ca="1">IFERROR(__xludf.DUMMYFUNCTION("""COMPUTED_VALUE"""),0.27375)</f>
        <v>0.27374999999999999</v>
      </c>
      <c r="G813" s="83">
        <f t="shared" ca="1" si="7"/>
        <v>19</v>
      </c>
      <c r="H813" s="83">
        <f ca="1">IFERROR(__xludf.DUMMYFUNCTION("""COMPUTED_VALUE"""),34)</f>
        <v>34</v>
      </c>
      <c r="I813" s="83">
        <f ca="1">IFERROR(__xludf.DUMMYFUNCTION("""COMPUTED_VALUE"""),12)</f>
        <v>12</v>
      </c>
    </row>
    <row r="814" spans="1:9">
      <c r="A814" s="79">
        <v>30</v>
      </c>
      <c r="B814" s="79">
        <v>0</v>
      </c>
      <c r="C814" s="79">
        <v>20</v>
      </c>
      <c r="D814" s="80">
        <v>43322.281469907408</v>
      </c>
      <c r="E814" s="81">
        <f t="shared" ca="1" si="6"/>
        <v>43313</v>
      </c>
      <c r="F814" s="82">
        <f ca="1">IFERROR(__xludf.DUMMYFUNCTION("""COMPUTED_VALUE"""),0.281469907407407)</f>
        <v>0.28146990740740702</v>
      </c>
      <c r="G814" s="83">
        <f t="shared" ca="1" si="7"/>
        <v>19</v>
      </c>
      <c r="H814" s="83">
        <f ca="1">IFERROR(__xludf.DUMMYFUNCTION("""COMPUTED_VALUE"""),45)</f>
        <v>45</v>
      </c>
      <c r="I814" s="83">
        <f ca="1">IFERROR(__xludf.DUMMYFUNCTION("""COMPUTED_VALUE"""),19)</f>
        <v>19</v>
      </c>
    </row>
    <row r="815" spans="1:9">
      <c r="A815" s="79">
        <v>24</v>
      </c>
      <c r="B815" s="79">
        <v>1</v>
      </c>
      <c r="C815" s="79">
        <v>25</v>
      </c>
      <c r="D815" s="80">
        <v>43322.291886574072</v>
      </c>
      <c r="E815" s="81">
        <f t="shared" ca="1" si="6"/>
        <v>43313</v>
      </c>
      <c r="F815" s="82">
        <f ca="1">IFERROR(__xludf.DUMMYFUNCTION("""COMPUTED_VALUE"""),0.291886574074074)</f>
        <v>0.29188657407407398</v>
      </c>
      <c r="G815" s="83">
        <f t="shared" ca="1" si="7"/>
        <v>19</v>
      </c>
      <c r="H815" s="83">
        <f ca="1">IFERROR(__xludf.DUMMYFUNCTION("""COMPUTED_VALUE"""),0)</f>
        <v>0</v>
      </c>
      <c r="I815" s="83">
        <f ca="1">IFERROR(__xludf.DUMMYFUNCTION("""COMPUTED_VALUE"""),19)</f>
        <v>19</v>
      </c>
    </row>
    <row r="816" spans="1:9">
      <c r="A816" s="79">
        <v>53</v>
      </c>
      <c r="B816" s="79">
        <v>0</v>
      </c>
      <c r="C816" s="79">
        <v>53</v>
      </c>
      <c r="D816" s="80">
        <v>43322.30232638889</v>
      </c>
      <c r="E816" s="81">
        <f t="shared" ca="1" si="6"/>
        <v>43313</v>
      </c>
      <c r="F816" s="82">
        <f ca="1">IFERROR(__xludf.DUMMYFUNCTION("""COMPUTED_VALUE"""),0.302326388888888)</f>
        <v>0.30232638888888802</v>
      </c>
      <c r="G816" s="83">
        <f t="shared" ca="1" si="7"/>
        <v>19</v>
      </c>
      <c r="H816" s="83">
        <f ca="1">IFERROR(__xludf.DUMMYFUNCTION("""COMPUTED_VALUE"""),15)</f>
        <v>15</v>
      </c>
      <c r="I816" s="83">
        <f ca="1">IFERROR(__xludf.DUMMYFUNCTION("""COMPUTED_VALUE"""),21)</f>
        <v>21</v>
      </c>
    </row>
    <row r="817" spans="1:9">
      <c r="A817" s="79">
        <v>48</v>
      </c>
      <c r="B817" s="79">
        <v>0</v>
      </c>
      <c r="C817" s="79">
        <v>48</v>
      </c>
      <c r="D817" s="80">
        <v>43322.312743055554</v>
      </c>
      <c r="E817" s="81">
        <f t="shared" ca="1" si="6"/>
        <v>43313</v>
      </c>
      <c r="F817" s="82">
        <f ca="1">IFERROR(__xludf.DUMMYFUNCTION("""COMPUTED_VALUE"""),0.312743055555555)</f>
        <v>0.31274305555555498</v>
      </c>
      <c r="G817" s="83">
        <f t="shared" ca="1" si="7"/>
        <v>19</v>
      </c>
      <c r="H817" s="83">
        <f ca="1">IFERROR(__xludf.DUMMYFUNCTION("""COMPUTED_VALUE"""),30)</f>
        <v>30</v>
      </c>
      <c r="I817" s="83">
        <f ca="1">IFERROR(__xludf.DUMMYFUNCTION("""COMPUTED_VALUE"""),21)</f>
        <v>21</v>
      </c>
    </row>
    <row r="818" spans="1:9">
      <c r="A818" s="79">
        <v>58</v>
      </c>
      <c r="B818" s="79">
        <v>0</v>
      </c>
      <c r="C818" s="79">
        <v>58</v>
      </c>
      <c r="D818" s="80">
        <v>43322.323159722226</v>
      </c>
      <c r="E818" s="81">
        <f t="shared" ca="1" si="6"/>
        <v>43313</v>
      </c>
      <c r="F818" s="82">
        <f ca="1">IFERROR(__xludf.DUMMYFUNCTION("""COMPUTED_VALUE"""),0.323159722222222)</f>
        <v>0.323159722222222</v>
      </c>
      <c r="G818" s="83">
        <f t="shared" ca="1" si="7"/>
        <v>19</v>
      </c>
      <c r="H818" s="83">
        <f ca="1">IFERROR(__xludf.DUMMYFUNCTION("""COMPUTED_VALUE"""),45)</f>
        <v>45</v>
      </c>
      <c r="I818" s="83">
        <f ca="1">IFERROR(__xludf.DUMMYFUNCTION("""COMPUTED_VALUE"""),21)</f>
        <v>21</v>
      </c>
    </row>
    <row r="819" spans="1:9">
      <c r="A819" s="79">
        <v>57</v>
      </c>
      <c r="B819" s="79">
        <v>0</v>
      </c>
      <c r="C819" s="79">
        <v>57</v>
      </c>
      <c r="D819" s="80">
        <v>43322.333622685182</v>
      </c>
      <c r="E819" s="81">
        <f t="shared" ca="1" si="6"/>
        <v>43313</v>
      </c>
      <c r="F819" s="82">
        <f ca="1">IFERROR(__xludf.DUMMYFUNCTION("""COMPUTED_VALUE"""),0.333622685185185)</f>
        <v>0.33362268518518501</v>
      </c>
      <c r="G819" s="83">
        <f t="shared" ca="1" si="7"/>
        <v>19</v>
      </c>
      <c r="H819" s="83">
        <f ca="1">IFERROR(__xludf.DUMMYFUNCTION("""COMPUTED_VALUE"""),0)</f>
        <v>0</v>
      </c>
      <c r="I819" s="83">
        <f ca="1">IFERROR(__xludf.DUMMYFUNCTION("""COMPUTED_VALUE"""),25)</f>
        <v>25</v>
      </c>
    </row>
    <row r="820" spans="1:9">
      <c r="A820" s="79">
        <v>93</v>
      </c>
      <c r="B820" s="79">
        <v>1</v>
      </c>
      <c r="C820" s="79">
        <v>94</v>
      </c>
      <c r="D820" s="80">
        <v>43322.343993055554</v>
      </c>
      <c r="E820" s="81">
        <f t="shared" ca="1" si="6"/>
        <v>43313</v>
      </c>
      <c r="F820" s="82">
        <f ca="1">IFERROR(__xludf.DUMMYFUNCTION("""COMPUTED_VALUE"""),0.343993055555555)</f>
        <v>0.34399305555555498</v>
      </c>
      <c r="G820" s="83">
        <f t="shared" ca="1" si="7"/>
        <v>19</v>
      </c>
      <c r="H820" s="83">
        <f ca="1">IFERROR(__xludf.DUMMYFUNCTION("""COMPUTED_VALUE"""),15)</f>
        <v>15</v>
      </c>
      <c r="I820" s="83">
        <f ca="1">IFERROR(__xludf.DUMMYFUNCTION("""COMPUTED_VALUE"""),21)</f>
        <v>21</v>
      </c>
    </row>
    <row r="821" spans="1:9">
      <c r="A821" s="79">
        <v>119</v>
      </c>
      <c r="B821" s="79">
        <v>2</v>
      </c>
      <c r="C821" s="79">
        <v>111</v>
      </c>
      <c r="D821" s="80">
        <v>43322.354409722226</v>
      </c>
      <c r="E821" s="81">
        <f t="shared" ca="1" si="6"/>
        <v>43313</v>
      </c>
      <c r="F821" s="82">
        <f ca="1">IFERROR(__xludf.DUMMYFUNCTION("""COMPUTED_VALUE"""),0.354409722222222)</f>
        <v>0.354409722222222</v>
      </c>
      <c r="G821" s="83">
        <f t="shared" ca="1" si="7"/>
        <v>19</v>
      </c>
      <c r="H821" s="83">
        <f ca="1">IFERROR(__xludf.DUMMYFUNCTION("""COMPUTED_VALUE"""),30)</f>
        <v>30</v>
      </c>
      <c r="I821" s="83">
        <f ca="1">IFERROR(__xludf.DUMMYFUNCTION("""COMPUTED_VALUE"""),21)</f>
        <v>21</v>
      </c>
    </row>
    <row r="822" spans="1:9">
      <c r="A822" s="79">
        <v>150</v>
      </c>
      <c r="B822" s="79">
        <v>2</v>
      </c>
      <c r="C822" s="79">
        <v>152</v>
      </c>
      <c r="D822" s="80">
        <v>43322.36482638889</v>
      </c>
      <c r="E822" s="81">
        <f t="shared" ca="1" si="6"/>
        <v>43313</v>
      </c>
      <c r="F822" s="82">
        <f ca="1">IFERROR(__xludf.DUMMYFUNCTION("""COMPUTED_VALUE"""),0.364826388888888)</f>
        <v>0.36482638888888802</v>
      </c>
      <c r="G822" s="83">
        <f t="shared" ca="1" si="7"/>
        <v>19</v>
      </c>
      <c r="H822" s="83">
        <f ca="1">IFERROR(__xludf.DUMMYFUNCTION("""COMPUTED_VALUE"""),45)</f>
        <v>45</v>
      </c>
      <c r="I822" s="83">
        <f ca="1">IFERROR(__xludf.DUMMYFUNCTION("""COMPUTED_VALUE"""),21)</f>
        <v>21</v>
      </c>
    </row>
    <row r="823" spans="1:9">
      <c r="A823" s="79">
        <v>150</v>
      </c>
      <c r="B823" s="79">
        <v>0</v>
      </c>
      <c r="C823" s="79">
        <v>150</v>
      </c>
      <c r="D823" s="80">
        <v>43322.375243055554</v>
      </c>
      <c r="E823" s="81">
        <f t="shared" ca="1" si="6"/>
        <v>43313</v>
      </c>
      <c r="F823" s="82">
        <f ca="1">IFERROR(__xludf.DUMMYFUNCTION("""COMPUTED_VALUE"""),0.375243055555555)</f>
        <v>0.37524305555555498</v>
      </c>
      <c r="G823" s="83">
        <f t="shared" ca="1" si="7"/>
        <v>19</v>
      </c>
      <c r="H823" s="83">
        <f ca="1">IFERROR(__xludf.DUMMYFUNCTION("""COMPUTED_VALUE"""),0)</f>
        <v>0</v>
      </c>
      <c r="I823" s="83">
        <f ca="1">IFERROR(__xludf.DUMMYFUNCTION("""COMPUTED_VALUE"""),21)</f>
        <v>21</v>
      </c>
    </row>
    <row r="824" spans="1:9">
      <c r="A824" s="79">
        <v>190</v>
      </c>
      <c r="B824" s="79">
        <v>1</v>
      </c>
      <c r="C824" s="79">
        <v>191</v>
      </c>
      <c r="D824" s="80">
        <v>43322.385659722226</v>
      </c>
      <c r="E824" s="81">
        <f t="shared" ca="1" si="6"/>
        <v>43313</v>
      </c>
      <c r="F824" s="82">
        <f ca="1">IFERROR(__xludf.DUMMYFUNCTION("""COMPUTED_VALUE"""),0.385659722222222)</f>
        <v>0.385659722222222</v>
      </c>
      <c r="G824" s="83">
        <f t="shared" ca="1" si="7"/>
        <v>19</v>
      </c>
      <c r="H824" s="83">
        <f ca="1">IFERROR(__xludf.DUMMYFUNCTION("""COMPUTED_VALUE"""),15)</f>
        <v>15</v>
      </c>
      <c r="I824" s="83">
        <f ca="1">IFERROR(__xludf.DUMMYFUNCTION("""COMPUTED_VALUE"""),21)</f>
        <v>21</v>
      </c>
    </row>
    <row r="825" spans="1:9">
      <c r="A825" s="79">
        <v>294</v>
      </c>
      <c r="B825" s="79">
        <v>1</v>
      </c>
      <c r="C825" s="79">
        <v>295</v>
      </c>
      <c r="D825" s="80">
        <v>43322.396087962959</v>
      </c>
      <c r="E825" s="81">
        <f t="shared" ca="1" si="6"/>
        <v>43313</v>
      </c>
      <c r="F825" s="82">
        <f ca="1">IFERROR(__xludf.DUMMYFUNCTION("""COMPUTED_VALUE"""),0.396087962962962)</f>
        <v>0.396087962962962</v>
      </c>
      <c r="G825" s="83">
        <f t="shared" ca="1" si="7"/>
        <v>19</v>
      </c>
      <c r="H825" s="83">
        <f ca="1">IFERROR(__xludf.DUMMYFUNCTION("""COMPUTED_VALUE"""),30)</f>
        <v>30</v>
      </c>
      <c r="I825" s="83">
        <f ca="1">IFERROR(__xludf.DUMMYFUNCTION("""COMPUTED_VALUE"""),22)</f>
        <v>22</v>
      </c>
    </row>
    <row r="826" spans="1:9">
      <c r="A826" s="79">
        <v>539</v>
      </c>
      <c r="B826" s="79">
        <v>4</v>
      </c>
      <c r="C826" s="79">
        <v>543</v>
      </c>
      <c r="D826" s="80">
        <v>43322.406493055554</v>
      </c>
      <c r="E826" s="81">
        <f t="shared" ca="1" si="6"/>
        <v>43313</v>
      </c>
      <c r="F826" s="82">
        <f ca="1">IFERROR(__xludf.DUMMYFUNCTION("""COMPUTED_VALUE"""),0.406493055555555)</f>
        <v>0.40649305555555498</v>
      </c>
      <c r="G826" s="83">
        <f t="shared" ca="1" si="7"/>
        <v>19</v>
      </c>
      <c r="H826" s="83">
        <f ca="1">IFERROR(__xludf.DUMMYFUNCTION("""COMPUTED_VALUE"""),45)</f>
        <v>45</v>
      </c>
      <c r="I826" s="83">
        <f ca="1">IFERROR(__xludf.DUMMYFUNCTION("""COMPUTED_VALUE"""),21)</f>
        <v>21</v>
      </c>
    </row>
    <row r="827" spans="1:9">
      <c r="A827" s="79">
        <v>498</v>
      </c>
      <c r="B827" s="79">
        <v>4</v>
      </c>
      <c r="C827" s="79">
        <v>502</v>
      </c>
      <c r="D827" s="80">
        <v>43322.416909722226</v>
      </c>
      <c r="E827" s="81">
        <f t="shared" ca="1" si="6"/>
        <v>43313</v>
      </c>
      <c r="F827" s="82">
        <f ca="1">IFERROR(__xludf.DUMMYFUNCTION("""COMPUTED_VALUE"""),0.416909722222222)</f>
        <v>0.416909722222222</v>
      </c>
      <c r="G827" s="83">
        <f t="shared" ca="1" si="7"/>
        <v>19</v>
      </c>
      <c r="H827" s="83">
        <f ca="1">IFERROR(__xludf.DUMMYFUNCTION("""COMPUTED_VALUE"""),0)</f>
        <v>0</v>
      </c>
      <c r="I827" s="83">
        <f ca="1">IFERROR(__xludf.DUMMYFUNCTION("""COMPUTED_VALUE"""),21)</f>
        <v>21</v>
      </c>
    </row>
    <row r="828" spans="1:9">
      <c r="A828" s="79">
        <v>461</v>
      </c>
      <c r="B828" s="79">
        <v>7</v>
      </c>
      <c r="C828" s="79">
        <v>468</v>
      </c>
      <c r="D828" s="80">
        <v>43322.42732638889</v>
      </c>
      <c r="E828" s="81">
        <f t="shared" ca="1" si="6"/>
        <v>43313</v>
      </c>
      <c r="F828" s="82">
        <f ca="1">IFERROR(__xludf.DUMMYFUNCTION("""COMPUTED_VALUE"""),0.427326388888888)</f>
        <v>0.42732638888888802</v>
      </c>
      <c r="G828" s="83">
        <f t="shared" ca="1" si="7"/>
        <v>19</v>
      </c>
      <c r="H828" s="83">
        <f ca="1">IFERROR(__xludf.DUMMYFUNCTION("""COMPUTED_VALUE"""),15)</f>
        <v>15</v>
      </c>
      <c r="I828" s="83">
        <f ca="1">IFERROR(__xludf.DUMMYFUNCTION("""COMPUTED_VALUE"""),21)</f>
        <v>21</v>
      </c>
    </row>
    <row r="829" spans="1:9">
      <c r="A829" s="79">
        <v>508</v>
      </c>
      <c r="B829" s="79">
        <v>11</v>
      </c>
      <c r="C829" s="79">
        <v>519</v>
      </c>
      <c r="D829" s="80">
        <v>43322.437743055554</v>
      </c>
      <c r="E829" s="81">
        <f t="shared" ca="1" si="6"/>
        <v>43313</v>
      </c>
      <c r="F829" s="82">
        <f ca="1">IFERROR(__xludf.DUMMYFUNCTION("""COMPUTED_VALUE"""),0.437743055555555)</f>
        <v>0.43774305555555498</v>
      </c>
      <c r="G829" s="83">
        <f t="shared" ca="1" si="7"/>
        <v>19</v>
      </c>
      <c r="H829" s="83">
        <f ca="1">IFERROR(__xludf.DUMMYFUNCTION("""COMPUTED_VALUE"""),30)</f>
        <v>30</v>
      </c>
      <c r="I829" s="83">
        <f ca="1">IFERROR(__xludf.DUMMYFUNCTION("""COMPUTED_VALUE"""),21)</f>
        <v>21</v>
      </c>
    </row>
    <row r="830" spans="1:9">
      <c r="A830" s="79">
        <v>598</v>
      </c>
      <c r="B830" s="79">
        <v>12</v>
      </c>
      <c r="C830" s="79">
        <v>610</v>
      </c>
      <c r="D830" s="80">
        <v>43322.448159722226</v>
      </c>
      <c r="E830" s="81">
        <f t="shared" ca="1" si="6"/>
        <v>43313</v>
      </c>
      <c r="F830" s="82">
        <f ca="1">IFERROR(__xludf.DUMMYFUNCTION("""COMPUTED_VALUE"""),0.448159722222222)</f>
        <v>0.448159722222222</v>
      </c>
      <c r="G830" s="83">
        <f t="shared" ca="1" si="7"/>
        <v>19</v>
      </c>
      <c r="H830" s="83">
        <f ca="1">IFERROR(__xludf.DUMMYFUNCTION("""COMPUTED_VALUE"""),45)</f>
        <v>45</v>
      </c>
      <c r="I830" s="83">
        <f ca="1">IFERROR(__xludf.DUMMYFUNCTION("""COMPUTED_VALUE"""),21)</f>
        <v>21</v>
      </c>
    </row>
    <row r="831" spans="1:9">
      <c r="A831" s="79">
        <v>479</v>
      </c>
      <c r="B831" s="79">
        <v>6</v>
      </c>
      <c r="C831" s="79">
        <v>485</v>
      </c>
      <c r="D831" s="80">
        <v>43322.45857638889</v>
      </c>
      <c r="E831" s="81">
        <f t="shared" ca="1" si="6"/>
        <v>43313</v>
      </c>
      <c r="F831" s="82">
        <f ca="1">IFERROR(__xludf.DUMMYFUNCTION("""COMPUTED_VALUE"""),0.458576388888888)</f>
        <v>0.45857638888888802</v>
      </c>
      <c r="G831" s="83">
        <f t="shared" ca="1" si="7"/>
        <v>19</v>
      </c>
      <c r="H831" s="83">
        <f ca="1">IFERROR(__xludf.DUMMYFUNCTION("""COMPUTED_VALUE"""),0)</f>
        <v>0</v>
      </c>
      <c r="I831" s="83">
        <f ca="1">IFERROR(__xludf.DUMMYFUNCTION("""COMPUTED_VALUE"""),21)</f>
        <v>21</v>
      </c>
    </row>
    <row r="832" spans="1:9">
      <c r="A832" s="79">
        <v>410</v>
      </c>
      <c r="B832" s="79">
        <v>5</v>
      </c>
      <c r="C832" s="79">
        <v>415</v>
      </c>
      <c r="D832" s="80">
        <v>43322.468993055554</v>
      </c>
      <c r="E832" s="81">
        <f t="shared" ca="1" si="6"/>
        <v>43313</v>
      </c>
      <c r="F832" s="82">
        <f ca="1">IFERROR(__xludf.DUMMYFUNCTION("""COMPUTED_VALUE"""),0.468993055555555)</f>
        <v>0.46899305555555498</v>
      </c>
      <c r="G832" s="83">
        <f t="shared" ca="1" si="7"/>
        <v>19</v>
      </c>
      <c r="H832" s="83">
        <f ca="1">IFERROR(__xludf.DUMMYFUNCTION("""COMPUTED_VALUE"""),15)</f>
        <v>15</v>
      </c>
      <c r="I832" s="83">
        <f ca="1">IFERROR(__xludf.DUMMYFUNCTION("""COMPUTED_VALUE"""),21)</f>
        <v>21</v>
      </c>
    </row>
    <row r="833" spans="1:9">
      <c r="A833" s="79">
        <v>346</v>
      </c>
      <c r="B833" s="79">
        <v>4</v>
      </c>
      <c r="C833" s="79">
        <v>350</v>
      </c>
      <c r="D833" s="80">
        <v>43322.479398148149</v>
      </c>
      <c r="E833" s="81">
        <f t="shared" ca="1" si="6"/>
        <v>43313</v>
      </c>
      <c r="F833" s="82">
        <f ca="1">IFERROR(__xludf.DUMMYFUNCTION("""COMPUTED_VALUE"""),0.479398148148148)</f>
        <v>0.47939814814814802</v>
      </c>
      <c r="G833" s="83">
        <f t="shared" ca="1" si="7"/>
        <v>19</v>
      </c>
      <c r="H833" s="83">
        <f ca="1">IFERROR(__xludf.DUMMYFUNCTION("""COMPUTED_VALUE"""),30)</f>
        <v>30</v>
      </c>
      <c r="I833" s="83">
        <f ca="1">IFERROR(__xludf.DUMMYFUNCTION("""COMPUTED_VALUE"""),20)</f>
        <v>20</v>
      </c>
    </row>
    <row r="834" spans="1:9">
      <c r="A834" s="79">
        <v>344</v>
      </c>
      <c r="B834" s="79">
        <v>5</v>
      </c>
      <c r="C834" s="79">
        <v>349</v>
      </c>
      <c r="D834" s="80">
        <v>43322.48982638889</v>
      </c>
      <c r="E834" s="81">
        <f t="shared" ca="1" si="6"/>
        <v>43313</v>
      </c>
      <c r="F834" s="82">
        <f ca="1">IFERROR(__xludf.DUMMYFUNCTION("""COMPUTED_VALUE"""),0.489826388888888)</f>
        <v>0.48982638888888802</v>
      </c>
      <c r="G834" s="83">
        <f t="shared" ca="1" si="7"/>
        <v>19</v>
      </c>
      <c r="H834" s="83">
        <f ca="1">IFERROR(__xludf.DUMMYFUNCTION("""COMPUTED_VALUE"""),45)</f>
        <v>45</v>
      </c>
      <c r="I834" s="83">
        <f ca="1">IFERROR(__xludf.DUMMYFUNCTION("""COMPUTED_VALUE"""),21)</f>
        <v>21</v>
      </c>
    </row>
    <row r="835" spans="1:9">
      <c r="A835" s="79">
        <v>255</v>
      </c>
      <c r="B835" s="79">
        <v>1</v>
      </c>
      <c r="C835" s="79">
        <v>256</v>
      </c>
      <c r="D835" s="80">
        <v>43322.500254629631</v>
      </c>
      <c r="E835" s="81">
        <f t="shared" ca="1" si="6"/>
        <v>43313</v>
      </c>
      <c r="F835" s="82">
        <f ca="1">IFERROR(__xludf.DUMMYFUNCTION("""COMPUTED_VALUE"""),0.500254629629629)</f>
        <v>0.50025462962962897</v>
      </c>
      <c r="G835" s="83">
        <f t="shared" ca="1" si="7"/>
        <v>19</v>
      </c>
      <c r="H835" s="83">
        <f ca="1">IFERROR(__xludf.DUMMYFUNCTION("""COMPUTED_VALUE"""),0)</f>
        <v>0</v>
      </c>
      <c r="I835" s="83">
        <f ca="1">IFERROR(__xludf.DUMMYFUNCTION("""COMPUTED_VALUE"""),22)</f>
        <v>22</v>
      </c>
    </row>
    <row r="836" spans="1:9">
      <c r="A836" s="79">
        <v>260</v>
      </c>
      <c r="B836" s="79">
        <v>2</v>
      </c>
      <c r="C836" s="79">
        <v>254</v>
      </c>
      <c r="D836" s="80">
        <v>43322.510659722226</v>
      </c>
      <c r="E836" s="81">
        <f t="shared" ca="1" si="6"/>
        <v>43313</v>
      </c>
      <c r="F836" s="82">
        <f ca="1">IFERROR(__xludf.DUMMYFUNCTION("""COMPUTED_VALUE"""),0.510659722222222)</f>
        <v>0.510659722222222</v>
      </c>
      <c r="G836" s="83">
        <f t="shared" ca="1" si="7"/>
        <v>19</v>
      </c>
      <c r="H836" s="83">
        <f ca="1">IFERROR(__xludf.DUMMYFUNCTION("""COMPUTED_VALUE"""),15)</f>
        <v>15</v>
      </c>
      <c r="I836" s="83">
        <f ca="1">IFERROR(__xludf.DUMMYFUNCTION("""COMPUTED_VALUE"""),21)</f>
        <v>21</v>
      </c>
    </row>
    <row r="837" spans="1:9">
      <c r="A837" s="79">
        <v>268</v>
      </c>
      <c r="B837" s="79">
        <v>1</v>
      </c>
      <c r="C837" s="79">
        <v>269</v>
      </c>
      <c r="D837" s="80">
        <v>43322.521064814813</v>
      </c>
      <c r="E837" s="81">
        <f t="shared" ca="1" si="6"/>
        <v>43313</v>
      </c>
      <c r="F837" s="82">
        <f ca="1">IFERROR(__xludf.DUMMYFUNCTION("""COMPUTED_VALUE"""),0.521064814814814)</f>
        <v>0.52106481481481404</v>
      </c>
      <c r="G837" s="83">
        <f t="shared" ca="1" si="7"/>
        <v>19</v>
      </c>
      <c r="H837" s="83">
        <f ca="1">IFERROR(__xludf.DUMMYFUNCTION("""COMPUTED_VALUE"""),30)</f>
        <v>30</v>
      </c>
      <c r="I837" s="83">
        <f ca="1">IFERROR(__xludf.DUMMYFUNCTION("""COMPUTED_VALUE"""),20)</f>
        <v>20</v>
      </c>
    </row>
    <row r="838" spans="1:9">
      <c r="A838" s="79">
        <v>260</v>
      </c>
      <c r="B838" s="79">
        <v>1</v>
      </c>
      <c r="C838" s="79">
        <v>261</v>
      </c>
      <c r="D838" s="80">
        <v>43322.531493055554</v>
      </c>
      <c r="E838" s="81">
        <f t="shared" ca="1" si="6"/>
        <v>43313</v>
      </c>
      <c r="F838" s="82">
        <f ca="1">IFERROR(__xludf.DUMMYFUNCTION("""COMPUTED_VALUE"""),0.531493055555555)</f>
        <v>0.53149305555555504</v>
      </c>
      <c r="G838" s="83">
        <f t="shared" ca="1" si="7"/>
        <v>19</v>
      </c>
      <c r="H838" s="83">
        <f ca="1">IFERROR(__xludf.DUMMYFUNCTION("""COMPUTED_VALUE"""),45)</f>
        <v>45</v>
      </c>
      <c r="I838" s="83">
        <f ca="1">IFERROR(__xludf.DUMMYFUNCTION("""COMPUTED_VALUE"""),21)</f>
        <v>21</v>
      </c>
    </row>
    <row r="839" spans="1:9">
      <c r="A839" s="79">
        <v>250</v>
      </c>
      <c r="B839" s="79">
        <v>1</v>
      </c>
      <c r="C839" s="79">
        <v>251</v>
      </c>
      <c r="D839" s="80">
        <v>43322.541909722226</v>
      </c>
      <c r="E839" s="81">
        <f t="shared" ca="1" si="6"/>
        <v>43313</v>
      </c>
      <c r="F839" s="82">
        <f ca="1">IFERROR(__xludf.DUMMYFUNCTION("""COMPUTED_VALUE"""),0.541909722222222)</f>
        <v>0.541909722222222</v>
      </c>
      <c r="G839" s="83">
        <f t="shared" ca="1" si="7"/>
        <v>19</v>
      </c>
      <c r="H839" s="83">
        <f ca="1">IFERROR(__xludf.DUMMYFUNCTION("""COMPUTED_VALUE"""),0)</f>
        <v>0</v>
      </c>
      <c r="I839" s="83">
        <f ca="1">IFERROR(__xludf.DUMMYFUNCTION("""COMPUTED_VALUE"""),21)</f>
        <v>21</v>
      </c>
    </row>
    <row r="840" spans="1:9">
      <c r="A840" s="79">
        <v>288</v>
      </c>
      <c r="B840" s="79">
        <v>3</v>
      </c>
      <c r="C840" s="79">
        <v>291</v>
      </c>
      <c r="D840" s="80">
        <v>43322.552314814813</v>
      </c>
      <c r="E840" s="81">
        <f t="shared" ca="1" si="6"/>
        <v>43313</v>
      </c>
      <c r="F840" s="82">
        <f ca="1">IFERROR(__xludf.DUMMYFUNCTION("""COMPUTED_VALUE"""),0.552314814814814)</f>
        <v>0.55231481481481404</v>
      </c>
      <c r="G840" s="83">
        <f t="shared" ca="1" si="7"/>
        <v>19</v>
      </c>
      <c r="H840" s="83">
        <f ca="1">IFERROR(__xludf.DUMMYFUNCTION("""COMPUTED_VALUE"""),15)</f>
        <v>15</v>
      </c>
      <c r="I840" s="83">
        <f ca="1">IFERROR(__xludf.DUMMYFUNCTION("""COMPUTED_VALUE"""),20)</f>
        <v>20</v>
      </c>
    </row>
    <row r="841" spans="1:9">
      <c r="A841" s="79">
        <v>254</v>
      </c>
      <c r="B841" s="79">
        <v>2</v>
      </c>
      <c r="C841" s="79">
        <v>256</v>
      </c>
      <c r="D841" s="80">
        <v>43322.562743055554</v>
      </c>
      <c r="E841" s="81">
        <f t="shared" ca="1" si="6"/>
        <v>43313</v>
      </c>
      <c r="F841" s="82">
        <f ca="1">IFERROR(__xludf.DUMMYFUNCTION("""COMPUTED_VALUE"""),0.562743055555555)</f>
        <v>0.56274305555555504</v>
      </c>
      <c r="G841" s="83">
        <f t="shared" ca="1" si="7"/>
        <v>19</v>
      </c>
      <c r="H841" s="83">
        <f ca="1">IFERROR(__xludf.DUMMYFUNCTION("""COMPUTED_VALUE"""),30)</f>
        <v>30</v>
      </c>
      <c r="I841" s="83">
        <f ca="1">IFERROR(__xludf.DUMMYFUNCTION("""COMPUTED_VALUE"""),21)</f>
        <v>21</v>
      </c>
    </row>
    <row r="842" spans="1:9">
      <c r="A842" s="79">
        <v>303</v>
      </c>
      <c r="B842" s="79">
        <v>4</v>
      </c>
      <c r="C842" s="79">
        <v>307</v>
      </c>
      <c r="D842" s="80">
        <v>43322.573148148149</v>
      </c>
      <c r="E842" s="81">
        <f t="shared" ca="1" si="6"/>
        <v>43313</v>
      </c>
      <c r="F842" s="82">
        <f ca="1">IFERROR(__xludf.DUMMYFUNCTION("""COMPUTED_VALUE"""),0.573148148148148)</f>
        <v>0.57314814814814796</v>
      </c>
      <c r="G842" s="83">
        <f t="shared" ca="1" si="7"/>
        <v>19</v>
      </c>
      <c r="H842" s="83">
        <f ca="1">IFERROR(__xludf.DUMMYFUNCTION("""COMPUTED_VALUE"""),45)</f>
        <v>45</v>
      </c>
      <c r="I842" s="83">
        <f ca="1">IFERROR(__xludf.DUMMYFUNCTION("""COMPUTED_VALUE"""),20)</f>
        <v>20</v>
      </c>
    </row>
    <row r="843" spans="1:9">
      <c r="A843" s="79">
        <v>306</v>
      </c>
      <c r="B843" s="79">
        <v>3</v>
      </c>
      <c r="C843" s="79">
        <v>309</v>
      </c>
      <c r="D843" s="80">
        <v>43322.58357638889</v>
      </c>
      <c r="E843" s="81">
        <f t="shared" ca="1" si="6"/>
        <v>43313</v>
      </c>
      <c r="F843" s="82">
        <f ca="1">IFERROR(__xludf.DUMMYFUNCTION("""COMPUTED_VALUE"""),0.583576388888888)</f>
        <v>0.58357638888888796</v>
      </c>
      <c r="G843" s="83">
        <f t="shared" ca="1" si="7"/>
        <v>19</v>
      </c>
      <c r="H843" s="83">
        <f ca="1">IFERROR(__xludf.DUMMYFUNCTION("""COMPUTED_VALUE"""),0)</f>
        <v>0</v>
      </c>
      <c r="I843" s="83">
        <f ca="1">IFERROR(__xludf.DUMMYFUNCTION("""COMPUTED_VALUE"""),21)</f>
        <v>21</v>
      </c>
    </row>
    <row r="844" spans="1:9">
      <c r="A844" s="79">
        <v>298</v>
      </c>
      <c r="B844" s="79">
        <v>2</v>
      </c>
      <c r="C844" s="79">
        <v>300</v>
      </c>
      <c r="D844" s="80">
        <v>43322.593981481485</v>
      </c>
      <c r="E844" s="81">
        <f t="shared" ca="1" si="6"/>
        <v>43313</v>
      </c>
      <c r="F844" s="82">
        <f ca="1">IFERROR(__xludf.DUMMYFUNCTION("""COMPUTED_VALUE"""),0.593981481481481)</f>
        <v>0.593981481481481</v>
      </c>
      <c r="G844" s="83">
        <f t="shared" ca="1" si="7"/>
        <v>19</v>
      </c>
      <c r="H844" s="83">
        <f ca="1">IFERROR(__xludf.DUMMYFUNCTION("""COMPUTED_VALUE"""),15)</f>
        <v>15</v>
      </c>
      <c r="I844" s="83">
        <f ca="1">IFERROR(__xludf.DUMMYFUNCTION("""COMPUTED_VALUE"""),20)</f>
        <v>20</v>
      </c>
    </row>
    <row r="845" spans="1:9">
      <c r="A845" s="79">
        <v>313</v>
      </c>
      <c r="B845" s="79">
        <v>2</v>
      </c>
      <c r="C845" s="79">
        <v>315</v>
      </c>
      <c r="D845" s="80">
        <v>43322.604409722226</v>
      </c>
      <c r="E845" s="81">
        <f t="shared" ca="1" si="6"/>
        <v>43313</v>
      </c>
      <c r="F845" s="82">
        <f ca="1">IFERROR(__xludf.DUMMYFUNCTION("""COMPUTED_VALUE"""),0.604409722222222)</f>
        <v>0.604409722222222</v>
      </c>
      <c r="G845" s="83">
        <f t="shared" ca="1" si="7"/>
        <v>19</v>
      </c>
      <c r="H845" s="83">
        <f ca="1">IFERROR(__xludf.DUMMYFUNCTION("""COMPUTED_VALUE"""),30)</f>
        <v>30</v>
      </c>
      <c r="I845" s="83">
        <f ca="1">IFERROR(__xludf.DUMMYFUNCTION("""COMPUTED_VALUE"""),21)</f>
        <v>21</v>
      </c>
    </row>
    <row r="846" spans="1:9">
      <c r="A846" s="79">
        <v>323</v>
      </c>
      <c r="B846" s="79">
        <v>3</v>
      </c>
      <c r="C846" s="79">
        <v>326</v>
      </c>
      <c r="D846" s="80">
        <v>43322.614814814813</v>
      </c>
      <c r="E846" s="81">
        <f t="shared" ca="1" si="6"/>
        <v>43313</v>
      </c>
      <c r="F846" s="82">
        <f ca="1">IFERROR(__xludf.DUMMYFUNCTION("""COMPUTED_VALUE"""),0.614814814814814)</f>
        <v>0.61481481481481404</v>
      </c>
      <c r="G846" s="83">
        <f t="shared" ca="1" si="7"/>
        <v>19</v>
      </c>
      <c r="H846" s="83">
        <f ca="1">IFERROR(__xludf.DUMMYFUNCTION("""COMPUTED_VALUE"""),45)</f>
        <v>45</v>
      </c>
      <c r="I846" s="83">
        <f ca="1">IFERROR(__xludf.DUMMYFUNCTION("""COMPUTED_VALUE"""),20)</f>
        <v>20</v>
      </c>
    </row>
    <row r="847" spans="1:9">
      <c r="A847" s="79">
        <v>313</v>
      </c>
      <c r="B847" s="79">
        <v>6</v>
      </c>
      <c r="C847" s="79">
        <v>319</v>
      </c>
      <c r="D847" s="80">
        <v>43322.625243055554</v>
      </c>
      <c r="E847" s="81">
        <f t="shared" ca="1" si="6"/>
        <v>43313</v>
      </c>
      <c r="F847" s="82">
        <f ca="1">IFERROR(__xludf.DUMMYFUNCTION("""COMPUTED_VALUE"""),0.625243055555555)</f>
        <v>0.62524305555555504</v>
      </c>
      <c r="G847" s="83">
        <f t="shared" ca="1" si="7"/>
        <v>19</v>
      </c>
      <c r="H847" s="83">
        <f ca="1">IFERROR(__xludf.DUMMYFUNCTION("""COMPUTED_VALUE"""),0)</f>
        <v>0</v>
      </c>
      <c r="I847" s="83">
        <f ca="1">IFERROR(__xludf.DUMMYFUNCTION("""COMPUTED_VALUE"""),21)</f>
        <v>21</v>
      </c>
    </row>
    <row r="848" spans="1:9">
      <c r="A848" s="79">
        <v>394</v>
      </c>
      <c r="B848" s="79">
        <v>2</v>
      </c>
      <c r="C848" s="79">
        <v>396</v>
      </c>
      <c r="D848" s="80">
        <v>43322.635659722226</v>
      </c>
      <c r="E848" s="81">
        <f t="shared" ca="1" si="6"/>
        <v>43313</v>
      </c>
      <c r="F848" s="82">
        <f ca="1">IFERROR(__xludf.DUMMYFUNCTION("""COMPUTED_VALUE"""),0.635659722222222)</f>
        <v>0.635659722222222</v>
      </c>
      <c r="G848" s="83">
        <f t="shared" ca="1" si="7"/>
        <v>19</v>
      </c>
      <c r="H848" s="83">
        <f ca="1">IFERROR(__xludf.DUMMYFUNCTION("""COMPUTED_VALUE"""),15)</f>
        <v>15</v>
      </c>
      <c r="I848" s="83">
        <f ca="1">IFERROR(__xludf.DUMMYFUNCTION("""COMPUTED_VALUE"""),21)</f>
        <v>21</v>
      </c>
    </row>
    <row r="849" spans="1:9">
      <c r="A849" s="79">
        <v>353</v>
      </c>
      <c r="B849" s="79">
        <v>2</v>
      </c>
      <c r="C849" s="79">
        <v>355</v>
      </c>
      <c r="D849" s="80">
        <v>43322.64607638889</v>
      </c>
      <c r="E849" s="81">
        <f t="shared" ca="1" si="6"/>
        <v>43313</v>
      </c>
      <c r="F849" s="82">
        <f ca="1">IFERROR(__xludf.DUMMYFUNCTION("""COMPUTED_VALUE"""),0.646076388888888)</f>
        <v>0.64607638888888796</v>
      </c>
      <c r="G849" s="83">
        <f t="shared" ca="1" si="7"/>
        <v>19</v>
      </c>
      <c r="H849" s="83">
        <f ca="1">IFERROR(__xludf.DUMMYFUNCTION("""COMPUTED_VALUE"""),30)</f>
        <v>30</v>
      </c>
      <c r="I849" s="83">
        <f ca="1">IFERROR(__xludf.DUMMYFUNCTION("""COMPUTED_VALUE"""),21)</f>
        <v>21</v>
      </c>
    </row>
    <row r="850" spans="1:9">
      <c r="A850" s="79">
        <v>395</v>
      </c>
      <c r="B850" s="79">
        <v>1</v>
      </c>
      <c r="C850" s="79">
        <v>396</v>
      </c>
      <c r="D850" s="80">
        <v>43322.656493055554</v>
      </c>
      <c r="E850" s="81">
        <f t="shared" ca="1" si="6"/>
        <v>43313</v>
      </c>
      <c r="F850" s="82">
        <f ca="1">IFERROR(__xludf.DUMMYFUNCTION("""COMPUTED_VALUE"""),0.656493055555555)</f>
        <v>0.65649305555555504</v>
      </c>
      <c r="G850" s="83">
        <f t="shared" ca="1" si="7"/>
        <v>19</v>
      </c>
      <c r="H850" s="83">
        <f ca="1">IFERROR(__xludf.DUMMYFUNCTION("""COMPUTED_VALUE"""),45)</f>
        <v>45</v>
      </c>
      <c r="I850" s="83">
        <f ca="1">IFERROR(__xludf.DUMMYFUNCTION("""COMPUTED_VALUE"""),21)</f>
        <v>21</v>
      </c>
    </row>
    <row r="851" spans="1:9">
      <c r="A851" s="79">
        <v>354</v>
      </c>
      <c r="B851" s="79">
        <v>4</v>
      </c>
      <c r="C851" s="79">
        <v>358</v>
      </c>
      <c r="D851" s="80">
        <v>43322.666898148149</v>
      </c>
      <c r="E851" s="81">
        <f t="shared" ca="1" si="6"/>
        <v>43313</v>
      </c>
      <c r="F851" s="82">
        <f ca="1">IFERROR(__xludf.DUMMYFUNCTION("""COMPUTED_VALUE"""),0.666898148148148)</f>
        <v>0.66689814814814796</v>
      </c>
      <c r="G851" s="83">
        <f t="shared" ca="1" si="7"/>
        <v>19</v>
      </c>
      <c r="H851" s="83">
        <f ca="1">IFERROR(__xludf.DUMMYFUNCTION("""COMPUTED_VALUE"""),0)</f>
        <v>0</v>
      </c>
      <c r="I851" s="83">
        <f ca="1">IFERROR(__xludf.DUMMYFUNCTION("""COMPUTED_VALUE"""),20)</f>
        <v>20</v>
      </c>
    </row>
    <row r="852" spans="1:9">
      <c r="A852" s="79">
        <v>496</v>
      </c>
      <c r="B852" s="79">
        <v>3</v>
      </c>
      <c r="C852" s="79">
        <v>499</v>
      </c>
      <c r="D852" s="80">
        <v>43322.67732638889</v>
      </c>
      <c r="E852" s="81">
        <f t="shared" ca="1" si="6"/>
        <v>43313</v>
      </c>
      <c r="F852" s="82">
        <f ca="1">IFERROR(__xludf.DUMMYFUNCTION("""COMPUTED_VALUE"""),0.677326388888888)</f>
        <v>0.67732638888888796</v>
      </c>
      <c r="G852" s="83">
        <f t="shared" ca="1" si="7"/>
        <v>19</v>
      </c>
      <c r="H852" s="83">
        <f ca="1">IFERROR(__xludf.DUMMYFUNCTION("""COMPUTED_VALUE"""),15)</f>
        <v>15</v>
      </c>
      <c r="I852" s="83">
        <f ca="1">IFERROR(__xludf.DUMMYFUNCTION("""COMPUTED_VALUE"""),21)</f>
        <v>21</v>
      </c>
    </row>
    <row r="853" spans="1:9">
      <c r="A853" s="79">
        <v>461</v>
      </c>
      <c r="B853" s="79">
        <v>6</v>
      </c>
      <c r="C853" s="79">
        <v>467</v>
      </c>
      <c r="D853" s="80">
        <v>43322.687731481485</v>
      </c>
      <c r="E853" s="81">
        <f t="shared" ca="1" si="6"/>
        <v>43313</v>
      </c>
      <c r="F853" s="82">
        <f ca="1">IFERROR(__xludf.DUMMYFUNCTION("""COMPUTED_VALUE"""),0.687731481481481)</f>
        <v>0.687731481481481</v>
      </c>
      <c r="G853" s="83">
        <f t="shared" ca="1" si="7"/>
        <v>19</v>
      </c>
      <c r="H853" s="83">
        <f ca="1">IFERROR(__xludf.DUMMYFUNCTION("""COMPUTED_VALUE"""),30)</f>
        <v>30</v>
      </c>
      <c r="I853" s="83">
        <f ca="1">IFERROR(__xludf.DUMMYFUNCTION("""COMPUTED_VALUE"""),20)</f>
        <v>20</v>
      </c>
    </row>
    <row r="854" spans="1:9">
      <c r="A854" s="79">
        <v>473</v>
      </c>
      <c r="B854" s="79">
        <v>5</v>
      </c>
      <c r="C854" s="79">
        <v>478</v>
      </c>
      <c r="D854" s="80">
        <v>43322.698148148149</v>
      </c>
      <c r="E854" s="81">
        <f t="shared" ca="1" si="6"/>
        <v>43313</v>
      </c>
      <c r="F854" s="82">
        <f ca="1">IFERROR(__xludf.DUMMYFUNCTION("""COMPUTED_VALUE"""),0.698148148148148)</f>
        <v>0.69814814814814796</v>
      </c>
      <c r="G854" s="83">
        <f t="shared" ca="1" si="7"/>
        <v>19</v>
      </c>
      <c r="H854" s="83">
        <f ca="1">IFERROR(__xludf.DUMMYFUNCTION("""COMPUTED_VALUE"""),45)</f>
        <v>45</v>
      </c>
      <c r="I854" s="83">
        <f ca="1">IFERROR(__xludf.DUMMYFUNCTION("""COMPUTED_VALUE"""),20)</f>
        <v>20</v>
      </c>
    </row>
    <row r="855" spans="1:9">
      <c r="A855" s="79">
        <v>414</v>
      </c>
      <c r="B855" s="79">
        <v>4</v>
      </c>
      <c r="C855" s="79">
        <v>418</v>
      </c>
      <c r="D855" s="80">
        <v>43322.708564814813</v>
      </c>
      <c r="E855" s="81">
        <f t="shared" ca="1" si="6"/>
        <v>43313</v>
      </c>
      <c r="F855" s="82">
        <f ca="1">IFERROR(__xludf.DUMMYFUNCTION("""COMPUTED_VALUE"""),0.708564814814814)</f>
        <v>0.70856481481481404</v>
      </c>
      <c r="G855" s="83">
        <f t="shared" ca="1" si="7"/>
        <v>19</v>
      </c>
      <c r="H855" s="83">
        <f ca="1">IFERROR(__xludf.DUMMYFUNCTION("""COMPUTED_VALUE"""),0)</f>
        <v>0</v>
      </c>
      <c r="I855" s="83">
        <f ca="1">IFERROR(__xludf.DUMMYFUNCTION("""COMPUTED_VALUE"""),20)</f>
        <v>20</v>
      </c>
    </row>
    <row r="856" spans="1:9">
      <c r="A856" s="79">
        <v>673</v>
      </c>
      <c r="B856" s="79">
        <v>5</v>
      </c>
      <c r="C856" s="79">
        <v>678</v>
      </c>
      <c r="D856" s="80">
        <v>43322.718981481485</v>
      </c>
      <c r="E856" s="81">
        <f t="shared" ca="1" si="6"/>
        <v>43313</v>
      </c>
      <c r="F856" s="82">
        <f ca="1">IFERROR(__xludf.DUMMYFUNCTION("""COMPUTED_VALUE"""),0.718981481481481)</f>
        <v>0.718981481481481</v>
      </c>
      <c r="G856" s="83">
        <f t="shared" ca="1" si="7"/>
        <v>19</v>
      </c>
      <c r="H856" s="83">
        <f ca="1">IFERROR(__xludf.DUMMYFUNCTION("""COMPUTED_VALUE"""),15)</f>
        <v>15</v>
      </c>
      <c r="I856" s="83">
        <f ca="1">IFERROR(__xludf.DUMMYFUNCTION("""COMPUTED_VALUE"""),20)</f>
        <v>20</v>
      </c>
    </row>
    <row r="857" spans="1:9">
      <c r="A857" s="79">
        <v>560</v>
      </c>
      <c r="B857" s="79">
        <v>3</v>
      </c>
      <c r="C857" s="79">
        <v>559</v>
      </c>
      <c r="D857" s="80">
        <v>43322.729398148149</v>
      </c>
      <c r="E857" s="81">
        <f t="shared" ca="1" si="6"/>
        <v>43313</v>
      </c>
      <c r="F857" s="82">
        <f ca="1">IFERROR(__xludf.DUMMYFUNCTION("""COMPUTED_VALUE"""),0.729398148148148)</f>
        <v>0.72939814814814796</v>
      </c>
      <c r="G857" s="83">
        <f t="shared" ca="1" si="7"/>
        <v>19</v>
      </c>
      <c r="H857" s="83">
        <f ca="1">IFERROR(__xludf.DUMMYFUNCTION("""COMPUTED_VALUE"""),30)</f>
        <v>30</v>
      </c>
      <c r="I857" s="83">
        <f ca="1">IFERROR(__xludf.DUMMYFUNCTION("""COMPUTED_VALUE"""),20)</f>
        <v>20</v>
      </c>
    </row>
    <row r="858" spans="1:9">
      <c r="A858" s="79">
        <v>496</v>
      </c>
      <c r="B858" s="79">
        <v>5</v>
      </c>
      <c r="C858" s="79">
        <v>501</v>
      </c>
      <c r="D858" s="80">
        <v>43322.73982638889</v>
      </c>
      <c r="E858" s="81">
        <f t="shared" ca="1" si="6"/>
        <v>43313</v>
      </c>
      <c r="F858" s="82">
        <f ca="1">IFERROR(__xludf.DUMMYFUNCTION("""COMPUTED_VALUE"""),0.739826388888888)</f>
        <v>0.73982638888888796</v>
      </c>
      <c r="G858" s="83">
        <f t="shared" ca="1" si="7"/>
        <v>19</v>
      </c>
      <c r="H858" s="83">
        <f ca="1">IFERROR(__xludf.DUMMYFUNCTION("""COMPUTED_VALUE"""),45)</f>
        <v>45</v>
      </c>
      <c r="I858" s="83">
        <f ca="1">IFERROR(__xludf.DUMMYFUNCTION("""COMPUTED_VALUE"""),21)</f>
        <v>21</v>
      </c>
    </row>
    <row r="859" spans="1:9">
      <c r="A859" s="79">
        <v>450</v>
      </c>
      <c r="B859" s="79">
        <v>1</v>
      </c>
      <c r="C859" s="79">
        <v>451</v>
      </c>
      <c r="D859" s="80">
        <v>43322.750231481485</v>
      </c>
      <c r="E859" s="81">
        <f t="shared" ca="1" si="6"/>
        <v>43313</v>
      </c>
      <c r="F859" s="82">
        <f ca="1">IFERROR(__xludf.DUMMYFUNCTION("""COMPUTED_VALUE"""),0.750231481481481)</f>
        <v>0.750231481481481</v>
      </c>
      <c r="G859" s="83">
        <f t="shared" ca="1" si="7"/>
        <v>19</v>
      </c>
      <c r="H859" s="83">
        <f ca="1">IFERROR(__xludf.DUMMYFUNCTION("""COMPUTED_VALUE"""),0)</f>
        <v>0</v>
      </c>
      <c r="I859" s="83">
        <f ca="1">IFERROR(__xludf.DUMMYFUNCTION("""COMPUTED_VALUE"""),20)</f>
        <v>20</v>
      </c>
    </row>
    <row r="860" spans="1:9">
      <c r="A860" s="79">
        <v>578</v>
      </c>
      <c r="B860" s="79">
        <v>2</v>
      </c>
      <c r="C860" s="79">
        <v>580</v>
      </c>
      <c r="D860" s="80">
        <v>43322.760659722226</v>
      </c>
      <c r="E860" s="81">
        <f t="shared" ca="1" si="6"/>
        <v>43313</v>
      </c>
      <c r="F860" s="82">
        <f ca="1">IFERROR(__xludf.DUMMYFUNCTION("""COMPUTED_VALUE"""),0.760659722222222)</f>
        <v>0.760659722222222</v>
      </c>
      <c r="G860" s="83">
        <f t="shared" ca="1" si="7"/>
        <v>19</v>
      </c>
      <c r="H860" s="83">
        <f ca="1">IFERROR(__xludf.DUMMYFUNCTION("""COMPUTED_VALUE"""),15)</f>
        <v>15</v>
      </c>
      <c r="I860" s="83">
        <f ca="1">IFERROR(__xludf.DUMMYFUNCTION("""COMPUTED_VALUE"""),21)</f>
        <v>21</v>
      </c>
    </row>
    <row r="861" spans="1:9">
      <c r="A861" s="79">
        <v>557</v>
      </c>
      <c r="B861" s="79">
        <v>3</v>
      </c>
      <c r="C861" s="79">
        <v>553</v>
      </c>
      <c r="D861" s="80">
        <v>43322.771064814813</v>
      </c>
      <c r="E861" s="81">
        <f t="shared" ca="1" si="6"/>
        <v>43313</v>
      </c>
      <c r="F861" s="82">
        <f ca="1">IFERROR(__xludf.DUMMYFUNCTION("""COMPUTED_VALUE"""),0.771064814814814)</f>
        <v>0.77106481481481404</v>
      </c>
      <c r="G861" s="83">
        <f t="shared" ca="1" si="7"/>
        <v>19</v>
      </c>
      <c r="H861" s="83">
        <f ca="1">IFERROR(__xludf.DUMMYFUNCTION("""COMPUTED_VALUE"""),30)</f>
        <v>30</v>
      </c>
      <c r="I861" s="83">
        <f ca="1">IFERROR(__xludf.DUMMYFUNCTION("""COMPUTED_VALUE"""),20)</f>
        <v>20</v>
      </c>
    </row>
    <row r="862" spans="1:9">
      <c r="A862" s="79">
        <v>519</v>
      </c>
      <c r="B862" s="79">
        <v>6</v>
      </c>
      <c r="C862" s="79">
        <v>525</v>
      </c>
      <c r="D862" s="80">
        <v>43322.781481481485</v>
      </c>
      <c r="E862" s="81">
        <f t="shared" ca="1" si="6"/>
        <v>43313</v>
      </c>
      <c r="F862" s="82">
        <f ca="1">IFERROR(__xludf.DUMMYFUNCTION("""COMPUTED_VALUE"""),0.781481481481481)</f>
        <v>0.781481481481481</v>
      </c>
      <c r="G862" s="83">
        <f t="shared" ca="1" si="7"/>
        <v>19</v>
      </c>
      <c r="H862" s="83">
        <f ca="1">IFERROR(__xludf.DUMMYFUNCTION("""COMPUTED_VALUE"""),45)</f>
        <v>45</v>
      </c>
      <c r="I862" s="83">
        <f ca="1">IFERROR(__xludf.DUMMYFUNCTION("""COMPUTED_VALUE"""),20)</f>
        <v>20</v>
      </c>
    </row>
    <row r="863" spans="1:9">
      <c r="A863" s="79">
        <v>498</v>
      </c>
      <c r="B863" s="79">
        <v>3</v>
      </c>
      <c r="C863" s="79">
        <v>501</v>
      </c>
      <c r="D863" s="80">
        <v>43322.791898148149</v>
      </c>
      <c r="E863" s="81">
        <f t="shared" ca="1" si="6"/>
        <v>43313</v>
      </c>
      <c r="F863" s="82">
        <f ca="1">IFERROR(__xludf.DUMMYFUNCTION("""COMPUTED_VALUE"""),0.791898148148148)</f>
        <v>0.79189814814814796</v>
      </c>
      <c r="G863" s="83">
        <f t="shared" ca="1" si="7"/>
        <v>19</v>
      </c>
      <c r="H863" s="83">
        <f ca="1">IFERROR(__xludf.DUMMYFUNCTION("""COMPUTED_VALUE"""),0)</f>
        <v>0</v>
      </c>
      <c r="I863" s="83">
        <f ca="1">IFERROR(__xludf.DUMMYFUNCTION("""COMPUTED_VALUE"""),20)</f>
        <v>20</v>
      </c>
    </row>
    <row r="864" spans="1:9">
      <c r="A864" s="79">
        <v>534</v>
      </c>
      <c r="B864" s="79">
        <v>5</v>
      </c>
      <c r="C864" s="79">
        <v>539</v>
      </c>
      <c r="D864" s="80">
        <v>43322.802314814813</v>
      </c>
      <c r="E864" s="81">
        <f t="shared" ca="1" si="6"/>
        <v>43313</v>
      </c>
      <c r="F864" s="82">
        <f ca="1">IFERROR(__xludf.DUMMYFUNCTION("""COMPUTED_VALUE"""),0.802314814814814)</f>
        <v>0.80231481481481404</v>
      </c>
      <c r="G864" s="83">
        <f t="shared" ca="1" si="7"/>
        <v>19</v>
      </c>
      <c r="H864" s="83">
        <f ca="1">IFERROR(__xludf.DUMMYFUNCTION("""COMPUTED_VALUE"""),15)</f>
        <v>15</v>
      </c>
      <c r="I864" s="83">
        <f ca="1">IFERROR(__xludf.DUMMYFUNCTION("""COMPUTED_VALUE"""),20)</f>
        <v>20</v>
      </c>
    </row>
    <row r="865" spans="1:9">
      <c r="A865" s="79">
        <v>491</v>
      </c>
      <c r="B865" s="79">
        <v>5</v>
      </c>
      <c r="C865" s="79">
        <v>496</v>
      </c>
      <c r="D865" s="80">
        <v>43322.812731481485</v>
      </c>
      <c r="E865" s="81">
        <f t="shared" ca="1" si="6"/>
        <v>43313</v>
      </c>
      <c r="F865" s="82">
        <f ca="1">IFERROR(__xludf.DUMMYFUNCTION("""COMPUTED_VALUE"""),0.812731481481481)</f>
        <v>0.812731481481481</v>
      </c>
      <c r="G865" s="83">
        <f t="shared" ca="1" si="7"/>
        <v>19</v>
      </c>
      <c r="H865" s="83">
        <f ca="1">IFERROR(__xludf.DUMMYFUNCTION("""COMPUTED_VALUE"""),30)</f>
        <v>30</v>
      </c>
      <c r="I865" s="83">
        <f ca="1">IFERROR(__xludf.DUMMYFUNCTION("""COMPUTED_VALUE"""),20)</f>
        <v>20</v>
      </c>
    </row>
    <row r="866" spans="1:9">
      <c r="A866" s="79">
        <v>507</v>
      </c>
      <c r="B866" s="79">
        <v>5</v>
      </c>
      <c r="C866" s="79">
        <v>512</v>
      </c>
      <c r="D866" s="80">
        <v>43322.823148148149</v>
      </c>
      <c r="E866" s="81">
        <f t="shared" ca="1" si="6"/>
        <v>43313</v>
      </c>
      <c r="F866" s="82">
        <f ca="1">IFERROR(__xludf.DUMMYFUNCTION("""COMPUTED_VALUE"""),0.823148148148148)</f>
        <v>0.82314814814814796</v>
      </c>
      <c r="G866" s="83">
        <f t="shared" ca="1" si="7"/>
        <v>19</v>
      </c>
      <c r="H866" s="83">
        <f ca="1">IFERROR(__xludf.DUMMYFUNCTION("""COMPUTED_VALUE"""),45)</f>
        <v>45</v>
      </c>
      <c r="I866" s="83">
        <f ca="1">IFERROR(__xludf.DUMMYFUNCTION("""COMPUTED_VALUE"""),20)</f>
        <v>20</v>
      </c>
    </row>
    <row r="867" spans="1:9">
      <c r="A867" s="79">
        <v>486</v>
      </c>
      <c r="B867" s="79">
        <v>7</v>
      </c>
      <c r="C867" s="79">
        <v>493</v>
      </c>
      <c r="D867" s="80">
        <v>43322.83357638889</v>
      </c>
      <c r="E867" s="81">
        <f t="shared" ca="1" si="6"/>
        <v>43313</v>
      </c>
      <c r="F867" s="82">
        <f ca="1">IFERROR(__xludf.DUMMYFUNCTION("""COMPUTED_VALUE"""),0.833576388888888)</f>
        <v>0.83357638888888796</v>
      </c>
      <c r="G867" s="83">
        <f t="shared" ca="1" si="7"/>
        <v>19</v>
      </c>
      <c r="H867" s="83">
        <f ca="1">IFERROR(__xludf.DUMMYFUNCTION("""COMPUTED_VALUE"""),0)</f>
        <v>0</v>
      </c>
      <c r="I867" s="83">
        <f ca="1">IFERROR(__xludf.DUMMYFUNCTION("""COMPUTED_VALUE"""),21)</f>
        <v>21</v>
      </c>
    </row>
    <row r="868" spans="1:9">
      <c r="A868" s="79">
        <v>552</v>
      </c>
      <c r="B868" s="79">
        <v>8</v>
      </c>
      <c r="C868" s="79">
        <v>560</v>
      </c>
      <c r="D868" s="80">
        <v>43322.843981481485</v>
      </c>
      <c r="E868" s="81">
        <f t="shared" ca="1" si="6"/>
        <v>43313</v>
      </c>
      <c r="F868" s="82">
        <f ca="1">IFERROR(__xludf.DUMMYFUNCTION("""COMPUTED_VALUE"""),0.843981481481481)</f>
        <v>0.843981481481481</v>
      </c>
      <c r="G868" s="83">
        <f t="shared" ca="1" si="7"/>
        <v>19</v>
      </c>
      <c r="H868" s="83">
        <f ca="1">IFERROR(__xludf.DUMMYFUNCTION("""COMPUTED_VALUE"""),15)</f>
        <v>15</v>
      </c>
      <c r="I868" s="83">
        <f ca="1">IFERROR(__xludf.DUMMYFUNCTION("""COMPUTED_VALUE"""),20)</f>
        <v>20</v>
      </c>
    </row>
    <row r="869" spans="1:9">
      <c r="A869" s="79">
        <v>565</v>
      </c>
      <c r="B869" s="79">
        <v>8</v>
      </c>
      <c r="C869" s="79">
        <v>573</v>
      </c>
      <c r="D869" s="80">
        <v>43322.854398148149</v>
      </c>
      <c r="E869" s="81">
        <f t="shared" ca="1" si="6"/>
        <v>43313</v>
      </c>
      <c r="F869" s="82">
        <f ca="1">IFERROR(__xludf.DUMMYFUNCTION("""COMPUTED_VALUE"""),0.854398148148148)</f>
        <v>0.85439814814814796</v>
      </c>
      <c r="G869" s="83">
        <f t="shared" ca="1" si="7"/>
        <v>19</v>
      </c>
      <c r="H869" s="83">
        <f ca="1">IFERROR(__xludf.DUMMYFUNCTION("""COMPUTED_VALUE"""),30)</f>
        <v>30</v>
      </c>
      <c r="I869" s="83">
        <f ca="1">IFERROR(__xludf.DUMMYFUNCTION("""COMPUTED_VALUE"""),20)</f>
        <v>20</v>
      </c>
    </row>
    <row r="870" spans="1:9">
      <c r="A870" s="79">
        <v>553</v>
      </c>
      <c r="B870" s="79">
        <v>5</v>
      </c>
      <c r="C870" s="79">
        <v>558</v>
      </c>
      <c r="D870" s="80">
        <v>43322.864814814813</v>
      </c>
      <c r="E870" s="81">
        <f t="shared" ca="1" si="6"/>
        <v>43313</v>
      </c>
      <c r="F870" s="82">
        <f ca="1">IFERROR(__xludf.DUMMYFUNCTION("""COMPUTED_VALUE"""),0.864814814814814)</f>
        <v>0.86481481481481404</v>
      </c>
      <c r="G870" s="83">
        <f t="shared" ca="1" si="7"/>
        <v>19</v>
      </c>
      <c r="H870" s="83">
        <f ca="1">IFERROR(__xludf.DUMMYFUNCTION("""COMPUTED_VALUE"""),45)</f>
        <v>45</v>
      </c>
      <c r="I870" s="83">
        <f ca="1">IFERROR(__xludf.DUMMYFUNCTION("""COMPUTED_VALUE"""),20)</f>
        <v>20</v>
      </c>
    </row>
    <row r="871" spans="1:9">
      <c r="A871" s="79">
        <v>489</v>
      </c>
      <c r="B871" s="79">
        <v>11</v>
      </c>
      <c r="C871" s="79">
        <v>500</v>
      </c>
      <c r="D871" s="80">
        <v>43322.875219907408</v>
      </c>
      <c r="E871" s="81">
        <f t="shared" ca="1" si="6"/>
        <v>43313</v>
      </c>
      <c r="F871" s="82">
        <f ca="1">IFERROR(__xludf.DUMMYFUNCTION("""COMPUTED_VALUE"""),0.875219907407407)</f>
        <v>0.87521990740740696</v>
      </c>
      <c r="G871" s="83">
        <f t="shared" ca="1" si="7"/>
        <v>19</v>
      </c>
      <c r="H871" s="83">
        <f ca="1">IFERROR(__xludf.DUMMYFUNCTION("""COMPUTED_VALUE"""),0)</f>
        <v>0</v>
      </c>
      <c r="I871" s="83">
        <f ca="1">IFERROR(__xludf.DUMMYFUNCTION("""COMPUTED_VALUE"""),19)</f>
        <v>19</v>
      </c>
    </row>
    <row r="872" spans="1:9">
      <c r="A872" s="79">
        <v>499</v>
      </c>
      <c r="B872" s="79">
        <v>11</v>
      </c>
      <c r="C872" s="79">
        <v>510</v>
      </c>
      <c r="D872" s="80">
        <v>43322.885648148149</v>
      </c>
      <c r="E872" s="81">
        <f t="shared" ca="1" si="6"/>
        <v>43313</v>
      </c>
      <c r="F872" s="82">
        <f ca="1">IFERROR(__xludf.DUMMYFUNCTION("""COMPUTED_VALUE"""),0.885648148148148)</f>
        <v>0.88564814814814796</v>
      </c>
      <c r="G872" s="83">
        <f t="shared" ca="1" si="7"/>
        <v>19</v>
      </c>
      <c r="H872" s="83">
        <f ca="1">IFERROR(__xludf.DUMMYFUNCTION("""COMPUTED_VALUE"""),15)</f>
        <v>15</v>
      </c>
      <c r="I872" s="83">
        <f ca="1">IFERROR(__xludf.DUMMYFUNCTION("""COMPUTED_VALUE"""),20)</f>
        <v>20</v>
      </c>
    </row>
    <row r="873" spans="1:9">
      <c r="A873" s="79">
        <v>521</v>
      </c>
      <c r="B873" s="79">
        <v>9</v>
      </c>
      <c r="C873" s="79">
        <v>530</v>
      </c>
      <c r="D873" s="80">
        <v>43322.896064814813</v>
      </c>
      <c r="E873" s="81">
        <f t="shared" ca="1" si="6"/>
        <v>43313</v>
      </c>
      <c r="F873" s="82">
        <f ca="1">IFERROR(__xludf.DUMMYFUNCTION("""COMPUTED_VALUE"""),0.896064814814814)</f>
        <v>0.89606481481481404</v>
      </c>
      <c r="G873" s="83">
        <f t="shared" ca="1" si="7"/>
        <v>19</v>
      </c>
      <c r="H873" s="83">
        <f ca="1">IFERROR(__xludf.DUMMYFUNCTION("""COMPUTED_VALUE"""),30)</f>
        <v>30</v>
      </c>
      <c r="I873" s="83">
        <f ca="1">IFERROR(__xludf.DUMMYFUNCTION("""COMPUTED_VALUE"""),20)</f>
        <v>20</v>
      </c>
    </row>
    <row r="874" spans="1:9">
      <c r="A874" s="79">
        <v>559</v>
      </c>
      <c r="B874" s="79">
        <v>6</v>
      </c>
      <c r="C874" s="79">
        <v>556</v>
      </c>
      <c r="D874" s="80">
        <v>43322.906481481485</v>
      </c>
      <c r="E874" s="81">
        <f t="shared" ca="1" si="6"/>
        <v>43313</v>
      </c>
      <c r="F874" s="82">
        <f ca="1">IFERROR(__xludf.DUMMYFUNCTION("""COMPUTED_VALUE"""),0.906481481481481)</f>
        <v>0.906481481481481</v>
      </c>
      <c r="G874" s="83">
        <f t="shared" ca="1" si="7"/>
        <v>19</v>
      </c>
      <c r="H874" s="83">
        <f ca="1">IFERROR(__xludf.DUMMYFUNCTION("""COMPUTED_VALUE"""),45)</f>
        <v>45</v>
      </c>
      <c r="I874" s="83">
        <f ca="1">IFERROR(__xludf.DUMMYFUNCTION("""COMPUTED_VALUE"""),20)</f>
        <v>20</v>
      </c>
    </row>
    <row r="875" spans="1:9">
      <c r="A875" s="79">
        <v>505</v>
      </c>
      <c r="B875" s="79">
        <v>9</v>
      </c>
      <c r="C875" s="79">
        <v>514</v>
      </c>
      <c r="D875" s="80">
        <v>43322.916898148149</v>
      </c>
      <c r="E875" s="81">
        <f t="shared" ca="1" si="6"/>
        <v>43313</v>
      </c>
      <c r="F875" s="82">
        <f ca="1">IFERROR(__xludf.DUMMYFUNCTION("""COMPUTED_VALUE"""),0.916898148148148)</f>
        <v>0.91689814814814796</v>
      </c>
      <c r="G875" s="83">
        <f t="shared" ca="1" si="7"/>
        <v>19</v>
      </c>
      <c r="H875" s="83">
        <f ca="1">IFERROR(__xludf.DUMMYFUNCTION("""COMPUTED_VALUE"""),0)</f>
        <v>0</v>
      </c>
      <c r="I875" s="83">
        <f ca="1">IFERROR(__xludf.DUMMYFUNCTION("""COMPUTED_VALUE"""),20)</f>
        <v>20</v>
      </c>
    </row>
    <row r="876" spans="1:9">
      <c r="A876" s="79">
        <v>587</v>
      </c>
      <c r="B876" s="79">
        <v>8</v>
      </c>
      <c r="C876" s="79">
        <v>595</v>
      </c>
      <c r="D876" s="80">
        <v>43322.927314814813</v>
      </c>
      <c r="E876" s="81">
        <f t="shared" ca="1" si="6"/>
        <v>43313</v>
      </c>
      <c r="F876" s="82">
        <f ca="1">IFERROR(__xludf.DUMMYFUNCTION("""COMPUTED_VALUE"""),0.927314814814814)</f>
        <v>0.92731481481481404</v>
      </c>
      <c r="G876" s="83">
        <f t="shared" ca="1" si="7"/>
        <v>19</v>
      </c>
      <c r="H876" s="83">
        <f ca="1">IFERROR(__xludf.DUMMYFUNCTION("""COMPUTED_VALUE"""),15)</f>
        <v>15</v>
      </c>
      <c r="I876" s="83">
        <f ca="1">IFERROR(__xludf.DUMMYFUNCTION("""COMPUTED_VALUE"""),20)</f>
        <v>20</v>
      </c>
    </row>
    <row r="877" spans="1:9">
      <c r="A877" s="79">
        <v>516</v>
      </c>
      <c r="B877" s="79">
        <v>3</v>
      </c>
      <c r="C877" s="79">
        <v>519</v>
      </c>
      <c r="D877" s="80">
        <v>43322.937719907408</v>
      </c>
      <c r="E877" s="81">
        <f t="shared" ca="1" si="6"/>
        <v>43313</v>
      </c>
      <c r="F877" s="82">
        <f ca="1">IFERROR(__xludf.DUMMYFUNCTION("""COMPUTED_VALUE"""),0.937719907407407)</f>
        <v>0.93771990740740696</v>
      </c>
      <c r="G877" s="83">
        <f t="shared" ca="1" si="7"/>
        <v>19</v>
      </c>
      <c r="H877" s="83">
        <f ca="1">IFERROR(__xludf.DUMMYFUNCTION("""COMPUTED_VALUE"""),30)</f>
        <v>30</v>
      </c>
      <c r="I877" s="83">
        <f ca="1">IFERROR(__xludf.DUMMYFUNCTION("""COMPUTED_VALUE"""),19)</f>
        <v>19</v>
      </c>
    </row>
    <row r="878" spans="1:9">
      <c r="A878" s="79">
        <v>482</v>
      </c>
      <c r="B878" s="79">
        <v>3</v>
      </c>
      <c r="C878" s="79">
        <v>485</v>
      </c>
      <c r="D878" s="80">
        <v>43322.948148148149</v>
      </c>
      <c r="E878" s="81">
        <f t="shared" ca="1" si="6"/>
        <v>43313</v>
      </c>
      <c r="F878" s="82">
        <f ca="1">IFERROR(__xludf.DUMMYFUNCTION("""COMPUTED_VALUE"""),0.948148148148148)</f>
        <v>0.94814814814814796</v>
      </c>
      <c r="G878" s="83">
        <f t="shared" ca="1" si="7"/>
        <v>19</v>
      </c>
      <c r="H878" s="83">
        <f ca="1">IFERROR(__xludf.DUMMYFUNCTION("""COMPUTED_VALUE"""),45)</f>
        <v>45</v>
      </c>
      <c r="I878" s="83">
        <f ca="1">IFERROR(__xludf.DUMMYFUNCTION("""COMPUTED_VALUE"""),20)</f>
        <v>20</v>
      </c>
    </row>
    <row r="879" spans="1:9">
      <c r="A879" s="79">
        <v>457</v>
      </c>
      <c r="B879" s="79">
        <v>2</v>
      </c>
      <c r="C879" s="79">
        <v>459</v>
      </c>
      <c r="D879" s="80">
        <v>43322.958564814813</v>
      </c>
      <c r="E879" s="81">
        <f t="shared" ca="1" si="6"/>
        <v>43313</v>
      </c>
      <c r="F879" s="82">
        <f ca="1">IFERROR(__xludf.DUMMYFUNCTION("""COMPUTED_VALUE"""),0.958564814814814)</f>
        <v>0.95856481481481404</v>
      </c>
      <c r="G879" s="83">
        <f t="shared" ca="1" si="7"/>
        <v>19</v>
      </c>
      <c r="H879" s="83">
        <f ca="1">IFERROR(__xludf.DUMMYFUNCTION("""COMPUTED_VALUE"""),0)</f>
        <v>0</v>
      </c>
      <c r="I879" s="83">
        <f ca="1">IFERROR(__xludf.DUMMYFUNCTION("""COMPUTED_VALUE"""),20)</f>
        <v>20</v>
      </c>
    </row>
    <row r="880" spans="1:9">
      <c r="A880" s="79">
        <v>439</v>
      </c>
      <c r="B880" s="79">
        <v>3</v>
      </c>
      <c r="C880" s="79">
        <v>442</v>
      </c>
      <c r="D880" s="80">
        <v>43322.968981481485</v>
      </c>
      <c r="E880" s="81">
        <f t="shared" ca="1" si="6"/>
        <v>43313</v>
      </c>
      <c r="F880" s="82">
        <f ca="1">IFERROR(__xludf.DUMMYFUNCTION("""COMPUTED_VALUE"""),0.968981481481481)</f>
        <v>0.968981481481481</v>
      </c>
      <c r="G880" s="83">
        <f t="shared" ca="1" si="7"/>
        <v>19</v>
      </c>
      <c r="H880" s="83">
        <f ca="1">IFERROR(__xludf.DUMMYFUNCTION("""COMPUTED_VALUE"""),15)</f>
        <v>15</v>
      </c>
      <c r="I880" s="83">
        <f ca="1">IFERROR(__xludf.DUMMYFUNCTION("""COMPUTED_VALUE"""),20)</f>
        <v>20</v>
      </c>
    </row>
    <row r="881" spans="1:9">
      <c r="A881" s="79">
        <v>418</v>
      </c>
      <c r="B881" s="79">
        <v>2</v>
      </c>
      <c r="C881" s="79">
        <v>420</v>
      </c>
      <c r="D881" s="80">
        <v>43322.979398148149</v>
      </c>
      <c r="E881" s="81">
        <f t="shared" ca="1" si="6"/>
        <v>43313</v>
      </c>
      <c r="F881" s="82">
        <f ca="1">IFERROR(__xludf.DUMMYFUNCTION("""COMPUTED_VALUE"""),0.979398148148148)</f>
        <v>0.97939814814814796</v>
      </c>
      <c r="G881" s="83">
        <f t="shared" ca="1" si="7"/>
        <v>19</v>
      </c>
      <c r="H881" s="83">
        <f ca="1">IFERROR(__xludf.DUMMYFUNCTION("""COMPUTED_VALUE"""),30)</f>
        <v>30</v>
      </c>
      <c r="I881" s="83">
        <f ca="1">IFERROR(__xludf.DUMMYFUNCTION("""COMPUTED_VALUE"""),20)</f>
        <v>20</v>
      </c>
    </row>
    <row r="882" spans="1:9">
      <c r="A882" s="79">
        <v>378</v>
      </c>
      <c r="B882" s="79">
        <v>3</v>
      </c>
      <c r="C882" s="79">
        <v>381</v>
      </c>
      <c r="D882" s="80">
        <v>43322.989803240744</v>
      </c>
      <c r="E882" s="81">
        <f t="shared" ca="1" si="6"/>
        <v>43313</v>
      </c>
      <c r="F882" s="82">
        <f ca="1">IFERROR(__xludf.DUMMYFUNCTION("""COMPUTED_VALUE"""),0.98980324074074)</f>
        <v>0.98980324074074</v>
      </c>
      <c r="G882" s="83">
        <f t="shared" ca="1" si="7"/>
        <v>19</v>
      </c>
      <c r="H882" s="83">
        <f ca="1">IFERROR(__xludf.DUMMYFUNCTION("""COMPUTED_VALUE"""),45)</f>
        <v>45</v>
      </c>
      <c r="I882" s="83">
        <f ca="1">IFERROR(__xludf.DUMMYFUNCTION("""COMPUTED_VALUE"""),19)</f>
        <v>19</v>
      </c>
    </row>
    <row r="883" spans="1:9">
      <c r="A883" s="79">
        <v>327</v>
      </c>
      <c r="B883" s="79">
        <v>5</v>
      </c>
      <c r="C883" s="79">
        <v>332</v>
      </c>
      <c r="D883" s="80">
        <v>43323.000231481485</v>
      </c>
      <c r="E883" s="81">
        <f t="shared" ca="1" si="6"/>
        <v>43313</v>
      </c>
      <c r="F883" s="82">
        <f ca="1">IFERROR(__xludf.DUMMYFUNCTION("""COMPUTED_VALUE"""),0.000231481481481481)</f>
        <v>2.31481481481481E-4</v>
      </c>
      <c r="G883" s="83">
        <f t="shared" ca="1" si="7"/>
        <v>19</v>
      </c>
      <c r="H883" s="83">
        <f ca="1">IFERROR(__xludf.DUMMYFUNCTION("""COMPUTED_VALUE"""),0)</f>
        <v>0</v>
      </c>
      <c r="I883" s="83">
        <f ca="1">IFERROR(__xludf.DUMMYFUNCTION("""COMPUTED_VALUE"""),20)</f>
        <v>20</v>
      </c>
    </row>
    <row r="884" spans="1:9">
      <c r="A884" s="79">
        <v>346</v>
      </c>
      <c r="B884" s="79">
        <v>6</v>
      </c>
      <c r="C884" s="79">
        <v>352</v>
      </c>
      <c r="D884" s="80">
        <v>43323.010636574072</v>
      </c>
      <c r="E884" s="81">
        <f t="shared" ca="1" si="6"/>
        <v>43313</v>
      </c>
      <c r="F884" s="82">
        <f ca="1">IFERROR(__xludf.DUMMYFUNCTION("""COMPUTED_VALUE"""),0.010636574074074)</f>
        <v>1.0636574074074E-2</v>
      </c>
      <c r="G884" s="83">
        <f t="shared" ca="1" si="7"/>
        <v>19</v>
      </c>
      <c r="H884" s="83">
        <f ca="1">IFERROR(__xludf.DUMMYFUNCTION("""COMPUTED_VALUE"""),15)</f>
        <v>15</v>
      </c>
      <c r="I884" s="83">
        <f ca="1">IFERROR(__xludf.DUMMYFUNCTION("""COMPUTED_VALUE"""),19)</f>
        <v>19</v>
      </c>
    </row>
    <row r="885" spans="1:9">
      <c r="A885" s="79">
        <v>339</v>
      </c>
      <c r="B885" s="79">
        <v>5</v>
      </c>
      <c r="C885" s="79">
        <v>344</v>
      </c>
      <c r="D885" s="80">
        <v>43323.021064814813</v>
      </c>
      <c r="E885" s="81">
        <f t="shared" ca="1" si="6"/>
        <v>43313</v>
      </c>
      <c r="F885" s="82">
        <f ca="1">IFERROR(__xludf.DUMMYFUNCTION("""COMPUTED_VALUE"""),0.0210648148148148)</f>
        <v>2.10648148148148E-2</v>
      </c>
      <c r="G885" s="83">
        <f t="shared" ca="1" si="7"/>
        <v>19</v>
      </c>
      <c r="H885" s="83">
        <f ca="1">IFERROR(__xludf.DUMMYFUNCTION("""COMPUTED_VALUE"""),30)</f>
        <v>30</v>
      </c>
      <c r="I885" s="83">
        <f ca="1">IFERROR(__xludf.DUMMYFUNCTION("""COMPUTED_VALUE"""),20)</f>
        <v>20</v>
      </c>
    </row>
    <row r="886" spans="1:9">
      <c r="A886" s="79">
        <v>275</v>
      </c>
      <c r="B886" s="79">
        <v>3</v>
      </c>
      <c r="C886" s="79">
        <v>278</v>
      </c>
      <c r="D886" s="80">
        <v>43323.031469907408</v>
      </c>
      <c r="E886" s="81">
        <f t="shared" ca="1" si="6"/>
        <v>43313</v>
      </c>
      <c r="F886" s="82">
        <f ca="1">IFERROR(__xludf.DUMMYFUNCTION("""COMPUTED_VALUE"""),0.0314699074074074)</f>
        <v>3.1469907407407398E-2</v>
      </c>
      <c r="G886" s="83">
        <f t="shared" ca="1" si="7"/>
        <v>19</v>
      </c>
      <c r="H886" s="83">
        <f ca="1">IFERROR(__xludf.DUMMYFUNCTION("""COMPUTED_VALUE"""),45)</f>
        <v>45</v>
      </c>
      <c r="I886" s="83">
        <f ca="1">IFERROR(__xludf.DUMMYFUNCTION("""COMPUTED_VALUE"""),19)</f>
        <v>19</v>
      </c>
    </row>
    <row r="887" spans="1:9">
      <c r="A887" s="79">
        <v>278</v>
      </c>
      <c r="B887" s="79">
        <v>5</v>
      </c>
      <c r="C887" s="79">
        <v>283</v>
      </c>
      <c r="D887" s="80">
        <v>43323.041898148149</v>
      </c>
      <c r="E887" s="81">
        <f t="shared" ca="1" si="6"/>
        <v>43313</v>
      </c>
      <c r="F887" s="82">
        <f ca="1">IFERROR(__xludf.DUMMYFUNCTION("""COMPUTED_VALUE"""),0.0418981481481481)</f>
        <v>4.1898148148148101E-2</v>
      </c>
      <c r="G887" s="83">
        <f t="shared" ca="1" si="7"/>
        <v>19</v>
      </c>
      <c r="H887" s="83">
        <f ca="1">IFERROR(__xludf.DUMMYFUNCTION("""COMPUTED_VALUE"""),0)</f>
        <v>0</v>
      </c>
      <c r="I887" s="83">
        <f ca="1">IFERROR(__xludf.DUMMYFUNCTION("""COMPUTED_VALUE"""),20)</f>
        <v>20</v>
      </c>
    </row>
    <row r="888" spans="1:9">
      <c r="A888" s="79">
        <v>271</v>
      </c>
      <c r="B888" s="79">
        <v>6</v>
      </c>
      <c r="C888" s="79">
        <v>277</v>
      </c>
      <c r="D888" s="80">
        <v>43323.052303240744</v>
      </c>
      <c r="E888" s="81">
        <f t="shared" ca="1" si="6"/>
        <v>43313</v>
      </c>
      <c r="F888" s="82">
        <f ca="1">IFERROR(__xludf.DUMMYFUNCTION("""COMPUTED_VALUE"""),0.0523032407407407)</f>
        <v>5.2303240740740699E-2</v>
      </c>
      <c r="G888" s="83">
        <f t="shared" ca="1" si="7"/>
        <v>19</v>
      </c>
      <c r="H888" s="83">
        <f ca="1">IFERROR(__xludf.DUMMYFUNCTION("""COMPUTED_VALUE"""),15)</f>
        <v>15</v>
      </c>
      <c r="I888" s="83">
        <f ca="1">IFERROR(__xludf.DUMMYFUNCTION("""COMPUTED_VALUE"""),19)</f>
        <v>19</v>
      </c>
    </row>
    <row r="889" spans="1:9">
      <c r="A889" s="79">
        <v>251</v>
      </c>
      <c r="B889" s="79">
        <v>5</v>
      </c>
      <c r="C889" s="79">
        <v>256</v>
      </c>
      <c r="D889" s="80">
        <v>43323.062731481485</v>
      </c>
      <c r="E889" s="81">
        <f t="shared" ca="1" si="6"/>
        <v>43313</v>
      </c>
      <c r="F889" s="82">
        <f ca="1">IFERROR(__xludf.DUMMYFUNCTION("""COMPUTED_VALUE"""),0.0627314814814814)</f>
        <v>6.2731481481481402E-2</v>
      </c>
      <c r="G889" s="83">
        <f t="shared" ca="1" si="7"/>
        <v>19</v>
      </c>
      <c r="H889" s="83">
        <f ca="1">IFERROR(__xludf.DUMMYFUNCTION("""COMPUTED_VALUE"""),30)</f>
        <v>30</v>
      </c>
      <c r="I889" s="83">
        <f ca="1">IFERROR(__xludf.DUMMYFUNCTION("""COMPUTED_VALUE"""),20)</f>
        <v>20</v>
      </c>
    </row>
    <row r="890" spans="1:9">
      <c r="A890" s="79">
        <v>256</v>
      </c>
      <c r="B890" s="79">
        <v>6</v>
      </c>
      <c r="C890" s="79">
        <v>262</v>
      </c>
      <c r="D890" s="80">
        <v>43323.073136574072</v>
      </c>
      <c r="E890" s="81">
        <f t="shared" ca="1" si="6"/>
        <v>43313</v>
      </c>
      <c r="F890" s="82">
        <f ca="1">IFERROR(__xludf.DUMMYFUNCTION("""COMPUTED_VALUE"""),0.073136574074074)</f>
        <v>7.3136574074074007E-2</v>
      </c>
      <c r="G890" s="83">
        <f t="shared" ca="1" si="7"/>
        <v>19</v>
      </c>
      <c r="H890" s="83">
        <f ca="1">IFERROR(__xludf.DUMMYFUNCTION("""COMPUTED_VALUE"""),45)</f>
        <v>45</v>
      </c>
      <c r="I890" s="83">
        <f ca="1">IFERROR(__xludf.DUMMYFUNCTION("""COMPUTED_VALUE"""),19)</f>
        <v>19</v>
      </c>
    </row>
    <row r="891" spans="1:9">
      <c r="A891" s="79">
        <v>237</v>
      </c>
      <c r="B891" s="79">
        <v>4</v>
      </c>
      <c r="C891" s="79">
        <v>241</v>
      </c>
      <c r="D891" s="80">
        <v>43323.083553240744</v>
      </c>
      <c r="E891" s="81">
        <f t="shared" ca="1" si="6"/>
        <v>43313</v>
      </c>
      <c r="F891" s="82">
        <f ca="1">IFERROR(__xludf.DUMMYFUNCTION("""COMPUTED_VALUE"""),0.0835532407407407)</f>
        <v>8.3553240740740706E-2</v>
      </c>
      <c r="G891" s="83">
        <f t="shared" ca="1" si="7"/>
        <v>19</v>
      </c>
      <c r="H891" s="83">
        <f ca="1">IFERROR(__xludf.DUMMYFUNCTION("""COMPUTED_VALUE"""),0)</f>
        <v>0</v>
      </c>
      <c r="I891" s="83">
        <f ca="1">IFERROR(__xludf.DUMMYFUNCTION("""COMPUTED_VALUE"""),19)</f>
        <v>19</v>
      </c>
    </row>
    <row r="892" spans="1:9">
      <c r="A892" s="79">
        <v>277</v>
      </c>
      <c r="B892" s="79">
        <v>2</v>
      </c>
      <c r="C892" s="79">
        <v>279</v>
      </c>
      <c r="D892" s="80">
        <v>43323.093969907408</v>
      </c>
      <c r="E892" s="81">
        <f t="shared" ca="1" si="6"/>
        <v>43313</v>
      </c>
      <c r="F892" s="82">
        <f ca="1">IFERROR(__xludf.DUMMYFUNCTION("""COMPUTED_VALUE"""),0.0939699074074074)</f>
        <v>9.3969907407407405E-2</v>
      </c>
      <c r="G892" s="83">
        <f t="shared" ca="1" si="7"/>
        <v>19</v>
      </c>
      <c r="H892" s="83">
        <f ca="1">IFERROR(__xludf.DUMMYFUNCTION("""COMPUTED_VALUE"""),15)</f>
        <v>15</v>
      </c>
      <c r="I892" s="83">
        <f ca="1">IFERROR(__xludf.DUMMYFUNCTION("""COMPUTED_VALUE"""),19)</f>
        <v>19</v>
      </c>
    </row>
    <row r="893" spans="1:9">
      <c r="A893" s="79">
        <v>270</v>
      </c>
      <c r="B893" s="79">
        <v>5</v>
      </c>
      <c r="C893" s="79">
        <v>265</v>
      </c>
      <c r="D893" s="80">
        <v>43323.104398148149</v>
      </c>
      <c r="E893" s="81">
        <f t="shared" ca="1" si="6"/>
        <v>43313</v>
      </c>
      <c r="F893" s="82">
        <f ca="1">IFERROR(__xludf.DUMMYFUNCTION("""COMPUTED_VALUE"""),0.104398148148148)</f>
        <v>0.104398148148148</v>
      </c>
      <c r="G893" s="83">
        <f t="shared" ca="1" si="7"/>
        <v>19</v>
      </c>
      <c r="H893" s="83">
        <f ca="1">IFERROR(__xludf.DUMMYFUNCTION("""COMPUTED_VALUE"""),30)</f>
        <v>30</v>
      </c>
      <c r="I893" s="83">
        <f ca="1">IFERROR(__xludf.DUMMYFUNCTION("""COMPUTED_VALUE"""),20)</f>
        <v>20</v>
      </c>
    </row>
    <row r="894" spans="1:9">
      <c r="A894" s="79">
        <v>263</v>
      </c>
      <c r="B894" s="79">
        <v>2</v>
      </c>
      <c r="C894" s="79">
        <v>265</v>
      </c>
      <c r="D894" s="80">
        <v>43323.114803240744</v>
      </c>
      <c r="E894" s="81">
        <f t="shared" ca="1" si="6"/>
        <v>43313</v>
      </c>
      <c r="F894" s="82">
        <f ca="1">IFERROR(__xludf.DUMMYFUNCTION("""COMPUTED_VALUE"""),0.11480324074074)</f>
        <v>0.11480324074074</v>
      </c>
      <c r="G894" s="83">
        <f t="shared" ca="1" si="7"/>
        <v>19</v>
      </c>
      <c r="H894" s="83">
        <f ca="1">IFERROR(__xludf.DUMMYFUNCTION("""COMPUTED_VALUE"""),45)</f>
        <v>45</v>
      </c>
      <c r="I894" s="83">
        <f ca="1">IFERROR(__xludf.DUMMYFUNCTION("""COMPUTED_VALUE"""),19)</f>
        <v>19</v>
      </c>
    </row>
    <row r="895" spans="1:9">
      <c r="A895" s="79">
        <v>207</v>
      </c>
      <c r="B895" s="79">
        <v>2</v>
      </c>
      <c r="C895" s="79">
        <v>209</v>
      </c>
      <c r="D895" s="80">
        <v>43323.125231481485</v>
      </c>
      <c r="E895" s="81">
        <f t="shared" ca="1" si="6"/>
        <v>43313</v>
      </c>
      <c r="F895" s="82">
        <f ca="1">IFERROR(__xludf.DUMMYFUNCTION("""COMPUTED_VALUE"""),0.125231481481481)</f>
        <v>0.125231481481481</v>
      </c>
      <c r="G895" s="83">
        <f t="shared" ca="1" si="7"/>
        <v>19</v>
      </c>
      <c r="H895" s="83">
        <f ca="1">IFERROR(__xludf.DUMMYFUNCTION("""COMPUTED_VALUE"""),0)</f>
        <v>0</v>
      </c>
      <c r="I895" s="83">
        <f ca="1">IFERROR(__xludf.DUMMYFUNCTION("""COMPUTED_VALUE"""),20)</f>
        <v>20</v>
      </c>
    </row>
    <row r="896" spans="1:9">
      <c r="A896" s="79">
        <v>204</v>
      </c>
      <c r="B896" s="79">
        <v>4</v>
      </c>
      <c r="C896" s="79">
        <v>208</v>
      </c>
      <c r="D896" s="80">
        <v>43323.135636574072</v>
      </c>
      <c r="E896" s="81">
        <f t="shared" ca="1" si="6"/>
        <v>43313</v>
      </c>
      <c r="F896" s="82">
        <f ca="1">IFERROR(__xludf.DUMMYFUNCTION("""COMPUTED_VALUE"""),0.135636574074074)</f>
        <v>0.13563657407407401</v>
      </c>
      <c r="G896" s="83">
        <f t="shared" ca="1" si="7"/>
        <v>19</v>
      </c>
      <c r="H896" s="83">
        <f ca="1">IFERROR(__xludf.DUMMYFUNCTION("""COMPUTED_VALUE"""),15)</f>
        <v>15</v>
      </c>
      <c r="I896" s="83">
        <f ca="1">IFERROR(__xludf.DUMMYFUNCTION("""COMPUTED_VALUE"""),19)</f>
        <v>19</v>
      </c>
    </row>
    <row r="897" spans="1:9">
      <c r="A897" s="79">
        <v>189</v>
      </c>
      <c r="B897" s="79">
        <v>2</v>
      </c>
      <c r="C897" s="79">
        <v>191</v>
      </c>
      <c r="D897" s="80">
        <v>43323.146064814813</v>
      </c>
      <c r="E897" s="81">
        <f t="shared" ca="1" si="6"/>
        <v>43313</v>
      </c>
      <c r="F897" s="82">
        <f ca="1">IFERROR(__xludf.DUMMYFUNCTION("""COMPUTED_VALUE"""),0.146064814814814)</f>
        <v>0.14606481481481401</v>
      </c>
      <c r="G897" s="83">
        <f t="shared" ca="1" si="7"/>
        <v>19</v>
      </c>
      <c r="H897" s="83">
        <f ca="1">IFERROR(__xludf.DUMMYFUNCTION("""COMPUTED_VALUE"""),30)</f>
        <v>30</v>
      </c>
      <c r="I897" s="83">
        <f ca="1">IFERROR(__xludf.DUMMYFUNCTION("""COMPUTED_VALUE"""),20)</f>
        <v>20</v>
      </c>
    </row>
    <row r="898" spans="1:9">
      <c r="A898" s="79">
        <v>154</v>
      </c>
      <c r="B898" s="79">
        <v>4</v>
      </c>
      <c r="C898" s="79">
        <v>158</v>
      </c>
      <c r="D898" s="80">
        <v>43323.156469907408</v>
      </c>
      <c r="E898" s="81">
        <f t="shared" ca="1" si="6"/>
        <v>43313</v>
      </c>
      <c r="F898" s="82">
        <f ca="1">IFERROR(__xludf.DUMMYFUNCTION("""COMPUTED_VALUE"""),0.156469907407407)</f>
        <v>0.15646990740740699</v>
      </c>
      <c r="G898" s="83">
        <f t="shared" ca="1" si="7"/>
        <v>19</v>
      </c>
      <c r="H898" s="83">
        <f ca="1">IFERROR(__xludf.DUMMYFUNCTION("""COMPUTED_VALUE"""),45)</f>
        <v>45</v>
      </c>
      <c r="I898" s="83">
        <f ca="1">IFERROR(__xludf.DUMMYFUNCTION("""COMPUTED_VALUE"""),19)</f>
        <v>19</v>
      </c>
    </row>
    <row r="899" spans="1:9">
      <c r="A899" s="79">
        <v>162</v>
      </c>
      <c r="B899" s="79">
        <v>3</v>
      </c>
      <c r="C899" s="79">
        <v>165</v>
      </c>
      <c r="D899" s="80">
        <v>43323.166898148149</v>
      </c>
      <c r="E899" s="81">
        <f t="shared" ca="1" si="6"/>
        <v>43313</v>
      </c>
      <c r="F899" s="82">
        <f ca="1">IFERROR(__xludf.DUMMYFUNCTION("""COMPUTED_VALUE"""),0.166898148148148)</f>
        <v>0.16689814814814799</v>
      </c>
      <c r="G899" s="83">
        <f t="shared" ca="1" si="7"/>
        <v>19</v>
      </c>
      <c r="H899" s="83">
        <f ca="1">IFERROR(__xludf.DUMMYFUNCTION("""COMPUTED_VALUE"""),0)</f>
        <v>0</v>
      </c>
      <c r="I899" s="83">
        <f ca="1">IFERROR(__xludf.DUMMYFUNCTION("""COMPUTED_VALUE"""),20)</f>
        <v>20</v>
      </c>
    </row>
    <row r="900" spans="1:9">
      <c r="A900" s="79">
        <v>146</v>
      </c>
      <c r="B900" s="79">
        <v>7</v>
      </c>
      <c r="C900" s="79">
        <v>153</v>
      </c>
      <c r="D900" s="80">
        <v>43323.177303240744</v>
      </c>
      <c r="E900" s="81">
        <f t="shared" ca="1" si="6"/>
        <v>43313</v>
      </c>
      <c r="F900" s="82">
        <f ca="1">IFERROR(__xludf.DUMMYFUNCTION("""COMPUTED_VALUE"""),0.17730324074074)</f>
        <v>0.17730324074074</v>
      </c>
      <c r="G900" s="83">
        <f t="shared" ca="1" si="7"/>
        <v>19</v>
      </c>
      <c r="H900" s="83">
        <f ca="1">IFERROR(__xludf.DUMMYFUNCTION("""COMPUTED_VALUE"""),15)</f>
        <v>15</v>
      </c>
      <c r="I900" s="83">
        <f ca="1">IFERROR(__xludf.DUMMYFUNCTION("""COMPUTED_VALUE"""),19)</f>
        <v>19</v>
      </c>
    </row>
    <row r="901" spans="1:9">
      <c r="A901" s="79">
        <v>117</v>
      </c>
      <c r="B901" s="79">
        <v>2</v>
      </c>
      <c r="C901" s="79">
        <v>119</v>
      </c>
      <c r="D901" s="80">
        <v>43323.187731481485</v>
      </c>
      <c r="E901" s="81">
        <f t="shared" ca="1" si="6"/>
        <v>43313</v>
      </c>
      <c r="F901" s="82">
        <f ca="1">IFERROR(__xludf.DUMMYFUNCTION("""COMPUTED_VALUE"""),0.187731481481481)</f>
        <v>0.187731481481481</v>
      </c>
      <c r="G901" s="83">
        <f t="shared" ca="1" si="7"/>
        <v>19</v>
      </c>
      <c r="H901" s="83">
        <f ca="1">IFERROR(__xludf.DUMMYFUNCTION("""COMPUTED_VALUE"""),30)</f>
        <v>30</v>
      </c>
      <c r="I901" s="83">
        <f ca="1">IFERROR(__xludf.DUMMYFUNCTION("""COMPUTED_VALUE"""),20)</f>
        <v>20</v>
      </c>
    </row>
    <row r="902" spans="1:9">
      <c r="A902" s="79">
        <v>144</v>
      </c>
      <c r="B902" s="79">
        <v>1</v>
      </c>
      <c r="C902" s="79">
        <v>145</v>
      </c>
      <c r="D902" s="80">
        <v>43323.198136574072</v>
      </c>
      <c r="E902" s="81">
        <f t="shared" ca="1" si="6"/>
        <v>43313</v>
      </c>
      <c r="F902" s="82">
        <f ca="1">IFERROR(__xludf.DUMMYFUNCTION("""COMPUTED_VALUE"""),0.198136574074074)</f>
        <v>0.19813657407407401</v>
      </c>
      <c r="G902" s="83">
        <f t="shared" ca="1" si="7"/>
        <v>19</v>
      </c>
      <c r="H902" s="83">
        <f ca="1">IFERROR(__xludf.DUMMYFUNCTION("""COMPUTED_VALUE"""),45)</f>
        <v>45</v>
      </c>
      <c r="I902" s="83">
        <f ca="1">IFERROR(__xludf.DUMMYFUNCTION("""COMPUTED_VALUE"""),19)</f>
        <v>19</v>
      </c>
    </row>
    <row r="903" spans="1:9">
      <c r="A903" s="79">
        <v>122</v>
      </c>
      <c r="B903" s="79">
        <v>2</v>
      </c>
      <c r="C903" s="79">
        <v>124</v>
      </c>
      <c r="D903" s="80">
        <v>43323.208599537036</v>
      </c>
      <c r="E903" s="81">
        <f t="shared" ca="1" si="6"/>
        <v>43313</v>
      </c>
      <c r="F903" s="82">
        <f ca="1">IFERROR(__xludf.DUMMYFUNCTION("""COMPUTED_VALUE"""),0.208599537037037)</f>
        <v>0.20859953703703699</v>
      </c>
      <c r="G903" s="83">
        <f t="shared" ca="1" si="7"/>
        <v>19</v>
      </c>
      <c r="H903" s="83">
        <f ca="1">IFERROR(__xludf.DUMMYFUNCTION("""COMPUTED_VALUE"""),0)</f>
        <v>0</v>
      </c>
      <c r="I903" s="83">
        <f ca="1">IFERROR(__xludf.DUMMYFUNCTION("""COMPUTED_VALUE"""),23)</f>
        <v>23</v>
      </c>
    </row>
    <row r="904" spans="1:9">
      <c r="A904" s="79">
        <v>143</v>
      </c>
      <c r="B904" s="79">
        <v>3</v>
      </c>
      <c r="C904" s="79">
        <v>146</v>
      </c>
      <c r="D904" s="80">
        <v>43323.218969907408</v>
      </c>
      <c r="E904" s="81">
        <f t="shared" ca="1" si="6"/>
        <v>43313</v>
      </c>
      <c r="F904" s="82">
        <f ca="1">IFERROR(__xludf.DUMMYFUNCTION("""COMPUTED_VALUE"""),0.218969907407407)</f>
        <v>0.21896990740740699</v>
      </c>
      <c r="G904" s="83">
        <f t="shared" ca="1" si="7"/>
        <v>19</v>
      </c>
      <c r="H904" s="83">
        <f ca="1">IFERROR(__xludf.DUMMYFUNCTION("""COMPUTED_VALUE"""),15)</f>
        <v>15</v>
      </c>
      <c r="I904" s="83">
        <f ca="1">IFERROR(__xludf.DUMMYFUNCTION("""COMPUTED_VALUE"""),19)</f>
        <v>19</v>
      </c>
    </row>
    <row r="905" spans="1:9">
      <c r="A905" s="79">
        <v>141</v>
      </c>
      <c r="B905" s="79">
        <v>2</v>
      </c>
      <c r="C905" s="79">
        <v>143</v>
      </c>
      <c r="D905" s="80">
        <v>43323.229386574072</v>
      </c>
      <c r="E905" s="81">
        <f t="shared" ca="1" si="6"/>
        <v>43313</v>
      </c>
      <c r="F905" s="82">
        <f ca="1">IFERROR(__xludf.DUMMYFUNCTION("""COMPUTED_VALUE"""),0.229386574074074)</f>
        <v>0.22938657407407401</v>
      </c>
      <c r="G905" s="83">
        <f t="shared" ca="1" si="7"/>
        <v>19</v>
      </c>
      <c r="H905" s="83">
        <f ca="1">IFERROR(__xludf.DUMMYFUNCTION("""COMPUTED_VALUE"""),30)</f>
        <v>30</v>
      </c>
      <c r="I905" s="83">
        <f ca="1">IFERROR(__xludf.DUMMYFUNCTION("""COMPUTED_VALUE"""),19)</f>
        <v>19</v>
      </c>
    </row>
    <row r="906" spans="1:9">
      <c r="A906" s="79">
        <v>125</v>
      </c>
      <c r="B906" s="79">
        <v>2</v>
      </c>
      <c r="C906" s="79">
        <v>127</v>
      </c>
      <c r="D906" s="80">
        <v>43323.239803240744</v>
      </c>
      <c r="E906" s="81">
        <f t="shared" ca="1" si="6"/>
        <v>43313</v>
      </c>
      <c r="F906" s="82">
        <f ca="1">IFERROR(__xludf.DUMMYFUNCTION("""COMPUTED_VALUE"""),0.23980324074074)</f>
        <v>0.23980324074074</v>
      </c>
      <c r="G906" s="83">
        <f t="shared" ca="1" si="7"/>
        <v>19</v>
      </c>
      <c r="H906" s="83">
        <f ca="1">IFERROR(__xludf.DUMMYFUNCTION("""COMPUTED_VALUE"""),45)</f>
        <v>45</v>
      </c>
      <c r="I906" s="83">
        <f ca="1">IFERROR(__xludf.DUMMYFUNCTION("""COMPUTED_VALUE"""),19)</f>
        <v>19</v>
      </c>
    </row>
    <row r="907" spans="1:9">
      <c r="A907" s="79">
        <v>138</v>
      </c>
      <c r="B907" s="79">
        <v>2</v>
      </c>
      <c r="C907" s="79">
        <v>140</v>
      </c>
      <c r="D907" s="80">
        <v>43323.250243055554</v>
      </c>
      <c r="E907" s="81">
        <f t="shared" ca="1" si="6"/>
        <v>43313</v>
      </c>
      <c r="F907" s="82">
        <f ca="1">IFERROR(__xludf.DUMMYFUNCTION("""COMPUTED_VALUE"""),0.250243055555555)</f>
        <v>0.25024305555555498</v>
      </c>
      <c r="G907" s="83">
        <f t="shared" ca="1" si="7"/>
        <v>19</v>
      </c>
      <c r="H907" s="83">
        <f ca="1">IFERROR(__xludf.DUMMYFUNCTION("""COMPUTED_VALUE"""),0)</f>
        <v>0</v>
      </c>
      <c r="I907" s="83">
        <f ca="1">IFERROR(__xludf.DUMMYFUNCTION("""COMPUTED_VALUE"""),21)</f>
        <v>21</v>
      </c>
    </row>
    <row r="908" spans="1:9">
      <c r="A908" s="79">
        <v>111</v>
      </c>
      <c r="B908" s="79">
        <v>1</v>
      </c>
      <c r="C908" s="79">
        <v>112</v>
      </c>
      <c r="D908" s="80">
        <v>43323.260636574072</v>
      </c>
      <c r="E908" s="81">
        <f t="shared" ca="1" si="6"/>
        <v>43313</v>
      </c>
      <c r="F908" s="82">
        <f ca="1">IFERROR(__xludf.DUMMYFUNCTION("""COMPUTED_VALUE"""),0.260636574074074)</f>
        <v>0.26063657407407398</v>
      </c>
      <c r="G908" s="83">
        <f t="shared" ca="1" si="7"/>
        <v>19</v>
      </c>
      <c r="H908" s="83">
        <f ca="1">IFERROR(__xludf.DUMMYFUNCTION("""COMPUTED_VALUE"""),15)</f>
        <v>15</v>
      </c>
      <c r="I908" s="83">
        <f ca="1">IFERROR(__xludf.DUMMYFUNCTION("""COMPUTED_VALUE"""),19)</f>
        <v>19</v>
      </c>
    </row>
    <row r="909" spans="1:9">
      <c r="A909" s="79">
        <v>86</v>
      </c>
      <c r="B909" s="79">
        <v>2</v>
      </c>
      <c r="C909" s="79">
        <v>88</v>
      </c>
      <c r="D909" s="80">
        <v>43323.273796296293</v>
      </c>
      <c r="E909" s="81">
        <f t="shared" ca="1" si="6"/>
        <v>43313</v>
      </c>
      <c r="F909" s="82">
        <f ca="1">IFERROR(__xludf.DUMMYFUNCTION("""COMPUTED_VALUE"""),0.273796296296296)</f>
        <v>0.27379629629629598</v>
      </c>
      <c r="G909" s="83">
        <f t="shared" ca="1" si="7"/>
        <v>19</v>
      </c>
      <c r="H909" s="83">
        <f ca="1">IFERROR(__xludf.DUMMYFUNCTION("""COMPUTED_VALUE"""),34)</f>
        <v>34</v>
      </c>
      <c r="I909" s="83">
        <f ca="1">IFERROR(__xludf.DUMMYFUNCTION("""COMPUTED_VALUE"""),16)</f>
        <v>16</v>
      </c>
    </row>
    <row r="910" spans="1:9">
      <c r="A910" s="79">
        <v>71</v>
      </c>
      <c r="B910" s="79">
        <v>1</v>
      </c>
      <c r="C910" s="79">
        <v>72</v>
      </c>
      <c r="D910" s="80">
        <v>43323.281469907408</v>
      </c>
      <c r="E910" s="81">
        <f t="shared" ca="1" si="6"/>
        <v>43313</v>
      </c>
      <c r="F910" s="82">
        <f ca="1">IFERROR(__xludf.DUMMYFUNCTION("""COMPUTED_VALUE"""),0.281469907407407)</f>
        <v>0.28146990740740702</v>
      </c>
      <c r="G910" s="83">
        <f t="shared" ca="1" si="7"/>
        <v>19</v>
      </c>
      <c r="H910" s="83">
        <f ca="1">IFERROR(__xludf.DUMMYFUNCTION("""COMPUTED_VALUE"""),45)</f>
        <v>45</v>
      </c>
      <c r="I910" s="83">
        <f ca="1">IFERROR(__xludf.DUMMYFUNCTION("""COMPUTED_VALUE"""),19)</f>
        <v>19</v>
      </c>
    </row>
    <row r="911" spans="1:9">
      <c r="A911" s="79">
        <v>62</v>
      </c>
      <c r="B911" s="79">
        <v>1</v>
      </c>
      <c r="C911" s="79">
        <v>63</v>
      </c>
      <c r="D911" s="80">
        <v>43323.291886574072</v>
      </c>
      <c r="E911" s="81">
        <f t="shared" ca="1" si="6"/>
        <v>43313</v>
      </c>
      <c r="F911" s="82">
        <f ca="1">IFERROR(__xludf.DUMMYFUNCTION("""COMPUTED_VALUE"""),0.291886574074074)</f>
        <v>0.29188657407407398</v>
      </c>
      <c r="G911" s="83">
        <f t="shared" ca="1" si="7"/>
        <v>19</v>
      </c>
      <c r="H911" s="83">
        <f ca="1">IFERROR(__xludf.DUMMYFUNCTION("""COMPUTED_VALUE"""),0)</f>
        <v>0</v>
      </c>
      <c r="I911" s="83">
        <f ca="1">IFERROR(__xludf.DUMMYFUNCTION("""COMPUTED_VALUE"""),19)</f>
        <v>19</v>
      </c>
    </row>
    <row r="912" spans="1:9">
      <c r="A912" s="79">
        <v>54</v>
      </c>
      <c r="B912" s="79">
        <v>1</v>
      </c>
      <c r="C912" s="79">
        <v>55</v>
      </c>
      <c r="D912" s="80">
        <v>43323.30232638889</v>
      </c>
      <c r="E912" s="81">
        <f t="shared" ca="1" si="6"/>
        <v>43313</v>
      </c>
      <c r="F912" s="82">
        <f ca="1">IFERROR(__xludf.DUMMYFUNCTION("""COMPUTED_VALUE"""),0.302326388888888)</f>
        <v>0.30232638888888802</v>
      </c>
      <c r="G912" s="83">
        <f t="shared" ca="1" si="7"/>
        <v>19</v>
      </c>
      <c r="H912" s="83">
        <f ca="1">IFERROR(__xludf.DUMMYFUNCTION("""COMPUTED_VALUE"""),15)</f>
        <v>15</v>
      </c>
      <c r="I912" s="83">
        <f ca="1">IFERROR(__xludf.DUMMYFUNCTION("""COMPUTED_VALUE"""),21)</f>
        <v>21</v>
      </c>
    </row>
    <row r="913" spans="1:9">
      <c r="A913" s="79">
        <v>64</v>
      </c>
      <c r="B913" s="79">
        <v>3</v>
      </c>
      <c r="C913" s="79">
        <v>67</v>
      </c>
      <c r="D913" s="80">
        <v>43323.312731481485</v>
      </c>
      <c r="E913" s="81">
        <f t="shared" ca="1" si="6"/>
        <v>43313</v>
      </c>
      <c r="F913" s="82">
        <f ca="1">IFERROR(__xludf.DUMMYFUNCTION("""COMPUTED_VALUE"""),0.312731481481481)</f>
        <v>0.312731481481481</v>
      </c>
      <c r="G913" s="83">
        <f t="shared" ca="1" si="7"/>
        <v>19</v>
      </c>
      <c r="H913" s="83">
        <f ca="1">IFERROR(__xludf.DUMMYFUNCTION("""COMPUTED_VALUE"""),30)</f>
        <v>30</v>
      </c>
      <c r="I913" s="83">
        <f ca="1">IFERROR(__xludf.DUMMYFUNCTION("""COMPUTED_VALUE"""),20)</f>
        <v>20</v>
      </c>
    </row>
    <row r="914" spans="1:9">
      <c r="A914" s="79">
        <v>78</v>
      </c>
      <c r="B914" s="79">
        <v>2</v>
      </c>
      <c r="C914" s="79">
        <v>80</v>
      </c>
      <c r="D914" s="80">
        <v>43323.323159722226</v>
      </c>
      <c r="E914" s="81">
        <f t="shared" ca="1" si="6"/>
        <v>43313</v>
      </c>
      <c r="F914" s="82">
        <f ca="1">IFERROR(__xludf.DUMMYFUNCTION("""COMPUTED_VALUE"""),0.323159722222222)</f>
        <v>0.323159722222222</v>
      </c>
      <c r="G914" s="83">
        <f t="shared" ca="1" si="7"/>
        <v>19</v>
      </c>
      <c r="H914" s="83">
        <f ca="1">IFERROR(__xludf.DUMMYFUNCTION("""COMPUTED_VALUE"""),45)</f>
        <v>45</v>
      </c>
      <c r="I914" s="83">
        <f ca="1">IFERROR(__xludf.DUMMYFUNCTION("""COMPUTED_VALUE"""),21)</f>
        <v>21</v>
      </c>
    </row>
    <row r="915" spans="1:9">
      <c r="A915" s="79">
        <v>75</v>
      </c>
      <c r="B915" s="79">
        <v>1</v>
      </c>
      <c r="C915" s="79">
        <v>76</v>
      </c>
      <c r="D915" s="80">
        <v>43323.33357638889</v>
      </c>
      <c r="E915" s="81">
        <f t="shared" ca="1" si="6"/>
        <v>43313</v>
      </c>
      <c r="F915" s="82">
        <f ca="1">IFERROR(__xludf.DUMMYFUNCTION("""COMPUTED_VALUE"""),0.333576388888888)</f>
        <v>0.33357638888888802</v>
      </c>
      <c r="G915" s="83">
        <f t="shared" ca="1" si="7"/>
        <v>19</v>
      </c>
      <c r="H915" s="83">
        <f ca="1">IFERROR(__xludf.DUMMYFUNCTION("""COMPUTED_VALUE"""),0)</f>
        <v>0</v>
      </c>
      <c r="I915" s="83">
        <f ca="1">IFERROR(__xludf.DUMMYFUNCTION("""COMPUTED_VALUE"""),21)</f>
        <v>21</v>
      </c>
    </row>
    <row r="916" spans="1:9">
      <c r="A916" s="79">
        <v>82</v>
      </c>
      <c r="B916" s="79">
        <v>1</v>
      </c>
      <c r="C916" s="79">
        <v>83</v>
      </c>
      <c r="D916" s="80">
        <v>43323.343993055554</v>
      </c>
      <c r="E916" s="81">
        <f t="shared" ca="1" si="6"/>
        <v>43313</v>
      </c>
      <c r="F916" s="82">
        <f ca="1">IFERROR(__xludf.DUMMYFUNCTION("""COMPUTED_VALUE"""),0.343993055555555)</f>
        <v>0.34399305555555498</v>
      </c>
      <c r="G916" s="83">
        <f t="shared" ca="1" si="7"/>
        <v>19</v>
      </c>
      <c r="H916" s="83">
        <f ca="1">IFERROR(__xludf.DUMMYFUNCTION("""COMPUTED_VALUE"""),15)</f>
        <v>15</v>
      </c>
      <c r="I916" s="83">
        <f ca="1">IFERROR(__xludf.DUMMYFUNCTION("""COMPUTED_VALUE"""),21)</f>
        <v>21</v>
      </c>
    </row>
    <row r="917" spans="1:9">
      <c r="A917" s="79">
        <v>113</v>
      </c>
      <c r="B917" s="79">
        <v>2</v>
      </c>
      <c r="C917" s="79">
        <v>115</v>
      </c>
      <c r="D917" s="80">
        <v>43323.354398148149</v>
      </c>
      <c r="E917" s="81">
        <f t="shared" ca="1" si="6"/>
        <v>43313</v>
      </c>
      <c r="F917" s="82">
        <f ca="1">IFERROR(__xludf.DUMMYFUNCTION("""COMPUTED_VALUE"""),0.354398148148148)</f>
        <v>0.35439814814814802</v>
      </c>
      <c r="G917" s="83">
        <f t="shared" ca="1" si="7"/>
        <v>19</v>
      </c>
      <c r="H917" s="83">
        <f ca="1">IFERROR(__xludf.DUMMYFUNCTION("""COMPUTED_VALUE"""),30)</f>
        <v>30</v>
      </c>
      <c r="I917" s="83">
        <f ca="1">IFERROR(__xludf.DUMMYFUNCTION("""COMPUTED_VALUE"""),20)</f>
        <v>20</v>
      </c>
    </row>
    <row r="918" spans="1:9">
      <c r="A918" s="79">
        <v>116</v>
      </c>
      <c r="B918" s="79">
        <v>2</v>
      </c>
      <c r="C918" s="79">
        <v>118</v>
      </c>
      <c r="D918" s="80">
        <v>43323.36482638889</v>
      </c>
      <c r="E918" s="81">
        <f t="shared" ca="1" si="6"/>
        <v>43313</v>
      </c>
      <c r="F918" s="82">
        <f ca="1">IFERROR(__xludf.DUMMYFUNCTION("""COMPUTED_VALUE"""),0.364826388888888)</f>
        <v>0.36482638888888802</v>
      </c>
      <c r="G918" s="83">
        <f t="shared" ca="1" si="7"/>
        <v>19</v>
      </c>
      <c r="H918" s="83">
        <f ca="1">IFERROR(__xludf.DUMMYFUNCTION("""COMPUTED_VALUE"""),45)</f>
        <v>45</v>
      </c>
      <c r="I918" s="83">
        <f ca="1">IFERROR(__xludf.DUMMYFUNCTION("""COMPUTED_VALUE"""),21)</f>
        <v>21</v>
      </c>
    </row>
    <row r="919" spans="1:9">
      <c r="A919" s="79">
        <v>94</v>
      </c>
      <c r="B919" s="79">
        <v>1</v>
      </c>
      <c r="C919" s="79">
        <v>95</v>
      </c>
      <c r="D919" s="80">
        <v>43323.375231481485</v>
      </c>
      <c r="E919" s="81">
        <f t="shared" ca="1" si="6"/>
        <v>43313</v>
      </c>
      <c r="F919" s="82">
        <f ca="1">IFERROR(__xludf.DUMMYFUNCTION("""COMPUTED_VALUE"""),0.375231481481481)</f>
        <v>0.375231481481481</v>
      </c>
      <c r="G919" s="83">
        <f t="shared" ca="1" si="7"/>
        <v>19</v>
      </c>
      <c r="H919" s="83">
        <f ca="1">IFERROR(__xludf.DUMMYFUNCTION("""COMPUTED_VALUE"""),0)</f>
        <v>0</v>
      </c>
      <c r="I919" s="83">
        <f ca="1">IFERROR(__xludf.DUMMYFUNCTION("""COMPUTED_VALUE"""),20)</f>
        <v>20</v>
      </c>
    </row>
    <row r="920" spans="1:9">
      <c r="A920" s="79">
        <v>89</v>
      </c>
      <c r="B920" s="79">
        <v>1</v>
      </c>
      <c r="C920" s="79">
        <v>90</v>
      </c>
      <c r="D920" s="80">
        <v>43323.385659722226</v>
      </c>
      <c r="E920" s="81">
        <f t="shared" ca="1" si="6"/>
        <v>43313</v>
      </c>
      <c r="F920" s="82">
        <f ca="1">IFERROR(__xludf.DUMMYFUNCTION("""COMPUTED_VALUE"""),0.385659722222222)</f>
        <v>0.385659722222222</v>
      </c>
      <c r="G920" s="83">
        <f t="shared" ca="1" si="7"/>
        <v>19</v>
      </c>
      <c r="H920" s="83">
        <f ca="1">IFERROR(__xludf.DUMMYFUNCTION("""COMPUTED_VALUE"""),15)</f>
        <v>15</v>
      </c>
      <c r="I920" s="83">
        <f ca="1">IFERROR(__xludf.DUMMYFUNCTION("""COMPUTED_VALUE"""),21)</f>
        <v>21</v>
      </c>
    </row>
    <row r="921" spans="1:9">
      <c r="A921" s="79">
        <v>95</v>
      </c>
      <c r="B921" s="79">
        <v>1</v>
      </c>
      <c r="C921" s="79">
        <v>96</v>
      </c>
      <c r="D921" s="80">
        <v>43323.396064814813</v>
      </c>
      <c r="E921" s="81">
        <f t="shared" ca="1" si="6"/>
        <v>43313</v>
      </c>
      <c r="F921" s="82">
        <f ca="1">IFERROR(__xludf.DUMMYFUNCTION("""COMPUTED_VALUE"""),0.396064814814814)</f>
        <v>0.39606481481481398</v>
      </c>
      <c r="G921" s="83">
        <f t="shared" ca="1" si="7"/>
        <v>19</v>
      </c>
      <c r="H921" s="83">
        <f ca="1">IFERROR(__xludf.DUMMYFUNCTION("""COMPUTED_VALUE"""),30)</f>
        <v>30</v>
      </c>
      <c r="I921" s="83">
        <f ca="1">IFERROR(__xludf.DUMMYFUNCTION("""COMPUTED_VALUE"""),20)</f>
        <v>20</v>
      </c>
    </row>
    <row r="922" spans="1:9">
      <c r="A922" s="79">
        <v>120</v>
      </c>
      <c r="B922" s="79">
        <v>2</v>
      </c>
      <c r="C922" s="79">
        <v>122</v>
      </c>
      <c r="D922" s="80">
        <v>43323.406493055554</v>
      </c>
      <c r="E922" s="81">
        <f t="shared" ca="1" si="6"/>
        <v>43313</v>
      </c>
      <c r="F922" s="82">
        <f ca="1">IFERROR(__xludf.DUMMYFUNCTION("""COMPUTED_VALUE"""),0.406493055555555)</f>
        <v>0.40649305555555498</v>
      </c>
      <c r="G922" s="83">
        <f t="shared" ca="1" si="7"/>
        <v>19</v>
      </c>
      <c r="H922" s="83">
        <f ca="1">IFERROR(__xludf.DUMMYFUNCTION("""COMPUTED_VALUE"""),45)</f>
        <v>45</v>
      </c>
      <c r="I922" s="83">
        <f ca="1">IFERROR(__xludf.DUMMYFUNCTION("""COMPUTED_VALUE"""),21)</f>
        <v>21</v>
      </c>
    </row>
    <row r="923" spans="1:9">
      <c r="A923" s="79">
        <v>85</v>
      </c>
      <c r="B923" s="79">
        <v>1</v>
      </c>
      <c r="C923" s="79">
        <v>84</v>
      </c>
      <c r="D923" s="80">
        <v>43323.416898148149</v>
      </c>
      <c r="E923" s="81">
        <f t="shared" ca="1" si="6"/>
        <v>43313</v>
      </c>
      <c r="F923" s="82">
        <f ca="1">IFERROR(__xludf.DUMMYFUNCTION("""COMPUTED_VALUE"""),0.416898148148148)</f>
        <v>0.41689814814814802</v>
      </c>
      <c r="G923" s="83">
        <f t="shared" ca="1" si="7"/>
        <v>19</v>
      </c>
      <c r="H923" s="83">
        <f ca="1">IFERROR(__xludf.DUMMYFUNCTION("""COMPUTED_VALUE"""),0)</f>
        <v>0</v>
      </c>
      <c r="I923" s="83">
        <f ca="1">IFERROR(__xludf.DUMMYFUNCTION("""COMPUTED_VALUE"""),20)</f>
        <v>20</v>
      </c>
    </row>
    <row r="924" spans="1:9">
      <c r="A924" s="79">
        <v>100</v>
      </c>
      <c r="B924" s="79">
        <v>1</v>
      </c>
      <c r="C924" s="79">
        <v>101</v>
      </c>
      <c r="D924" s="80">
        <v>43323.42732638889</v>
      </c>
      <c r="E924" s="81">
        <f t="shared" ca="1" si="6"/>
        <v>43313</v>
      </c>
      <c r="F924" s="82">
        <f ca="1">IFERROR(__xludf.DUMMYFUNCTION("""COMPUTED_VALUE"""),0.427326388888888)</f>
        <v>0.42732638888888802</v>
      </c>
      <c r="G924" s="83">
        <f t="shared" ca="1" si="7"/>
        <v>19</v>
      </c>
      <c r="H924" s="83">
        <f ca="1">IFERROR(__xludf.DUMMYFUNCTION("""COMPUTED_VALUE"""),15)</f>
        <v>15</v>
      </c>
      <c r="I924" s="83">
        <f ca="1">IFERROR(__xludf.DUMMYFUNCTION("""COMPUTED_VALUE"""),21)</f>
        <v>21</v>
      </c>
    </row>
    <row r="925" spans="1:9">
      <c r="A925" s="79">
        <v>126</v>
      </c>
      <c r="B925" s="79">
        <v>3</v>
      </c>
      <c r="C925" s="79">
        <v>129</v>
      </c>
      <c r="D925" s="80">
        <v>43323.437731481485</v>
      </c>
      <c r="E925" s="81">
        <f t="shared" ca="1" si="6"/>
        <v>43313</v>
      </c>
      <c r="F925" s="82">
        <f ca="1">IFERROR(__xludf.DUMMYFUNCTION("""COMPUTED_VALUE"""),0.437731481481481)</f>
        <v>0.437731481481481</v>
      </c>
      <c r="G925" s="83">
        <f t="shared" ca="1" si="7"/>
        <v>19</v>
      </c>
      <c r="H925" s="83">
        <f ca="1">IFERROR(__xludf.DUMMYFUNCTION("""COMPUTED_VALUE"""),30)</f>
        <v>30</v>
      </c>
      <c r="I925" s="83">
        <f ca="1">IFERROR(__xludf.DUMMYFUNCTION("""COMPUTED_VALUE"""),20)</f>
        <v>20</v>
      </c>
    </row>
    <row r="926" spans="1:9">
      <c r="A926" s="79">
        <v>193</v>
      </c>
      <c r="B926" s="79">
        <v>2</v>
      </c>
      <c r="C926" s="79">
        <v>191</v>
      </c>
      <c r="D926" s="80">
        <v>43323.448159722226</v>
      </c>
      <c r="E926" s="81">
        <f t="shared" ca="1" si="6"/>
        <v>43313</v>
      </c>
      <c r="F926" s="82">
        <f ca="1">IFERROR(__xludf.DUMMYFUNCTION("""COMPUTED_VALUE"""),0.448159722222222)</f>
        <v>0.448159722222222</v>
      </c>
      <c r="G926" s="83">
        <f t="shared" ca="1" si="7"/>
        <v>19</v>
      </c>
      <c r="H926" s="83">
        <f ca="1">IFERROR(__xludf.DUMMYFUNCTION("""COMPUTED_VALUE"""),45)</f>
        <v>45</v>
      </c>
      <c r="I926" s="83">
        <f ca="1">IFERROR(__xludf.DUMMYFUNCTION("""COMPUTED_VALUE"""),21)</f>
        <v>21</v>
      </c>
    </row>
    <row r="927" spans="1:9">
      <c r="A927" s="79">
        <v>133</v>
      </c>
      <c r="B927" s="79">
        <v>2</v>
      </c>
      <c r="C927" s="79">
        <v>135</v>
      </c>
      <c r="D927" s="80">
        <v>43323.458599537036</v>
      </c>
      <c r="E927" s="81">
        <f t="shared" ca="1" si="6"/>
        <v>43313</v>
      </c>
      <c r="F927" s="82">
        <f ca="1">IFERROR(__xludf.DUMMYFUNCTION("""COMPUTED_VALUE"""),0.458599537037037)</f>
        <v>0.45859953703703699</v>
      </c>
      <c r="G927" s="83">
        <f t="shared" ca="1" si="7"/>
        <v>19</v>
      </c>
      <c r="H927" s="83">
        <f ca="1">IFERROR(__xludf.DUMMYFUNCTION("""COMPUTED_VALUE"""),0)</f>
        <v>0</v>
      </c>
      <c r="I927" s="83">
        <f ca="1">IFERROR(__xludf.DUMMYFUNCTION("""COMPUTED_VALUE"""),23)</f>
        <v>23</v>
      </c>
    </row>
    <row r="928" spans="1:9">
      <c r="A928" s="79">
        <v>176</v>
      </c>
      <c r="B928" s="79">
        <v>4</v>
      </c>
      <c r="C928" s="79">
        <v>171</v>
      </c>
      <c r="D928" s="80">
        <v>43323.468993055554</v>
      </c>
      <c r="E928" s="81">
        <f t="shared" ca="1" si="6"/>
        <v>43313</v>
      </c>
      <c r="F928" s="82">
        <f ca="1">IFERROR(__xludf.DUMMYFUNCTION("""COMPUTED_VALUE"""),0.468993055555555)</f>
        <v>0.46899305555555498</v>
      </c>
      <c r="G928" s="83">
        <f t="shared" ca="1" si="7"/>
        <v>19</v>
      </c>
      <c r="H928" s="83">
        <f ca="1">IFERROR(__xludf.DUMMYFUNCTION("""COMPUTED_VALUE"""),15)</f>
        <v>15</v>
      </c>
      <c r="I928" s="83">
        <f ca="1">IFERROR(__xludf.DUMMYFUNCTION("""COMPUTED_VALUE"""),21)</f>
        <v>21</v>
      </c>
    </row>
    <row r="929" spans="1:9">
      <c r="A929" s="79">
        <v>176</v>
      </c>
      <c r="B929" s="79">
        <v>3</v>
      </c>
      <c r="C929" s="79">
        <v>179</v>
      </c>
      <c r="D929" s="80">
        <v>43323.479398148149</v>
      </c>
      <c r="E929" s="81">
        <f t="shared" ca="1" si="6"/>
        <v>43313</v>
      </c>
      <c r="F929" s="82">
        <f ca="1">IFERROR(__xludf.DUMMYFUNCTION("""COMPUTED_VALUE"""),0.479398148148148)</f>
        <v>0.47939814814814802</v>
      </c>
      <c r="G929" s="83">
        <f t="shared" ca="1" si="7"/>
        <v>19</v>
      </c>
      <c r="H929" s="83">
        <f ca="1">IFERROR(__xludf.DUMMYFUNCTION("""COMPUTED_VALUE"""),30)</f>
        <v>30</v>
      </c>
      <c r="I929" s="83">
        <f ca="1">IFERROR(__xludf.DUMMYFUNCTION("""COMPUTED_VALUE"""),20)</f>
        <v>20</v>
      </c>
    </row>
    <row r="930" spans="1:9">
      <c r="A930" s="79">
        <v>233</v>
      </c>
      <c r="B930" s="79">
        <v>2</v>
      </c>
      <c r="C930" s="79">
        <v>235</v>
      </c>
      <c r="D930" s="80">
        <v>43323.48982638889</v>
      </c>
      <c r="E930" s="81">
        <f t="shared" ca="1" si="6"/>
        <v>43313</v>
      </c>
      <c r="F930" s="82">
        <f ca="1">IFERROR(__xludf.DUMMYFUNCTION("""COMPUTED_VALUE"""),0.489826388888888)</f>
        <v>0.48982638888888802</v>
      </c>
      <c r="G930" s="83">
        <f t="shared" ca="1" si="7"/>
        <v>19</v>
      </c>
      <c r="H930" s="83">
        <f ca="1">IFERROR(__xludf.DUMMYFUNCTION("""COMPUTED_VALUE"""),45)</f>
        <v>45</v>
      </c>
      <c r="I930" s="83">
        <f ca="1">IFERROR(__xludf.DUMMYFUNCTION("""COMPUTED_VALUE"""),21)</f>
        <v>21</v>
      </c>
    </row>
    <row r="931" spans="1:9">
      <c r="A931" s="79">
        <v>175</v>
      </c>
      <c r="B931" s="79">
        <v>5</v>
      </c>
      <c r="C931" s="79">
        <v>180</v>
      </c>
      <c r="D931" s="80">
        <v>43323.500254629631</v>
      </c>
      <c r="E931" s="81">
        <f t="shared" ca="1" si="6"/>
        <v>43313</v>
      </c>
      <c r="F931" s="82">
        <f ca="1">IFERROR(__xludf.DUMMYFUNCTION("""COMPUTED_VALUE"""),0.500254629629629)</f>
        <v>0.50025462962962897</v>
      </c>
      <c r="G931" s="83">
        <f t="shared" ca="1" si="7"/>
        <v>19</v>
      </c>
      <c r="H931" s="83">
        <f ca="1">IFERROR(__xludf.DUMMYFUNCTION("""COMPUTED_VALUE"""),0)</f>
        <v>0</v>
      </c>
      <c r="I931" s="83">
        <f ca="1">IFERROR(__xludf.DUMMYFUNCTION("""COMPUTED_VALUE"""),22)</f>
        <v>22</v>
      </c>
    </row>
    <row r="932" spans="1:9">
      <c r="A932" s="79">
        <v>194</v>
      </c>
      <c r="B932" s="79">
        <v>1</v>
      </c>
      <c r="C932" s="79">
        <v>195</v>
      </c>
      <c r="D932" s="80">
        <v>43323.510659722226</v>
      </c>
      <c r="E932" s="81">
        <f t="shared" ca="1" si="6"/>
        <v>43313</v>
      </c>
      <c r="F932" s="82">
        <f ca="1">IFERROR(__xludf.DUMMYFUNCTION("""COMPUTED_VALUE"""),0.510659722222222)</f>
        <v>0.510659722222222</v>
      </c>
      <c r="G932" s="83">
        <f t="shared" ca="1" si="7"/>
        <v>19</v>
      </c>
      <c r="H932" s="83">
        <f ca="1">IFERROR(__xludf.DUMMYFUNCTION("""COMPUTED_VALUE"""),15)</f>
        <v>15</v>
      </c>
      <c r="I932" s="83">
        <f ca="1">IFERROR(__xludf.DUMMYFUNCTION("""COMPUTED_VALUE"""),21)</f>
        <v>21</v>
      </c>
    </row>
    <row r="933" spans="1:9">
      <c r="A933" s="79">
        <v>209</v>
      </c>
      <c r="B933" s="79">
        <v>1</v>
      </c>
      <c r="C933" s="79">
        <v>210</v>
      </c>
      <c r="D933" s="80">
        <v>43323.521064814813</v>
      </c>
      <c r="E933" s="81">
        <f t="shared" ca="1" si="6"/>
        <v>43313</v>
      </c>
      <c r="F933" s="82">
        <f ca="1">IFERROR(__xludf.DUMMYFUNCTION("""COMPUTED_VALUE"""),0.521064814814814)</f>
        <v>0.52106481481481404</v>
      </c>
      <c r="G933" s="83">
        <f t="shared" ca="1" si="7"/>
        <v>19</v>
      </c>
      <c r="H933" s="83">
        <f ca="1">IFERROR(__xludf.DUMMYFUNCTION("""COMPUTED_VALUE"""),30)</f>
        <v>30</v>
      </c>
      <c r="I933" s="83">
        <f ca="1">IFERROR(__xludf.DUMMYFUNCTION("""COMPUTED_VALUE"""),20)</f>
        <v>20</v>
      </c>
    </row>
    <row r="934" spans="1:9">
      <c r="A934" s="79">
        <v>304</v>
      </c>
      <c r="B934" s="79">
        <v>5</v>
      </c>
      <c r="C934" s="79">
        <v>309</v>
      </c>
      <c r="D934" s="80">
        <v>43323.531493055554</v>
      </c>
      <c r="E934" s="81">
        <f t="shared" ca="1" si="6"/>
        <v>43313</v>
      </c>
      <c r="F934" s="82">
        <f ca="1">IFERROR(__xludf.DUMMYFUNCTION("""COMPUTED_VALUE"""),0.531493055555555)</f>
        <v>0.53149305555555504</v>
      </c>
      <c r="G934" s="83">
        <f t="shared" ca="1" si="7"/>
        <v>19</v>
      </c>
      <c r="H934" s="83">
        <f ca="1">IFERROR(__xludf.DUMMYFUNCTION("""COMPUTED_VALUE"""),45)</f>
        <v>45</v>
      </c>
      <c r="I934" s="83">
        <f ca="1">IFERROR(__xludf.DUMMYFUNCTION("""COMPUTED_VALUE"""),21)</f>
        <v>21</v>
      </c>
    </row>
    <row r="935" spans="1:9">
      <c r="A935" s="79">
        <v>248</v>
      </c>
      <c r="B935" s="79">
        <v>6</v>
      </c>
      <c r="C935" s="79">
        <v>254</v>
      </c>
      <c r="D935" s="80">
        <v>43323.541921296295</v>
      </c>
      <c r="E935" s="81">
        <f t="shared" ca="1" si="6"/>
        <v>43313</v>
      </c>
      <c r="F935" s="82">
        <f ca="1">IFERROR(__xludf.DUMMYFUNCTION("""COMPUTED_VALUE"""),0.541921296296296)</f>
        <v>0.54192129629629604</v>
      </c>
      <c r="G935" s="83">
        <f t="shared" ca="1" si="7"/>
        <v>19</v>
      </c>
      <c r="H935" s="83">
        <f ca="1">IFERROR(__xludf.DUMMYFUNCTION("""COMPUTED_VALUE"""),0)</f>
        <v>0</v>
      </c>
      <c r="I935" s="83">
        <f ca="1">IFERROR(__xludf.DUMMYFUNCTION("""COMPUTED_VALUE"""),22)</f>
        <v>22</v>
      </c>
    </row>
    <row r="936" spans="1:9">
      <c r="A936" s="79">
        <v>259</v>
      </c>
      <c r="B936" s="79">
        <v>4</v>
      </c>
      <c r="C936" s="79">
        <v>263</v>
      </c>
      <c r="D936" s="80">
        <v>43323.552314814813</v>
      </c>
      <c r="E936" s="81">
        <f t="shared" ca="1" si="6"/>
        <v>43313</v>
      </c>
      <c r="F936" s="82">
        <f ca="1">IFERROR(__xludf.DUMMYFUNCTION("""COMPUTED_VALUE"""),0.552314814814814)</f>
        <v>0.55231481481481404</v>
      </c>
      <c r="G936" s="83">
        <f t="shared" ca="1" si="7"/>
        <v>19</v>
      </c>
      <c r="H936" s="83">
        <f ca="1">IFERROR(__xludf.DUMMYFUNCTION("""COMPUTED_VALUE"""),15)</f>
        <v>15</v>
      </c>
      <c r="I936" s="83">
        <f ca="1">IFERROR(__xludf.DUMMYFUNCTION("""COMPUTED_VALUE"""),20)</f>
        <v>20</v>
      </c>
    </row>
    <row r="937" spans="1:9">
      <c r="A937" s="79">
        <v>285</v>
      </c>
      <c r="B937" s="79">
        <v>3</v>
      </c>
      <c r="C937" s="79">
        <v>288</v>
      </c>
      <c r="D937" s="80">
        <v>43323.562731481485</v>
      </c>
      <c r="E937" s="81">
        <f t="shared" ca="1" si="6"/>
        <v>43313</v>
      </c>
      <c r="F937" s="82">
        <f ca="1">IFERROR(__xludf.DUMMYFUNCTION("""COMPUTED_VALUE"""),0.562731481481481)</f>
        <v>0.562731481481481</v>
      </c>
      <c r="G937" s="83">
        <f t="shared" ca="1" si="7"/>
        <v>19</v>
      </c>
      <c r="H937" s="83">
        <f ca="1">IFERROR(__xludf.DUMMYFUNCTION("""COMPUTED_VALUE"""),30)</f>
        <v>30</v>
      </c>
      <c r="I937" s="83">
        <f ca="1">IFERROR(__xludf.DUMMYFUNCTION("""COMPUTED_VALUE"""),20)</f>
        <v>20</v>
      </c>
    </row>
    <row r="938" spans="1:9">
      <c r="A938" s="79">
        <v>283</v>
      </c>
      <c r="B938" s="79">
        <v>9</v>
      </c>
      <c r="C938" s="79">
        <v>292</v>
      </c>
      <c r="D938" s="80">
        <v>43323.573159722226</v>
      </c>
      <c r="E938" s="81">
        <f t="shared" ca="1" si="6"/>
        <v>43313</v>
      </c>
      <c r="F938" s="82">
        <f ca="1">IFERROR(__xludf.DUMMYFUNCTION("""COMPUTED_VALUE"""),0.573159722222222)</f>
        <v>0.573159722222222</v>
      </c>
      <c r="G938" s="83">
        <f t="shared" ca="1" si="7"/>
        <v>19</v>
      </c>
      <c r="H938" s="83">
        <f ca="1">IFERROR(__xludf.DUMMYFUNCTION("""COMPUTED_VALUE"""),45)</f>
        <v>45</v>
      </c>
      <c r="I938" s="83">
        <f ca="1">IFERROR(__xludf.DUMMYFUNCTION("""COMPUTED_VALUE"""),21)</f>
        <v>21</v>
      </c>
    </row>
    <row r="939" spans="1:9">
      <c r="A939" s="79">
        <v>266</v>
      </c>
      <c r="B939" s="79">
        <v>4</v>
      </c>
      <c r="C939" s="79">
        <v>270</v>
      </c>
      <c r="D939" s="80">
        <v>43323.583564814813</v>
      </c>
      <c r="E939" s="81">
        <f t="shared" ca="1" si="6"/>
        <v>43313</v>
      </c>
      <c r="F939" s="82">
        <f ca="1">IFERROR(__xludf.DUMMYFUNCTION("""COMPUTED_VALUE"""),0.583564814814814)</f>
        <v>0.58356481481481404</v>
      </c>
      <c r="G939" s="83">
        <f t="shared" ca="1" si="7"/>
        <v>19</v>
      </c>
      <c r="H939" s="83">
        <f ca="1">IFERROR(__xludf.DUMMYFUNCTION("""COMPUTED_VALUE"""),0)</f>
        <v>0</v>
      </c>
      <c r="I939" s="83">
        <f ca="1">IFERROR(__xludf.DUMMYFUNCTION("""COMPUTED_VALUE"""),20)</f>
        <v>20</v>
      </c>
    </row>
    <row r="940" spans="1:9">
      <c r="A940" s="79">
        <v>283</v>
      </c>
      <c r="B940" s="79">
        <v>3</v>
      </c>
      <c r="C940" s="79">
        <v>286</v>
      </c>
      <c r="D940" s="80">
        <v>43323.593993055554</v>
      </c>
      <c r="E940" s="81">
        <f t="shared" ca="1" si="6"/>
        <v>43313</v>
      </c>
      <c r="F940" s="82">
        <f ca="1">IFERROR(__xludf.DUMMYFUNCTION("""COMPUTED_VALUE"""),0.593993055555555)</f>
        <v>0.59399305555555504</v>
      </c>
      <c r="G940" s="83">
        <f t="shared" ca="1" si="7"/>
        <v>19</v>
      </c>
      <c r="H940" s="83">
        <f ca="1">IFERROR(__xludf.DUMMYFUNCTION("""COMPUTED_VALUE"""),15)</f>
        <v>15</v>
      </c>
      <c r="I940" s="83">
        <f ca="1">IFERROR(__xludf.DUMMYFUNCTION("""COMPUTED_VALUE"""),21)</f>
        <v>21</v>
      </c>
    </row>
    <row r="941" spans="1:9">
      <c r="A941" s="79">
        <v>303</v>
      </c>
      <c r="B941" s="79">
        <v>3</v>
      </c>
      <c r="C941" s="79">
        <v>306</v>
      </c>
      <c r="D941" s="80">
        <v>43323.604398148149</v>
      </c>
      <c r="E941" s="81">
        <f t="shared" ca="1" si="6"/>
        <v>43313</v>
      </c>
      <c r="F941" s="82">
        <f ca="1">IFERROR(__xludf.DUMMYFUNCTION("""COMPUTED_VALUE"""),0.604398148148148)</f>
        <v>0.60439814814814796</v>
      </c>
      <c r="G941" s="83">
        <f t="shared" ca="1" si="7"/>
        <v>19</v>
      </c>
      <c r="H941" s="83">
        <f ca="1">IFERROR(__xludf.DUMMYFUNCTION("""COMPUTED_VALUE"""),30)</f>
        <v>30</v>
      </c>
      <c r="I941" s="83">
        <f ca="1">IFERROR(__xludf.DUMMYFUNCTION("""COMPUTED_VALUE"""),20)</f>
        <v>20</v>
      </c>
    </row>
    <row r="942" spans="1:9">
      <c r="A942" s="79">
        <v>292</v>
      </c>
      <c r="B942" s="79">
        <v>1</v>
      </c>
      <c r="C942" s="79">
        <v>293</v>
      </c>
      <c r="D942" s="80">
        <v>43323.614814814813</v>
      </c>
      <c r="E942" s="81">
        <f t="shared" ca="1" si="6"/>
        <v>43313</v>
      </c>
      <c r="F942" s="82">
        <f ca="1">IFERROR(__xludf.DUMMYFUNCTION("""COMPUTED_VALUE"""),0.614814814814814)</f>
        <v>0.61481481481481404</v>
      </c>
      <c r="G942" s="83">
        <f t="shared" ca="1" si="7"/>
        <v>19</v>
      </c>
      <c r="H942" s="83">
        <f ca="1">IFERROR(__xludf.DUMMYFUNCTION("""COMPUTED_VALUE"""),45)</f>
        <v>45</v>
      </c>
      <c r="I942" s="83">
        <f ca="1">IFERROR(__xludf.DUMMYFUNCTION("""COMPUTED_VALUE"""),20)</f>
        <v>20</v>
      </c>
    </row>
    <row r="943" spans="1:9">
      <c r="A943" s="79">
        <v>289</v>
      </c>
      <c r="B943" s="79">
        <v>2</v>
      </c>
      <c r="C943" s="79">
        <v>291</v>
      </c>
      <c r="D943" s="80">
        <v>43323.625231481485</v>
      </c>
      <c r="E943" s="81">
        <f t="shared" ca="1" si="6"/>
        <v>43313</v>
      </c>
      <c r="F943" s="82">
        <f ca="1">IFERROR(__xludf.DUMMYFUNCTION("""COMPUTED_VALUE"""),0.625231481481481)</f>
        <v>0.625231481481481</v>
      </c>
      <c r="G943" s="83">
        <f t="shared" ca="1" si="7"/>
        <v>19</v>
      </c>
      <c r="H943" s="83">
        <f ca="1">IFERROR(__xludf.DUMMYFUNCTION("""COMPUTED_VALUE"""),0)</f>
        <v>0</v>
      </c>
      <c r="I943" s="83">
        <f ca="1">IFERROR(__xludf.DUMMYFUNCTION("""COMPUTED_VALUE"""),20)</f>
        <v>20</v>
      </c>
    </row>
    <row r="944" spans="1:9">
      <c r="A944" s="79">
        <v>325</v>
      </c>
      <c r="B944" s="79">
        <v>2</v>
      </c>
      <c r="C944" s="79">
        <v>327</v>
      </c>
      <c r="D944" s="80">
        <v>43323.635648148149</v>
      </c>
      <c r="E944" s="81">
        <f t="shared" ca="1" si="6"/>
        <v>43313</v>
      </c>
      <c r="F944" s="82">
        <f ca="1">IFERROR(__xludf.DUMMYFUNCTION("""COMPUTED_VALUE"""),0.635648148148148)</f>
        <v>0.63564814814814796</v>
      </c>
      <c r="G944" s="83">
        <f t="shared" ca="1" si="7"/>
        <v>19</v>
      </c>
      <c r="H944" s="83">
        <f ca="1">IFERROR(__xludf.DUMMYFUNCTION("""COMPUTED_VALUE"""),15)</f>
        <v>15</v>
      </c>
      <c r="I944" s="83">
        <f ca="1">IFERROR(__xludf.DUMMYFUNCTION("""COMPUTED_VALUE"""),20)</f>
        <v>20</v>
      </c>
    </row>
    <row r="945" spans="1:9">
      <c r="A945" s="79">
        <v>312</v>
      </c>
      <c r="B945" s="79">
        <v>1</v>
      </c>
      <c r="C945" s="79">
        <v>313</v>
      </c>
      <c r="D945" s="80">
        <v>43323.646064814813</v>
      </c>
      <c r="E945" s="81">
        <f t="shared" ca="1" si="6"/>
        <v>43313</v>
      </c>
      <c r="F945" s="82">
        <f ca="1">IFERROR(__xludf.DUMMYFUNCTION("""COMPUTED_VALUE"""),0.646064814814814)</f>
        <v>0.64606481481481404</v>
      </c>
      <c r="G945" s="83">
        <f t="shared" ca="1" si="7"/>
        <v>19</v>
      </c>
      <c r="H945" s="83">
        <f ca="1">IFERROR(__xludf.DUMMYFUNCTION("""COMPUTED_VALUE"""),30)</f>
        <v>30</v>
      </c>
      <c r="I945" s="83">
        <f ca="1">IFERROR(__xludf.DUMMYFUNCTION("""COMPUTED_VALUE"""),20)</f>
        <v>20</v>
      </c>
    </row>
    <row r="946" spans="1:9">
      <c r="A946" s="79">
        <v>344</v>
      </c>
      <c r="B946" s="79">
        <v>2</v>
      </c>
      <c r="C946" s="79">
        <v>346</v>
      </c>
      <c r="D946" s="80">
        <v>43323.656481481485</v>
      </c>
      <c r="E946" s="81">
        <f t="shared" ca="1" si="6"/>
        <v>43313</v>
      </c>
      <c r="F946" s="82">
        <f ca="1">IFERROR(__xludf.DUMMYFUNCTION("""COMPUTED_VALUE"""),0.656481481481481)</f>
        <v>0.656481481481481</v>
      </c>
      <c r="G946" s="83">
        <f t="shared" ca="1" si="7"/>
        <v>19</v>
      </c>
      <c r="H946" s="83">
        <f ca="1">IFERROR(__xludf.DUMMYFUNCTION("""COMPUTED_VALUE"""),45)</f>
        <v>45</v>
      </c>
      <c r="I946" s="83">
        <f ca="1">IFERROR(__xludf.DUMMYFUNCTION("""COMPUTED_VALUE"""),20)</f>
        <v>20</v>
      </c>
    </row>
    <row r="947" spans="1:9">
      <c r="A947" s="79">
        <v>329</v>
      </c>
      <c r="B947" s="79">
        <v>4</v>
      </c>
      <c r="C947" s="79">
        <v>333</v>
      </c>
      <c r="D947" s="80">
        <v>43323.666898148149</v>
      </c>
      <c r="E947" s="81">
        <f t="shared" ca="1" si="6"/>
        <v>43313</v>
      </c>
      <c r="F947" s="82">
        <f ca="1">IFERROR(__xludf.DUMMYFUNCTION("""COMPUTED_VALUE"""),0.666898148148148)</f>
        <v>0.66689814814814796</v>
      </c>
      <c r="G947" s="83">
        <f t="shared" ca="1" si="7"/>
        <v>19</v>
      </c>
      <c r="H947" s="83">
        <f ca="1">IFERROR(__xludf.DUMMYFUNCTION("""COMPUTED_VALUE"""),0)</f>
        <v>0</v>
      </c>
      <c r="I947" s="83">
        <f ca="1">IFERROR(__xludf.DUMMYFUNCTION("""COMPUTED_VALUE"""),20)</f>
        <v>20</v>
      </c>
    </row>
    <row r="948" spans="1:9">
      <c r="A948" s="79">
        <v>324</v>
      </c>
      <c r="B948" s="79">
        <v>4</v>
      </c>
      <c r="C948" s="79">
        <v>328</v>
      </c>
      <c r="D948" s="80">
        <v>43323.67732638889</v>
      </c>
      <c r="E948" s="81">
        <f t="shared" ca="1" si="6"/>
        <v>43313</v>
      </c>
      <c r="F948" s="82">
        <f ca="1">IFERROR(__xludf.DUMMYFUNCTION("""COMPUTED_VALUE"""),0.677326388888888)</f>
        <v>0.67732638888888796</v>
      </c>
      <c r="G948" s="83">
        <f t="shared" ca="1" si="7"/>
        <v>19</v>
      </c>
      <c r="H948" s="83">
        <f ca="1">IFERROR(__xludf.DUMMYFUNCTION("""COMPUTED_VALUE"""),15)</f>
        <v>15</v>
      </c>
      <c r="I948" s="83">
        <f ca="1">IFERROR(__xludf.DUMMYFUNCTION("""COMPUTED_VALUE"""),21)</f>
        <v>21</v>
      </c>
    </row>
    <row r="949" spans="1:9">
      <c r="A949" s="79">
        <v>330</v>
      </c>
      <c r="B949" s="79">
        <v>2</v>
      </c>
      <c r="C949" s="79">
        <v>322</v>
      </c>
      <c r="D949" s="80">
        <v>43323.687719907408</v>
      </c>
      <c r="E949" s="81">
        <f t="shared" ca="1" si="6"/>
        <v>43313</v>
      </c>
      <c r="F949" s="82">
        <f ca="1">IFERROR(__xludf.DUMMYFUNCTION("""COMPUTED_VALUE"""),0.687719907407407)</f>
        <v>0.68771990740740696</v>
      </c>
      <c r="G949" s="83">
        <f t="shared" ca="1" si="7"/>
        <v>19</v>
      </c>
      <c r="H949" s="83">
        <f ca="1">IFERROR(__xludf.DUMMYFUNCTION("""COMPUTED_VALUE"""),30)</f>
        <v>30</v>
      </c>
      <c r="I949" s="83">
        <f ca="1">IFERROR(__xludf.DUMMYFUNCTION("""COMPUTED_VALUE"""),19)</f>
        <v>19</v>
      </c>
    </row>
    <row r="950" spans="1:9">
      <c r="A950" s="79">
        <v>291</v>
      </c>
      <c r="B950" s="79">
        <v>7</v>
      </c>
      <c r="C950" s="79">
        <v>298</v>
      </c>
      <c r="D950" s="80">
        <v>43323.698148148149</v>
      </c>
      <c r="E950" s="81">
        <f t="shared" ca="1" si="6"/>
        <v>43313</v>
      </c>
      <c r="F950" s="82">
        <f ca="1">IFERROR(__xludf.DUMMYFUNCTION("""COMPUTED_VALUE"""),0.698148148148148)</f>
        <v>0.69814814814814796</v>
      </c>
      <c r="G950" s="83">
        <f t="shared" ca="1" si="7"/>
        <v>19</v>
      </c>
      <c r="H950" s="83">
        <f ca="1">IFERROR(__xludf.DUMMYFUNCTION("""COMPUTED_VALUE"""),45)</f>
        <v>45</v>
      </c>
      <c r="I950" s="83">
        <f ca="1">IFERROR(__xludf.DUMMYFUNCTION("""COMPUTED_VALUE"""),20)</f>
        <v>20</v>
      </c>
    </row>
    <row r="951" spans="1:9">
      <c r="A951" s="79">
        <v>295</v>
      </c>
      <c r="B951" s="79">
        <v>2</v>
      </c>
      <c r="C951" s="79">
        <v>297</v>
      </c>
      <c r="D951" s="80">
        <v>43323.708564814813</v>
      </c>
      <c r="E951" s="81">
        <f t="shared" ca="1" si="6"/>
        <v>43313</v>
      </c>
      <c r="F951" s="82">
        <f ca="1">IFERROR(__xludf.DUMMYFUNCTION("""COMPUTED_VALUE"""),0.708564814814814)</f>
        <v>0.70856481481481404</v>
      </c>
      <c r="G951" s="83">
        <f t="shared" ca="1" si="7"/>
        <v>19</v>
      </c>
      <c r="H951" s="83">
        <f ca="1">IFERROR(__xludf.DUMMYFUNCTION("""COMPUTED_VALUE"""),0)</f>
        <v>0</v>
      </c>
      <c r="I951" s="83">
        <f ca="1">IFERROR(__xludf.DUMMYFUNCTION("""COMPUTED_VALUE"""),20)</f>
        <v>20</v>
      </c>
    </row>
    <row r="952" spans="1:9">
      <c r="A952" s="79">
        <v>317</v>
      </c>
      <c r="B952" s="79">
        <v>4</v>
      </c>
      <c r="C952" s="79">
        <v>321</v>
      </c>
      <c r="D952" s="80">
        <v>43323.718981481485</v>
      </c>
      <c r="E952" s="81">
        <f t="shared" ca="1" si="6"/>
        <v>43313</v>
      </c>
      <c r="F952" s="82">
        <f ca="1">IFERROR(__xludf.DUMMYFUNCTION("""COMPUTED_VALUE"""),0.718981481481481)</f>
        <v>0.718981481481481</v>
      </c>
      <c r="G952" s="83">
        <f t="shared" ca="1" si="7"/>
        <v>19</v>
      </c>
      <c r="H952" s="83">
        <f ca="1">IFERROR(__xludf.DUMMYFUNCTION("""COMPUTED_VALUE"""),15)</f>
        <v>15</v>
      </c>
      <c r="I952" s="83">
        <f ca="1">IFERROR(__xludf.DUMMYFUNCTION("""COMPUTED_VALUE"""),20)</f>
        <v>20</v>
      </c>
    </row>
    <row r="953" spans="1:9">
      <c r="A953" s="79">
        <v>300</v>
      </c>
      <c r="B953" s="79">
        <v>1</v>
      </c>
      <c r="C953" s="79">
        <v>301</v>
      </c>
      <c r="D953" s="80">
        <v>43323.729386574072</v>
      </c>
      <c r="E953" s="81">
        <f t="shared" ca="1" si="6"/>
        <v>43313</v>
      </c>
      <c r="F953" s="82">
        <f ca="1">IFERROR(__xludf.DUMMYFUNCTION("""COMPUTED_VALUE"""),0.729386574074074)</f>
        <v>0.72938657407407403</v>
      </c>
      <c r="G953" s="83">
        <f t="shared" ca="1" si="7"/>
        <v>19</v>
      </c>
      <c r="H953" s="83">
        <f ca="1">IFERROR(__xludf.DUMMYFUNCTION("""COMPUTED_VALUE"""),30)</f>
        <v>30</v>
      </c>
      <c r="I953" s="83">
        <f ca="1">IFERROR(__xludf.DUMMYFUNCTION("""COMPUTED_VALUE"""),19)</f>
        <v>19</v>
      </c>
    </row>
    <row r="954" spans="1:9">
      <c r="A954" s="79">
        <v>318</v>
      </c>
      <c r="B954" s="79">
        <v>0</v>
      </c>
      <c r="C954" s="79">
        <v>315</v>
      </c>
      <c r="D954" s="80">
        <v>43323.739814814813</v>
      </c>
      <c r="E954" s="81">
        <f t="shared" ca="1" si="6"/>
        <v>43313</v>
      </c>
      <c r="F954" s="82">
        <f ca="1">IFERROR(__xludf.DUMMYFUNCTION("""COMPUTED_VALUE"""),0.739814814814814)</f>
        <v>0.73981481481481404</v>
      </c>
      <c r="G954" s="83">
        <f t="shared" ca="1" si="7"/>
        <v>19</v>
      </c>
      <c r="H954" s="83">
        <f ca="1">IFERROR(__xludf.DUMMYFUNCTION("""COMPUTED_VALUE"""),45)</f>
        <v>45</v>
      </c>
      <c r="I954" s="83">
        <f ca="1">IFERROR(__xludf.DUMMYFUNCTION("""COMPUTED_VALUE"""),20)</f>
        <v>20</v>
      </c>
    </row>
    <row r="955" spans="1:9">
      <c r="A955" s="79">
        <v>298</v>
      </c>
      <c r="B955" s="79">
        <v>0</v>
      </c>
      <c r="C955" s="79">
        <v>298</v>
      </c>
      <c r="D955" s="80">
        <v>43323.750231481485</v>
      </c>
      <c r="E955" s="81">
        <f t="shared" ca="1" si="6"/>
        <v>43313</v>
      </c>
      <c r="F955" s="82">
        <f ca="1">IFERROR(__xludf.DUMMYFUNCTION("""COMPUTED_VALUE"""),0.750231481481481)</f>
        <v>0.750231481481481</v>
      </c>
      <c r="G955" s="83">
        <f t="shared" ca="1" si="7"/>
        <v>19</v>
      </c>
      <c r="H955" s="83">
        <f ca="1">IFERROR(__xludf.DUMMYFUNCTION("""COMPUTED_VALUE"""),0)</f>
        <v>0</v>
      </c>
      <c r="I955" s="83">
        <f ca="1">IFERROR(__xludf.DUMMYFUNCTION("""COMPUTED_VALUE"""),20)</f>
        <v>20</v>
      </c>
    </row>
    <row r="956" spans="1:9">
      <c r="A956" s="79">
        <v>361</v>
      </c>
      <c r="B956" s="79">
        <v>0</v>
      </c>
      <c r="C956" s="79">
        <v>361</v>
      </c>
      <c r="D956" s="80">
        <v>43323.760659722226</v>
      </c>
      <c r="E956" s="81">
        <f t="shared" ca="1" si="6"/>
        <v>43313</v>
      </c>
      <c r="F956" s="82">
        <f ca="1">IFERROR(__xludf.DUMMYFUNCTION("""COMPUTED_VALUE"""),0.760659722222222)</f>
        <v>0.760659722222222</v>
      </c>
      <c r="G956" s="83">
        <f t="shared" ca="1" si="7"/>
        <v>19</v>
      </c>
      <c r="H956" s="83">
        <f ca="1">IFERROR(__xludf.DUMMYFUNCTION("""COMPUTED_VALUE"""),15)</f>
        <v>15</v>
      </c>
      <c r="I956" s="83">
        <f ca="1">IFERROR(__xludf.DUMMYFUNCTION("""COMPUTED_VALUE"""),21)</f>
        <v>21</v>
      </c>
    </row>
    <row r="957" spans="1:9">
      <c r="A957" s="79">
        <v>367</v>
      </c>
      <c r="B957" s="79">
        <v>7</v>
      </c>
      <c r="C957" s="79">
        <v>374</v>
      </c>
      <c r="D957" s="80">
        <v>43323.771053240744</v>
      </c>
      <c r="E957" s="81">
        <f t="shared" ca="1" si="6"/>
        <v>43313</v>
      </c>
      <c r="F957" s="82">
        <f ca="1">IFERROR(__xludf.DUMMYFUNCTION("""COMPUTED_VALUE"""),0.77105324074074)</f>
        <v>0.77105324074074</v>
      </c>
      <c r="G957" s="83">
        <f t="shared" ca="1" si="7"/>
        <v>19</v>
      </c>
      <c r="H957" s="83">
        <f ca="1">IFERROR(__xludf.DUMMYFUNCTION("""COMPUTED_VALUE"""),30)</f>
        <v>30</v>
      </c>
      <c r="I957" s="83">
        <f ca="1">IFERROR(__xludf.DUMMYFUNCTION("""COMPUTED_VALUE"""),19)</f>
        <v>19</v>
      </c>
    </row>
    <row r="958" spans="1:9">
      <c r="A958" s="79">
        <v>332</v>
      </c>
      <c r="B958" s="79">
        <v>6</v>
      </c>
      <c r="C958" s="79">
        <v>338</v>
      </c>
      <c r="D958" s="80">
        <v>43323.781481481485</v>
      </c>
      <c r="E958" s="81">
        <f t="shared" ca="1" si="6"/>
        <v>43313</v>
      </c>
      <c r="F958" s="82">
        <f ca="1">IFERROR(__xludf.DUMMYFUNCTION("""COMPUTED_VALUE"""),0.781481481481481)</f>
        <v>0.781481481481481</v>
      </c>
      <c r="G958" s="83">
        <f t="shared" ca="1" si="7"/>
        <v>19</v>
      </c>
      <c r="H958" s="83">
        <f ca="1">IFERROR(__xludf.DUMMYFUNCTION("""COMPUTED_VALUE"""),45)</f>
        <v>45</v>
      </c>
      <c r="I958" s="83">
        <f ca="1">IFERROR(__xludf.DUMMYFUNCTION("""COMPUTED_VALUE"""),20)</f>
        <v>20</v>
      </c>
    </row>
    <row r="959" spans="1:9">
      <c r="A959" s="79">
        <v>305</v>
      </c>
      <c r="B959" s="79">
        <v>4</v>
      </c>
      <c r="C959" s="79">
        <v>309</v>
      </c>
      <c r="D959" s="80">
        <v>43323.791898148149</v>
      </c>
      <c r="E959" s="81">
        <f t="shared" ca="1" si="6"/>
        <v>43313</v>
      </c>
      <c r="F959" s="82">
        <f ca="1">IFERROR(__xludf.DUMMYFUNCTION("""COMPUTED_VALUE"""),0.791898148148148)</f>
        <v>0.79189814814814796</v>
      </c>
      <c r="G959" s="83">
        <f t="shared" ca="1" si="7"/>
        <v>19</v>
      </c>
      <c r="H959" s="83">
        <f ca="1">IFERROR(__xludf.DUMMYFUNCTION("""COMPUTED_VALUE"""),0)</f>
        <v>0</v>
      </c>
      <c r="I959" s="83">
        <f ca="1">IFERROR(__xludf.DUMMYFUNCTION("""COMPUTED_VALUE"""),20)</f>
        <v>20</v>
      </c>
    </row>
    <row r="960" spans="1:9">
      <c r="A960" s="79">
        <v>321</v>
      </c>
      <c r="B960" s="79">
        <v>6</v>
      </c>
      <c r="C960" s="79">
        <v>327</v>
      </c>
      <c r="D960" s="80">
        <v>43323.802314814813</v>
      </c>
      <c r="E960" s="81">
        <f t="shared" ca="1" si="6"/>
        <v>43313</v>
      </c>
      <c r="F960" s="82">
        <f ca="1">IFERROR(__xludf.DUMMYFUNCTION("""COMPUTED_VALUE"""),0.802314814814814)</f>
        <v>0.80231481481481404</v>
      </c>
      <c r="G960" s="83">
        <f t="shared" ca="1" si="7"/>
        <v>19</v>
      </c>
      <c r="H960" s="83">
        <f ca="1">IFERROR(__xludf.DUMMYFUNCTION("""COMPUTED_VALUE"""),15)</f>
        <v>15</v>
      </c>
      <c r="I960" s="83">
        <f ca="1">IFERROR(__xludf.DUMMYFUNCTION("""COMPUTED_VALUE"""),20)</f>
        <v>20</v>
      </c>
    </row>
    <row r="961" spans="1:9">
      <c r="A961" s="79">
        <v>354</v>
      </c>
      <c r="B961" s="79">
        <v>7</v>
      </c>
      <c r="C961" s="79">
        <v>361</v>
      </c>
      <c r="D961" s="80">
        <v>43323.812719907408</v>
      </c>
      <c r="E961" s="81">
        <f t="shared" ca="1" si="6"/>
        <v>43313</v>
      </c>
      <c r="F961" s="82">
        <f ca="1">IFERROR(__xludf.DUMMYFUNCTION("""COMPUTED_VALUE"""),0.812719907407407)</f>
        <v>0.81271990740740696</v>
      </c>
      <c r="G961" s="83">
        <f t="shared" ca="1" si="7"/>
        <v>19</v>
      </c>
      <c r="H961" s="83">
        <f ca="1">IFERROR(__xludf.DUMMYFUNCTION("""COMPUTED_VALUE"""),30)</f>
        <v>30</v>
      </c>
      <c r="I961" s="83">
        <f ca="1">IFERROR(__xludf.DUMMYFUNCTION("""COMPUTED_VALUE"""),19)</f>
        <v>19</v>
      </c>
    </row>
    <row r="962" spans="1:9">
      <c r="A962" s="79">
        <v>341</v>
      </c>
      <c r="B962" s="79">
        <v>4</v>
      </c>
      <c r="C962" s="79">
        <v>345</v>
      </c>
      <c r="D962" s="80">
        <v>43323.823136574072</v>
      </c>
      <c r="E962" s="81">
        <f t="shared" ca="1" si="6"/>
        <v>43313</v>
      </c>
      <c r="F962" s="82">
        <f ca="1">IFERROR(__xludf.DUMMYFUNCTION("""COMPUTED_VALUE"""),0.823136574074074)</f>
        <v>0.82313657407407403</v>
      </c>
      <c r="G962" s="83">
        <f t="shared" ca="1" si="7"/>
        <v>19</v>
      </c>
      <c r="H962" s="83">
        <f ca="1">IFERROR(__xludf.DUMMYFUNCTION("""COMPUTED_VALUE"""),45)</f>
        <v>45</v>
      </c>
      <c r="I962" s="83">
        <f ca="1">IFERROR(__xludf.DUMMYFUNCTION("""COMPUTED_VALUE"""),19)</f>
        <v>19</v>
      </c>
    </row>
    <row r="963" spans="1:9">
      <c r="A963" s="79">
        <v>344</v>
      </c>
      <c r="B963" s="79">
        <v>3</v>
      </c>
      <c r="C963" s="79">
        <v>347</v>
      </c>
      <c r="D963" s="80">
        <v>43323.833587962959</v>
      </c>
      <c r="E963" s="81">
        <f t="shared" ca="1" si="6"/>
        <v>43313</v>
      </c>
      <c r="F963" s="82">
        <f ca="1">IFERROR(__xludf.DUMMYFUNCTION("""COMPUTED_VALUE"""),0.833587962962963)</f>
        <v>0.833587962962963</v>
      </c>
      <c r="G963" s="83">
        <f t="shared" ca="1" si="7"/>
        <v>19</v>
      </c>
      <c r="H963" s="83">
        <f ca="1">IFERROR(__xludf.DUMMYFUNCTION("""COMPUTED_VALUE"""),0)</f>
        <v>0</v>
      </c>
      <c r="I963" s="83">
        <f ca="1">IFERROR(__xludf.DUMMYFUNCTION("""COMPUTED_VALUE"""),22)</f>
        <v>22</v>
      </c>
    </row>
    <row r="964" spans="1:9">
      <c r="A964" s="79">
        <v>349</v>
      </c>
      <c r="B964" s="79">
        <v>7</v>
      </c>
      <c r="C964" s="79">
        <v>356</v>
      </c>
      <c r="D964" s="80">
        <v>43323.843981481485</v>
      </c>
      <c r="E964" s="81">
        <f t="shared" ca="1" si="6"/>
        <v>43313</v>
      </c>
      <c r="F964" s="82">
        <f ca="1">IFERROR(__xludf.DUMMYFUNCTION("""COMPUTED_VALUE"""),0.843981481481481)</f>
        <v>0.843981481481481</v>
      </c>
      <c r="G964" s="83">
        <f t="shared" ca="1" si="7"/>
        <v>19</v>
      </c>
      <c r="H964" s="83">
        <f ca="1">IFERROR(__xludf.DUMMYFUNCTION("""COMPUTED_VALUE"""),15)</f>
        <v>15</v>
      </c>
      <c r="I964" s="83">
        <f ca="1">IFERROR(__xludf.DUMMYFUNCTION("""COMPUTED_VALUE"""),20)</f>
        <v>20</v>
      </c>
    </row>
    <row r="965" spans="1:9">
      <c r="A965" s="79">
        <v>385</v>
      </c>
      <c r="B965" s="79">
        <v>6</v>
      </c>
      <c r="C965" s="79">
        <v>391</v>
      </c>
      <c r="D965" s="80">
        <v>43323.854386574072</v>
      </c>
      <c r="E965" s="81">
        <f t="shared" ca="1" si="6"/>
        <v>43313</v>
      </c>
      <c r="F965" s="82">
        <f ca="1">IFERROR(__xludf.DUMMYFUNCTION("""COMPUTED_VALUE"""),0.854386574074074)</f>
        <v>0.85438657407407403</v>
      </c>
      <c r="G965" s="83">
        <f t="shared" ca="1" si="7"/>
        <v>19</v>
      </c>
      <c r="H965" s="83">
        <f ca="1">IFERROR(__xludf.DUMMYFUNCTION("""COMPUTED_VALUE"""),30)</f>
        <v>30</v>
      </c>
      <c r="I965" s="83">
        <f ca="1">IFERROR(__xludf.DUMMYFUNCTION("""COMPUTED_VALUE"""),19)</f>
        <v>19</v>
      </c>
    </row>
    <row r="966" spans="1:9">
      <c r="A966" s="79">
        <v>373</v>
      </c>
      <c r="B966" s="79">
        <v>5</v>
      </c>
      <c r="C966" s="79">
        <v>376</v>
      </c>
      <c r="D966" s="80">
        <v>43323.864814814813</v>
      </c>
      <c r="E966" s="81">
        <f t="shared" ca="1" si="6"/>
        <v>43313</v>
      </c>
      <c r="F966" s="82">
        <f ca="1">IFERROR(__xludf.DUMMYFUNCTION("""COMPUTED_VALUE"""),0.864814814814814)</f>
        <v>0.86481481481481404</v>
      </c>
      <c r="G966" s="83">
        <f t="shared" ca="1" si="7"/>
        <v>19</v>
      </c>
      <c r="H966" s="83">
        <f ca="1">IFERROR(__xludf.DUMMYFUNCTION("""COMPUTED_VALUE"""),45)</f>
        <v>45</v>
      </c>
      <c r="I966" s="83">
        <f ca="1">IFERROR(__xludf.DUMMYFUNCTION("""COMPUTED_VALUE"""),20)</f>
        <v>20</v>
      </c>
    </row>
    <row r="967" spans="1:9">
      <c r="A967" s="79">
        <v>378</v>
      </c>
      <c r="B967" s="79">
        <v>2</v>
      </c>
      <c r="C967" s="79">
        <v>380</v>
      </c>
      <c r="D967" s="80">
        <v>43323.875243055554</v>
      </c>
      <c r="E967" s="81">
        <f t="shared" ca="1" si="6"/>
        <v>43313</v>
      </c>
      <c r="F967" s="82">
        <f ca="1">IFERROR(__xludf.DUMMYFUNCTION("""COMPUTED_VALUE"""),0.875243055555555)</f>
        <v>0.87524305555555504</v>
      </c>
      <c r="G967" s="83">
        <f t="shared" ca="1" si="7"/>
        <v>19</v>
      </c>
      <c r="H967" s="83">
        <f ca="1">IFERROR(__xludf.DUMMYFUNCTION("""COMPUTED_VALUE"""),0)</f>
        <v>0</v>
      </c>
      <c r="I967" s="83">
        <f ca="1">IFERROR(__xludf.DUMMYFUNCTION("""COMPUTED_VALUE"""),21)</f>
        <v>21</v>
      </c>
    </row>
    <row r="968" spans="1:9">
      <c r="A968" s="79">
        <v>397</v>
      </c>
      <c r="B968" s="79">
        <v>0</v>
      </c>
      <c r="C968" s="79">
        <v>397</v>
      </c>
      <c r="D968" s="80">
        <v>43323.885648148149</v>
      </c>
      <c r="E968" s="81">
        <f t="shared" ca="1" si="6"/>
        <v>43313</v>
      </c>
      <c r="F968" s="82">
        <f ca="1">IFERROR(__xludf.DUMMYFUNCTION("""COMPUTED_VALUE"""),0.885648148148148)</f>
        <v>0.88564814814814796</v>
      </c>
      <c r="G968" s="83">
        <f t="shared" ca="1" si="7"/>
        <v>19</v>
      </c>
      <c r="H968" s="83">
        <f ca="1">IFERROR(__xludf.DUMMYFUNCTION("""COMPUTED_VALUE"""),15)</f>
        <v>15</v>
      </c>
      <c r="I968" s="83">
        <f ca="1">IFERROR(__xludf.DUMMYFUNCTION("""COMPUTED_VALUE"""),20)</f>
        <v>20</v>
      </c>
    </row>
    <row r="969" spans="1:9">
      <c r="A969" s="79">
        <v>424</v>
      </c>
      <c r="B969" s="79">
        <v>2</v>
      </c>
      <c r="C969" s="79">
        <v>426</v>
      </c>
      <c r="D969" s="80">
        <v>43323.896053240744</v>
      </c>
      <c r="E969" s="81">
        <f t="shared" ca="1" si="6"/>
        <v>43313</v>
      </c>
      <c r="F969" s="82">
        <f ca="1">IFERROR(__xludf.DUMMYFUNCTION("""COMPUTED_VALUE"""),0.89605324074074)</f>
        <v>0.89605324074074</v>
      </c>
      <c r="G969" s="83">
        <f t="shared" ca="1" si="7"/>
        <v>19</v>
      </c>
      <c r="H969" s="83">
        <f ca="1">IFERROR(__xludf.DUMMYFUNCTION("""COMPUTED_VALUE"""),30)</f>
        <v>30</v>
      </c>
      <c r="I969" s="83">
        <f ca="1">IFERROR(__xludf.DUMMYFUNCTION("""COMPUTED_VALUE"""),19)</f>
        <v>19</v>
      </c>
    </row>
    <row r="970" spans="1:9">
      <c r="A970" s="79">
        <v>401</v>
      </c>
      <c r="B970" s="79">
        <v>3</v>
      </c>
      <c r="C970" s="79">
        <v>404</v>
      </c>
      <c r="D970" s="80">
        <v>43323.906481481485</v>
      </c>
      <c r="E970" s="81">
        <f t="shared" ca="1" si="6"/>
        <v>43313</v>
      </c>
      <c r="F970" s="82">
        <f ca="1">IFERROR(__xludf.DUMMYFUNCTION("""COMPUTED_VALUE"""),0.906481481481481)</f>
        <v>0.906481481481481</v>
      </c>
      <c r="G970" s="83">
        <f t="shared" ca="1" si="7"/>
        <v>19</v>
      </c>
      <c r="H970" s="83">
        <f ca="1">IFERROR(__xludf.DUMMYFUNCTION("""COMPUTED_VALUE"""),45)</f>
        <v>45</v>
      </c>
      <c r="I970" s="83">
        <f ca="1">IFERROR(__xludf.DUMMYFUNCTION("""COMPUTED_VALUE"""),20)</f>
        <v>20</v>
      </c>
    </row>
    <row r="971" spans="1:9">
      <c r="A971" s="79">
        <v>394</v>
      </c>
      <c r="B971" s="79">
        <v>1</v>
      </c>
      <c r="C971" s="79">
        <v>395</v>
      </c>
      <c r="D971" s="80">
        <v>43323.916886574072</v>
      </c>
      <c r="E971" s="81">
        <f t="shared" ca="1" si="6"/>
        <v>43313</v>
      </c>
      <c r="F971" s="82">
        <f ca="1">IFERROR(__xludf.DUMMYFUNCTION("""COMPUTED_VALUE"""),0.916886574074074)</f>
        <v>0.91688657407407403</v>
      </c>
      <c r="G971" s="83">
        <f t="shared" ca="1" si="7"/>
        <v>19</v>
      </c>
      <c r="H971" s="83">
        <f ca="1">IFERROR(__xludf.DUMMYFUNCTION("""COMPUTED_VALUE"""),0)</f>
        <v>0</v>
      </c>
      <c r="I971" s="83">
        <f ca="1">IFERROR(__xludf.DUMMYFUNCTION("""COMPUTED_VALUE"""),19)</f>
        <v>19</v>
      </c>
    </row>
    <row r="972" spans="1:9">
      <c r="A972" s="79">
        <v>466</v>
      </c>
      <c r="B972" s="79">
        <v>4</v>
      </c>
      <c r="C972" s="79">
        <v>470</v>
      </c>
      <c r="D972" s="80">
        <v>43323.927303240744</v>
      </c>
      <c r="E972" s="81">
        <f t="shared" ca="1" si="6"/>
        <v>43313</v>
      </c>
      <c r="F972" s="82">
        <f ca="1">IFERROR(__xludf.DUMMYFUNCTION("""COMPUTED_VALUE"""),0.92730324074074)</f>
        <v>0.92730324074074</v>
      </c>
      <c r="G972" s="83">
        <f t="shared" ca="1" si="7"/>
        <v>19</v>
      </c>
      <c r="H972" s="83">
        <f ca="1">IFERROR(__xludf.DUMMYFUNCTION("""COMPUTED_VALUE"""),15)</f>
        <v>15</v>
      </c>
      <c r="I972" s="83">
        <f ca="1">IFERROR(__xludf.DUMMYFUNCTION("""COMPUTED_VALUE"""),19)</f>
        <v>19</v>
      </c>
    </row>
    <row r="973" spans="1:9">
      <c r="A973" s="79">
        <v>423</v>
      </c>
      <c r="B973" s="79">
        <v>2</v>
      </c>
      <c r="C973" s="79">
        <v>425</v>
      </c>
      <c r="D973" s="80">
        <v>43323.937719907408</v>
      </c>
      <c r="E973" s="81">
        <f t="shared" ca="1" si="6"/>
        <v>43313</v>
      </c>
      <c r="F973" s="82">
        <f ca="1">IFERROR(__xludf.DUMMYFUNCTION("""COMPUTED_VALUE"""),0.937719907407407)</f>
        <v>0.93771990740740696</v>
      </c>
      <c r="G973" s="83">
        <f t="shared" ca="1" si="7"/>
        <v>19</v>
      </c>
      <c r="H973" s="83">
        <f ca="1">IFERROR(__xludf.DUMMYFUNCTION("""COMPUTED_VALUE"""),30)</f>
        <v>30</v>
      </c>
      <c r="I973" s="83">
        <f ca="1">IFERROR(__xludf.DUMMYFUNCTION("""COMPUTED_VALUE"""),19)</f>
        <v>19</v>
      </c>
    </row>
    <row r="974" spans="1:9">
      <c r="A974" s="79">
        <v>400</v>
      </c>
      <c r="B974" s="79">
        <v>3</v>
      </c>
      <c r="C974" s="79">
        <v>403</v>
      </c>
      <c r="D974" s="80">
        <v>43323.948136574072</v>
      </c>
      <c r="E974" s="81">
        <f t="shared" ca="1" si="6"/>
        <v>43313</v>
      </c>
      <c r="F974" s="82">
        <f ca="1">IFERROR(__xludf.DUMMYFUNCTION("""COMPUTED_VALUE"""),0.948136574074074)</f>
        <v>0.94813657407407403</v>
      </c>
      <c r="G974" s="83">
        <f t="shared" ca="1" si="7"/>
        <v>19</v>
      </c>
      <c r="H974" s="83">
        <f ca="1">IFERROR(__xludf.DUMMYFUNCTION("""COMPUTED_VALUE"""),45)</f>
        <v>45</v>
      </c>
      <c r="I974" s="83">
        <f ca="1">IFERROR(__xludf.DUMMYFUNCTION("""COMPUTED_VALUE"""),19)</f>
        <v>19</v>
      </c>
    </row>
    <row r="975" spans="1:9">
      <c r="A975" s="79">
        <v>394</v>
      </c>
      <c r="B975" s="79">
        <v>4</v>
      </c>
      <c r="C975" s="79">
        <v>389</v>
      </c>
      <c r="D975" s="80">
        <v>43323.95857638889</v>
      </c>
      <c r="E975" s="81">
        <f t="shared" ca="1" si="6"/>
        <v>43313</v>
      </c>
      <c r="F975" s="82">
        <f ca="1">IFERROR(__xludf.DUMMYFUNCTION("""COMPUTED_VALUE"""),0.958576388888888)</f>
        <v>0.95857638888888796</v>
      </c>
      <c r="G975" s="83">
        <f t="shared" ca="1" si="7"/>
        <v>19</v>
      </c>
      <c r="H975" s="83">
        <f ca="1">IFERROR(__xludf.DUMMYFUNCTION("""COMPUTED_VALUE"""),0)</f>
        <v>0</v>
      </c>
      <c r="I975" s="83">
        <f ca="1">IFERROR(__xludf.DUMMYFUNCTION("""COMPUTED_VALUE"""),21)</f>
        <v>21</v>
      </c>
    </row>
    <row r="976" spans="1:9">
      <c r="A976" s="79">
        <v>391</v>
      </c>
      <c r="B976" s="79">
        <v>0</v>
      </c>
      <c r="C976" s="79">
        <v>391</v>
      </c>
      <c r="D976" s="80">
        <v>43323.968969907408</v>
      </c>
      <c r="E976" s="81">
        <f t="shared" ca="1" si="6"/>
        <v>43313</v>
      </c>
      <c r="F976" s="82">
        <f ca="1">IFERROR(__xludf.DUMMYFUNCTION("""COMPUTED_VALUE"""),0.968969907407407)</f>
        <v>0.96896990740740696</v>
      </c>
      <c r="G976" s="83">
        <f t="shared" ca="1" si="7"/>
        <v>19</v>
      </c>
      <c r="H976" s="83">
        <f ca="1">IFERROR(__xludf.DUMMYFUNCTION("""COMPUTED_VALUE"""),15)</f>
        <v>15</v>
      </c>
      <c r="I976" s="83">
        <f ca="1">IFERROR(__xludf.DUMMYFUNCTION("""COMPUTED_VALUE"""),19)</f>
        <v>19</v>
      </c>
    </row>
    <row r="977" spans="1:9">
      <c r="A977" s="79">
        <v>313</v>
      </c>
      <c r="B977" s="79">
        <v>0</v>
      </c>
      <c r="C977" s="79">
        <v>313</v>
      </c>
      <c r="D977" s="80">
        <v>43323.979398148149</v>
      </c>
      <c r="E977" s="81">
        <f t="shared" ca="1" si="6"/>
        <v>43313</v>
      </c>
      <c r="F977" s="82">
        <f ca="1">IFERROR(__xludf.DUMMYFUNCTION("""COMPUTED_VALUE"""),0.979398148148148)</f>
        <v>0.97939814814814796</v>
      </c>
      <c r="G977" s="83">
        <f t="shared" ca="1" si="7"/>
        <v>19</v>
      </c>
      <c r="H977" s="83">
        <f ca="1">IFERROR(__xludf.DUMMYFUNCTION("""COMPUTED_VALUE"""),30)</f>
        <v>30</v>
      </c>
      <c r="I977" s="83">
        <f ca="1">IFERROR(__xludf.DUMMYFUNCTION("""COMPUTED_VALUE"""),20)</f>
        <v>20</v>
      </c>
    </row>
    <row r="978" spans="1:9">
      <c r="A978" s="79">
        <v>339</v>
      </c>
      <c r="B978" s="79">
        <v>2</v>
      </c>
      <c r="C978" s="79">
        <v>341</v>
      </c>
      <c r="D978" s="80">
        <v>43323.989803240744</v>
      </c>
      <c r="E978" s="81">
        <f t="shared" ca="1" si="6"/>
        <v>43313</v>
      </c>
      <c r="F978" s="82">
        <f ca="1">IFERROR(__xludf.DUMMYFUNCTION("""COMPUTED_VALUE"""),0.98980324074074)</f>
        <v>0.98980324074074</v>
      </c>
      <c r="G978" s="83">
        <f t="shared" ca="1" si="7"/>
        <v>19</v>
      </c>
      <c r="H978" s="83">
        <f ca="1">IFERROR(__xludf.DUMMYFUNCTION("""COMPUTED_VALUE"""),45)</f>
        <v>45</v>
      </c>
      <c r="I978" s="83">
        <f ca="1">IFERROR(__xludf.DUMMYFUNCTION("""COMPUTED_VALUE"""),19)</f>
        <v>19</v>
      </c>
    </row>
    <row r="979" spans="1:9">
      <c r="A979" s="79">
        <v>334</v>
      </c>
      <c r="B979" s="79">
        <v>4</v>
      </c>
      <c r="C979" s="79">
        <v>338</v>
      </c>
      <c r="D979" s="80">
        <v>43324.000243055554</v>
      </c>
      <c r="E979" s="81">
        <f t="shared" ca="1" si="6"/>
        <v>43313</v>
      </c>
      <c r="F979" s="82">
        <f ca="1">IFERROR(__xludf.DUMMYFUNCTION("""COMPUTED_VALUE"""),0.000243055555555555)</f>
        <v>2.4305555555555501E-4</v>
      </c>
      <c r="G979" s="83">
        <f t="shared" ca="1" si="7"/>
        <v>19</v>
      </c>
      <c r="H979" s="83">
        <f ca="1">IFERROR(__xludf.DUMMYFUNCTION("""COMPUTED_VALUE"""),0)</f>
        <v>0</v>
      </c>
      <c r="I979" s="83">
        <f ca="1">IFERROR(__xludf.DUMMYFUNCTION("""COMPUTED_VALUE"""),21)</f>
        <v>21</v>
      </c>
    </row>
    <row r="980" spans="1:9">
      <c r="A980" s="79">
        <v>337</v>
      </c>
      <c r="B980" s="79">
        <v>4</v>
      </c>
      <c r="C980" s="79">
        <v>341</v>
      </c>
      <c r="D980" s="80">
        <v>43324.010636574072</v>
      </c>
      <c r="E980" s="81">
        <f t="shared" ca="1" si="6"/>
        <v>43313</v>
      </c>
      <c r="F980" s="82">
        <f ca="1">IFERROR(__xludf.DUMMYFUNCTION("""COMPUTED_VALUE"""),0.010636574074074)</f>
        <v>1.0636574074074E-2</v>
      </c>
      <c r="G980" s="83">
        <f t="shared" ca="1" si="7"/>
        <v>19</v>
      </c>
      <c r="H980" s="83">
        <f ca="1">IFERROR(__xludf.DUMMYFUNCTION("""COMPUTED_VALUE"""),15)</f>
        <v>15</v>
      </c>
      <c r="I980" s="83">
        <f ca="1">IFERROR(__xludf.DUMMYFUNCTION("""COMPUTED_VALUE"""),19)</f>
        <v>19</v>
      </c>
    </row>
    <row r="981" spans="1:9">
      <c r="A981" s="79">
        <v>299</v>
      </c>
      <c r="B981" s="79">
        <v>2</v>
      </c>
      <c r="C981" s="79">
        <v>297</v>
      </c>
      <c r="D981" s="80">
        <v>43324.021064814813</v>
      </c>
      <c r="E981" s="81">
        <f t="shared" ca="1" si="6"/>
        <v>43313</v>
      </c>
      <c r="F981" s="82">
        <f ca="1">IFERROR(__xludf.DUMMYFUNCTION("""COMPUTED_VALUE"""),0.0210648148148148)</f>
        <v>2.10648148148148E-2</v>
      </c>
      <c r="G981" s="83">
        <f t="shared" ca="1" si="7"/>
        <v>19</v>
      </c>
      <c r="H981" s="83">
        <f ca="1">IFERROR(__xludf.DUMMYFUNCTION("""COMPUTED_VALUE"""),30)</f>
        <v>30</v>
      </c>
      <c r="I981" s="83">
        <f ca="1">IFERROR(__xludf.DUMMYFUNCTION("""COMPUTED_VALUE"""),20)</f>
        <v>20</v>
      </c>
    </row>
    <row r="982" spans="1:9">
      <c r="A982" s="79">
        <v>248</v>
      </c>
      <c r="B982" s="79">
        <v>2</v>
      </c>
      <c r="C982" s="79">
        <v>250</v>
      </c>
      <c r="D982" s="80">
        <v>43324.031469907408</v>
      </c>
      <c r="E982" s="81">
        <f t="shared" ca="1" si="6"/>
        <v>43313</v>
      </c>
      <c r="F982" s="82">
        <f ca="1">IFERROR(__xludf.DUMMYFUNCTION("""COMPUTED_VALUE"""),0.0314699074074074)</f>
        <v>3.1469907407407398E-2</v>
      </c>
      <c r="G982" s="83">
        <f t="shared" ca="1" si="7"/>
        <v>19</v>
      </c>
      <c r="H982" s="83">
        <f ca="1">IFERROR(__xludf.DUMMYFUNCTION("""COMPUTED_VALUE"""),45)</f>
        <v>45</v>
      </c>
      <c r="I982" s="83">
        <f ca="1">IFERROR(__xludf.DUMMYFUNCTION("""COMPUTED_VALUE"""),19)</f>
        <v>19</v>
      </c>
    </row>
    <row r="983" spans="1:9">
      <c r="A983" s="79">
        <v>230</v>
      </c>
      <c r="B983" s="79">
        <v>3</v>
      </c>
      <c r="C983" s="79">
        <v>233</v>
      </c>
      <c r="D983" s="80">
        <v>43324.041886574072</v>
      </c>
      <c r="E983" s="81">
        <f t="shared" ca="1" si="6"/>
        <v>43313</v>
      </c>
      <c r="F983" s="82">
        <f ca="1">IFERROR(__xludf.DUMMYFUNCTION("""COMPUTED_VALUE"""),0.041886574074074)</f>
        <v>4.1886574074074E-2</v>
      </c>
      <c r="G983" s="83">
        <f t="shared" ca="1" si="7"/>
        <v>19</v>
      </c>
      <c r="H983" s="83">
        <f ca="1">IFERROR(__xludf.DUMMYFUNCTION("""COMPUTED_VALUE"""),0)</f>
        <v>0</v>
      </c>
      <c r="I983" s="83">
        <f ca="1">IFERROR(__xludf.DUMMYFUNCTION("""COMPUTED_VALUE"""),19)</f>
        <v>19</v>
      </c>
    </row>
    <row r="984" spans="1:9">
      <c r="A984" s="79">
        <v>261</v>
      </c>
      <c r="B984" s="79">
        <v>4</v>
      </c>
      <c r="C984" s="79">
        <v>265</v>
      </c>
      <c r="D984" s="80">
        <v>43324.052303240744</v>
      </c>
      <c r="E984" s="81">
        <f t="shared" ca="1" si="6"/>
        <v>43313</v>
      </c>
      <c r="F984" s="82">
        <f ca="1">IFERROR(__xludf.DUMMYFUNCTION("""COMPUTED_VALUE"""),0.0523032407407407)</f>
        <v>5.2303240740740699E-2</v>
      </c>
      <c r="G984" s="83">
        <f t="shared" ca="1" si="7"/>
        <v>19</v>
      </c>
      <c r="H984" s="83">
        <f ca="1">IFERROR(__xludf.DUMMYFUNCTION("""COMPUTED_VALUE"""),15)</f>
        <v>15</v>
      </c>
      <c r="I984" s="83">
        <f ca="1">IFERROR(__xludf.DUMMYFUNCTION("""COMPUTED_VALUE"""),19)</f>
        <v>19</v>
      </c>
    </row>
    <row r="985" spans="1:9">
      <c r="A985" s="79">
        <v>260</v>
      </c>
      <c r="B985" s="79">
        <v>3</v>
      </c>
      <c r="C985" s="79">
        <v>263</v>
      </c>
      <c r="D985" s="80">
        <v>43324.062719907408</v>
      </c>
      <c r="E985" s="81">
        <f t="shared" ca="1" si="6"/>
        <v>43313</v>
      </c>
      <c r="F985" s="82">
        <f ca="1">IFERROR(__xludf.DUMMYFUNCTION("""COMPUTED_VALUE"""),0.0627199074074074)</f>
        <v>6.2719907407407405E-2</v>
      </c>
      <c r="G985" s="83">
        <f t="shared" ca="1" si="7"/>
        <v>19</v>
      </c>
      <c r="H985" s="83">
        <f ca="1">IFERROR(__xludf.DUMMYFUNCTION("""COMPUTED_VALUE"""),30)</f>
        <v>30</v>
      </c>
      <c r="I985" s="83">
        <f ca="1">IFERROR(__xludf.DUMMYFUNCTION("""COMPUTED_VALUE"""),19)</f>
        <v>19</v>
      </c>
    </row>
    <row r="986" spans="1:9">
      <c r="A986" s="79">
        <v>237</v>
      </c>
      <c r="B986" s="79">
        <v>2</v>
      </c>
      <c r="C986" s="79">
        <v>239</v>
      </c>
      <c r="D986" s="80">
        <v>43324.073136574072</v>
      </c>
      <c r="E986" s="81">
        <f t="shared" ca="1" si="6"/>
        <v>43313</v>
      </c>
      <c r="F986" s="82">
        <f ca="1">IFERROR(__xludf.DUMMYFUNCTION("""COMPUTED_VALUE"""),0.073136574074074)</f>
        <v>7.3136574074074007E-2</v>
      </c>
      <c r="G986" s="83">
        <f t="shared" ca="1" si="7"/>
        <v>19</v>
      </c>
      <c r="H986" s="83">
        <f ca="1">IFERROR(__xludf.DUMMYFUNCTION("""COMPUTED_VALUE"""),45)</f>
        <v>45</v>
      </c>
      <c r="I986" s="83">
        <f ca="1">IFERROR(__xludf.DUMMYFUNCTION("""COMPUTED_VALUE"""),19)</f>
        <v>19</v>
      </c>
    </row>
    <row r="987" spans="1:9">
      <c r="A987" s="79">
        <v>248</v>
      </c>
      <c r="B987" s="79">
        <v>0</v>
      </c>
      <c r="C987" s="79">
        <v>248</v>
      </c>
      <c r="D987" s="80">
        <v>43324.083553240744</v>
      </c>
      <c r="E987" s="81">
        <f t="shared" ca="1" si="6"/>
        <v>43313</v>
      </c>
      <c r="F987" s="82">
        <f ca="1">IFERROR(__xludf.DUMMYFUNCTION("""COMPUTED_VALUE"""),0.0835532407407407)</f>
        <v>8.3553240740740706E-2</v>
      </c>
      <c r="G987" s="83">
        <f t="shared" ca="1" si="7"/>
        <v>19</v>
      </c>
      <c r="H987" s="83">
        <f ca="1">IFERROR(__xludf.DUMMYFUNCTION("""COMPUTED_VALUE"""),0)</f>
        <v>0</v>
      </c>
      <c r="I987" s="83">
        <f ca="1">IFERROR(__xludf.DUMMYFUNCTION("""COMPUTED_VALUE"""),19)</f>
        <v>19</v>
      </c>
    </row>
    <row r="988" spans="1:9">
      <c r="A988" s="79">
        <v>269</v>
      </c>
      <c r="B988" s="79">
        <v>0</v>
      </c>
      <c r="C988" s="79">
        <v>269</v>
      </c>
      <c r="D988" s="80">
        <v>43324.093969907408</v>
      </c>
      <c r="E988" s="81">
        <f t="shared" ca="1" si="6"/>
        <v>43313</v>
      </c>
      <c r="F988" s="82">
        <f ca="1">IFERROR(__xludf.DUMMYFUNCTION("""COMPUTED_VALUE"""),0.0939699074074074)</f>
        <v>9.3969907407407405E-2</v>
      </c>
      <c r="G988" s="83">
        <f t="shared" ca="1" si="7"/>
        <v>19</v>
      </c>
      <c r="H988" s="83">
        <f ca="1">IFERROR(__xludf.DUMMYFUNCTION("""COMPUTED_VALUE"""),15)</f>
        <v>15</v>
      </c>
      <c r="I988" s="83">
        <f ca="1">IFERROR(__xludf.DUMMYFUNCTION("""COMPUTED_VALUE"""),19)</f>
        <v>19</v>
      </c>
    </row>
    <row r="989" spans="1:9">
      <c r="A989" s="79">
        <v>261</v>
      </c>
      <c r="B989" s="79">
        <v>2</v>
      </c>
      <c r="C989" s="79">
        <v>263</v>
      </c>
      <c r="D989" s="80">
        <v>43324.104386574072</v>
      </c>
      <c r="E989" s="81">
        <f t="shared" ca="1" si="6"/>
        <v>43313</v>
      </c>
      <c r="F989" s="82">
        <f ca="1">IFERROR(__xludf.DUMMYFUNCTION("""COMPUTED_VALUE"""),0.104386574074074)</f>
        <v>0.10438657407407401</v>
      </c>
      <c r="G989" s="83">
        <f t="shared" ca="1" si="7"/>
        <v>19</v>
      </c>
      <c r="H989" s="83">
        <f ca="1">IFERROR(__xludf.DUMMYFUNCTION("""COMPUTED_VALUE"""),30)</f>
        <v>30</v>
      </c>
      <c r="I989" s="83">
        <f ca="1">IFERROR(__xludf.DUMMYFUNCTION("""COMPUTED_VALUE"""),19)</f>
        <v>19</v>
      </c>
    </row>
    <row r="990" spans="1:9">
      <c r="A990" s="79">
        <v>242</v>
      </c>
      <c r="B990" s="79">
        <v>3</v>
      </c>
      <c r="C990" s="79">
        <v>245</v>
      </c>
      <c r="D990" s="80">
        <v>43324.114803240744</v>
      </c>
      <c r="E990" s="81">
        <f t="shared" ca="1" si="6"/>
        <v>43313</v>
      </c>
      <c r="F990" s="82">
        <f ca="1">IFERROR(__xludf.DUMMYFUNCTION("""COMPUTED_VALUE"""),0.11480324074074)</f>
        <v>0.11480324074074</v>
      </c>
      <c r="G990" s="83">
        <f t="shared" ca="1" si="7"/>
        <v>19</v>
      </c>
      <c r="H990" s="83">
        <f ca="1">IFERROR(__xludf.DUMMYFUNCTION("""COMPUTED_VALUE"""),45)</f>
        <v>45</v>
      </c>
      <c r="I990" s="83">
        <f ca="1">IFERROR(__xludf.DUMMYFUNCTION("""COMPUTED_VALUE"""),19)</f>
        <v>19</v>
      </c>
    </row>
    <row r="991" spans="1:9">
      <c r="A991" s="79">
        <v>210</v>
      </c>
      <c r="B991" s="79">
        <v>3</v>
      </c>
      <c r="C991" s="79">
        <v>213</v>
      </c>
      <c r="D991" s="80">
        <v>43324.125231481485</v>
      </c>
      <c r="E991" s="81">
        <f t="shared" ca="1" si="6"/>
        <v>43313</v>
      </c>
      <c r="F991" s="82">
        <f ca="1">IFERROR(__xludf.DUMMYFUNCTION("""COMPUTED_VALUE"""),0.125231481481481)</f>
        <v>0.125231481481481</v>
      </c>
      <c r="G991" s="83">
        <f t="shared" ca="1" si="7"/>
        <v>19</v>
      </c>
      <c r="H991" s="83">
        <f ca="1">IFERROR(__xludf.DUMMYFUNCTION("""COMPUTED_VALUE"""),0)</f>
        <v>0</v>
      </c>
      <c r="I991" s="83">
        <f ca="1">IFERROR(__xludf.DUMMYFUNCTION("""COMPUTED_VALUE"""),20)</f>
        <v>20</v>
      </c>
    </row>
    <row r="992" spans="1:9">
      <c r="A992" s="79">
        <v>171</v>
      </c>
      <c r="B992" s="79">
        <v>1</v>
      </c>
      <c r="C992" s="79">
        <v>172</v>
      </c>
      <c r="D992" s="80">
        <v>43324.135659722226</v>
      </c>
      <c r="E992" s="81">
        <f t="shared" ca="1" si="6"/>
        <v>43313</v>
      </c>
      <c r="F992" s="82">
        <f ca="1">IFERROR(__xludf.DUMMYFUNCTION("""COMPUTED_VALUE"""),0.135659722222222)</f>
        <v>0.135659722222222</v>
      </c>
      <c r="G992" s="83">
        <f t="shared" ca="1" si="7"/>
        <v>19</v>
      </c>
      <c r="H992" s="83">
        <f ca="1">IFERROR(__xludf.DUMMYFUNCTION("""COMPUTED_VALUE"""),15)</f>
        <v>15</v>
      </c>
      <c r="I992" s="83">
        <f ca="1">IFERROR(__xludf.DUMMYFUNCTION("""COMPUTED_VALUE"""),21)</f>
        <v>21</v>
      </c>
    </row>
    <row r="993" spans="1:9">
      <c r="A993" s="79">
        <v>155</v>
      </c>
      <c r="B993" s="79">
        <v>1</v>
      </c>
      <c r="C993" s="79">
        <v>156</v>
      </c>
      <c r="D993" s="80">
        <v>43324.146053240744</v>
      </c>
      <c r="E993" s="81">
        <f t="shared" ca="1" si="6"/>
        <v>43313</v>
      </c>
      <c r="F993" s="82">
        <f ca="1">IFERROR(__xludf.DUMMYFUNCTION("""COMPUTED_VALUE"""),0.14605324074074)</f>
        <v>0.14605324074074</v>
      </c>
      <c r="G993" s="83">
        <f t="shared" ca="1" si="7"/>
        <v>19</v>
      </c>
      <c r="H993" s="83">
        <f ca="1">IFERROR(__xludf.DUMMYFUNCTION("""COMPUTED_VALUE"""),30)</f>
        <v>30</v>
      </c>
      <c r="I993" s="83">
        <f ca="1">IFERROR(__xludf.DUMMYFUNCTION("""COMPUTED_VALUE"""),19)</f>
        <v>19</v>
      </c>
    </row>
    <row r="994" spans="1:9">
      <c r="A994" s="79">
        <v>148</v>
      </c>
      <c r="B994" s="79">
        <v>1</v>
      </c>
      <c r="C994" s="79">
        <v>149</v>
      </c>
      <c r="D994" s="80">
        <v>43324.156469907408</v>
      </c>
      <c r="E994" s="81">
        <f t="shared" ca="1" si="6"/>
        <v>43313</v>
      </c>
      <c r="F994" s="82">
        <f ca="1">IFERROR(__xludf.DUMMYFUNCTION("""COMPUTED_VALUE"""),0.156469907407407)</f>
        <v>0.15646990740740699</v>
      </c>
      <c r="G994" s="83">
        <f t="shared" ca="1" si="7"/>
        <v>19</v>
      </c>
      <c r="H994" s="83">
        <f ca="1">IFERROR(__xludf.DUMMYFUNCTION("""COMPUTED_VALUE"""),45)</f>
        <v>45</v>
      </c>
      <c r="I994" s="83">
        <f ca="1">IFERROR(__xludf.DUMMYFUNCTION("""COMPUTED_VALUE"""),19)</f>
        <v>19</v>
      </c>
    </row>
    <row r="995" spans="1:9">
      <c r="A995" s="79">
        <v>132</v>
      </c>
      <c r="B995" s="79">
        <v>3</v>
      </c>
      <c r="C995" s="79">
        <v>135</v>
      </c>
      <c r="D995" s="80">
        <v>43324.166898148149</v>
      </c>
      <c r="E995" s="81">
        <f t="shared" ca="1" si="6"/>
        <v>43313</v>
      </c>
      <c r="F995" s="82">
        <f ca="1">IFERROR(__xludf.DUMMYFUNCTION("""COMPUTED_VALUE"""),0.166898148148148)</f>
        <v>0.16689814814814799</v>
      </c>
      <c r="G995" s="83">
        <f t="shared" ca="1" si="7"/>
        <v>19</v>
      </c>
      <c r="H995" s="83">
        <f ca="1">IFERROR(__xludf.DUMMYFUNCTION("""COMPUTED_VALUE"""),0)</f>
        <v>0</v>
      </c>
      <c r="I995" s="83">
        <f ca="1">IFERROR(__xludf.DUMMYFUNCTION("""COMPUTED_VALUE"""),20)</f>
        <v>20</v>
      </c>
    </row>
    <row r="996" spans="1:9">
      <c r="A996" s="79">
        <v>126</v>
      </c>
      <c r="B996" s="79">
        <v>0</v>
      </c>
      <c r="C996" s="79">
        <v>126</v>
      </c>
      <c r="D996" s="80">
        <v>43324.177291666667</v>
      </c>
      <c r="E996" s="81">
        <f t="shared" ca="1" si="6"/>
        <v>43313</v>
      </c>
      <c r="F996" s="82">
        <f ca="1">IFERROR(__xludf.DUMMYFUNCTION("""COMPUTED_VALUE"""),0.177291666666666)</f>
        <v>0.17729166666666599</v>
      </c>
      <c r="G996" s="83">
        <f t="shared" ca="1" si="7"/>
        <v>19</v>
      </c>
      <c r="H996" s="83">
        <f ca="1">IFERROR(__xludf.DUMMYFUNCTION("""COMPUTED_VALUE"""),15)</f>
        <v>15</v>
      </c>
      <c r="I996" s="83">
        <f ca="1">IFERROR(__xludf.DUMMYFUNCTION("""COMPUTED_VALUE"""),18)</f>
        <v>18</v>
      </c>
    </row>
    <row r="997" spans="1:9">
      <c r="A997" s="79">
        <v>117</v>
      </c>
      <c r="B997" s="79">
        <v>1</v>
      </c>
      <c r="C997" s="79">
        <v>118</v>
      </c>
      <c r="D997" s="80">
        <v>43324.187719907408</v>
      </c>
      <c r="E997" s="81">
        <f t="shared" ca="1" si="6"/>
        <v>43313</v>
      </c>
      <c r="F997" s="82">
        <f ca="1">IFERROR(__xludf.DUMMYFUNCTION("""COMPUTED_VALUE"""),0.187719907407407)</f>
        <v>0.18771990740740699</v>
      </c>
      <c r="G997" s="83">
        <f t="shared" ca="1" si="7"/>
        <v>19</v>
      </c>
      <c r="H997" s="83">
        <f ca="1">IFERROR(__xludf.DUMMYFUNCTION("""COMPUTED_VALUE"""),30)</f>
        <v>30</v>
      </c>
      <c r="I997" s="83">
        <f ca="1">IFERROR(__xludf.DUMMYFUNCTION("""COMPUTED_VALUE"""),19)</f>
        <v>19</v>
      </c>
    </row>
    <row r="998" spans="1:9">
      <c r="A998" s="79">
        <v>100</v>
      </c>
      <c r="B998" s="79">
        <v>2</v>
      </c>
      <c r="C998" s="79">
        <v>102</v>
      </c>
      <c r="D998" s="80">
        <v>43324.198136574072</v>
      </c>
      <c r="E998" s="81">
        <f t="shared" ca="1" si="6"/>
        <v>43313</v>
      </c>
      <c r="F998" s="82">
        <f ca="1">IFERROR(__xludf.DUMMYFUNCTION("""COMPUTED_VALUE"""),0.198136574074074)</f>
        <v>0.19813657407407401</v>
      </c>
      <c r="G998" s="83">
        <f t="shared" ca="1" si="7"/>
        <v>19</v>
      </c>
      <c r="H998" s="83">
        <f ca="1">IFERROR(__xludf.DUMMYFUNCTION("""COMPUTED_VALUE"""),45)</f>
        <v>45</v>
      </c>
      <c r="I998" s="83">
        <f ca="1">IFERROR(__xludf.DUMMYFUNCTION("""COMPUTED_VALUE"""),19)</f>
        <v>19</v>
      </c>
    </row>
    <row r="999" spans="1:9">
      <c r="A999" s="79">
        <v>109</v>
      </c>
      <c r="B999" s="79">
        <v>2</v>
      </c>
      <c r="C999" s="79">
        <v>111</v>
      </c>
      <c r="D999" s="80">
        <v>43324.208553240744</v>
      </c>
      <c r="E999" s="81">
        <f t="shared" ca="1" si="6"/>
        <v>43313</v>
      </c>
      <c r="F999" s="82">
        <f ca="1">IFERROR(__xludf.DUMMYFUNCTION("""COMPUTED_VALUE"""),0.20855324074074)</f>
        <v>0.20855324074074</v>
      </c>
      <c r="G999" s="83">
        <f t="shared" ca="1" si="7"/>
        <v>19</v>
      </c>
      <c r="H999" s="83">
        <f ca="1">IFERROR(__xludf.DUMMYFUNCTION("""COMPUTED_VALUE"""),0)</f>
        <v>0</v>
      </c>
      <c r="I999" s="83">
        <f ca="1">IFERROR(__xludf.DUMMYFUNCTION("""COMPUTED_VALUE"""),19)</f>
        <v>19</v>
      </c>
    </row>
    <row r="1000" spans="1:9">
      <c r="A1000" s="79">
        <v>127</v>
      </c>
      <c r="B1000" s="79">
        <v>2</v>
      </c>
      <c r="C1000" s="79">
        <v>129</v>
      </c>
      <c r="D1000" s="80">
        <v>43324.218958333331</v>
      </c>
      <c r="E1000" s="81">
        <f t="shared" ca="1" si="6"/>
        <v>43313</v>
      </c>
      <c r="F1000" s="82">
        <f ca="1">IFERROR(__xludf.DUMMYFUNCTION("""COMPUTED_VALUE"""),0.218958333333333)</f>
        <v>0.21895833333333301</v>
      </c>
      <c r="G1000" s="83">
        <f t="shared" ca="1" si="7"/>
        <v>19</v>
      </c>
      <c r="H1000" s="83">
        <f ca="1">IFERROR(__xludf.DUMMYFUNCTION("""COMPUTED_VALUE"""),15)</f>
        <v>15</v>
      </c>
      <c r="I1000" s="83">
        <f ca="1">IFERROR(__xludf.DUMMYFUNCTION("""COMPUTED_VALUE"""),18)</f>
        <v>18</v>
      </c>
    </row>
    <row r="1001" spans="1:9">
      <c r="A1001" s="79">
        <v>116</v>
      </c>
      <c r="B1001" s="79">
        <v>0</v>
      </c>
      <c r="C1001" s="79">
        <v>112</v>
      </c>
      <c r="D1001" s="80">
        <v>43324.229386574072</v>
      </c>
      <c r="E1001" s="81">
        <f t="shared" ca="1" si="6"/>
        <v>43313</v>
      </c>
      <c r="F1001" s="82">
        <f ca="1">IFERROR(__xludf.DUMMYFUNCTION("""COMPUTED_VALUE"""),0.229386574074074)</f>
        <v>0.22938657407407401</v>
      </c>
      <c r="G1001" s="83">
        <f t="shared" ca="1" si="7"/>
        <v>19</v>
      </c>
      <c r="H1001" s="83">
        <f ca="1">IFERROR(__xludf.DUMMYFUNCTION("""COMPUTED_VALUE"""),30)</f>
        <v>30</v>
      </c>
      <c r="I1001" s="83">
        <f ca="1">IFERROR(__xludf.DUMMYFUNCTION("""COMPUTED_VALUE"""),19)</f>
        <v>19</v>
      </c>
    </row>
    <row r="1002" spans="1:9">
      <c r="A1002" s="79">
        <v>116</v>
      </c>
      <c r="B1002" s="79">
        <v>0</v>
      </c>
      <c r="C1002" s="79">
        <v>116</v>
      </c>
      <c r="D1002" s="80">
        <v>43324.239803240744</v>
      </c>
      <c r="E1002" s="81">
        <f t="shared" ca="1" si="6"/>
        <v>43313</v>
      </c>
      <c r="F1002" s="82">
        <f ca="1">IFERROR(__xludf.DUMMYFUNCTION("""COMPUTED_VALUE"""),0.23980324074074)</f>
        <v>0.23980324074074</v>
      </c>
      <c r="G1002" s="83">
        <f t="shared" ca="1" si="7"/>
        <v>19</v>
      </c>
      <c r="H1002" s="83">
        <f ca="1">IFERROR(__xludf.DUMMYFUNCTION("""COMPUTED_VALUE"""),45)</f>
        <v>45</v>
      </c>
      <c r="I1002" s="83">
        <f ca="1">IFERROR(__xludf.DUMMYFUNCTION("""COMPUTED_VALUE"""),19)</f>
        <v>19</v>
      </c>
    </row>
    <row r="1003" spans="1:9">
      <c r="A1003" s="79">
        <v>91</v>
      </c>
      <c r="B1003" s="79">
        <v>0</v>
      </c>
      <c r="C1003" s="79">
        <v>91</v>
      </c>
      <c r="D1003" s="80">
        <v>43324.250231481485</v>
      </c>
      <c r="E1003" s="81">
        <f t="shared" ca="1" si="6"/>
        <v>43313</v>
      </c>
      <c r="F1003" s="82">
        <f ca="1">IFERROR(__xludf.DUMMYFUNCTION("""COMPUTED_VALUE"""),0.250231481481481)</f>
        <v>0.250231481481481</v>
      </c>
      <c r="G1003" s="83">
        <f t="shared" ca="1" si="7"/>
        <v>19</v>
      </c>
      <c r="H1003" s="83">
        <f ca="1">IFERROR(__xludf.DUMMYFUNCTION("""COMPUTED_VALUE"""),0)</f>
        <v>0</v>
      </c>
      <c r="I1003" s="83">
        <f ca="1">IFERROR(__xludf.DUMMYFUNCTION("""COMPUTED_VALUE"""),20)</f>
        <v>20</v>
      </c>
    </row>
    <row r="1004" spans="1:9">
      <c r="A1004" s="79">
        <v>94</v>
      </c>
      <c r="B1004" s="79">
        <v>0</v>
      </c>
      <c r="C1004" s="79">
        <v>94</v>
      </c>
      <c r="D1004" s="80">
        <v>43324.260636574072</v>
      </c>
      <c r="E1004" s="81">
        <f t="shared" ca="1" si="6"/>
        <v>43313</v>
      </c>
      <c r="F1004" s="82">
        <f ca="1">IFERROR(__xludf.DUMMYFUNCTION("""COMPUTED_VALUE"""),0.260636574074074)</f>
        <v>0.26063657407407398</v>
      </c>
      <c r="G1004" s="83">
        <f t="shared" ca="1" si="7"/>
        <v>19</v>
      </c>
      <c r="H1004" s="83">
        <f ca="1">IFERROR(__xludf.DUMMYFUNCTION("""COMPUTED_VALUE"""),15)</f>
        <v>15</v>
      </c>
      <c r="I1004" s="83">
        <f ca="1">IFERROR(__xludf.DUMMYFUNCTION("""COMPUTED_VALUE"""),19)</f>
        <v>19</v>
      </c>
    </row>
    <row r="1005" spans="1:9">
      <c r="A1005" s="79">
        <v>88</v>
      </c>
      <c r="B1005" s="79">
        <v>1</v>
      </c>
      <c r="C1005" s="79">
        <v>89</v>
      </c>
      <c r="D1005" s="80">
        <v>43324.273784722223</v>
      </c>
      <c r="E1005" s="81">
        <f t="shared" ca="1" si="6"/>
        <v>43313</v>
      </c>
      <c r="F1005" s="82">
        <f ca="1">IFERROR(__xludf.DUMMYFUNCTION("""COMPUTED_VALUE"""),0.273784722222222)</f>
        <v>0.273784722222222</v>
      </c>
      <c r="G1005" s="83">
        <f t="shared" ca="1" si="7"/>
        <v>19</v>
      </c>
      <c r="H1005" s="83">
        <f ca="1">IFERROR(__xludf.DUMMYFUNCTION("""COMPUTED_VALUE"""),34)</f>
        <v>34</v>
      </c>
      <c r="I1005" s="83">
        <f ca="1">IFERROR(__xludf.DUMMYFUNCTION("""COMPUTED_VALUE"""),15)</f>
        <v>15</v>
      </c>
    </row>
    <row r="1006" spans="1:9">
      <c r="A1006" s="79">
        <v>77</v>
      </c>
      <c r="B1006" s="79">
        <v>0</v>
      </c>
      <c r="C1006" s="79">
        <v>77</v>
      </c>
      <c r="D1006" s="80">
        <v>43324.281469907408</v>
      </c>
      <c r="E1006" s="81">
        <f t="shared" ca="1" si="6"/>
        <v>43313</v>
      </c>
      <c r="F1006" s="82">
        <f ca="1">IFERROR(__xludf.DUMMYFUNCTION("""COMPUTED_VALUE"""),0.281469907407407)</f>
        <v>0.28146990740740702</v>
      </c>
      <c r="G1006" s="83">
        <f t="shared" ca="1" si="7"/>
        <v>19</v>
      </c>
      <c r="H1006" s="83">
        <f ca="1">IFERROR(__xludf.DUMMYFUNCTION("""COMPUTED_VALUE"""),45)</f>
        <v>45</v>
      </c>
      <c r="I1006" s="83">
        <f ca="1">IFERROR(__xludf.DUMMYFUNCTION("""COMPUTED_VALUE"""),19)</f>
        <v>19</v>
      </c>
    </row>
    <row r="1007" spans="1:9">
      <c r="A1007" s="79">
        <v>59</v>
      </c>
      <c r="B1007" s="79">
        <v>1</v>
      </c>
      <c r="C1007" s="79">
        <v>60</v>
      </c>
      <c r="D1007" s="80">
        <v>43324.291875000003</v>
      </c>
      <c r="E1007" s="81">
        <f t="shared" ca="1" si="6"/>
        <v>43313</v>
      </c>
      <c r="F1007" s="82">
        <f ca="1">IFERROR(__xludf.DUMMYFUNCTION("""COMPUTED_VALUE"""),0.291875)</f>
        <v>0.291875</v>
      </c>
      <c r="G1007" s="83">
        <f t="shared" ca="1" si="7"/>
        <v>19</v>
      </c>
      <c r="H1007" s="83">
        <f ca="1">IFERROR(__xludf.DUMMYFUNCTION("""COMPUTED_VALUE"""),0)</f>
        <v>0</v>
      </c>
      <c r="I1007" s="83">
        <f ca="1">IFERROR(__xludf.DUMMYFUNCTION("""COMPUTED_VALUE"""),18)</f>
        <v>18</v>
      </c>
    </row>
    <row r="1008" spans="1:9">
      <c r="A1008" s="79">
        <v>77</v>
      </c>
      <c r="B1008" s="79">
        <v>0</v>
      </c>
      <c r="C1008" s="79">
        <v>77</v>
      </c>
      <c r="D1008" s="80">
        <v>43324.30232638889</v>
      </c>
      <c r="E1008" s="81">
        <f t="shared" ca="1" si="6"/>
        <v>43313</v>
      </c>
      <c r="F1008" s="82">
        <f ca="1">IFERROR(__xludf.DUMMYFUNCTION("""COMPUTED_VALUE"""),0.302326388888888)</f>
        <v>0.30232638888888802</v>
      </c>
      <c r="G1008" s="83">
        <f t="shared" ca="1" si="7"/>
        <v>19</v>
      </c>
      <c r="H1008" s="83">
        <f ca="1">IFERROR(__xludf.DUMMYFUNCTION("""COMPUTED_VALUE"""),15)</f>
        <v>15</v>
      </c>
      <c r="I1008" s="83">
        <f ca="1">IFERROR(__xludf.DUMMYFUNCTION("""COMPUTED_VALUE"""),21)</f>
        <v>21</v>
      </c>
    </row>
    <row r="1009" spans="1:9">
      <c r="A1009" s="79">
        <v>73</v>
      </c>
      <c r="B1009" s="79">
        <v>2</v>
      </c>
      <c r="C1009" s="79">
        <v>75</v>
      </c>
      <c r="D1009" s="80">
        <v>43324.312731481485</v>
      </c>
      <c r="E1009" s="81">
        <f t="shared" ca="1" si="6"/>
        <v>43313</v>
      </c>
      <c r="F1009" s="82">
        <f ca="1">IFERROR(__xludf.DUMMYFUNCTION("""COMPUTED_VALUE"""),0.312731481481481)</f>
        <v>0.312731481481481</v>
      </c>
      <c r="G1009" s="83">
        <f t="shared" ca="1" si="7"/>
        <v>19</v>
      </c>
      <c r="H1009" s="83">
        <f ca="1">IFERROR(__xludf.DUMMYFUNCTION("""COMPUTED_VALUE"""),30)</f>
        <v>30</v>
      </c>
      <c r="I1009" s="83">
        <f ca="1">IFERROR(__xludf.DUMMYFUNCTION("""COMPUTED_VALUE"""),20)</f>
        <v>20</v>
      </c>
    </row>
    <row r="1010" spans="1:9">
      <c r="A1010" s="79">
        <v>77</v>
      </c>
      <c r="B1010" s="79">
        <v>2</v>
      </c>
      <c r="C1010" s="79">
        <v>79</v>
      </c>
      <c r="D1010" s="80">
        <v>43324.323148148149</v>
      </c>
      <c r="E1010" s="81">
        <f t="shared" ca="1" si="6"/>
        <v>43313</v>
      </c>
      <c r="F1010" s="82">
        <f ca="1">IFERROR(__xludf.DUMMYFUNCTION("""COMPUTED_VALUE"""),0.323148148148148)</f>
        <v>0.32314814814814802</v>
      </c>
      <c r="G1010" s="83">
        <f t="shared" ca="1" si="7"/>
        <v>19</v>
      </c>
      <c r="H1010" s="83">
        <f ca="1">IFERROR(__xludf.DUMMYFUNCTION("""COMPUTED_VALUE"""),45)</f>
        <v>45</v>
      </c>
      <c r="I1010" s="83">
        <f ca="1">IFERROR(__xludf.DUMMYFUNCTION("""COMPUTED_VALUE"""),20)</f>
        <v>20</v>
      </c>
    </row>
    <row r="1011" spans="1:9">
      <c r="A1011" s="79">
        <v>57</v>
      </c>
      <c r="B1011" s="79">
        <v>0</v>
      </c>
      <c r="C1011" s="79">
        <v>55</v>
      </c>
      <c r="D1011" s="80">
        <v>43324.333564814813</v>
      </c>
      <c r="E1011" s="81">
        <f t="shared" ca="1" si="6"/>
        <v>43313</v>
      </c>
      <c r="F1011" s="82">
        <f ca="1">IFERROR(__xludf.DUMMYFUNCTION("""COMPUTED_VALUE"""),0.333564814814814)</f>
        <v>0.33356481481481398</v>
      </c>
      <c r="G1011" s="83">
        <f t="shared" ca="1" si="7"/>
        <v>19</v>
      </c>
      <c r="H1011" s="83">
        <f ca="1">IFERROR(__xludf.DUMMYFUNCTION("""COMPUTED_VALUE"""),0)</f>
        <v>0</v>
      </c>
      <c r="I1011" s="83">
        <f ca="1">IFERROR(__xludf.DUMMYFUNCTION("""COMPUTED_VALUE"""),20)</f>
        <v>20</v>
      </c>
    </row>
    <row r="1012" spans="1:9">
      <c r="A1012" s="79">
        <v>69</v>
      </c>
      <c r="B1012" s="79">
        <v>1</v>
      </c>
      <c r="C1012" s="79">
        <v>70</v>
      </c>
      <c r="D1012" s="80">
        <v>43324.343993055554</v>
      </c>
      <c r="E1012" s="81">
        <f t="shared" ca="1" si="6"/>
        <v>43313</v>
      </c>
      <c r="F1012" s="82">
        <f ca="1">IFERROR(__xludf.DUMMYFUNCTION("""COMPUTED_VALUE"""),0.343993055555555)</f>
        <v>0.34399305555555498</v>
      </c>
      <c r="G1012" s="83">
        <f t="shared" ca="1" si="7"/>
        <v>19</v>
      </c>
      <c r="H1012" s="83">
        <f ca="1">IFERROR(__xludf.DUMMYFUNCTION("""COMPUTED_VALUE"""),15)</f>
        <v>15</v>
      </c>
      <c r="I1012" s="83">
        <f ca="1">IFERROR(__xludf.DUMMYFUNCTION("""COMPUTED_VALUE"""),21)</f>
        <v>21</v>
      </c>
    </row>
    <row r="1013" spans="1:9">
      <c r="A1013" s="79">
        <v>93</v>
      </c>
      <c r="B1013" s="79">
        <v>0</v>
      </c>
      <c r="C1013" s="79">
        <v>93</v>
      </c>
      <c r="D1013" s="80">
        <v>43324.354398148149</v>
      </c>
      <c r="E1013" s="81">
        <f t="shared" ca="1" si="6"/>
        <v>43313</v>
      </c>
      <c r="F1013" s="82">
        <f ca="1">IFERROR(__xludf.DUMMYFUNCTION("""COMPUTED_VALUE"""),0.354398148148148)</f>
        <v>0.35439814814814802</v>
      </c>
      <c r="G1013" s="83">
        <f t="shared" ca="1" si="7"/>
        <v>19</v>
      </c>
      <c r="H1013" s="83">
        <f ca="1">IFERROR(__xludf.DUMMYFUNCTION("""COMPUTED_VALUE"""),30)</f>
        <v>30</v>
      </c>
      <c r="I1013" s="83">
        <f ca="1">IFERROR(__xludf.DUMMYFUNCTION("""COMPUTED_VALUE"""),20)</f>
        <v>20</v>
      </c>
    </row>
    <row r="1014" spans="1:9">
      <c r="A1014" s="79">
        <v>101</v>
      </c>
      <c r="B1014" s="79">
        <v>0</v>
      </c>
      <c r="C1014" s="79">
        <v>101</v>
      </c>
      <c r="D1014" s="80">
        <v>43324.364814814813</v>
      </c>
      <c r="E1014" s="81">
        <f t="shared" ca="1" si="6"/>
        <v>43313</v>
      </c>
      <c r="F1014" s="82">
        <f ca="1">IFERROR(__xludf.DUMMYFUNCTION("""COMPUTED_VALUE"""),0.364814814814814)</f>
        <v>0.36481481481481398</v>
      </c>
      <c r="G1014" s="83">
        <f t="shared" ca="1" si="7"/>
        <v>19</v>
      </c>
      <c r="H1014" s="83">
        <f ca="1">IFERROR(__xludf.DUMMYFUNCTION("""COMPUTED_VALUE"""),45)</f>
        <v>45</v>
      </c>
      <c r="I1014" s="83">
        <f ca="1">IFERROR(__xludf.DUMMYFUNCTION("""COMPUTED_VALUE"""),20)</f>
        <v>20</v>
      </c>
    </row>
    <row r="1015" spans="1:9">
      <c r="A1015" s="79">
        <v>84</v>
      </c>
      <c r="B1015" s="79">
        <v>1</v>
      </c>
      <c r="C1015" s="79">
        <v>75</v>
      </c>
      <c r="D1015" s="80">
        <v>43324.375231481485</v>
      </c>
      <c r="E1015" s="81">
        <f t="shared" ca="1" si="6"/>
        <v>43313</v>
      </c>
      <c r="F1015" s="82">
        <f ca="1">IFERROR(__xludf.DUMMYFUNCTION("""COMPUTED_VALUE"""),0.375231481481481)</f>
        <v>0.375231481481481</v>
      </c>
      <c r="G1015" s="83">
        <f t="shared" ca="1" si="7"/>
        <v>19</v>
      </c>
      <c r="H1015" s="83">
        <f ca="1">IFERROR(__xludf.DUMMYFUNCTION("""COMPUTED_VALUE"""),0)</f>
        <v>0</v>
      </c>
      <c r="I1015" s="83">
        <f ca="1">IFERROR(__xludf.DUMMYFUNCTION("""COMPUTED_VALUE"""),20)</f>
        <v>20</v>
      </c>
    </row>
    <row r="1016" spans="1:9">
      <c r="A1016" s="79">
        <v>80</v>
      </c>
      <c r="B1016" s="79">
        <v>1</v>
      </c>
      <c r="C1016" s="79">
        <v>81</v>
      </c>
      <c r="D1016" s="80">
        <v>43324.385648148149</v>
      </c>
      <c r="E1016" s="81">
        <f t="shared" ca="1" si="6"/>
        <v>43313</v>
      </c>
      <c r="F1016" s="82">
        <f ca="1">IFERROR(__xludf.DUMMYFUNCTION("""COMPUTED_VALUE"""),0.385648148148148)</f>
        <v>0.38564814814814802</v>
      </c>
      <c r="G1016" s="83">
        <f t="shared" ca="1" si="7"/>
        <v>19</v>
      </c>
      <c r="H1016" s="83">
        <f ca="1">IFERROR(__xludf.DUMMYFUNCTION("""COMPUTED_VALUE"""),15)</f>
        <v>15</v>
      </c>
      <c r="I1016" s="83">
        <f ca="1">IFERROR(__xludf.DUMMYFUNCTION("""COMPUTED_VALUE"""),20)</f>
        <v>20</v>
      </c>
    </row>
    <row r="1017" spans="1:9">
      <c r="A1017" s="79">
        <v>99</v>
      </c>
      <c r="B1017" s="79">
        <v>1</v>
      </c>
      <c r="C1017" s="79">
        <v>100</v>
      </c>
      <c r="D1017" s="80">
        <v>43324.396064814813</v>
      </c>
      <c r="E1017" s="81">
        <f t="shared" ca="1" si="6"/>
        <v>43313</v>
      </c>
      <c r="F1017" s="82">
        <f ca="1">IFERROR(__xludf.DUMMYFUNCTION("""COMPUTED_VALUE"""),0.396064814814814)</f>
        <v>0.39606481481481398</v>
      </c>
      <c r="G1017" s="83">
        <f t="shared" ca="1" si="7"/>
        <v>19</v>
      </c>
      <c r="H1017" s="83">
        <f ca="1">IFERROR(__xludf.DUMMYFUNCTION("""COMPUTED_VALUE"""),30)</f>
        <v>30</v>
      </c>
      <c r="I1017" s="83">
        <f ca="1">IFERROR(__xludf.DUMMYFUNCTION("""COMPUTED_VALUE"""),20)</f>
        <v>20</v>
      </c>
    </row>
    <row r="1018" spans="1:9">
      <c r="A1018" s="79">
        <v>94</v>
      </c>
      <c r="B1018" s="79">
        <v>1</v>
      </c>
      <c r="C1018" s="79">
        <v>95</v>
      </c>
      <c r="D1018" s="80">
        <v>43324.406481481485</v>
      </c>
      <c r="E1018" s="81">
        <f t="shared" ca="1" si="6"/>
        <v>43313</v>
      </c>
      <c r="F1018" s="82">
        <f ca="1">IFERROR(__xludf.DUMMYFUNCTION("""COMPUTED_VALUE"""),0.406481481481481)</f>
        <v>0.406481481481481</v>
      </c>
      <c r="G1018" s="83">
        <f t="shared" ca="1" si="7"/>
        <v>19</v>
      </c>
      <c r="H1018" s="83">
        <f ca="1">IFERROR(__xludf.DUMMYFUNCTION("""COMPUTED_VALUE"""),45)</f>
        <v>45</v>
      </c>
      <c r="I1018" s="83">
        <f ca="1">IFERROR(__xludf.DUMMYFUNCTION("""COMPUTED_VALUE"""),20)</f>
        <v>20</v>
      </c>
    </row>
    <row r="1019" spans="1:9">
      <c r="A1019" s="79">
        <v>91</v>
      </c>
      <c r="B1019" s="79">
        <v>1</v>
      </c>
      <c r="C1019" s="79">
        <v>92</v>
      </c>
      <c r="D1019" s="80">
        <v>43324.416944444441</v>
      </c>
      <c r="E1019" s="81">
        <f t="shared" ca="1" si="6"/>
        <v>43313</v>
      </c>
      <c r="F1019" s="82">
        <f ca="1">IFERROR(__xludf.DUMMYFUNCTION("""COMPUTED_VALUE"""),0.416944444444444)</f>
        <v>0.41694444444444401</v>
      </c>
      <c r="G1019" s="83">
        <f t="shared" ca="1" si="7"/>
        <v>19</v>
      </c>
      <c r="H1019" s="83">
        <f ca="1">IFERROR(__xludf.DUMMYFUNCTION("""COMPUTED_VALUE"""),0)</f>
        <v>0</v>
      </c>
      <c r="I1019" s="83">
        <f ca="1">IFERROR(__xludf.DUMMYFUNCTION("""COMPUTED_VALUE"""),24)</f>
        <v>24</v>
      </c>
    </row>
    <row r="1020" spans="1:9">
      <c r="A1020" s="79">
        <v>88</v>
      </c>
      <c r="B1020" s="79">
        <v>0</v>
      </c>
      <c r="C1020" s="79">
        <v>88</v>
      </c>
      <c r="D1020" s="80">
        <v>43324.427314814813</v>
      </c>
      <c r="E1020" s="81">
        <f t="shared" ca="1" si="6"/>
        <v>43313</v>
      </c>
      <c r="F1020" s="82">
        <f ca="1">IFERROR(__xludf.DUMMYFUNCTION("""COMPUTED_VALUE"""),0.427314814814814)</f>
        <v>0.42731481481481398</v>
      </c>
      <c r="G1020" s="83">
        <f t="shared" ca="1" si="7"/>
        <v>19</v>
      </c>
      <c r="H1020" s="83">
        <f ca="1">IFERROR(__xludf.DUMMYFUNCTION("""COMPUTED_VALUE"""),15)</f>
        <v>15</v>
      </c>
      <c r="I1020" s="83">
        <f ca="1">IFERROR(__xludf.DUMMYFUNCTION("""COMPUTED_VALUE"""),20)</f>
        <v>20</v>
      </c>
    </row>
    <row r="1021" spans="1:9">
      <c r="A1021" s="79">
        <v>114</v>
      </c>
      <c r="B1021" s="79">
        <v>1</v>
      </c>
      <c r="C1021" s="79">
        <v>115</v>
      </c>
      <c r="D1021" s="80">
        <v>43324.437731481485</v>
      </c>
      <c r="E1021" s="81">
        <f t="shared" ca="1" si="6"/>
        <v>43313</v>
      </c>
      <c r="F1021" s="82">
        <f ca="1">IFERROR(__xludf.DUMMYFUNCTION("""COMPUTED_VALUE"""),0.437731481481481)</f>
        <v>0.437731481481481</v>
      </c>
      <c r="G1021" s="83">
        <f t="shared" ca="1" si="7"/>
        <v>19</v>
      </c>
      <c r="H1021" s="83">
        <f ca="1">IFERROR(__xludf.DUMMYFUNCTION("""COMPUTED_VALUE"""),30)</f>
        <v>30</v>
      </c>
      <c r="I1021" s="83">
        <f ca="1">IFERROR(__xludf.DUMMYFUNCTION("""COMPUTED_VALUE"""),20)</f>
        <v>20</v>
      </c>
    </row>
    <row r="1022" spans="1:9">
      <c r="A1022" s="79">
        <v>145</v>
      </c>
      <c r="B1022" s="79">
        <v>1</v>
      </c>
      <c r="C1022" s="79">
        <v>146</v>
      </c>
      <c r="D1022" s="80">
        <v>43324.448148148149</v>
      </c>
      <c r="E1022" s="81">
        <f t="shared" ref="E1022:E2834" ca="1" si="8">IFERROR(__xludf.DUMMYFUNCTION("SPLIT(D2, "" "")"),43313)</f>
        <v>43313</v>
      </c>
      <c r="F1022" s="82">
        <f ca="1">IFERROR(__xludf.DUMMYFUNCTION("""COMPUTED_VALUE"""),0.448148148148148)</f>
        <v>0.44814814814814802</v>
      </c>
      <c r="G1022" s="83">
        <f t="shared" ref="G1022:G2834" ca="1" si="9">IFERROR(__xludf.DUMMYFUNCTION("SPLIT(F2, "":"")"),19)</f>
        <v>19</v>
      </c>
      <c r="H1022" s="83">
        <f ca="1">IFERROR(__xludf.DUMMYFUNCTION("""COMPUTED_VALUE"""),45)</f>
        <v>45</v>
      </c>
      <c r="I1022" s="83">
        <f ca="1">IFERROR(__xludf.DUMMYFUNCTION("""COMPUTED_VALUE"""),20)</f>
        <v>20</v>
      </c>
    </row>
    <row r="1023" spans="1:9">
      <c r="A1023" s="79">
        <v>95</v>
      </c>
      <c r="B1023" s="79">
        <v>0</v>
      </c>
      <c r="C1023" s="79">
        <v>95</v>
      </c>
      <c r="D1023" s="80">
        <v>43324.458599537036</v>
      </c>
      <c r="E1023" s="81">
        <f t="shared" ca="1" si="8"/>
        <v>43313</v>
      </c>
      <c r="F1023" s="82">
        <f ca="1">IFERROR(__xludf.DUMMYFUNCTION("""COMPUTED_VALUE"""),0.458599537037037)</f>
        <v>0.45859953703703699</v>
      </c>
      <c r="G1023" s="83">
        <f t="shared" ca="1" si="9"/>
        <v>19</v>
      </c>
      <c r="H1023" s="83">
        <f ca="1">IFERROR(__xludf.DUMMYFUNCTION("""COMPUTED_VALUE"""),0)</f>
        <v>0</v>
      </c>
      <c r="I1023" s="83">
        <f ca="1">IFERROR(__xludf.DUMMYFUNCTION("""COMPUTED_VALUE"""),23)</f>
        <v>23</v>
      </c>
    </row>
    <row r="1024" spans="1:9">
      <c r="A1024" s="79">
        <v>100</v>
      </c>
      <c r="B1024" s="79">
        <v>0</v>
      </c>
      <c r="C1024" s="79">
        <v>100</v>
      </c>
      <c r="D1024" s="80">
        <v>43324.468981481485</v>
      </c>
      <c r="E1024" s="81">
        <f t="shared" ca="1" si="8"/>
        <v>43313</v>
      </c>
      <c r="F1024" s="82">
        <f ca="1">IFERROR(__xludf.DUMMYFUNCTION("""COMPUTED_VALUE"""),0.468981481481481)</f>
        <v>0.468981481481481</v>
      </c>
      <c r="G1024" s="83">
        <f t="shared" ca="1" si="9"/>
        <v>19</v>
      </c>
      <c r="H1024" s="83">
        <f ca="1">IFERROR(__xludf.DUMMYFUNCTION("""COMPUTED_VALUE"""),15)</f>
        <v>15</v>
      </c>
      <c r="I1024" s="83">
        <f ca="1">IFERROR(__xludf.DUMMYFUNCTION("""COMPUTED_VALUE"""),20)</f>
        <v>20</v>
      </c>
    </row>
    <row r="1025" spans="1:9">
      <c r="A1025" s="79">
        <v>145</v>
      </c>
      <c r="B1025" s="79">
        <v>4</v>
      </c>
      <c r="C1025" s="79">
        <v>149</v>
      </c>
      <c r="D1025" s="80">
        <v>43324.479398148149</v>
      </c>
      <c r="E1025" s="81">
        <f t="shared" ca="1" si="8"/>
        <v>43313</v>
      </c>
      <c r="F1025" s="82">
        <f ca="1">IFERROR(__xludf.DUMMYFUNCTION("""COMPUTED_VALUE"""),0.479398148148148)</f>
        <v>0.47939814814814802</v>
      </c>
      <c r="G1025" s="83">
        <f t="shared" ca="1" si="9"/>
        <v>19</v>
      </c>
      <c r="H1025" s="83">
        <f ca="1">IFERROR(__xludf.DUMMYFUNCTION("""COMPUTED_VALUE"""),30)</f>
        <v>30</v>
      </c>
      <c r="I1025" s="83">
        <f ca="1">IFERROR(__xludf.DUMMYFUNCTION("""COMPUTED_VALUE"""),20)</f>
        <v>20</v>
      </c>
    </row>
    <row r="1026" spans="1:9">
      <c r="A1026" s="79">
        <v>178</v>
      </c>
      <c r="B1026" s="79">
        <v>2</v>
      </c>
      <c r="C1026" s="79">
        <v>180</v>
      </c>
      <c r="D1026" s="80">
        <v>43324.489814814813</v>
      </c>
      <c r="E1026" s="81">
        <f t="shared" ca="1" si="8"/>
        <v>43313</v>
      </c>
      <c r="F1026" s="82">
        <f ca="1">IFERROR(__xludf.DUMMYFUNCTION("""COMPUTED_VALUE"""),0.489814814814814)</f>
        <v>0.48981481481481398</v>
      </c>
      <c r="G1026" s="83">
        <f t="shared" ca="1" si="9"/>
        <v>19</v>
      </c>
      <c r="H1026" s="83">
        <f ca="1">IFERROR(__xludf.DUMMYFUNCTION("""COMPUTED_VALUE"""),45)</f>
        <v>45</v>
      </c>
      <c r="I1026" s="83">
        <f ca="1">IFERROR(__xludf.DUMMYFUNCTION("""COMPUTED_VALUE"""),20)</f>
        <v>20</v>
      </c>
    </row>
    <row r="1027" spans="1:9">
      <c r="A1027" s="79">
        <v>135</v>
      </c>
      <c r="B1027" s="79">
        <v>2</v>
      </c>
      <c r="C1027" s="79">
        <v>137</v>
      </c>
      <c r="D1027" s="80">
        <v>43324.500243055554</v>
      </c>
      <c r="E1027" s="81">
        <f t="shared" ca="1" si="8"/>
        <v>43313</v>
      </c>
      <c r="F1027" s="82">
        <f ca="1">IFERROR(__xludf.DUMMYFUNCTION("""COMPUTED_VALUE"""),0.500243055555555)</f>
        <v>0.50024305555555504</v>
      </c>
      <c r="G1027" s="83">
        <f t="shared" ca="1" si="9"/>
        <v>19</v>
      </c>
      <c r="H1027" s="83">
        <f ca="1">IFERROR(__xludf.DUMMYFUNCTION("""COMPUTED_VALUE"""),0)</f>
        <v>0</v>
      </c>
      <c r="I1027" s="83">
        <f ca="1">IFERROR(__xludf.DUMMYFUNCTION("""COMPUTED_VALUE"""),21)</f>
        <v>21</v>
      </c>
    </row>
    <row r="1028" spans="1:9">
      <c r="A1028" s="79">
        <v>153</v>
      </c>
      <c r="B1028" s="79">
        <v>1</v>
      </c>
      <c r="C1028" s="79">
        <v>154</v>
      </c>
      <c r="D1028" s="80">
        <v>43324.510636574072</v>
      </c>
      <c r="E1028" s="81">
        <f t="shared" ca="1" si="8"/>
        <v>43313</v>
      </c>
      <c r="F1028" s="82">
        <f ca="1">IFERROR(__xludf.DUMMYFUNCTION("""COMPUTED_VALUE"""),0.510636574074074)</f>
        <v>0.51063657407407403</v>
      </c>
      <c r="G1028" s="83">
        <f t="shared" ca="1" si="9"/>
        <v>19</v>
      </c>
      <c r="H1028" s="83">
        <f ca="1">IFERROR(__xludf.DUMMYFUNCTION("""COMPUTED_VALUE"""),15)</f>
        <v>15</v>
      </c>
      <c r="I1028" s="83">
        <f ca="1">IFERROR(__xludf.DUMMYFUNCTION("""COMPUTED_VALUE"""),19)</f>
        <v>19</v>
      </c>
    </row>
    <row r="1029" spans="1:9">
      <c r="A1029" s="79">
        <v>167</v>
      </c>
      <c r="B1029" s="79">
        <v>0</v>
      </c>
      <c r="C1029" s="79">
        <v>167</v>
      </c>
      <c r="D1029" s="80">
        <v>43324.521064814813</v>
      </c>
      <c r="E1029" s="81">
        <f t="shared" ca="1" si="8"/>
        <v>43313</v>
      </c>
      <c r="F1029" s="82">
        <f ca="1">IFERROR(__xludf.DUMMYFUNCTION("""COMPUTED_VALUE"""),0.521064814814814)</f>
        <v>0.52106481481481404</v>
      </c>
      <c r="G1029" s="83">
        <f t="shared" ca="1" si="9"/>
        <v>19</v>
      </c>
      <c r="H1029" s="83">
        <f ca="1">IFERROR(__xludf.DUMMYFUNCTION("""COMPUTED_VALUE"""),30)</f>
        <v>30</v>
      </c>
      <c r="I1029" s="83">
        <f ca="1">IFERROR(__xludf.DUMMYFUNCTION("""COMPUTED_VALUE"""),20)</f>
        <v>20</v>
      </c>
    </row>
    <row r="1030" spans="1:9">
      <c r="A1030" s="79">
        <v>169</v>
      </c>
      <c r="B1030" s="79">
        <v>1</v>
      </c>
      <c r="C1030" s="79">
        <v>170</v>
      </c>
      <c r="D1030" s="80">
        <v>43324.531481481485</v>
      </c>
      <c r="E1030" s="81">
        <f t="shared" ca="1" si="8"/>
        <v>43313</v>
      </c>
      <c r="F1030" s="82">
        <f ca="1">IFERROR(__xludf.DUMMYFUNCTION("""COMPUTED_VALUE"""),0.531481481481481)</f>
        <v>0.531481481481481</v>
      </c>
      <c r="G1030" s="83">
        <f t="shared" ca="1" si="9"/>
        <v>19</v>
      </c>
      <c r="H1030" s="83">
        <f ca="1">IFERROR(__xludf.DUMMYFUNCTION("""COMPUTED_VALUE"""),45)</f>
        <v>45</v>
      </c>
      <c r="I1030" s="83">
        <f ca="1">IFERROR(__xludf.DUMMYFUNCTION("""COMPUTED_VALUE"""),20)</f>
        <v>20</v>
      </c>
    </row>
    <row r="1031" spans="1:9">
      <c r="A1031" s="79">
        <v>166</v>
      </c>
      <c r="B1031" s="79">
        <v>1</v>
      </c>
      <c r="C1031" s="79">
        <v>167</v>
      </c>
      <c r="D1031" s="80">
        <v>43324.541898148149</v>
      </c>
      <c r="E1031" s="81">
        <f t="shared" ca="1" si="8"/>
        <v>43313</v>
      </c>
      <c r="F1031" s="82">
        <f ca="1">IFERROR(__xludf.DUMMYFUNCTION("""COMPUTED_VALUE"""),0.541898148148148)</f>
        <v>0.54189814814814796</v>
      </c>
      <c r="G1031" s="83">
        <f t="shared" ca="1" si="9"/>
        <v>19</v>
      </c>
      <c r="H1031" s="83">
        <f ca="1">IFERROR(__xludf.DUMMYFUNCTION("""COMPUTED_VALUE"""),0)</f>
        <v>0</v>
      </c>
      <c r="I1031" s="83">
        <f ca="1">IFERROR(__xludf.DUMMYFUNCTION("""COMPUTED_VALUE"""),20)</f>
        <v>20</v>
      </c>
    </row>
    <row r="1032" spans="1:9">
      <c r="A1032" s="79">
        <v>194</v>
      </c>
      <c r="B1032" s="79">
        <v>0</v>
      </c>
      <c r="C1032" s="79">
        <v>193</v>
      </c>
      <c r="D1032" s="80">
        <v>43324.552314814813</v>
      </c>
      <c r="E1032" s="81">
        <f t="shared" ca="1" si="8"/>
        <v>43313</v>
      </c>
      <c r="F1032" s="82">
        <f ca="1">IFERROR(__xludf.DUMMYFUNCTION("""COMPUTED_VALUE"""),0.552314814814814)</f>
        <v>0.55231481481481404</v>
      </c>
      <c r="G1032" s="83">
        <f t="shared" ca="1" si="9"/>
        <v>19</v>
      </c>
      <c r="H1032" s="83">
        <f ca="1">IFERROR(__xludf.DUMMYFUNCTION("""COMPUTED_VALUE"""),15)</f>
        <v>15</v>
      </c>
      <c r="I1032" s="83">
        <f ca="1">IFERROR(__xludf.DUMMYFUNCTION("""COMPUTED_VALUE"""),20)</f>
        <v>20</v>
      </c>
    </row>
    <row r="1033" spans="1:9">
      <c r="A1033" s="79">
        <v>232</v>
      </c>
      <c r="B1033" s="79">
        <v>1</v>
      </c>
      <c r="C1033" s="79">
        <v>233</v>
      </c>
      <c r="D1033" s="80">
        <v>43324.562731481485</v>
      </c>
      <c r="E1033" s="81">
        <f t="shared" ca="1" si="8"/>
        <v>43313</v>
      </c>
      <c r="F1033" s="82">
        <f ca="1">IFERROR(__xludf.DUMMYFUNCTION("""COMPUTED_VALUE"""),0.562731481481481)</f>
        <v>0.562731481481481</v>
      </c>
      <c r="G1033" s="83">
        <f t="shared" ca="1" si="9"/>
        <v>19</v>
      </c>
      <c r="H1033" s="83">
        <f ca="1">IFERROR(__xludf.DUMMYFUNCTION("""COMPUTED_VALUE"""),30)</f>
        <v>30</v>
      </c>
      <c r="I1033" s="83">
        <f ca="1">IFERROR(__xludf.DUMMYFUNCTION("""COMPUTED_VALUE"""),20)</f>
        <v>20</v>
      </c>
    </row>
    <row r="1034" spans="1:9">
      <c r="A1034" s="79">
        <v>246</v>
      </c>
      <c r="B1034" s="79">
        <v>4</v>
      </c>
      <c r="C1034" s="79">
        <v>250</v>
      </c>
      <c r="D1034" s="80">
        <v>43324.573148148149</v>
      </c>
      <c r="E1034" s="81">
        <f t="shared" ca="1" si="8"/>
        <v>43313</v>
      </c>
      <c r="F1034" s="82">
        <f ca="1">IFERROR(__xludf.DUMMYFUNCTION("""COMPUTED_VALUE"""),0.573148148148148)</f>
        <v>0.57314814814814796</v>
      </c>
      <c r="G1034" s="83">
        <f t="shared" ca="1" si="9"/>
        <v>19</v>
      </c>
      <c r="H1034" s="83">
        <f ca="1">IFERROR(__xludf.DUMMYFUNCTION("""COMPUTED_VALUE"""),45)</f>
        <v>45</v>
      </c>
      <c r="I1034" s="83">
        <f ca="1">IFERROR(__xludf.DUMMYFUNCTION("""COMPUTED_VALUE"""),20)</f>
        <v>20</v>
      </c>
    </row>
    <row r="1035" spans="1:9">
      <c r="A1035" s="79">
        <v>231</v>
      </c>
      <c r="B1035" s="79">
        <v>1</v>
      </c>
      <c r="C1035" s="79">
        <v>232</v>
      </c>
      <c r="D1035" s="80">
        <v>43324.583553240744</v>
      </c>
      <c r="E1035" s="81">
        <f t="shared" ca="1" si="8"/>
        <v>43313</v>
      </c>
      <c r="F1035" s="82">
        <f ca="1">IFERROR(__xludf.DUMMYFUNCTION("""COMPUTED_VALUE"""),0.58355324074074)</f>
        <v>0.58355324074074</v>
      </c>
      <c r="G1035" s="83">
        <f t="shared" ca="1" si="9"/>
        <v>19</v>
      </c>
      <c r="H1035" s="83">
        <f ca="1">IFERROR(__xludf.DUMMYFUNCTION("""COMPUTED_VALUE"""),0)</f>
        <v>0</v>
      </c>
      <c r="I1035" s="83">
        <f ca="1">IFERROR(__xludf.DUMMYFUNCTION("""COMPUTED_VALUE"""),19)</f>
        <v>19</v>
      </c>
    </row>
    <row r="1036" spans="1:9">
      <c r="A1036" s="79">
        <v>229</v>
      </c>
      <c r="B1036" s="79">
        <v>0</v>
      </c>
      <c r="C1036" s="79">
        <v>229</v>
      </c>
      <c r="D1036" s="80">
        <v>43324.593981481485</v>
      </c>
      <c r="E1036" s="81">
        <f t="shared" ca="1" si="8"/>
        <v>43313</v>
      </c>
      <c r="F1036" s="82">
        <f ca="1">IFERROR(__xludf.DUMMYFUNCTION("""COMPUTED_VALUE"""),0.593981481481481)</f>
        <v>0.593981481481481</v>
      </c>
      <c r="G1036" s="83">
        <f t="shared" ca="1" si="9"/>
        <v>19</v>
      </c>
      <c r="H1036" s="83">
        <f ca="1">IFERROR(__xludf.DUMMYFUNCTION("""COMPUTED_VALUE"""),15)</f>
        <v>15</v>
      </c>
      <c r="I1036" s="83">
        <f ca="1">IFERROR(__xludf.DUMMYFUNCTION("""COMPUTED_VALUE"""),20)</f>
        <v>20</v>
      </c>
    </row>
    <row r="1037" spans="1:9">
      <c r="A1037" s="79">
        <v>243</v>
      </c>
      <c r="B1037" s="79">
        <v>0</v>
      </c>
      <c r="C1037" s="79">
        <v>243</v>
      </c>
      <c r="D1037" s="80">
        <v>43324.604386574072</v>
      </c>
      <c r="E1037" s="81">
        <f t="shared" ca="1" si="8"/>
        <v>43313</v>
      </c>
      <c r="F1037" s="82">
        <f ca="1">IFERROR(__xludf.DUMMYFUNCTION("""COMPUTED_VALUE"""),0.604386574074074)</f>
        <v>0.60438657407407403</v>
      </c>
      <c r="G1037" s="83">
        <f t="shared" ca="1" si="9"/>
        <v>19</v>
      </c>
      <c r="H1037" s="83">
        <f ca="1">IFERROR(__xludf.DUMMYFUNCTION("""COMPUTED_VALUE"""),30)</f>
        <v>30</v>
      </c>
      <c r="I1037" s="83">
        <f ca="1">IFERROR(__xludf.DUMMYFUNCTION("""COMPUTED_VALUE"""),19)</f>
        <v>19</v>
      </c>
    </row>
    <row r="1038" spans="1:9">
      <c r="A1038" s="79">
        <v>251</v>
      </c>
      <c r="B1038" s="79">
        <v>0</v>
      </c>
      <c r="C1038" s="79">
        <v>248</v>
      </c>
      <c r="D1038" s="80">
        <v>43324.614814814813</v>
      </c>
      <c r="E1038" s="81">
        <f t="shared" ca="1" si="8"/>
        <v>43313</v>
      </c>
      <c r="F1038" s="82">
        <f ca="1">IFERROR(__xludf.DUMMYFUNCTION("""COMPUTED_VALUE"""),0.614814814814814)</f>
        <v>0.61481481481481404</v>
      </c>
      <c r="G1038" s="83">
        <f t="shared" ca="1" si="9"/>
        <v>19</v>
      </c>
      <c r="H1038" s="83">
        <f ca="1">IFERROR(__xludf.DUMMYFUNCTION("""COMPUTED_VALUE"""),45)</f>
        <v>45</v>
      </c>
      <c r="I1038" s="83">
        <f ca="1">IFERROR(__xludf.DUMMYFUNCTION("""COMPUTED_VALUE"""),20)</f>
        <v>20</v>
      </c>
    </row>
    <row r="1039" spans="1:9">
      <c r="A1039" s="79">
        <v>269</v>
      </c>
      <c r="B1039" s="79">
        <v>0</v>
      </c>
      <c r="C1039" s="79">
        <v>269</v>
      </c>
      <c r="D1039" s="80">
        <v>43324.625219907408</v>
      </c>
      <c r="E1039" s="81">
        <f t="shared" ca="1" si="8"/>
        <v>43313</v>
      </c>
      <c r="F1039" s="82">
        <f ca="1">IFERROR(__xludf.DUMMYFUNCTION("""COMPUTED_VALUE"""),0.625219907407407)</f>
        <v>0.62521990740740696</v>
      </c>
      <c r="G1039" s="83">
        <f t="shared" ca="1" si="9"/>
        <v>19</v>
      </c>
      <c r="H1039" s="83">
        <f ca="1">IFERROR(__xludf.DUMMYFUNCTION("""COMPUTED_VALUE"""),0)</f>
        <v>0</v>
      </c>
      <c r="I1039" s="83">
        <f ca="1">IFERROR(__xludf.DUMMYFUNCTION("""COMPUTED_VALUE"""),19)</f>
        <v>19</v>
      </c>
    </row>
    <row r="1040" spans="1:9">
      <c r="A1040" s="79">
        <v>223</v>
      </c>
      <c r="B1040" s="79">
        <v>2</v>
      </c>
      <c r="C1040" s="79">
        <v>225</v>
      </c>
      <c r="D1040" s="80">
        <v>43324.635648148149</v>
      </c>
      <c r="E1040" s="81">
        <f t="shared" ca="1" si="8"/>
        <v>43313</v>
      </c>
      <c r="F1040" s="82">
        <f ca="1">IFERROR(__xludf.DUMMYFUNCTION("""COMPUTED_VALUE"""),0.635648148148148)</f>
        <v>0.63564814814814796</v>
      </c>
      <c r="G1040" s="83">
        <f t="shared" ca="1" si="9"/>
        <v>19</v>
      </c>
      <c r="H1040" s="83">
        <f ca="1">IFERROR(__xludf.DUMMYFUNCTION("""COMPUTED_VALUE"""),15)</f>
        <v>15</v>
      </c>
      <c r="I1040" s="83">
        <f ca="1">IFERROR(__xludf.DUMMYFUNCTION("""COMPUTED_VALUE"""),20)</f>
        <v>20</v>
      </c>
    </row>
    <row r="1041" spans="1:9">
      <c r="A1041" s="79">
        <v>230</v>
      </c>
      <c r="B1041" s="79">
        <v>1</v>
      </c>
      <c r="C1041" s="79">
        <v>231</v>
      </c>
      <c r="D1041" s="80">
        <v>43324.646053240744</v>
      </c>
      <c r="E1041" s="81">
        <f t="shared" ca="1" si="8"/>
        <v>43313</v>
      </c>
      <c r="F1041" s="82">
        <f ca="1">IFERROR(__xludf.DUMMYFUNCTION("""COMPUTED_VALUE"""),0.64605324074074)</f>
        <v>0.64605324074074</v>
      </c>
      <c r="G1041" s="83">
        <f t="shared" ca="1" si="9"/>
        <v>19</v>
      </c>
      <c r="H1041" s="83">
        <f ca="1">IFERROR(__xludf.DUMMYFUNCTION("""COMPUTED_VALUE"""),30)</f>
        <v>30</v>
      </c>
      <c r="I1041" s="83">
        <f ca="1">IFERROR(__xludf.DUMMYFUNCTION("""COMPUTED_VALUE"""),19)</f>
        <v>19</v>
      </c>
    </row>
    <row r="1042" spans="1:9">
      <c r="A1042" s="79">
        <v>258</v>
      </c>
      <c r="B1042" s="79">
        <v>3</v>
      </c>
      <c r="C1042" s="79">
        <v>261</v>
      </c>
      <c r="D1042" s="80">
        <v>43324.656469907408</v>
      </c>
      <c r="E1042" s="81">
        <f t="shared" ca="1" si="8"/>
        <v>43313</v>
      </c>
      <c r="F1042" s="82">
        <f ca="1">IFERROR(__xludf.DUMMYFUNCTION("""COMPUTED_VALUE"""),0.656469907407407)</f>
        <v>0.65646990740740696</v>
      </c>
      <c r="G1042" s="83">
        <f t="shared" ca="1" si="9"/>
        <v>19</v>
      </c>
      <c r="H1042" s="83">
        <f ca="1">IFERROR(__xludf.DUMMYFUNCTION("""COMPUTED_VALUE"""),45)</f>
        <v>45</v>
      </c>
      <c r="I1042" s="83">
        <f ca="1">IFERROR(__xludf.DUMMYFUNCTION("""COMPUTED_VALUE"""),19)</f>
        <v>19</v>
      </c>
    </row>
    <row r="1043" spans="1:9">
      <c r="A1043" s="79">
        <v>265</v>
      </c>
      <c r="B1043" s="79">
        <v>2</v>
      </c>
      <c r="C1043" s="79">
        <v>261</v>
      </c>
      <c r="D1043" s="80">
        <v>43324.666886574072</v>
      </c>
      <c r="E1043" s="81">
        <f t="shared" ca="1" si="8"/>
        <v>43313</v>
      </c>
      <c r="F1043" s="82">
        <f ca="1">IFERROR(__xludf.DUMMYFUNCTION("""COMPUTED_VALUE"""),0.666886574074074)</f>
        <v>0.66688657407407403</v>
      </c>
      <c r="G1043" s="83">
        <f t="shared" ca="1" si="9"/>
        <v>19</v>
      </c>
      <c r="H1043" s="83">
        <f ca="1">IFERROR(__xludf.DUMMYFUNCTION("""COMPUTED_VALUE"""),0)</f>
        <v>0</v>
      </c>
      <c r="I1043" s="83">
        <f ca="1">IFERROR(__xludf.DUMMYFUNCTION("""COMPUTED_VALUE"""),19)</f>
        <v>19</v>
      </c>
    </row>
    <row r="1044" spans="1:9">
      <c r="A1044" s="79">
        <v>288</v>
      </c>
      <c r="B1044" s="79">
        <v>2</v>
      </c>
      <c r="C1044" s="79">
        <v>290</v>
      </c>
      <c r="D1044" s="80">
        <v>43324.677303240744</v>
      </c>
      <c r="E1044" s="81">
        <f t="shared" ca="1" si="8"/>
        <v>43313</v>
      </c>
      <c r="F1044" s="82">
        <f ca="1">IFERROR(__xludf.DUMMYFUNCTION("""COMPUTED_VALUE"""),0.67730324074074)</f>
        <v>0.67730324074074</v>
      </c>
      <c r="G1044" s="83">
        <f t="shared" ca="1" si="9"/>
        <v>19</v>
      </c>
      <c r="H1044" s="83">
        <f ca="1">IFERROR(__xludf.DUMMYFUNCTION("""COMPUTED_VALUE"""),15)</f>
        <v>15</v>
      </c>
      <c r="I1044" s="83">
        <f ca="1">IFERROR(__xludf.DUMMYFUNCTION("""COMPUTED_VALUE"""),19)</f>
        <v>19</v>
      </c>
    </row>
    <row r="1045" spans="1:9">
      <c r="A1045" s="79">
        <v>251</v>
      </c>
      <c r="B1045" s="79">
        <v>4</v>
      </c>
      <c r="C1045" s="79">
        <v>255</v>
      </c>
      <c r="D1045" s="80">
        <v>43324.687731481485</v>
      </c>
      <c r="E1045" s="81">
        <f t="shared" ca="1" si="8"/>
        <v>43313</v>
      </c>
      <c r="F1045" s="82">
        <f ca="1">IFERROR(__xludf.DUMMYFUNCTION("""COMPUTED_VALUE"""),0.687731481481481)</f>
        <v>0.687731481481481</v>
      </c>
      <c r="G1045" s="83">
        <f t="shared" ca="1" si="9"/>
        <v>19</v>
      </c>
      <c r="H1045" s="83">
        <f ca="1">IFERROR(__xludf.DUMMYFUNCTION("""COMPUTED_VALUE"""),30)</f>
        <v>30</v>
      </c>
      <c r="I1045" s="83">
        <f ca="1">IFERROR(__xludf.DUMMYFUNCTION("""COMPUTED_VALUE"""),20)</f>
        <v>20</v>
      </c>
    </row>
    <row r="1046" spans="1:9">
      <c r="A1046" s="79">
        <v>239</v>
      </c>
      <c r="B1046" s="79">
        <v>1</v>
      </c>
      <c r="C1046" s="79">
        <v>240</v>
      </c>
      <c r="D1046" s="80">
        <v>43324.698136574072</v>
      </c>
      <c r="E1046" s="81">
        <f t="shared" ca="1" si="8"/>
        <v>43313</v>
      </c>
      <c r="F1046" s="82">
        <f ca="1">IFERROR(__xludf.DUMMYFUNCTION("""COMPUTED_VALUE"""),0.698136574074074)</f>
        <v>0.69813657407407403</v>
      </c>
      <c r="G1046" s="83">
        <f t="shared" ca="1" si="9"/>
        <v>19</v>
      </c>
      <c r="H1046" s="83">
        <f ca="1">IFERROR(__xludf.DUMMYFUNCTION("""COMPUTED_VALUE"""),45)</f>
        <v>45</v>
      </c>
      <c r="I1046" s="83">
        <f ca="1">IFERROR(__xludf.DUMMYFUNCTION("""COMPUTED_VALUE"""),19)</f>
        <v>19</v>
      </c>
    </row>
    <row r="1047" spans="1:9">
      <c r="A1047" s="79">
        <v>229</v>
      </c>
      <c r="B1047" s="79">
        <v>2</v>
      </c>
      <c r="C1047" s="79">
        <v>231</v>
      </c>
      <c r="D1047" s="80">
        <v>43324.708564814813</v>
      </c>
      <c r="E1047" s="81">
        <f t="shared" ca="1" si="8"/>
        <v>43313</v>
      </c>
      <c r="F1047" s="82">
        <f ca="1">IFERROR(__xludf.DUMMYFUNCTION("""COMPUTED_VALUE"""),0.708564814814814)</f>
        <v>0.70856481481481404</v>
      </c>
      <c r="G1047" s="83">
        <f t="shared" ca="1" si="9"/>
        <v>19</v>
      </c>
      <c r="H1047" s="83">
        <f ca="1">IFERROR(__xludf.DUMMYFUNCTION("""COMPUTED_VALUE"""),0)</f>
        <v>0</v>
      </c>
      <c r="I1047" s="83">
        <f ca="1">IFERROR(__xludf.DUMMYFUNCTION("""COMPUTED_VALUE"""),20)</f>
        <v>20</v>
      </c>
    </row>
    <row r="1048" spans="1:9">
      <c r="A1048" s="79">
        <v>234</v>
      </c>
      <c r="B1048" s="79">
        <v>2</v>
      </c>
      <c r="C1048" s="79">
        <v>236</v>
      </c>
      <c r="D1048" s="80">
        <v>43324.718969907408</v>
      </c>
      <c r="E1048" s="81">
        <f t="shared" ca="1" si="8"/>
        <v>43313</v>
      </c>
      <c r="F1048" s="82">
        <f ca="1">IFERROR(__xludf.DUMMYFUNCTION("""COMPUTED_VALUE"""),0.718969907407407)</f>
        <v>0.71896990740740696</v>
      </c>
      <c r="G1048" s="83">
        <f t="shared" ca="1" si="9"/>
        <v>19</v>
      </c>
      <c r="H1048" s="83">
        <f ca="1">IFERROR(__xludf.DUMMYFUNCTION("""COMPUTED_VALUE"""),15)</f>
        <v>15</v>
      </c>
      <c r="I1048" s="83">
        <f ca="1">IFERROR(__xludf.DUMMYFUNCTION("""COMPUTED_VALUE"""),19)</f>
        <v>19</v>
      </c>
    </row>
    <row r="1049" spans="1:9">
      <c r="A1049" s="79">
        <v>284</v>
      </c>
      <c r="B1049" s="79">
        <v>0</v>
      </c>
      <c r="C1049" s="79">
        <v>284</v>
      </c>
      <c r="D1049" s="80">
        <v>43324.729398148149</v>
      </c>
      <c r="E1049" s="81">
        <f t="shared" ca="1" si="8"/>
        <v>43313</v>
      </c>
      <c r="F1049" s="82">
        <f ca="1">IFERROR(__xludf.DUMMYFUNCTION("""COMPUTED_VALUE"""),0.729398148148148)</f>
        <v>0.72939814814814796</v>
      </c>
      <c r="G1049" s="83">
        <f t="shared" ca="1" si="9"/>
        <v>19</v>
      </c>
      <c r="H1049" s="83">
        <f ca="1">IFERROR(__xludf.DUMMYFUNCTION("""COMPUTED_VALUE"""),30)</f>
        <v>30</v>
      </c>
      <c r="I1049" s="83">
        <f ca="1">IFERROR(__xludf.DUMMYFUNCTION("""COMPUTED_VALUE"""),20)</f>
        <v>20</v>
      </c>
    </row>
    <row r="1050" spans="1:9">
      <c r="A1050" s="79">
        <v>257</v>
      </c>
      <c r="B1050" s="79">
        <v>2</v>
      </c>
      <c r="C1050" s="79">
        <v>259</v>
      </c>
      <c r="D1050" s="80">
        <v>43324.739803240744</v>
      </c>
      <c r="E1050" s="81">
        <f t="shared" ca="1" si="8"/>
        <v>43313</v>
      </c>
      <c r="F1050" s="82">
        <f ca="1">IFERROR(__xludf.DUMMYFUNCTION("""COMPUTED_VALUE"""),0.73980324074074)</f>
        <v>0.73980324074074</v>
      </c>
      <c r="G1050" s="83">
        <f t="shared" ca="1" si="9"/>
        <v>19</v>
      </c>
      <c r="H1050" s="83">
        <f ca="1">IFERROR(__xludf.DUMMYFUNCTION("""COMPUTED_VALUE"""),45)</f>
        <v>45</v>
      </c>
      <c r="I1050" s="83">
        <f ca="1">IFERROR(__xludf.DUMMYFUNCTION("""COMPUTED_VALUE"""),19)</f>
        <v>19</v>
      </c>
    </row>
    <row r="1051" spans="1:9">
      <c r="A1051" s="79">
        <v>243</v>
      </c>
      <c r="B1051" s="79">
        <v>2</v>
      </c>
      <c r="C1051" s="79">
        <v>245</v>
      </c>
      <c r="D1051" s="80">
        <v>43324.750254629631</v>
      </c>
      <c r="E1051" s="81">
        <f t="shared" ca="1" si="8"/>
        <v>43313</v>
      </c>
      <c r="F1051" s="82">
        <f ca="1">IFERROR(__xludf.DUMMYFUNCTION("""COMPUTED_VALUE"""),0.750254629629629)</f>
        <v>0.75025462962962897</v>
      </c>
      <c r="G1051" s="83">
        <f t="shared" ca="1" si="9"/>
        <v>19</v>
      </c>
      <c r="H1051" s="83">
        <f ca="1">IFERROR(__xludf.DUMMYFUNCTION("""COMPUTED_VALUE"""),0)</f>
        <v>0</v>
      </c>
      <c r="I1051" s="83">
        <f ca="1">IFERROR(__xludf.DUMMYFUNCTION("""COMPUTED_VALUE"""),22)</f>
        <v>22</v>
      </c>
    </row>
    <row r="1052" spans="1:9">
      <c r="A1052" s="79">
        <v>324</v>
      </c>
      <c r="B1052" s="79">
        <v>1</v>
      </c>
      <c r="C1052" s="79">
        <v>319</v>
      </c>
      <c r="D1052" s="80">
        <v>43324.760636574072</v>
      </c>
      <c r="E1052" s="81">
        <f t="shared" ca="1" si="8"/>
        <v>43313</v>
      </c>
      <c r="F1052" s="82">
        <f ca="1">IFERROR(__xludf.DUMMYFUNCTION("""COMPUTED_VALUE"""),0.760636574074074)</f>
        <v>0.76063657407407403</v>
      </c>
      <c r="G1052" s="83">
        <f t="shared" ca="1" si="9"/>
        <v>19</v>
      </c>
      <c r="H1052" s="83">
        <f ca="1">IFERROR(__xludf.DUMMYFUNCTION("""COMPUTED_VALUE"""),15)</f>
        <v>15</v>
      </c>
      <c r="I1052" s="83">
        <f ca="1">IFERROR(__xludf.DUMMYFUNCTION("""COMPUTED_VALUE"""),19)</f>
        <v>19</v>
      </c>
    </row>
    <row r="1053" spans="1:9">
      <c r="A1053" s="79">
        <v>306</v>
      </c>
      <c r="B1053" s="79">
        <v>0</v>
      </c>
      <c r="C1053" s="79">
        <v>306</v>
      </c>
      <c r="D1053" s="80">
        <v>43324.771053240744</v>
      </c>
      <c r="E1053" s="81">
        <f t="shared" ca="1" si="8"/>
        <v>43313</v>
      </c>
      <c r="F1053" s="82">
        <f ca="1">IFERROR(__xludf.DUMMYFUNCTION("""COMPUTED_VALUE"""),0.77105324074074)</f>
        <v>0.77105324074074</v>
      </c>
      <c r="G1053" s="83">
        <f t="shared" ca="1" si="9"/>
        <v>19</v>
      </c>
      <c r="H1053" s="83">
        <f ca="1">IFERROR(__xludf.DUMMYFUNCTION("""COMPUTED_VALUE"""),30)</f>
        <v>30</v>
      </c>
      <c r="I1053" s="83">
        <f ca="1">IFERROR(__xludf.DUMMYFUNCTION("""COMPUTED_VALUE"""),19)</f>
        <v>19</v>
      </c>
    </row>
    <row r="1054" spans="1:9">
      <c r="A1054" s="79">
        <v>310</v>
      </c>
      <c r="B1054" s="79">
        <v>3</v>
      </c>
      <c r="C1054" s="79">
        <v>304</v>
      </c>
      <c r="D1054" s="80">
        <v>43324.781469907408</v>
      </c>
      <c r="E1054" s="81">
        <f t="shared" ca="1" si="8"/>
        <v>43313</v>
      </c>
      <c r="F1054" s="82">
        <f ca="1">IFERROR(__xludf.DUMMYFUNCTION("""COMPUTED_VALUE"""),0.781469907407407)</f>
        <v>0.78146990740740696</v>
      </c>
      <c r="G1054" s="83">
        <f t="shared" ca="1" si="9"/>
        <v>19</v>
      </c>
      <c r="H1054" s="83">
        <f ca="1">IFERROR(__xludf.DUMMYFUNCTION("""COMPUTED_VALUE"""),45)</f>
        <v>45</v>
      </c>
      <c r="I1054" s="83">
        <f ca="1">IFERROR(__xludf.DUMMYFUNCTION("""COMPUTED_VALUE"""),19)</f>
        <v>19</v>
      </c>
    </row>
    <row r="1055" spans="1:9">
      <c r="A1055" s="79">
        <v>327</v>
      </c>
      <c r="B1055" s="79">
        <v>3</v>
      </c>
      <c r="C1055" s="79">
        <v>330</v>
      </c>
      <c r="D1055" s="80">
        <v>43324.791909722226</v>
      </c>
      <c r="E1055" s="81">
        <f t="shared" ca="1" si="8"/>
        <v>43313</v>
      </c>
      <c r="F1055" s="82">
        <f ca="1">IFERROR(__xludf.DUMMYFUNCTION("""COMPUTED_VALUE"""),0.791909722222222)</f>
        <v>0.791909722222222</v>
      </c>
      <c r="G1055" s="83">
        <f t="shared" ca="1" si="9"/>
        <v>19</v>
      </c>
      <c r="H1055" s="83">
        <f ca="1">IFERROR(__xludf.DUMMYFUNCTION("""COMPUTED_VALUE"""),0)</f>
        <v>0</v>
      </c>
      <c r="I1055" s="83">
        <f ca="1">IFERROR(__xludf.DUMMYFUNCTION("""COMPUTED_VALUE"""),21)</f>
        <v>21</v>
      </c>
    </row>
    <row r="1056" spans="1:9">
      <c r="A1056" s="79">
        <v>307</v>
      </c>
      <c r="B1056" s="79">
        <v>2</v>
      </c>
      <c r="C1056" s="79">
        <v>309</v>
      </c>
      <c r="D1056" s="80">
        <v>43324.802314814813</v>
      </c>
      <c r="E1056" s="81">
        <f t="shared" ca="1" si="8"/>
        <v>43313</v>
      </c>
      <c r="F1056" s="82">
        <f ca="1">IFERROR(__xludf.DUMMYFUNCTION("""COMPUTED_VALUE"""),0.802314814814814)</f>
        <v>0.80231481481481404</v>
      </c>
      <c r="G1056" s="83">
        <f t="shared" ca="1" si="9"/>
        <v>19</v>
      </c>
      <c r="H1056" s="83">
        <f ca="1">IFERROR(__xludf.DUMMYFUNCTION("""COMPUTED_VALUE"""),15)</f>
        <v>15</v>
      </c>
      <c r="I1056" s="83">
        <f ca="1">IFERROR(__xludf.DUMMYFUNCTION("""COMPUTED_VALUE"""),20)</f>
        <v>20</v>
      </c>
    </row>
    <row r="1057" spans="1:9">
      <c r="A1057" s="79">
        <v>335</v>
      </c>
      <c r="B1057" s="79">
        <v>1</v>
      </c>
      <c r="C1057" s="79">
        <v>336</v>
      </c>
      <c r="D1057" s="80">
        <v>43324.812719907408</v>
      </c>
      <c r="E1057" s="81">
        <f t="shared" ca="1" si="8"/>
        <v>43313</v>
      </c>
      <c r="F1057" s="82">
        <f ca="1">IFERROR(__xludf.DUMMYFUNCTION("""COMPUTED_VALUE"""),0.812719907407407)</f>
        <v>0.81271990740740696</v>
      </c>
      <c r="G1057" s="83">
        <f t="shared" ca="1" si="9"/>
        <v>19</v>
      </c>
      <c r="H1057" s="83">
        <f ca="1">IFERROR(__xludf.DUMMYFUNCTION("""COMPUTED_VALUE"""),30)</f>
        <v>30</v>
      </c>
      <c r="I1057" s="83">
        <f ca="1">IFERROR(__xludf.DUMMYFUNCTION("""COMPUTED_VALUE"""),19)</f>
        <v>19</v>
      </c>
    </row>
    <row r="1058" spans="1:9">
      <c r="A1058" s="79">
        <v>306</v>
      </c>
      <c r="B1058" s="79">
        <v>3</v>
      </c>
      <c r="C1058" s="79">
        <v>301</v>
      </c>
      <c r="D1058" s="80">
        <v>43324.823136574072</v>
      </c>
      <c r="E1058" s="81">
        <f t="shared" ca="1" si="8"/>
        <v>43313</v>
      </c>
      <c r="F1058" s="82">
        <f ca="1">IFERROR(__xludf.DUMMYFUNCTION("""COMPUTED_VALUE"""),0.823136574074074)</f>
        <v>0.82313657407407403</v>
      </c>
      <c r="G1058" s="83">
        <f t="shared" ca="1" si="9"/>
        <v>19</v>
      </c>
      <c r="H1058" s="83">
        <f ca="1">IFERROR(__xludf.DUMMYFUNCTION("""COMPUTED_VALUE"""),45)</f>
        <v>45</v>
      </c>
      <c r="I1058" s="83">
        <f ca="1">IFERROR(__xludf.DUMMYFUNCTION("""COMPUTED_VALUE"""),19)</f>
        <v>19</v>
      </c>
    </row>
    <row r="1059" spans="1:9">
      <c r="A1059" s="79">
        <v>296</v>
      </c>
      <c r="B1059" s="79">
        <v>4</v>
      </c>
      <c r="C1059" s="79">
        <v>300</v>
      </c>
      <c r="D1059" s="80">
        <v>43324.833599537036</v>
      </c>
      <c r="E1059" s="81">
        <f t="shared" ca="1" si="8"/>
        <v>43313</v>
      </c>
      <c r="F1059" s="82">
        <f ca="1">IFERROR(__xludf.DUMMYFUNCTION("""COMPUTED_VALUE"""),0.833599537037037)</f>
        <v>0.83359953703703704</v>
      </c>
      <c r="G1059" s="83">
        <f t="shared" ca="1" si="9"/>
        <v>19</v>
      </c>
      <c r="H1059" s="83">
        <f ca="1">IFERROR(__xludf.DUMMYFUNCTION("""COMPUTED_VALUE"""),0)</f>
        <v>0</v>
      </c>
      <c r="I1059" s="83">
        <f ca="1">IFERROR(__xludf.DUMMYFUNCTION("""COMPUTED_VALUE"""),23)</f>
        <v>23</v>
      </c>
    </row>
    <row r="1060" spans="1:9">
      <c r="A1060" s="79">
        <v>329</v>
      </c>
      <c r="B1060" s="79">
        <v>3</v>
      </c>
      <c r="C1060" s="79">
        <v>332</v>
      </c>
      <c r="D1060" s="80">
        <v>43324.843969907408</v>
      </c>
      <c r="E1060" s="81">
        <f t="shared" ca="1" si="8"/>
        <v>43313</v>
      </c>
      <c r="F1060" s="82">
        <f ca="1">IFERROR(__xludf.DUMMYFUNCTION("""COMPUTED_VALUE"""),0.843969907407407)</f>
        <v>0.84396990740740696</v>
      </c>
      <c r="G1060" s="83">
        <f t="shared" ca="1" si="9"/>
        <v>19</v>
      </c>
      <c r="H1060" s="83">
        <f ca="1">IFERROR(__xludf.DUMMYFUNCTION("""COMPUTED_VALUE"""),15)</f>
        <v>15</v>
      </c>
      <c r="I1060" s="83">
        <f ca="1">IFERROR(__xludf.DUMMYFUNCTION("""COMPUTED_VALUE"""),19)</f>
        <v>19</v>
      </c>
    </row>
    <row r="1061" spans="1:9">
      <c r="A1061" s="79">
        <v>304</v>
      </c>
      <c r="B1061" s="79">
        <v>7</v>
      </c>
      <c r="C1061" s="79">
        <v>311</v>
      </c>
      <c r="D1061" s="80">
        <v>43324.854386574072</v>
      </c>
      <c r="E1061" s="81">
        <f t="shared" ca="1" si="8"/>
        <v>43313</v>
      </c>
      <c r="F1061" s="82">
        <f ca="1">IFERROR(__xludf.DUMMYFUNCTION("""COMPUTED_VALUE"""),0.854386574074074)</f>
        <v>0.85438657407407403</v>
      </c>
      <c r="G1061" s="83">
        <f t="shared" ca="1" si="9"/>
        <v>19</v>
      </c>
      <c r="H1061" s="83">
        <f ca="1">IFERROR(__xludf.DUMMYFUNCTION("""COMPUTED_VALUE"""),30)</f>
        <v>30</v>
      </c>
      <c r="I1061" s="83">
        <f ca="1">IFERROR(__xludf.DUMMYFUNCTION("""COMPUTED_VALUE"""),19)</f>
        <v>19</v>
      </c>
    </row>
    <row r="1062" spans="1:9">
      <c r="A1062" s="79">
        <v>354</v>
      </c>
      <c r="B1062" s="79">
        <v>7</v>
      </c>
      <c r="C1062" s="79">
        <v>361</v>
      </c>
      <c r="D1062" s="80">
        <v>43324.864803240744</v>
      </c>
      <c r="E1062" s="81">
        <f t="shared" ca="1" si="8"/>
        <v>43313</v>
      </c>
      <c r="F1062" s="82">
        <f ca="1">IFERROR(__xludf.DUMMYFUNCTION("""COMPUTED_VALUE"""),0.86480324074074)</f>
        <v>0.86480324074074</v>
      </c>
      <c r="G1062" s="83">
        <f t="shared" ca="1" si="9"/>
        <v>19</v>
      </c>
      <c r="H1062" s="83">
        <f ca="1">IFERROR(__xludf.DUMMYFUNCTION("""COMPUTED_VALUE"""),45)</f>
        <v>45</v>
      </c>
      <c r="I1062" s="83">
        <f ca="1">IFERROR(__xludf.DUMMYFUNCTION("""COMPUTED_VALUE"""),19)</f>
        <v>19</v>
      </c>
    </row>
    <row r="1063" spans="1:9">
      <c r="A1063" s="79">
        <v>317</v>
      </c>
      <c r="B1063" s="79">
        <v>7</v>
      </c>
      <c r="C1063" s="79">
        <v>324</v>
      </c>
      <c r="D1063" s="80">
        <v>43324.875243055554</v>
      </c>
      <c r="E1063" s="81">
        <f t="shared" ca="1" si="8"/>
        <v>43313</v>
      </c>
      <c r="F1063" s="82">
        <f ca="1">IFERROR(__xludf.DUMMYFUNCTION("""COMPUTED_VALUE"""),0.875243055555555)</f>
        <v>0.87524305555555504</v>
      </c>
      <c r="G1063" s="83">
        <f t="shared" ca="1" si="9"/>
        <v>19</v>
      </c>
      <c r="H1063" s="83">
        <f ca="1">IFERROR(__xludf.DUMMYFUNCTION("""COMPUTED_VALUE"""),0)</f>
        <v>0</v>
      </c>
      <c r="I1063" s="83">
        <f ca="1">IFERROR(__xludf.DUMMYFUNCTION("""COMPUTED_VALUE"""),21)</f>
        <v>21</v>
      </c>
    </row>
    <row r="1064" spans="1:9">
      <c r="A1064" s="79">
        <v>395</v>
      </c>
      <c r="B1064" s="79">
        <v>3</v>
      </c>
      <c r="C1064" s="79">
        <v>398</v>
      </c>
      <c r="D1064" s="80">
        <v>43324.885636574072</v>
      </c>
      <c r="E1064" s="81">
        <f t="shared" ca="1" si="8"/>
        <v>43313</v>
      </c>
      <c r="F1064" s="82">
        <f ca="1">IFERROR(__xludf.DUMMYFUNCTION("""COMPUTED_VALUE"""),0.885636574074074)</f>
        <v>0.88563657407407403</v>
      </c>
      <c r="G1064" s="83">
        <f t="shared" ca="1" si="9"/>
        <v>19</v>
      </c>
      <c r="H1064" s="83">
        <f ca="1">IFERROR(__xludf.DUMMYFUNCTION("""COMPUTED_VALUE"""),15)</f>
        <v>15</v>
      </c>
      <c r="I1064" s="83">
        <f ca="1">IFERROR(__xludf.DUMMYFUNCTION("""COMPUTED_VALUE"""),19)</f>
        <v>19</v>
      </c>
    </row>
    <row r="1065" spans="1:9">
      <c r="A1065" s="79">
        <v>463</v>
      </c>
      <c r="B1065" s="79">
        <v>1</v>
      </c>
      <c r="C1065" s="79">
        <v>464</v>
      </c>
      <c r="D1065" s="80">
        <v>43324.896064814813</v>
      </c>
      <c r="E1065" s="81">
        <f t="shared" ca="1" si="8"/>
        <v>43313</v>
      </c>
      <c r="F1065" s="82">
        <f ca="1">IFERROR(__xludf.DUMMYFUNCTION("""COMPUTED_VALUE"""),0.896064814814814)</f>
        <v>0.89606481481481404</v>
      </c>
      <c r="G1065" s="83">
        <f t="shared" ca="1" si="9"/>
        <v>19</v>
      </c>
      <c r="H1065" s="83">
        <f ca="1">IFERROR(__xludf.DUMMYFUNCTION("""COMPUTED_VALUE"""),30)</f>
        <v>30</v>
      </c>
      <c r="I1065" s="83">
        <f ca="1">IFERROR(__xludf.DUMMYFUNCTION("""COMPUTED_VALUE"""),20)</f>
        <v>20</v>
      </c>
    </row>
    <row r="1066" spans="1:9">
      <c r="A1066" s="79">
        <v>410</v>
      </c>
      <c r="B1066" s="79">
        <v>1</v>
      </c>
      <c r="C1066" s="79">
        <v>411</v>
      </c>
      <c r="D1066" s="80">
        <v>43324.906469907408</v>
      </c>
      <c r="E1066" s="81">
        <f t="shared" ca="1" si="8"/>
        <v>43313</v>
      </c>
      <c r="F1066" s="82">
        <f ca="1">IFERROR(__xludf.DUMMYFUNCTION("""COMPUTED_VALUE"""),0.906469907407407)</f>
        <v>0.90646990740740696</v>
      </c>
      <c r="G1066" s="83">
        <f t="shared" ca="1" si="9"/>
        <v>19</v>
      </c>
      <c r="H1066" s="83">
        <f ca="1">IFERROR(__xludf.DUMMYFUNCTION("""COMPUTED_VALUE"""),45)</f>
        <v>45</v>
      </c>
      <c r="I1066" s="83">
        <f ca="1">IFERROR(__xludf.DUMMYFUNCTION("""COMPUTED_VALUE"""),19)</f>
        <v>19</v>
      </c>
    </row>
    <row r="1067" spans="1:9">
      <c r="A1067" s="79">
        <v>393</v>
      </c>
      <c r="B1067" s="79">
        <v>2</v>
      </c>
      <c r="C1067" s="79">
        <v>395</v>
      </c>
      <c r="D1067" s="80">
        <v>43324.916886574072</v>
      </c>
      <c r="E1067" s="81">
        <f t="shared" ca="1" si="8"/>
        <v>43313</v>
      </c>
      <c r="F1067" s="82">
        <f ca="1">IFERROR(__xludf.DUMMYFUNCTION("""COMPUTED_VALUE"""),0.916886574074074)</f>
        <v>0.91688657407407403</v>
      </c>
      <c r="G1067" s="83">
        <f t="shared" ca="1" si="9"/>
        <v>19</v>
      </c>
      <c r="H1067" s="83">
        <f ca="1">IFERROR(__xludf.DUMMYFUNCTION("""COMPUTED_VALUE"""),0)</f>
        <v>0</v>
      </c>
      <c r="I1067" s="83">
        <f ca="1">IFERROR(__xludf.DUMMYFUNCTION("""COMPUTED_VALUE"""),19)</f>
        <v>19</v>
      </c>
    </row>
    <row r="1068" spans="1:9">
      <c r="A1068" s="79">
        <v>352</v>
      </c>
      <c r="B1068" s="79">
        <v>5</v>
      </c>
      <c r="C1068" s="79">
        <v>357</v>
      </c>
      <c r="D1068" s="80">
        <v>43324.927303240744</v>
      </c>
      <c r="E1068" s="81">
        <f t="shared" ca="1" si="8"/>
        <v>43313</v>
      </c>
      <c r="F1068" s="82">
        <f ca="1">IFERROR(__xludf.DUMMYFUNCTION("""COMPUTED_VALUE"""),0.92730324074074)</f>
        <v>0.92730324074074</v>
      </c>
      <c r="G1068" s="83">
        <f t="shared" ca="1" si="9"/>
        <v>19</v>
      </c>
      <c r="H1068" s="83">
        <f ca="1">IFERROR(__xludf.DUMMYFUNCTION("""COMPUTED_VALUE"""),15)</f>
        <v>15</v>
      </c>
      <c r="I1068" s="83">
        <f ca="1">IFERROR(__xludf.DUMMYFUNCTION("""COMPUTED_VALUE"""),19)</f>
        <v>19</v>
      </c>
    </row>
    <row r="1069" spans="1:9">
      <c r="A1069" s="79">
        <v>329</v>
      </c>
      <c r="B1069" s="79">
        <v>10</v>
      </c>
      <c r="C1069" s="79">
        <v>336</v>
      </c>
      <c r="D1069" s="80">
        <v>43324.937719907408</v>
      </c>
      <c r="E1069" s="81">
        <f t="shared" ca="1" si="8"/>
        <v>43313</v>
      </c>
      <c r="F1069" s="82">
        <f ca="1">IFERROR(__xludf.DUMMYFUNCTION("""COMPUTED_VALUE"""),0.937719907407407)</f>
        <v>0.93771990740740696</v>
      </c>
      <c r="G1069" s="83">
        <f t="shared" ca="1" si="9"/>
        <v>19</v>
      </c>
      <c r="H1069" s="83">
        <f ca="1">IFERROR(__xludf.DUMMYFUNCTION("""COMPUTED_VALUE"""),30)</f>
        <v>30</v>
      </c>
      <c r="I1069" s="83">
        <f ca="1">IFERROR(__xludf.DUMMYFUNCTION("""COMPUTED_VALUE"""),19)</f>
        <v>19</v>
      </c>
    </row>
    <row r="1070" spans="1:9">
      <c r="A1070" s="79">
        <v>329</v>
      </c>
      <c r="B1070" s="79">
        <v>11</v>
      </c>
      <c r="C1070" s="79">
        <v>340</v>
      </c>
      <c r="D1070" s="80">
        <v>43324.948136574072</v>
      </c>
      <c r="E1070" s="81">
        <f t="shared" ca="1" si="8"/>
        <v>43313</v>
      </c>
      <c r="F1070" s="82">
        <f ca="1">IFERROR(__xludf.DUMMYFUNCTION("""COMPUTED_VALUE"""),0.948136574074074)</f>
        <v>0.94813657407407403</v>
      </c>
      <c r="G1070" s="83">
        <f t="shared" ca="1" si="9"/>
        <v>19</v>
      </c>
      <c r="H1070" s="83">
        <f ca="1">IFERROR(__xludf.DUMMYFUNCTION("""COMPUTED_VALUE"""),45)</f>
        <v>45</v>
      </c>
      <c r="I1070" s="83">
        <f ca="1">IFERROR(__xludf.DUMMYFUNCTION("""COMPUTED_VALUE"""),19)</f>
        <v>19</v>
      </c>
    </row>
    <row r="1071" spans="1:9">
      <c r="A1071" s="79">
        <v>285</v>
      </c>
      <c r="B1071" s="79">
        <v>6</v>
      </c>
      <c r="C1071" s="79">
        <v>291</v>
      </c>
      <c r="D1071" s="80">
        <v>43324.958553240744</v>
      </c>
      <c r="E1071" s="81">
        <f t="shared" ca="1" si="8"/>
        <v>43313</v>
      </c>
      <c r="F1071" s="82">
        <f ca="1">IFERROR(__xludf.DUMMYFUNCTION("""COMPUTED_VALUE"""),0.95855324074074)</f>
        <v>0.95855324074074</v>
      </c>
      <c r="G1071" s="83">
        <f t="shared" ca="1" si="9"/>
        <v>19</v>
      </c>
      <c r="H1071" s="83">
        <f ca="1">IFERROR(__xludf.DUMMYFUNCTION("""COMPUTED_VALUE"""),0)</f>
        <v>0</v>
      </c>
      <c r="I1071" s="83">
        <f ca="1">IFERROR(__xludf.DUMMYFUNCTION("""COMPUTED_VALUE"""),19)</f>
        <v>19</v>
      </c>
    </row>
    <row r="1072" spans="1:9">
      <c r="A1072" s="79">
        <v>296</v>
      </c>
      <c r="B1072" s="79">
        <v>4</v>
      </c>
      <c r="C1072" s="79">
        <v>300</v>
      </c>
      <c r="D1072" s="80">
        <v>43324.968969907408</v>
      </c>
      <c r="E1072" s="81">
        <f t="shared" ca="1" si="8"/>
        <v>43313</v>
      </c>
      <c r="F1072" s="82">
        <f ca="1">IFERROR(__xludf.DUMMYFUNCTION("""COMPUTED_VALUE"""),0.968969907407407)</f>
        <v>0.96896990740740696</v>
      </c>
      <c r="G1072" s="83">
        <f t="shared" ca="1" si="9"/>
        <v>19</v>
      </c>
      <c r="H1072" s="83">
        <f ca="1">IFERROR(__xludf.DUMMYFUNCTION("""COMPUTED_VALUE"""),15)</f>
        <v>15</v>
      </c>
      <c r="I1072" s="83">
        <f ca="1">IFERROR(__xludf.DUMMYFUNCTION("""COMPUTED_VALUE"""),19)</f>
        <v>19</v>
      </c>
    </row>
    <row r="1073" spans="1:9">
      <c r="A1073" s="79">
        <v>287</v>
      </c>
      <c r="B1073" s="79">
        <v>3</v>
      </c>
      <c r="C1073" s="79">
        <v>290</v>
      </c>
      <c r="D1073" s="80">
        <v>43324.979386574072</v>
      </c>
      <c r="E1073" s="81">
        <f t="shared" ca="1" si="8"/>
        <v>43313</v>
      </c>
      <c r="F1073" s="82">
        <f ca="1">IFERROR(__xludf.DUMMYFUNCTION("""COMPUTED_VALUE"""),0.979386574074074)</f>
        <v>0.97938657407407403</v>
      </c>
      <c r="G1073" s="83">
        <f t="shared" ca="1" si="9"/>
        <v>19</v>
      </c>
      <c r="H1073" s="83">
        <f ca="1">IFERROR(__xludf.DUMMYFUNCTION("""COMPUTED_VALUE"""),30)</f>
        <v>30</v>
      </c>
      <c r="I1073" s="83">
        <f ca="1">IFERROR(__xludf.DUMMYFUNCTION("""COMPUTED_VALUE"""),19)</f>
        <v>19</v>
      </c>
    </row>
    <row r="1074" spans="1:9">
      <c r="A1074" s="79">
        <v>292</v>
      </c>
      <c r="B1074" s="79">
        <v>5</v>
      </c>
      <c r="C1074" s="79">
        <v>297</v>
      </c>
      <c r="D1074" s="80">
        <v>43324.989791666667</v>
      </c>
      <c r="E1074" s="81">
        <f t="shared" ca="1" si="8"/>
        <v>43313</v>
      </c>
      <c r="F1074" s="82">
        <f ca="1">IFERROR(__xludf.DUMMYFUNCTION("""COMPUTED_VALUE"""),0.989791666666666)</f>
        <v>0.98979166666666596</v>
      </c>
      <c r="G1074" s="83">
        <f t="shared" ca="1" si="9"/>
        <v>19</v>
      </c>
      <c r="H1074" s="83">
        <f ca="1">IFERROR(__xludf.DUMMYFUNCTION("""COMPUTED_VALUE"""),45)</f>
        <v>45</v>
      </c>
      <c r="I1074" s="83">
        <f ca="1">IFERROR(__xludf.DUMMYFUNCTION("""COMPUTED_VALUE"""),18)</f>
        <v>18</v>
      </c>
    </row>
    <row r="1075" spans="1:9">
      <c r="A1075" s="79">
        <v>292</v>
      </c>
      <c r="B1075" s="79">
        <v>2</v>
      </c>
      <c r="C1075" s="79">
        <v>294</v>
      </c>
      <c r="D1075" s="80">
        <v>43325.000219907408</v>
      </c>
      <c r="E1075" s="81">
        <f t="shared" ca="1" si="8"/>
        <v>43313</v>
      </c>
      <c r="F1075" s="82">
        <f ca="1">IFERROR(__xludf.DUMMYFUNCTION("""COMPUTED_VALUE"""),0.000219907407407407)</f>
        <v>2.19907407407407E-4</v>
      </c>
      <c r="G1075" s="83">
        <f t="shared" ca="1" si="9"/>
        <v>19</v>
      </c>
      <c r="H1075" s="83">
        <f ca="1">IFERROR(__xludf.DUMMYFUNCTION("""COMPUTED_VALUE"""),0)</f>
        <v>0</v>
      </c>
      <c r="I1075" s="83">
        <f ca="1">IFERROR(__xludf.DUMMYFUNCTION("""COMPUTED_VALUE"""),19)</f>
        <v>19</v>
      </c>
    </row>
    <row r="1076" spans="1:9">
      <c r="A1076" s="79">
        <v>258</v>
      </c>
      <c r="B1076" s="79">
        <v>2</v>
      </c>
      <c r="C1076" s="79">
        <v>251</v>
      </c>
      <c r="D1076" s="80">
        <v>43325.010625000003</v>
      </c>
      <c r="E1076" s="81">
        <f t="shared" ca="1" si="8"/>
        <v>43313</v>
      </c>
      <c r="F1076" s="82">
        <f ca="1">IFERROR(__xludf.DUMMYFUNCTION("""COMPUTED_VALUE"""),0.010625)</f>
        <v>1.0625000000000001E-2</v>
      </c>
      <c r="G1076" s="83">
        <f t="shared" ca="1" si="9"/>
        <v>19</v>
      </c>
      <c r="H1076" s="83">
        <f ca="1">IFERROR(__xludf.DUMMYFUNCTION("""COMPUTED_VALUE"""),15)</f>
        <v>15</v>
      </c>
      <c r="I1076" s="83">
        <f ca="1">IFERROR(__xludf.DUMMYFUNCTION("""COMPUTED_VALUE"""),18)</f>
        <v>18</v>
      </c>
    </row>
    <row r="1077" spans="1:9">
      <c r="A1077" s="79">
        <v>231</v>
      </c>
      <c r="B1077" s="79">
        <v>1</v>
      </c>
      <c r="C1077" s="79">
        <v>232</v>
      </c>
      <c r="D1077" s="80">
        <v>43325.021053240744</v>
      </c>
      <c r="E1077" s="81">
        <f t="shared" ca="1" si="8"/>
        <v>43313</v>
      </c>
      <c r="F1077" s="82">
        <f ca="1">IFERROR(__xludf.DUMMYFUNCTION("""COMPUTED_VALUE"""),0.0210532407407407)</f>
        <v>2.1053240740740699E-2</v>
      </c>
      <c r="G1077" s="83">
        <f t="shared" ca="1" si="9"/>
        <v>19</v>
      </c>
      <c r="H1077" s="83">
        <f ca="1">IFERROR(__xludf.DUMMYFUNCTION("""COMPUTED_VALUE"""),30)</f>
        <v>30</v>
      </c>
      <c r="I1077" s="83">
        <f ca="1">IFERROR(__xludf.DUMMYFUNCTION("""COMPUTED_VALUE"""),19)</f>
        <v>19</v>
      </c>
    </row>
    <row r="1078" spans="1:9">
      <c r="A1078" s="79">
        <v>200</v>
      </c>
      <c r="B1078" s="79">
        <v>3</v>
      </c>
      <c r="C1078" s="79">
        <v>203</v>
      </c>
      <c r="D1078" s="80">
        <v>43325.031458333331</v>
      </c>
      <c r="E1078" s="81">
        <f t="shared" ca="1" si="8"/>
        <v>43313</v>
      </c>
      <c r="F1078" s="82">
        <f ca="1">IFERROR(__xludf.DUMMYFUNCTION("""COMPUTED_VALUE"""),0.0314583333333333)</f>
        <v>3.1458333333333303E-2</v>
      </c>
      <c r="G1078" s="83">
        <f t="shared" ca="1" si="9"/>
        <v>19</v>
      </c>
      <c r="H1078" s="83">
        <f ca="1">IFERROR(__xludf.DUMMYFUNCTION("""COMPUTED_VALUE"""),45)</f>
        <v>45</v>
      </c>
      <c r="I1078" s="83">
        <f ca="1">IFERROR(__xludf.DUMMYFUNCTION("""COMPUTED_VALUE"""),18)</f>
        <v>18</v>
      </c>
    </row>
    <row r="1079" spans="1:9">
      <c r="A1079" s="79">
        <v>179</v>
      </c>
      <c r="B1079" s="79">
        <v>3</v>
      </c>
      <c r="C1079" s="79">
        <v>182</v>
      </c>
      <c r="D1079" s="80">
        <v>43325.041886574072</v>
      </c>
      <c r="E1079" s="81">
        <f t="shared" ca="1" si="8"/>
        <v>43313</v>
      </c>
      <c r="F1079" s="82">
        <f ca="1">IFERROR(__xludf.DUMMYFUNCTION("""COMPUTED_VALUE"""),0.041886574074074)</f>
        <v>4.1886574074074E-2</v>
      </c>
      <c r="G1079" s="83">
        <f t="shared" ca="1" si="9"/>
        <v>19</v>
      </c>
      <c r="H1079" s="83">
        <f ca="1">IFERROR(__xludf.DUMMYFUNCTION("""COMPUTED_VALUE"""),0)</f>
        <v>0</v>
      </c>
      <c r="I1079" s="83">
        <f ca="1">IFERROR(__xludf.DUMMYFUNCTION("""COMPUTED_VALUE"""),19)</f>
        <v>19</v>
      </c>
    </row>
    <row r="1080" spans="1:9">
      <c r="A1080" s="79">
        <v>208</v>
      </c>
      <c r="B1080" s="79">
        <v>5</v>
      </c>
      <c r="C1080" s="79">
        <v>213</v>
      </c>
      <c r="D1080" s="80">
        <v>43325.052291666667</v>
      </c>
      <c r="E1080" s="81">
        <f t="shared" ca="1" si="8"/>
        <v>43313</v>
      </c>
      <c r="F1080" s="82">
        <f ca="1">IFERROR(__xludf.DUMMYFUNCTION("""COMPUTED_VALUE"""),0.0522916666666666)</f>
        <v>5.2291666666666597E-2</v>
      </c>
      <c r="G1080" s="83">
        <f t="shared" ca="1" si="9"/>
        <v>19</v>
      </c>
      <c r="H1080" s="83">
        <f ca="1">IFERROR(__xludf.DUMMYFUNCTION("""COMPUTED_VALUE"""),15)</f>
        <v>15</v>
      </c>
      <c r="I1080" s="83">
        <f ca="1">IFERROR(__xludf.DUMMYFUNCTION("""COMPUTED_VALUE"""),18)</f>
        <v>18</v>
      </c>
    </row>
    <row r="1081" spans="1:9">
      <c r="A1081" s="79">
        <v>205</v>
      </c>
      <c r="B1081" s="79">
        <v>3</v>
      </c>
      <c r="C1081" s="79">
        <v>208</v>
      </c>
      <c r="D1081" s="80">
        <v>43325.062708333331</v>
      </c>
      <c r="E1081" s="81">
        <f t="shared" ca="1" si="8"/>
        <v>43313</v>
      </c>
      <c r="F1081" s="82">
        <f ca="1">IFERROR(__xludf.DUMMYFUNCTION("""COMPUTED_VALUE"""),0.0627083333333333)</f>
        <v>6.2708333333333297E-2</v>
      </c>
      <c r="G1081" s="83">
        <f t="shared" ca="1" si="9"/>
        <v>19</v>
      </c>
      <c r="H1081" s="83">
        <f ca="1">IFERROR(__xludf.DUMMYFUNCTION("""COMPUTED_VALUE"""),30)</f>
        <v>30</v>
      </c>
      <c r="I1081" s="83">
        <f ca="1">IFERROR(__xludf.DUMMYFUNCTION("""COMPUTED_VALUE"""),18)</f>
        <v>18</v>
      </c>
    </row>
    <row r="1082" spans="1:9">
      <c r="A1082" s="79">
        <v>175</v>
      </c>
      <c r="B1082" s="79">
        <v>2</v>
      </c>
      <c r="C1082" s="79">
        <v>177</v>
      </c>
      <c r="D1082" s="80">
        <v>43325.073136574072</v>
      </c>
      <c r="E1082" s="81">
        <f t="shared" ca="1" si="8"/>
        <v>43313</v>
      </c>
      <c r="F1082" s="82">
        <f ca="1">IFERROR(__xludf.DUMMYFUNCTION("""COMPUTED_VALUE"""),0.073136574074074)</f>
        <v>7.3136574074074007E-2</v>
      </c>
      <c r="G1082" s="83">
        <f t="shared" ca="1" si="9"/>
        <v>19</v>
      </c>
      <c r="H1082" s="83">
        <f ca="1">IFERROR(__xludf.DUMMYFUNCTION("""COMPUTED_VALUE"""),45)</f>
        <v>45</v>
      </c>
      <c r="I1082" s="83">
        <f ca="1">IFERROR(__xludf.DUMMYFUNCTION("""COMPUTED_VALUE"""),19)</f>
        <v>19</v>
      </c>
    </row>
    <row r="1083" spans="1:9">
      <c r="A1083" s="79">
        <v>186</v>
      </c>
      <c r="B1083" s="79">
        <v>1</v>
      </c>
      <c r="C1083" s="79">
        <v>179</v>
      </c>
      <c r="D1083" s="80">
        <v>43325.083587962959</v>
      </c>
      <c r="E1083" s="81">
        <f t="shared" ca="1" si="8"/>
        <v>43313</v>
      </c>
      <c r="F1083" s="82">
        <f ca="1">IFERROR(__xludf.DUMMYFUNCTION("""COMPUTED_VALUE"""),0.0835879629629629)</f>
        <v>8.3587962962962906E-2</v>
      </c>
      <c r="G1083" s="83">
        <f t="shared" ca="1" si="9"/>
        <v>19</v>
      </c>
      <c r="H1083" s="83">
        <f ca="1">IFERROR(__xludf.DUMMYFUNCTION("""COMPUTED_VALUE"""),0)</f>
        <v>0</v>
      </c>
      <c r="I1083" s="83">
        <f ca="1">IFERROR(__xludf.DUMMYFUNCTION("""COMPUTED_VALUE"""),22)</f>
        <v>22</v>
      </c>
    </row>
    <row r="1084" spans="1:9">
      <c r="A1084" s="79">
        <v>238</v>
      </c>
      <c r="B1084" s="79">
        <v>1</v>
      </c>
      <c r="C1084" s="79">
        <v>239</v>
      </c>
      <c r="D1084" s="80">
        <v>43325.093958333331</v>
      </c>
      <c r="E1084" s="81">
        <f t="shared" ca="1" si="8"/>
        <v>43313</v>
      </c>
      <c r="F1084" s="82">
        <f ca="1">IFERROR(__xludf.DUMMYFUNCTION("""COMPUTED_VALUE"""),0.0939583333333333)</f>
        <v>9.3958333333333297E-2</v>
      </c>
      <c r="G1084" s="83">
        <f t="shared" ca="1" si="9"/>
        <v>19</v>
      </c>
      <c r="H1084" s="83">
        <f ca="1">IFERROR(__xludf.DUMMYFUNCTION("""COMPUTED_VALUE"""),15)</f>
        <v>15</v>
      </c>
      <c r="I1084" s="83">
        <f ca="1">IFERROR(__xludf.DUMMYFUNCTION("""COMPUTED_VALUE"""),18)</f>
        <v>18</v>
      </c>
    </row>
    <row r="1085" spans="1:9">
      <c r="A1085" s="79">
        <v>217</v>
      </c>
      <c r="B1085" s="79">
        <v>2</v>
      </c>
      <c r="C1085" s="79">
        <v>219</v>
      </c>
      <c r="D1085" s="80">
        <v>43325.104386574072</v>
      </c>
      <c r="E1085" s="81">
        <f t="shared" ca="1" si="8"/>
        <v>43313</v>
      </c>
      <c r="F1085" s="82">
        <f ca="1">IFERROR(__xludf.DUMMYFUNCTION("""COMPUTED_VALUE"""),0.104386574074074)</f>
        <v>0.10438657407407401</v>
      </c>
      <c r="G1085" s="83">
        <f t="shared" ca="1" si="9"/>
        <v>19</v>
      </c>
      <c r="H1085" s="83">
        <f ca="1">IFERROR(__xludf.DUMMYFUNCTION("""COMPUTED_VALUE"""),30)</f>
        <v>30</v>
      </c>
      <c r="I1085" s="83">
        <f ca="1">IFERROR(__xludf.DUMMYFUNCTION("""COMPUTED_VALUE"""),19)</f>
        <v>19</v>
      </c>
    </row>
    <row r="1086" spans="1:9">
      <c r="A1086" s="79">
        <v>165</v>
      </c>
      <c r="B1086" s="79">
        <v>1</v>
      </c>
      <c r="C1086" s="79">
        <v>156</v>
      </c>
      <c r="D1086" s="80">
        <v>43325.114791666667</v>
      </c>
      <c r="E1086" s="81">
        <f t="shared" ca="1" si="8"/>
        <v>43313</v>
      </c>
      <c r="F1086" s="82">
        <f ca="1">IFERROR(__xludf.DUMMYFUNCTION("""COMPUTED_VALUE"""),0.114791666666666)</f>
        <v>0.114791666666666</v>
      </c>
      <c r="G1086" s="83">
        <f t="shared" ca="1" si="9"/>
        <v>19</v>
      </c>
      <c r="H1086" s="83">
        <f ca="1">IFERROR(__xludf.DUMMYFUNCTION("""COMPUTED_VALUE"""),45)</f>
        <v>45</v>
      </c>
      <c r="I1086" s="83">
        <f ca="1">IFERROR(__xludf.DUMMYFUNCTION("""COMPUTED_VALUE"""),18)</f>
        <v>18</v>
      </c>
    </row>
    <row r="1087" spans="1:9">
      <c r="A1087" s="79">
        <v>142</v>
      </c>
      <c r="B1087" s="79">
        <v>2</v>
      </c>
      <c r="C1087" s="79">
        <v>144</v>
      </c>
      <c r="D1087" s="80">
        <v>43325.125243055554</v>
      </c>
      <c r="E1087" s="81">
        <f t="shared" ca="1" si="8"/>
        <v>43313</v>
      </c>
      <c r="F1087" s="82">
        <f ca="1">IFERROR(__xludf.DUMMYFUNCTION("""COMPUTED_VALUE"""),0.125243055555555)</f>
        <v>0.12524305555555501</v>
      </c>
      <c r="G1087" s="83">
        <f t="shared" ca="1" si="9"/>
        <v>19</v>
      </c>
      <c r="H1087" s="83">
        <f ca="1">IFERROR(__xludf.DUMMYFUNCTION("""COMPUTED_VALUE"""),0)</f>
        <v>0</v>
      </c>
      <c r="I1087" s="83">
        <f ca="1">IFERROR(__xludf.DUMMYFUNCTION("""COMPUTED_VALUE"""),21)</f>
        <v>21</v>
      </c>
    </row>
    <row r="1088" spans="1:9">
      <c r="A1088" s="79">
        <v>122</v>
      </c>
      <c r="B1088" s="79">
        <v>2</v>
      </c>
      <c r="C1088" s="79">
        <v>124</v>
      </c>
      <c r="D1088" s="80">
        <v>43325.135625000003</v>
      </c>
      <c r="E1088" s="81">
        <f t="shared" ca="1" si="8"/>
        <v>43313</v>
      </c>
      <c r="F1088" s="82">
        <f ca="1">IFERROR(__xludf.DUMMYFUNCTION("""COMPUTED_VALUE"""),0.135625)</f>
        <v>0.135625</v>
      </c>
      <c r="G1088" s="83">
        <f t="shared" ca="1" si="9"/>
        <v>19</v>
      </c>
      <c r="H1088" s="83">
        <f ca="1">IFERROR(__xludf.DUMMYFUNCTION("""COMPUTED_VALUE"""),15)</f>
        <v>15</v>
      </c>
      <c r="I1088" s="83">
        <f ca="1">IFERROR(__xludf.DUMMYFUNCTION("""COMPUTED_VALUE"""),18)</f>
        <v>18</v>
      </c>
    </row>
    <row r="1089" spans="1:9">
      <c r="A1089" s="79">
        <v>96</v>
      </c>
      <c r="B1089" s="79">
        <v>5</v>
      </c>
      <c r="C1089" s="79">
        <v>101</v>
      </c>
      <c r="D1089" s="80">
        <v>43325.146053240744</v>
      </c>
      <c r="E1089" s="81">
        <f t="shared" ca="1" si="8"/>
        <v>43313</v>
      </c>
      <c r="F1089" s="82">
        <f ca="1">IFERROR(__xludf.DUMMYFUNCTION("""COMPUTED_VALUE"""),0.14605324074074)</f>
        <v>0.14605324074074</v>
      </c>
      <c r="G1089" s="83">
        <f t="shared" ca="1" si="9"/>
        <v>19</v>
      </c>
      <c r="H1089" s="83">
        <f ca="1">IFERROR(__xludf.DUMMYFUNCTION("""COMPUTED_VALUE"""),30)</f>
        <v>30</v>
      </c>
      <c r="I1089" s="83">
        <f ca="1">IFERROR(__xludf.DUMMYFUNCTION("""COMPUTED_VALUE"""),19)</f>
        <v>19</v>
      </c>
    </row>
    <row r="1090" spans="1:9">
      <c r="A1090" s="79">
        <v>99</v>
      </c>
      <c r="B1090" s="79">
        <v>0</v>
      </c>
      <c r="C1090" s="79">
        <v>99</v>
      </c>
      <c r="D1090" s="80">
        <v>43325.156458333331</v>
      </c>
      <c r="E1090" s="81">
        <f t="shared" ca="1" si="8"/>
        <v>43313</v>
      </c>
      <c r="F1090" s="82">
        <f ca="1">IFERROR(__xludf.DUMMYFUNCTION("""COMPUTED_VALUE"""),0.156458333333333)</f>
        <v>0.15645833333333301</v>
      </c>
      <c r="G1090" s="83">
        <f t="shared" ca="1" si="9"/>
        <v>19</v>
      </c>
      <c r="H1090" s="83">
        <f ca="1">IFERROR(__xludf.DUMMYFUNCTION("""COMPUTED_VALUE"""),45)</f>
        <v>45</v>
      </c>
      <c r="I1090" s="83">
        <f ca="1">IFERROR(__xludf.DUMMYFUNCTION("""COMPUTED_VALUE"""),18)</f>
        <v>18</v>
      </c>
    </row>
    <row r="1091" spans="1:9">
      <c r="A1091" s="79">
        <v>86</v>
      </c>
      <c r="B1091" s="79">
        <v>0</v>
      </c>
      <c r="C1091" s="79">
        <v>86</v>
      </c>
      <c r="D1091" s="80">
        <v>43325.166909722226</v>
      </c>
      <c r="E1091" s="81">
        <f t="shared" ca="1" si="8"/>
        <v>43313</v>
      </c>
      <c r="F1091" s="82">
        <f ca="1">IFERROR(__xludf.DUMMYFUNCTION("""COMPUTED_VALUE"""),0.166909722222222)</f>
        <v>0.166909722222222</v>
      </c>
      <c r="G1091" s="83">
        <f t="shared" ca="1" si="9"/>
        <v>19</v>
      </c>
      <c r="H1091" s="83">
        <f ca="1">IFERROR(__xludf.DUMMYFUNCTION("""COMPUTED_VALUE"""),0)</f>
        <v>0</v>
      </c>
      <c r="I1091" s="83">
        <f ca="1">IFERROR(__xludf.DUMMYFUNCTION("""COMPUTED_VALUE"""),21)</f>
        <v>21</v>
      </c>
    </row>
    <row r="1092" spans="1:9">
      <c r="A1092" s="79">
        <v>33</v>
      </c>
      <c r="B1092" s="79">
        <v>0</v>
      </c>
      <c r="C1092" s="79">
        <v>33</v>
      </c>
      <c r="D1092" s="80">
        <v>43325.177291666667</v>
      </c>
      <c r="E1092" s="81">
        <f t="shared" ca="1" si="8"/>
        <v>43313</v>
      </c>
      <c r="F1092" s="82">
        <f ca="1">IFERROR(__xludf.DUMMYFUNCTION("""COMPUTED_VALUE"""),0.177291666666666)</f>
        <v>0.17729166666666599</v>
      </c>
      <c r="G1092" s="83">
        <f t="shared" ca="1" si="9"/>
        <v>19</v>
      </c>
      <c r="H1092" s="83">
        <f ca="1">IFERROR(__xludf.DUMMYFUNCTION("""COMPUTED_VALUE"""),15)</f>
        <v>15</v>
      </c>
      <c r="I1092" s="83">
        <f ca="1">IFERROR(__xludf.DUMMYFUNCTION("""COMPUTED_VALUE"""),18)</f>
        <v>18</v>
      </c>
    </row>
    <row r="1093" spans="1:9">
      <c r="A1093" s="79">
        <v>18</v>
      </c>
      <c r="B1093" s="79">
        <v>0</v>
      </c>
      <c r="C1093" s="79">
        <v>18</v>
      </c>
      <c r="D1093" s="80">
        <v>43325.187719907408</v>
      </c>
      <c r="E1093" s="81">
        <f t="shared" ca="1" si="8"/>
        <v>43313</v>
      </c>
      <c r="F1093" s="82">
        <f ca="1">IFERROR(__xludf.DUMMYFUNCTION("""COMPUTED_VALUE"""),0.187719907407407)</f>
        <v>0.18771990740740699</v>
      </c>
      <c r="G1093" s="83">
        <f t="shared" ca="1" si="9"/>
        <v>19</v>
      </c>
      <c r="H1093" s="83">
        <f ca="1">IFERROR(__xludf.DUMMYFUNCTION("""COMPUTED_VALUE"""),30)</f>
        <v>30</v>
      </c>
      <c r="I1093" s="83">
        <f ca="1">IFERROR(__xludf.DUMMYFUNCTION("""COMPUTED_VALUE"""),19)</f>
        <v>19</v>
      </c>
    </row>
    <row r="1094" spans="1:9">
      <c r="A1094" s="79">
        <v>17</v>
      </c>
      <c r="B1094" s="79">
        <v>0</v>
      </c>
      <c r="C1094" s="79">
        <v>17</v>
      </c>
      <c r="D1094" s="80">
        <v>43325.198125000003</v>
      </c>
      <c r="E1094" s="81">
        <f t="shared" ca="1" si="8"/>
        <v>43313</v>
      </c>
      <c r="F1094" s="82">
        <f ca="1">IFERROR(__xludf.DUMMYFUNCTION("""COMPUTED_VALUE"""),0.198125)</f>
        <v>0.198125</v>
      </c>
      <c r="G1094" s="83">
        <f t="shared" ca="1" si="9"/>
        <v>19</v>
      </c>
      <c r="H1094" s="83">
        <f ca="1">IFERROR(__xludf.DUMMYFUNCTION("""COMPUTED_VALUE"""),45)</f>
        <v>45</v>
      </c>
      <c r="I1094" s="83">
        <f ca="1">IFERROR(__xludf.DUMMYFUNCTION("""COMPUTED_VALUE"""),18)</f>
        <v>18</v>
      </c>
    </row>
    <row r="1095" spans="1:9">
      <c r="A1095" s="79">
        <v>16</v>
      </c>
      <c r="B1095" s="79">
        <v>0</v>
      </c>
      <c r="C1095" s="79">
        <v>16</v>
      </c>
      <c r="D1095" s="80">
        <v>43325.208564814813</v>
      </c>
      <c r="E1095" s="81">
        <f t="shared" ca="1" si="8"/>
        <v>43313</v>
      </c>
      <c r="F1095" s="82">
        <f ca="1">IFERROR(__xludf.DUMMYFUNCTION("""COMPUTED_VALUE"""),0.208564814814814)</f>
        <v>0.20856481481481401</v>
      </c>
      <c r="G1095" s="83">
        <f t="shared" ca="1" si="9"/>
        <v>19</v>
      </c>
      <c r="H1095" s="83">
        <f ca="1">IFERROR(__xludf.DUMMYFUNCTION("""COMPUTED_VALUE"""),0)</f>
        <v>0</v>
      </c>
      <c r="I1095" s="83">
        <f ca="1">IFERROR(__xludf.DUMMYFUNCTION("""COMPUTED_VALUE"""),20)</f>
        <v>20</v>
      </c>
    </row>
    <row r="1096" spans="1:9">
      <c r="A1096" s="79">
        <v>15</v>
      </c>
      <c r="B1096" s="79">
        <v>0</v>
      </c>
      <c r="C1096" s="79">
        <v>15</v>
      </c>
      <c r="D1096" s="80">
        <v>43325.218958333331</v>
      </c>
      <c r="E1096" s="81">
        <f t="shared" ca="1" si="8"/>
        <v>43313</v>
      </c>
      <c r="F1096" s="82">
        <f ca="1">IFERROR(__xludf.DUMMYFUNCTION("""COMPUTED_VALUE"""),0.218958333333333)</f>
        <v>0.21895833333333301</v>
      </c>
      <c r="G1096" s="83">
        <f t="shared" ca="1" si="9"/>
        <v>19</v>
      </c>
      <c r="H1096" s="83">
        <f ca="1">IFERROR(__xludf.DUMMYFUNCTION("""COMPUTED_VALUE"""),15)</f>
        <v>15</v>
      </c>
      <c r="I1096" s="83">
        <f ca="1">IFERROR(__xludf.DUMMYFUNCTION("""COMPUTED_VALUE"""),18)</f>
        <v>18</v>
      </c>
    </row>
    <row r="1097" spans="1:9">
      <c r="A1097" s="79">
        <v>15</v>
      </c>
      <c r="B1097" s="79">
        <v>0</v>
      </c>
      <c r="C1097" s="79">
        <v>15</v>
      </c>
      <c r="D1097" s="80">
        <v>43325.229375000003</v>
      </c>
      <c r="E1097" s="81">
        <f t="shared" ca="1" si="8"/>
        <v>43313</v>
      </c>
      <c r="F1097" s="82">
        <f ca="1">IFERROR(__xludf.DUMMYFUNCTION("""COMPUTED_VALUE"""),0.229375)</f>
        <v>0.229375</v>
      </c>
      <c r="G1097" s="83">
        <f t="shared" ca="1" si="9"/>
        <v>19</v>
      </c>
      <c r="H1097" s="83">
        <f ca="1">IFERROR(__xludf.DUMMYFUNCTION("""COMPUTED_VALUE"""),30)</f>
        <v>30</v>
      </c>
      <c r="I1097" s="83">
        <f ca="1">IFERROR(__xludf.DUMMYFUNCTION("""COMPUTED_VALUE"""),18)</f>
        <v>18</v>
      </c>
    </row>
    <row r="1098" spans="1:9">
      <c r="A1098" s="79">
        <v>15</v>
      </c>
      <c r="B1098" s="79">
        <v>0</v>
      </c>
      <c r="C1098" s="79">
        <v>15</v>
      </c>
      <c r="D1098" s="80">
        <v>43325.239791666667</v>
      </c>
      <c r="E1098" s="81">
        <f t="shared" ca="1" si="8"/>
        <v>43313</v>
      </c>
      <c r="F1098" s="82">
        <f ca="1">IFERROR(__xludf.DUMMYFUNCTION("""COMPUTED_VALUE"""),0.239791666666666)</f>
        <v>0.23979166666666599</v>
      </c>
      <c r="G1098" s="83">
        <f t="shared" ca="1" si="9"/>
        <v>19</v>
      </c>
      <c r="H1098" s="83">
        <f ca="1">IFERROR(__xludf.DUMMYFUNCTION("""COMPUTED_VALUE"""),45)</f>
        <v>45</v>
      </c>
      <c r="I1098" s="83">
        <f ca="1">IFERROR(__xludf.DUMMYFUNCTION("""COMPUTED_VALUE"""),18)</f>
        <v>18</v>
      </c>
    </row>
    <row r="1099" spans="1:9">
      <c r="A1099" s="79">
        <v>15</v>
      </c>
      <c r="B1099" s="79">
        <v>0</v>
      </c>
      <c r="C1099" s="79">
        <v>15</v>
      </c>
      <c r="D1099" s="80">
        <v>43325.250208333331</v>
      </c>
      <c r="E1099" s="81">
        <f t="shared" ca="1" si="8"/>
        <v>43313</v>
      </c>
      <c r="F1099" s="82">
        <f ca="1">IFERROR(__xludf.DUMMYFUNCTION("""COMPUTED_VALUE"""),0.250208333333333)</f>
        <v>0.25020833333333298</v>
      </c>
      <c r="G1099" s="83">
        <f t="shared" ca="1" si="9"/>
        <v>19</v>
      </c>
      <c r="H1099" s="83">
        <f ca="1">IFERROR(__xludf.DUMMYFUNCTION("""COMPUTED_VALUE"""),0)</f>
        <v>0</v>
      </c>
      <c r="I1099" s="83">
        <f ca="1">IFERROR(__xludf.DUMMYFUNCTION("""COMPUTED_VALUE"""),18)</f>
        <v>18</v>
      </c>
    </row>
    <row r="1100" spans="1:9">
      <c r="A1100" s="79">
        <v>15</v>
      </c>
      <c r="B1100" s="79">
        <v>0</v>
      </c>
      <c r="C1100" s="79">
        <v>15</v>
      </c>
      <c r="D1100" s="80">
        <v>43325.260625000003</v>
      </c>
      <c r="E1100" s="81">
        <f t="shared" ca="1" si="8"/>
        <v>43313</v>
      </c>
      <c r="F1100" s="82">
        <f ca="1">IFERROR(__xludf.DUMMYFUNCTION("""COMPUTED_VALUE"""),0.260625)</f>
        <v>0.260625</v>
      </c>
      <c r="G1100" s="83">
        <f t="shared" ca="1" si="9"/>
        <v>19</v>
      </c>
      <c r="H1100" s="83">
        <f ca="1">IFERROR(__xludf.DUMMYFUNCTION("""COMPUTED_VALUE"""),15)</f>
        <v>15</v>
      </c>
      <c r="I1100" s="83">
        <f ca="1">IFERROR(__xludf.DUMMYFUNCTION("""COMPUTED_VALUE"""),18)</f>
        <v>18</v>
      </c>
    </row>
    <row r="1101" spans="1:9">
      <c r="A1101" s="79">
        <v>15</v>
      </c>
      <c r="B1101" s="79">
        <v>0</v>
      </c>
      <c r="C1101" s="79">
        <v>15</v>
      </c>
      <c r="D1101" s="80">
        <v>43325.273796296293</v>
      </c>
      <c r="E1101" s="81">
        <f t="shared" ca="1" si="8"/>
        <v>43313</v>
      </c>
      <c r="F1101" s="82">
        <f ca="1">IFERROR(__xludf.DUMMYFUNCTION("""COMPUTED_VALUE"""),0.273796296296296)</f>
        <v>0.27379629629629598</v>
      </c>
      <c r="G1101" s="83">
        <f t="shared" ca="1" si="9"/>
        <v>19</v>
      </c>
      <c r="H1101" s="83">
        <f ca="1">IFERROR(__xludf.DUMMYFUNCTION("""COMPUTED_VALUE"""),34)</f>
        <v>34</v>
      </c>
      <c r="I1101" s="83">
        <f ca="1">IFERROR(__xludf.DUMMYFUNCTION("""COMPUTED_VALUE"""),16)</f>
        <v>16</v>
      </c>
    </row>
    <row r="1102" spans="1:9">
      <c r="A1102" s="79">
        <v>15</v>
      </c>
      <c r="B1102" s="79">
        <v>0</v>
      </c>
      <c r="C1102" s="79">
        <v>15</v>
      </c>
      <c r="D1102" s="80">
        <v>43325.281469907408</v>
      </c>
      <c r="E1102" s="81">
        <f t="shared" ca="1" si="8"/>
        <v>43313</v>
      </c>
      <c r="F1102" s="82">
        <f ca="1">IFERROR(__xludf.DUMMYFUNCTION("""COMPUTED_VALUE"""),0.281469907407407)</f>
        <v>0.28146990740740702</v>
      </c>
      <c r="G1102" s="83">
        <f t="shared" ca="1" si="9"/>
        <v>19</v>
      </c>
      <c r="H1102" s="83">
        <f ca="1">IFERROR(__xludf.DUMMYFUNCTION("""COMPUTED_VALUE"""),45)</f>
        <v>45</v>
      </c>
      <c r="I1102" s="83">
        <f ca="1">IFERROR(__xludf.DUMMYFUNCTION("""COMPUTED_VALUE"""),19)</f>
        <v>19</v>
      </c>
    </row>
    <row r="1103" spans="1:9">
      <c r="A1103" s="79">
        <v>16</v>
      </c>
      <c r="B1103" s="79">
        <v>0</v>
      </c>
      <c r="C1103" s="79">
        <v>16</v>
      </c>
      <c r="D1103" s="80">
        <v>43325.291875000003</v>
      </c>
      <c r="E1103" s="81">
        <f t="shared" ca="1" si="8"/>
        <v>43313</v>
      </c>
      <c r="F1103" s="82">
        <f ca="1">IFERROR(__xludf.DUMMYFUNCTION("""COMPUTED_VALUE"""),0.291875)</f>
        <v>0.291875</v>
      </c>
      <c r="G1103" s="83">
        <f t="shared" ca="1" si="9"/>
        <v>19</v>
      </c>
      <c r="H1103" s="83">
        <f ca="1">IFERROR(__xludf.DUMMYFUNCTION("""COMPUTED_VALUE"""),0)</f>
        <v>0</v>
      </c>
      <c r="I1103" s="83">
        <f ca="1">IFERROR(__xludf.DUMMYFUNCTION("""COMPUTED_VALUE"""),18)</f>
        <v>18</v>
      </c>
    </row>
    <row r="1104" spans="1:9">
      <c r="A1104" s="79">
        <v>39</v>
      </c>
      <c r="B1104" s="79">
        <v>0</v>
      </c>
      <c r="C1104" s="79">
        <v>39</v>
      </c>
      <c r="D1104" s="80">
        <v>43325.302314814813</v>
      </c>
      <c r="E1104" s="81">
        <f t="shared" ca="1" si="8"/>
        <v>43313</v>
      </c>
      <c r="F1104" s="82">
        <f ca="1">IFERROR(__xludf.DUMMYFUNCTION("""COMPUTED_VALUE"""),0.302314814814814)</f>
        <v>0.30231481481481398</v>
      </c>
      <c r="G1104" s="83">
        <f t="shared" ca="1" si="9"/>
        <v>19</v>
      </c>
      <c r="H1104" s="83">
        <f ca="1">IFERROR(__xludf.DUMMYFUNCTION("""COMPUTED_VALUE"""),15)</f>
        <v>15</v>
      </c>
      <c r="I1104" s="83">
        <f ca="1">IFERROR(__xludf.DUMMYFUNCTION("""COMPUTED_VALUE"""),20)</f>
        <v>20</v>
      </c>
    </row>
    <row r="1105" spans="1:9">
      <c r="A1105" s="79">
        <v>38</v>
      </c>
      <c r="B1105" s="79">
        <v>0</v>
      </c>
      <c r="C1105" s="79">
        <v>38</v>
      </c>
      <c r="D1105" s="80">
        <v>43325.312731481485</v>
      </c>
      <c r="E1105" s="81">
        <f t="shared" ca="1" si="8"/>
        <v>43313</v>
      </c>
      <c r="F1105" s="82">
        <f ca="1">IFERROR(__xludf.DUMMYFUNCTION("""COMPUTED_VALUE"""),0.312731481481481)</f>
        <v>0.312731481481481</v>
      </c>
      <c r="G1105" s="83">
        <f t="shared" ca="1" si="9"/>
        <v>19</v>
      </c>
      <c r="H1105" s="83">
        <f ca="1">IFERROR(__xludf.DUMMYFUNCTION("""COMPUTED_VALUE"""),30)</f>
        <v>30</v>
      </c>
      <c r="I1105" s="83">
        <f ca="1">IFERROR(__xludf.DUMMYFUNCTION("""COMPUTED_VALUE"""),20)</f>
        <v>20</v>
      </c>
    </row>
    <row r="1106" spans="1:9">
      <c r="A1106" s="79">
        <v>54</v>
      </c>
      <c r="B1106" s="79">
        <v>0</v>
      </c>
      <c r="C1106" s="79">
        <v>54</v>
      </c>
      <c r="D1106" s="80">
        <v>43325.323148148149</v>
      </c>
      <c r="E1106" s="81">
        <f t="shared" ca="1" si="8"/>
        <v>43313</v>
      </c>
      <c r="F1106" s="82">
        <f ca="1">IFERROR(__xludf.DUMMYFUNCTION("""COMPUTED_VALUE"""),0.323148148148148)</f>
        <v>0.32314814814814802</v>
      </c>
      <c r="G1106" s="83">
        <f t="shared" ca="1" si="9"/>
        <v>19</v>
      </c>
      <c r="H1106" s="83">
        <f ca="1">IFERROR(__xludf.DUMMYFUNCTION("""COMPUTED_VALUE"""),45)</f>
        <v>45</v>
      </c>
      <c r="I1106" s="83">
        <f ca="1">IFERROR(__xludf.DUMMYFUNCTION("""COMPUTED_VALUE"""),20)</f>
        <v>20</v>
      </c>
    </row>
    <row r="1107" spans="1:9">
      <c r="A1107" s="79">
        <v>47</v>
      </c>
      <c r="B1107" s="79">
        <v>1</v>
      </c>
      <c r="C1107" s="79">
        <v>48</v>
      </c>
      <c r="D1107" s="80">
        <v>43325.333564814813</v>
      </c>
      <c r="E1107" s="81">
        <f t="shared" ca="1" si="8"/>
        <v>43313</v>
      </c>
      <c r="F1107" s="82">
        <f ca="1">IFERROR(__xludf.DUMMYFUNCTION("""COMPUTED_VALUE"""),0.333564814814814)</f>
        <v>0.33356481481481398</v>
      </c>
      <c r="G1107" s="83">
        <f t="shared" ca="1" si="9"/>
        <v>19</v>
      </c>
      <c r="H1107" s="83">
        <f ca="1">IFERROR(__xludf.DUMMYFUNCTION("""COMPUTED_VALUE"""),0)</f>
        <v>0</v>
      </c>
      <c r="I1107" s="83">
        <f ca="1">IFERROR(__xludf.DUMMYFUNCTION("""COMPUTED_VALUE"""),20)</f>
        <v>20</v>
      </c>
    </row>
    <row r="1108" spans="1:9">
      <c r="A1108" s="79">
        <v>68</v>
      </c>
      <c r="B1108" s="79">
        <v>0</v>
      </c>
      <c r="C1108" s="79">
        <v>68</v>
      </c>
      <c r="D1108" s="80">
        <v>43325.343981481485</v>
      </c>
      <c r="E1108" s="81">
        <f t="shared" ca="1" si="8"/>
        <v>43313</v>
      </c>
      <c r="F1108" s="82">
        <f ca="1">IFERROR(__xludf.DUMMYFUNCTION("""COMPUTED_VALUE"""),0.343981481481481)</f>
        <v>0.343981481481481</v>
      </c>
      <c r="G1108" s="83">
        <f t="shared" ca="1" si="9"/>
        <v>19</v>
      </c>
      <c r="H1108" s="83">
        <f ca="1">IFERROR(__xludf.DUMMYFUNCTION("""COMPUTED_VALUE"""),15)</f>
        <v>15</v>
      </c>
      <c r="I1108" s="83">
        <f ca="1">IFERROR(__xludf.DUMMYFUNCTION("""COMPUTED_VALUE"""),20)</f>
        <v>20</v>
      </c>
    </row>
    <row r="1109" spans="1:9">
      <c r="A1109" s="79">
        <v>97</v>
      </c>
      <c r="B1109" s="79">
        <v>1</v>
      </c>
      <c r="C1109" s="79">
        <v>98</v>
      </c>
      <c r="D1109" s="80">
        <v>43325.354398148149</v>
      </c>
      <c r="E1109" s="81">
        <f t="shared" ca="1" si="8"/>
        <v>43313</v>
      </c>
      <c r="F1109" s="82">
        <f ca="1">IFERROR(__xludf.DUMMYFUNCTION("""COMPUTED_VALUE"""),0.354398148148148)</f>
        <v>0.35439814814814802</v>
      </c>
      <c r="G1109" s="83">
        <f t="shared" ca="1" si="9"/>
        <v>19</v>
      </c>
      <c r="H1109" s="83">
        <f ca="1">IFERROR(__xludf.DUMMYFUNCTION("""COMPUTED_VALUE"""),30)</f>
        <v>30</v>
      </c>
      <c r="I1109" s="83">
        <f ca="1">IFERROR(__xludf.DUMMYFUNCTION("""COMPUTED_VALUE"""),20)</f>
        <v>20</v>
      </c>
    </row>
    <row r="1110" spans="1:9">
      <c r="A1110" s="79">
        <v>161</v>
      </c>
      <c r="B1110" s="79">
        <v>1</v>
      </c>
      <c r="C1110" s="79">
        <v>162</v>
      </c>
      <c r="D1110" s="80">
        <v>43325.364814814813</v>
      </c>
      <c r="E1110" s="81">
        <f t="shared" ca="1" si="8"/>
        <v>43313</v>
      </c>
      <c r="F1110" s="82">
        <f ca="1">IFERROR(__xludf.DUMMYFUNCTION("""COMPUTED_VALUE"""),0.364814814814814)</f>
        <v>0.36481481481481398</v>
      </c>
      <c r="G1110" s="83">
        <f t="shared" ca="1" si="9"/>
        <v>19</v>
      </c>
      <c r="H1110" s="83">
        <f ca="1">IFERROR(__xludf.DUMMYFUNCTION("""COMPUTED_VALUE"""),45)</f>
        <v>45</v>
      </c>
      <c r="I1110" s="83">
        <f ca="1">IFERROR(__xludf.DUMMYFUNCTION("""COMPUTED_VALUE"""),20)</f>
        <v>20</v>
      </c>
    </row>
    <row r="1111" spans="1:9">
      <c r="A1111" s="79">
        <v>127</v>
      </c>
      <c r="B1111" s="79">
        <v>0</v>
      </c>
      <c r="C1111" s="79">
        <v>125</v>
      </c>
      <c r="D1111" s="80">
        <v>43325.375254629631</v>
      </c>
      <c r="E1111" s="81">
        <f t="shared" ca="1" si="8"/>
        <v>43313</v>
      </c>
      <c r="F1111" s="82">
        <f ca="1">IFERROR(__xludf.DUMMYFUNCTION("""COMPUTED_VALUE"""),0.375254629629629)</f>
        <v>0.37525462962962902</v>
      </c>
      <c r="G1111" s="83">
        <f t="shared" ca="1" si="9"/>
        <v>19</v>
      </c>
      <c r="H1111" s="83">
        <f ca="1">IFERROR(__xludf.DUMMYFUNCTION("""COMPUTED_VALUE"""),0)</f>
        <v>0</v>
      </c>
      <c r="I1111" s="83">
        <f ca="1">IFERROR(__xludf.DUMMYFUNCTION("""COMPUTED_VALUE"""),22)</f>
        <v>22</v>
      </c>
    </row>
    <row r="1112" spans="1:9">
      <c r="A1112" s="79">
        <v>171</v>
      </c>
      <c r="B1112" s="79">
        <v>1</v>
      </c>
      <c r="C1112" s="79">
        <v>172</v>
      </c>
      <c r="D1112" s="80">
        <v>43325.385636574072</v>
      </c>
      <c r="E1112" s="81">
        <f t="shared" ca="1" si="8"/>
        <v>43313</v>
      </c>
      <c r="F1112" s="82">
        <f ca="1">IFERROR(__xludf.DUMMYFUNCTION("""COMPUTED_VALUE"""),0.385636574074074)</f>
        <v>0.38563657407407398</v>
      </c>
      <c r="G1112" s="83">
        <f t="shared" ca="1" si="9"/>
        <v>19</v>
      </c>
      <c r="H1112" s="83">
        <f ca="1">IFERROR(__xludf.DUMMYFUNCTION("""COMPUTED_VALUE"""),15)</f>
        <v>15</v>
      </c>
      <c r="I1112" s="83">
        <f ca="1">IFERROR(__xludf.DUMMYFUNCTION("""COMPUTED_VALUE"""),19)</f>
        <v>19</v>
      </c>
    </row>
    <row r="1113" spans="1:9">
      <c r="A1113" s="79">
        <v>296</v>
      </c>
      <c r="B1113" s="79">
        <v>1</v>
      </c>
      <c r="C1113" s="79">
        <v>297</v>
      </c>
      <c r="D1113" s="80">
        <v>43325.396064814813</v>
      </c>
      <c r="E1113" s="81">
        <f t="shared" ca="1" si="8"/>
        <v>43313</v>
      </c>
      <c r="F1113" s="82">
        <f ca="1">IFERROR(__xludf.DUMMYFUNCTION("""COMPUTED_VALUE"""),0.396064814814814)</f>
        <v>0.39606481481481398</v>
      </c>
      <c r="G1113" s="83">
        <f t="shared" ca="1" si="9"/>
        <v>19</v>
      </c>
      <c r="H1113" s="83">
        <f ca="1">IFERROR(__xludf.DUMMYFUNCTION("""COMPUTED_VALUE"""),30)</f>
        <v>30</v>
      </c>
      <c r="I1113" s="83">
        <f ca="1">IFERROR(__xludf.DUMMYFUNCTION("""COMPUTED_VALUE"""),20)</f>
        <v>20</v>
      </c>
    </row>
    <row r="1114" spans="1:9">
      <c r="A1114" s="79">
        <v>477</v>
      </c>
      <c r="B1114" s="79">
        <v>4</v>
      </c>
      <c r="C1114" s="79">
        <v>481</v>
      </c>
      <c r="D1114" s="80">
        <v>43325.406469907408</v>
      </c>
      <c r="E1114" s="81">
        <f t="shared" ca="1" si="8"/>
        <v>43313</v>
      </c>
      <c r="F1114" s="82">
        <f ca="1">IFERROR(__xludf.DUMMYFUNCTION("""COMPUTED_VALUE"""),0.406469907407407)</f>
        <v>0.40646990740740702</v>
      </c>
      <c r="G1114" s="83">
        <f t="shared" ca="1" si="9"/>
        <v>19</v>
      </c>
      <c r="H1114" s="83">
        <f ca="1">IFERROR(__xludf.DUMMYFUNCTION("""COMPUTED_VALUE"""),45)</f>
        <v>45</v>
      </c>
      <c r="I1114" s="83">
        <f ca="1">IFERROR(__xludf.DUMMYFUNCTION("""COMPUTED_VALUE"""),19)</f>
        <v>19</v>
      </c>
    </row>
    <row r="1115" spans="1:9">
      <c r="A1115" s="79">
        <v>373</v>
      </c>
      <c r="B1115" s="79">
        <v>3</v>
      </c>
      <c r="C1115" s="79">
        <v>376</v>
      </c>
      <c r="D1115" s="80">
        <v>43325.416909722226</v>
      </c>
      <c r="E1115" s="81">
        <f t="shared" ca="1" si="8"/>
        <v>43313</v>
      </c>
      <c r="F1115" s="82">
        <f ca="1">IFERROR(__xludf.DUMMYFUNCTION("""COMPUTED_VALUE"""),0.416909722222222)</f>
        <v>0.416909722222222</v>
      </c>
      <c r="G1115" s="83">
        <f t="shared" ca="1" si="9"/>
        <v>19</v>
      </c>
      <c r="H1115" s="83">
        <f ca="1">IFERROR(__xludf.DUMMYFUNCTION("""COMPUTED_VALUE"""),0)</f>
        <v>0</v>
      </c>
      <c r="I1115" s="83">
        <f ca="1">IFERROR(__xludf.DUMMYFUNCTION("""COMPUTED_VALUE"""),21)</f>
        <v>21</v>
      </c>
    </row>
    <row r="1116" spans="1:9">
      <c r="A1116" s="79">
        <v>407</v>
      </c>
      <c r="B1116" s="79">
        <v>6</v>
      </c>
      <c r="C1116" s="79">
        <v>413</v>
      </c>
      <c r="D1116" s="80">
        <v>43325.427303240744</v>
      </c>
      <c r="E1116" s="81">
        <f t="shared" ca="1" si="8"/>
        <v>43313</v>
      </c>
      <c r="F1116" s="82">
        <f ca="1">IFERROR(__xludf.DUMMYFUNCTION("""COMPUTED_VALUE"""),0.42730324074074)</f>
        <v>0.42730324074074</v>
      </c>
      <c r="G1116" s="83">
        <f t="shared" ca="1" si="9"/>
        <v>19</v>
      </c>
      <c r="H1116" s="83">
        <f ca="1">IFERROR(__xludf.DUMMYFUNCTION("""COMPUTED_VALUE"""),15)</f>
        <v>15</v>
      </c>
      <c r="I1116" s="83">
        <f ca="1">IFERROR(__xludf.DUMMYFUNCTION("""COMPUTED_VALUE"""),19)</f>
        <v>19</v>
      </c>
    </row>
    <row r="1117" spans="1:9">
      <c r="A1117" s="79">
        <v>497</v>
      </c>
      <c r="B1117" s="79">
        <v>5</v>
      </c>
      <c r="C1117" s="79">
        <v>502</v>
      </c>
      <c r="D1117" s="80">
        <v>43325.437731481485</v>
      </c>
      <c r="E1117" s="81">
        <f t="shared" ca="1" si="8"/>
        <v>43313</v>
      </c>
      <c r="F1117" s="82">
        <f ca="1">IFERROR(__xludf.DUMMYFUNCTION("""COMPUTED_VALUE"""),0.437731481481481)</f>
        <v>0.437731481481481</v>
      </c>
      <c r="G1117" s="83">
        <f t="shared" ca="1" si="9"/>
        <v>19</v>
      </c>
      <c r="H1117" s="83">
        <f ca="1">IFERROR(__xludf.DUMMYFUNCTION("""COMPUTED_VALUE"""),30)</f>
        <v>30</v>
      </c>
      <c r="I1117" s="83">
        <f ca="1">IFERROR(__xludf.DUMMYFUNCTION("""COMPUTED_VALUE"""),20)</f>
        <v>20</v>
      </c>
    </row>
    <row r="1118" spans="1:9">
      <c r="A1118" s="79">
        <v>556</v>
      </c>
      <c r="B1118" s="79">
        <v>10</v>
      </c>
      <c r="C1118" s="79">
        <v>566</v>
      </c>
      <c r="D1118" s="80">
        <v>43325.448136574072</v>
      </c>
      <c r="E1118" s="81">
        <f t="shared" ca="1" si="8"/>
        <v>43313</v>
      </c>
      <c r="F1118" s="82">
        <f ca="1">IFERROR(__xludf.DUMMYFUNCTION("""COMPUTED_VALUE"""),0.448136574074074)</f>
        <v>0.44813657407407398</v>
      </c>
      <c r="G1118" s="83">
        <f t="shared" ca="1" si="9"/>
        <v>19</v>
      </c>
      <c r="H1118" s="83">
        <f ca="1">IFERROR(__xludf.DUMMYFUNCTION("""COMPUTED_VALUE"""),45)</f>
        <v>45</v>
      </c>
      <c r="I1118" s="83">
        <f ca="1">IFERROR(__xludf.DUMMYFUNCTION("""COMPUTED_VALUE"""),19)</f>
        <v>19</v>
      </c>
    </row>
    <row r="1119" spans="1:9">
      <c r="A1119" s="79">
        <v>440</v>
      </c>
      <c r="B1119" s="79">
        <v>12</v>
      </c>
      <c r="C1119" s="79">
        <v>452</v>
      </c>
      <c r="D1119" s="80">
        <v>43325.458564814813</v>
      </c>
      <c r="E1119" s="81">
        <f t="shared" ca="1" si="8"/>
        <v>43313</v>
      </c>
      <c r="F1119" s="82">
        <f ca="1">IFERROR(__xludf.DUMMYFUNCTION("""COMPUTED_VALUE"""),0.458564814814814)</f>
        <v>0.45856481481481398</v>
      </c>
      <c r="G1119" s="83">
        <f t="shared" ca="1" si="9"/>
        <v>19</v>
      </c>
      <c r="H1119" s="83">
        <f ca="1">IFERROR(__xludf.DUMMYFUNCTION("""COMPUTED_VALUE"""),0)</f>
        <v>0</v>
      </c>
      <c r="I1119" s="83">
        <f ca="1">IFERROR(__xludf.DUMMYFUNCTION("""COMPUTED_VALUE"""),20)</f>
        <v>20</v>
      </c>
    </row>
    <row r="1120" spans="1:9">
      <c r="A1120" s="79">
        <v>323</v>
      </c>
      <c r="B1120" s="79">
        <v>4</v>
      </c>
      <c r="C1120" s="79">
        <v>327</v>
      </c>
      <c r="D1120" s="80">
        <v>43325.468969907408</v>
      </c>
      <c r="E1120" s="81">
        <f t="shared" ca="1" si="8"/>
        <v>43313</v>
      </c>
      <c r="F1120" s="82">
        <f ca="1">IFERROR(__xludf.DUMMYFUNCTION("""COMPUTED_VALUE"""),0.468969907407407)</f>
        <v>0.46896990740740702</v>
      </c>
      <c r="G1120" s="83">
        <f t="shared" ca="1" si="9"/>
        <v>19</v>
      </c>
      <c r="H1120" s="83">
        <f ca="1">IFERROR(__xludf.DUMMYFUNCTION("""COMPUTED_VALUE"""),15)</f>
        <v>15</v>
      </c>
      <c r="I1120" s="83">
        <f ca="1">IFERROR(__xludf.DUMMYFUNCTION("""COMPUTED_VALUE"""),19)</f>
        <v>19</v>
      </c>
    </row>
    <row r="1121" spans="1:9">
      <c r="A1121" s="79">
        <v>300</v>
      </c>
      <c r="B1121" s="79">
        <v>3</v>
      </c>
      <c r="C1121" s="79">
        <v>303</v>
      </c>
      <c r="D1121" s="80">
        <v>43325.479398148149</v>
      </c>
      <c r="E1121" s="81">
        <f t="shared" ca="1" si="8"/>
        <v>43313</v>
      </c>
      <c r="F1121" s="82">
        <f ca="1">IFERROR(__xludf.DUMMYFUNCTION("""COMPUTED_VALUE"""),0.479398148148148)</f>
        <v>0.47939814814814802</v>
      </c>
      <c r="G1121" s="83">
        <f t="shared" ca="1" si="9"/>
        <v>19</v>
      </c>
      <c r="H1121" s="83">
        <f ca="1">IFERROR(__xludf.DUMMYFUNCTION("""COMPUTED_VALUE"""),30)</f>
        <v>30</v>
      </c>
      <c r="I1121" s="83">
        <f ca="1">IFERROR(__xludf.DUMMYFUNCTION("""COMPUTED_VALUE"""),20)</f>
        <v>20</v>
      </c>
    </row>
    <row r="1122" spans="1:9">
      <c r="A1122" s="79">
        <v>297</v>
      </c>
      <c r="B1122" s="79">
        <v>1</v>
      </c>
      <c r="C1122" s="79">
        <v>298</v>
      </c>
      <c r="D1122" s="80">
        <v>43325.489803240744</v>
      </c>
      <c r="E1122" s="81">
        <f t="shared" ca="1" si="8"/>
        <v>43313</v>
      </c>
      <c r="F1122" s="82">
        <f ca="1">IFERROR(__xludf.DUMMYFUNCTION("""COMPUTED_VALUE"""),0.48980324074074)</f>
        <v>0.48980324074074</v>
      </c>
      <c r="G1122" s="83">
        <f t="shared" ca="1" si="9"/>
        <v>19</v>
      </c>
      <c r="H1122" s="83">
        <f ca="1">IFERROR(__xludf.DUMMYFUNCTION("""COMPUTED_VALUE"""),45)</f>
        <v>45</v>
      </c>
      <c r="I1122" s="83">
        <f ca="1">IFERROR(__xludf.DUMMYFUNCTION("""COMPUTED_VALUE"""),19)</f>
        <v>19</v>
      </c>
    </row>
    <row r="1123" spans="1:9">
      <c r="A1123" s="79">
        <v>242</v>
      </c>
      <c r="B1123" s="79">
        <v>6</v>
      </c>
      <c r="C1123" s="79">
        <v>248</v>
      </c>
      <c r="D1123" s="80">
        <v>43325.500219907408</v>
      </c>
      <c r="E1123" s="81">
        <f t="shared" ca="1" si="8"/>
        <v>43313</v>
      </c>
      <c r="F1123" s="82">
        <f ca="1">IFERROR(__xludf.DUMMYFUNCTION("""COMPUTED_VALUE"""),0.500219907407407)</f>
        <v>0.50021990740740696</v>
      </c>
      <c r="G1123" s="83">
        <f t="shared" ca="1" si="9"/>
        <v>19</v>
      </c>
      <c r="H1123" s="83">
        <f ca="1">IFERROR(__xludf.DUMMYFUNCTION("""COMPUTED_VALUE"""),0)</f>
        <v>0</v>
      </c>
      <c r="I1123" s="83">
        <f ca="1">IFERROR(__xludf.DUMMYFUNCTION("""COMPUTED_VALUE"""),19)</f>
        <v>19</v>
      </c>
    </row>
    <row r="1124" spans="1:9">
      <c r="A1124" s="79">
        <v>229</v>
      </c>
      <c r="B1124" s="79">
        <v>5</v>
      </c>
      <c r="C1124" s="79">
        <v>234</v>
      </c>
      <c r="D1124" s="80">
        <v>43325.510636574072</v>
      </c>
      <c r="E1124" s="81">
        <f t="shared" ca="1" si="8"/>
        <v>43313</v>
      </c>
      <c r="F1124" s="82">
        <f ca="1">IFERROR(__xludf.DUMMYFUNCTION("""COMPUTED_VALUE"""),0.510636574074074)</f>
        <v>0.51063657407407403</v>
      </c>
      <c r="G1124" s="83">
        <f t="shared" ca="1" si="9"/>
        <v>19</v>
      </c>
      <c r="H1124" s="83">
        <f ca="1">IFERROR(__xludf.DUMMYFUNCTION("""COMPUTED_VALUE"""),15)</f>
        <v>15</v>
      </c>
      <c r="I1124" s="83">
        <f ca="1">IFERROR(__xludf.DUMMYFUNCTION("""COMPUTED_VALUE"""),19)</f>
        <v>19</v>
      </c>
    </row>
    <row r="1125" spans="1:9">
      <c r="A1125" s="79">
        <v>214</v>
      </c>
      <c r="B1125" s="79">
        <v>1</v>
      </c>
      <c r="C1125" s="79">
        <v>215</v>
      </c>
      <c r="D1125" s="80">
        <v>43325.521064814813</v>
      </c>
      <c r="E1125" s="81">
        <f t="shared" ca="1" si="8"/>
        <v>43313</v>
      </c>
      <c r="F1125" s="82">
        <f ca="1">IFERROR(__xludf.DUMMYFUNCTION("""COMPUTED_VALUE"""),0.521064814814814)</f>
        <v>0.52106481481481404</v>
      </c>
      <c r="G1125" s="83">
        <f t="shared" ca="1" si="9"/>
        <v>19</v>
      </c>
      <c r="H1125" s="83">
        <f ca="1">IFERROR(__xludf.DUMMYFUNCTION("""COMPUTED_VALUE"""),30)</f>
        <v>30</v>
      </c>
      <c r="I1125" s="83">
        <f ca="1">IFERROR(__xludf.DUMMYFUNCTION("""COMPUTED_VALUE"""),20)</f>
        <v>20</v>
      </c>
    </row>
    <row r="1126" spans="1:9">
      <c r="A1126" s="79">
        <v>264</v>
      </c>
      <c r="B1126" s="79">
        <v>0</v>
      </c>
      <c r="C1126" s="79">
        <v>264</v>
      </c>
      <c r="D1126" s="80">
        <v>43325.531469907408</v>
      </c>
      <c r="E1126" s="81">
        <f t="shared" ca="1" si="8"/>
        <v>43313</v>
      </c>
      <c r="F1126" s="82">
        <f ca="1">IFERROR(__xludf.DUMMYFUNCTION("""COMPUTED_VALUE"""),0.531469907407407)</f>
        <v>0.53146990740740696</v>
      </c>
      <c r="G1126" s="83">
        <f t="shared" ca="1" si="9"/>
        <v>19</v>
      </c>
      <c r="H1126" s="83">
        <f ca="1">IFERROR(__xludf.DUMMYFUNCTION("""COMPUTED_VALUE"""),45)</f>
        <v>45</v>
      </c>
      <c r="I1126" s="83">
        <f ca="1">IFERROR(__xludf.DUMMYFUNCTION("""COMPUTED_VALUE"""),19)</f>
        <v>19</v>
      </c>
    </row>
    <row r="1127" spans="1:9">
      <c r="A1127" s="79">
        <v>226</v>
      </c>
      <c r="B1127" s="79">
        <v>0</v>
      </c>
      <c r="C1127" s="79">
        <v>226</v>
      </c>
      <c r="D1127" s="80">
        <v>43325.541898148149</v>
      </c>
      <c r="E1127" s="81">
        <f t="shared" ca="1" si="8"/>
        <v>43313</v>
      </c>
      <c r="F1127" s="82">
        <f ca="1">IFERROR(__xludf.DUMMYFUNCTION("""COMPUTED_VALUE"""),0.541898148148148)</f>
        <v>0.54189814814814796</v>
      </c>
      <c r="G1127" s="83">
        <f t="shared" ca="1" si="9"/>
        <v>19</v>
      </c>
      <c r="H1127" s="83">
        <f ca="1">IFERROR(__xludf.DUMMYFUNCTION("""COMPUTED_VALUE"""),0)</f>
        <v>0</v>
      </c>
      <c r="I1127" s="83">
        <f ca="1">IFERROR(__xludf.DUMMYFUNCTION("""COMPUTED_VALUE"""),20)</f>
        <v>20</v>
      </c>
    </row>
    <row r="1128" spans="1:9">
      <c r="A1128" s="79">
        <v>241</v>
      </c>
      <c r="B1128" s="79">
        <v>0</v>
      </c>
      <c r="C1128" s="79">
        <v>241</v>
      </c>
      <c r="D1128" s="80">
        <v>43325.552303240744</v>
      </c>
      <c r="E1128" s="81">
        <f t="shared" ca="1" si="8"/>
        <v>43313</v>
      </c>
      <c r="F1128" s="82">
        <f ca="1">IFERROR(__xludf.DUMMYFUNCTION("""COMPUTED_VALUE"""),0.55230324074074)</f>
        <v>0.55230324074074</v>
      </c>
      <c r="G1128" s="83">
        <f t="shared" ca="1" si="9"/>
        <v>19</v>
      </c>
      <c r="H1128" s="83">
        <f ca="1">IFERROR(__xludf.DUMMYFUNCTION("""COMPUTED_VALUE"""),15)</f>
        <v>15</v>
      </c>
      <c r="I1128" s="83">
        <f ca="1">IFERROR(__xludf.DUMMYFUNCTION("""COMPUTED_VALUE"""),19)</f>
        <v>19</v>
      </c>
    </row>
    <row r="1129" spans="1:9">
      <c r="A1129" s="79">
        <v>248</v>
      </c>
      <c r="B1129" s="79">
        <v>2</v>
      </c>
      <c r="C1129" s="79">
        <v>250</v>
      </c>
      <c r="D1129" s="80">
        <v>43325.562731481485</v>
      </c>
      <c r="E1129" s="81">
        <f t="shared" ca="1" si="8"/>
        <v>43313</v>
      </c>
      <c r="F1129" s="82">
        <f ca="1">IFERROR(__xludf.DUMMYFUNCTION("""COMPUTED_VALUE"""),0.562731481481481)</f>
        <v>0.562731481481481</v>
      </c>
      <c r="G1129" s="83">
        <f t="shared" ca="1" si="9"/>
        <v>19</v>
      </c>
      <c r="H1129" s="83">
        <f ca="1">IFERROR(__xludf.DUMMYFUNCTION("""COMPUTED_VALUE"""),30)</f>
        <v>30</v>
      </c>
      <c r="I1129" s="83">
        <f ca="1">IFERROR(__xludf.DUMMYFUNCTION("""COMPUTED_VALUE"""),20)</f>
        <v>20</v>
      </c>
    </row>
    <row r="1130" spans="1:9">
      <c r="A1130" s="79">
        <v>256</v>
      </c>
      <c r="B1130" s="79">
        <v>4</v>
      </c>
      <c r="C1130" s="79">
        <v>260</v>
      </c>
      <c r="D1130" s="80">
        <v>43325.573136574072</v>
      </c>
      <c r="E1130" s="81">
        <f t="shared" ca="1" si="8"/>
        <v>43313</v>
      </c>
      <c r="F1130" s="82">
        <f ca="1">IFERROR(__xludf.DUMMYFUNCTION("""COMPUTED_VALUE"""),0.573136574074074)</f>
        <v>0.57313657407407403</v>
      </c>
      <c r="G1130" s="83">
        <f t="shared" ca="1" si="9"/>
        <v>19</v>
      </c>
      <c r="H1130" s="83">
        <f ca="1">IFERROR(__xludf.DUMMYFUNCTION("""COMPUTED_VALUE"""),45)</f>
        <v>45</v>
      </c>
      <c r="I1130" s="83">
        <f ca="1">IFERROR(__xludf.DUMMYFUNCTION("""COMPUTED_VALUE"""),19)</f>
        <v>19</v>
      </c>
    </row>
    <row r="1131" spans="1:9">
      <c r="A1131" s="79">
        <v>276</v>
      </c>
      <c r="B1131" s="79">
        <v>2</v>
      </c>
      <c r="C1131" s="79">
        <v>269</v>
      </c>
      <c r="D1131" s="80">
        <v>43325.583553240744</v>
      </c>
      <c r="E1131" s="81">
        <f t="shared" ca="1" si="8"/>
        <v>43313</v>
      </c>
      <c r="F1131" s="82">
        <f ca="1">IFERROR(__xludf.DUMMYFUNCTION("""COMPUTED_VALUE"""),0.58355324074074)</f>
        <v>0.58355324074074</v>
      </c>
      <c r="G1131" s="83">
        <f t="shared" ca="1" si="9"/>
        <v>19</v>
      </c>
      <c r="H1131" s="83">
        <f ca="1">IFERROR(__xludf.DUMMYFUNCTION("""COMPUTED_VALUE"""),0)</f>
        <v>0</v>
      </c>
      <c r="I1131" s="83">
        <f ca="1">IFERROR(__xludf.DUMMYFUNCTION("""COMPUTED_VALUE"""),19)</f>
        <v>19</v>
      </c>
    </row>
    <row r="1132" spans="1:9">
      <c r="A1132" s="79">
        <v>276</v>
      </c>
      <c r="B1132" s="79">
        <v>2</v>
      </c>
      <c r="C1132" s="79">
        <v>278</v>
      </c>
      <c r="D1132" s="80">
        <v>43325.593969907408</v>
      </c>
      <c r="E1132" s="81">
        <f t="shared" ca="1" si="8"/>
        <v>43313</v>
      </c>
      <c r="F1132" s="82">
        <f ca="1">IFERROR(__xludf.DUMMYFUNCTION("""COMPUTED_VALUE"""),0.593969907407407)</f>
        <v>0.59396990740740696</v>
      </c>
      <c r="G1132" s="83">
        <f t="shared" ca="1" si="9"/>
        <v>19</v>
      </c>
      <c r="H1132" s="83">
        <f ca="1">IFERROR(__xludf.DUMMYFUNCTION("""COMPUTED_VALUE"""),15)</f>
        <v>15</v>
      </c>
      <c r="I1132" s="83">
        <f ca="1">IFERROR(__xludf.DUMMYFUNCTION("""COMPUTED_VALUE"""),19)</f>
        <v>19</v>
      </c>
    </row>
    <row r="1133" spans="1:9">
      <c r="A1133" s="79">
        <v>285</v>
      </c>
      <c r="B1133" s="79">
        <v>2</v>
      </c>
      <c r="C1133" s="79">
        <v>287</v>
      </c>
      <c r="D1133" s="80">
        <v>43325.604386574072</v>
      </c>
      <c r="E1133" s="81">
        <f t="shared" ca="1" si="8"/>
        <v>43313</v>
      </c>
      <c r="F1133" s="82">
        <f ca="1">IFERROR(__xludf.DUMMYFUNCTION("""COMPUTED_VALUE"""),0.604386574074074)</f>
        <v>0.60438657407407403</v>
      </c>
      <c r="G1133" s="83">
        <f t="shared" ca="1" si="9"/>
        <v>19</v>
      </c>
      <c r="H1133" s="83">
        <f ca="1">IFERROR(__xludf.DUMMYFUNCTION("""COMPUTED_VALUE"""),30)</f>
        <v>30</v>
      </c>
      <c r="I1133" s="83">
        <f ca="1">IFERROR(__xludf.DUMMYFUNCTION("""COMPUTED_VALUE"""),19)</f>
        <v>19</v>
      </c>
    </row>
    <row r="1134" spans="1:9">
      <c r="A1134" s="79">
        <v>291</v>
      </c>
      <c r="B1134" s="79">
        <v>3</v>
      </c>
      <c r="C1134" s="79">
        <v>294</v>
      </c>
      <c r="D1134" s="80">
        <v>43325.614803240744</v>
      </c>
      <c r="E1134" s="81">
        <f t="shared" ca="1" si="8"/>
        <v>43313</v>
      </c>
      <c r="F1134" s="82">
        <f ca="1">IFERROR(__xludf.DUMMYFUNCTION("""COMPUTED_VALUE"""),0.61480324074074)</f>
        <v>0.61480324074074</v>
      </c>
      <c r="G1134" s="83">
        <f t="shared" ca="1" si="9"/>
        <v>19</v>
      </c>
      <c r="H1134" s="83">
        <f ca="1">IFERROR(__xludf.DUMMYFUNCTION("""COMPUTED_VALUE"""),45)</f>
        <v>45</v>
      </c>
      <c r="I1134" s="83">
        <f ca="1">IFERROR(__xludf.DUMMYFUNCTION("""COMPUTED_VALUE"""),19)</f>
        <v>19</v>
      </c>
    </row>
    <row r="1135" spans="1:9">
      <c r="A1135" s="79">
        <v>288</v>
      </c>
      <c r="B1135" s="79">
        <v>7</v>
      </c>
      <c r="C1135" s="79">
        <v>295</v>
      </c>
      <c r="D1135" s="80">
        <v>43325.625219907408</v>
      </c>
      <c r="E1135" s="81">
        <f t="shared" ca="1" si="8"/>
        <v>43313</v>
      </c>
      <c r="F1135" s="82">
        <f ca="1">IFERROR(__xludf.DUMMYFUNCTION("""COMPUTED_VALUE"""),0.625219907407407)</f>
        <v>0.62521990740740696</v>
      </c>
      <c r="G1135" s="83">
        <f t="shared" ca="1" si="9"/>
        <v>19</v>
      </c>
      <c r="H1135" s="83">
        <f ca="1">IFERROR(__xludf.DUMMYFUNCTION("""COMPUTED_VALUE"""),0)</f>
        <v>0</v>
      </c>
      <c r="I1135" s="83">
        <f ca="1">IFERROR(__xludf.DUMMYFUNCTION("""COMPUTED_VALUE"""),19)</f>
        <v>19</v>
      </c>
    </row>
    <row r="1136" spans="1:9">
      <c r="A1136" s="79">
        <v>335</v>
      </c>
      <c r="B1136" s="79">
        <v>11</v>
      </c>
      <c r="C1136" s="79">
        <v>346</v>
      </c>
      <c r="D1136" s="80">
        <v>43325.635636574072</v>
      </c>
      <c r="E1136" s="81">
        <f t="shared" ca="1" si="8"/>
        <v>43313</v>
      </c>
      <c r="F1136" s="82">
        <f ca="1">IFERROR(__xludf.DUMMYFUNCTION("""COMPUTED_VALUE"""),0.635636574074074)</f>
        <v>0.63563657407407403</v>
      </c>
      <c r="G1136" s="83">
        <f t="shared" ca="1" si="9"/>
        <v>19</v>
      </c>
      <c r="H1136" s="83">
        <f ca="1">IFERROR(__xludf.DUMMYFUNCTION("""COMPUTED_VALUE"""),15)</f>
        <v>15</v>
      </c>
      <c r="I1136" s="83">
        <f ca="1">IFERROR(__xludf.DUMMYFUNCTION("""COMPUTED_VALUE"""),19)</f>
        <v>19</v>
      </c>
    </row>
    <row r="1137" spans="1:9">
      <c r="A1137" s="79">
        <v>315</v>
      </c>
      <c r="B1137" s="79">
        <v>2</v>
      </c>
      <c r="C1137" s="79">
        <v>317</v>
      </c>
      <c r="D1137" s="80">
        <v>43325.646053240744</v>
      </c>
      <c r="E1137" s="81">
        <f t="shared" ca="1" si="8"/>
        <v>43313</v>
      </c>
      <c r="F1137" s="82">
        <f ca="1">IFERROR(__xludf.DUMMYFUNCTION("""COMPUTED_VALUE"""),0.64605324074074)</f>
        <v>0.64605324074074</v>
      </c>
      <c r="G1137" s="83">
        <f t="shared" ca="1" si="9"/>
        <v>19</v>
      </c>
      <c r="H1137" s="83">
        <f ca="1">IFERROR(__xludf.DUMMYFUNCTION("""COMPUTED_VALUE"""),30)</f>
        <v>30</v>
      </c>
      <c r="I1137" s="83">
        <f ca="1">IFERROR(__xludf.DUMMYFUNCTION("""COMPUTED_VALUE"""),19)</f>
        <v>19</v>
      </c>
    </row>
    <row r="1138" spans="1:9">
      <c r="A1138" s="79">
        <v>345</v>
      </c>
      <c r="B1138" s="79">
        <v>2</v>
      </c>
      <c r="C1138" s="79">
        <v>347</v>
      </c>
      <c r="D1138" s="80">
        <v>43325.656469907408</v>
      </c>
      <c r="E1138" s="81">
        <f t="shared" ca="1" si="8"/>
        <v>43313</v>
      </c>
      <c r="F1138" s="82">
        <f ca="1">IFERROR(__xludf.DUMMYFUNCTION("""COMPUTED_VALUE"""),0.656469907407407)</f>
        <v>0.65646990740740696</v>
      </c>
      <c r="G1138" s="83">
        <f t="shared" ca="1" si="9"/>
        <v>19</v>
      </c>
      <c r="H1138" s="83">
        <f ca="1">IFERROR(__xludf.DUMMYFUNCTION("""COMPUTED_VALUE"""),45)</f>
        <v>45</v>
      </c>
      <c r="I1138" s="83">
        <f ca="1">IFERROR(__xludf.DUMMYFUNCTION("""COMPUTED_VALUE"""),19)</f>
        <v>19</v>
      </c>
    </row>
    <row r="1139" spans="1:9">
      <c r="A1139" s="79">
        <v>326</v>
      </c>
      <c r="B1139" s="79">
        <v>1</v>
      </c>
      <c r="C1139" s="79">
        <v>327</v>
      </c>
      <c r="D1139" s="80">
        <v>43325.666921296295</v>
      </c>
      <c r="E1139" s="81">
        <f t="shared" ca="1" si="8"/>
        <v>43313</v>
      </c>
      <c r="F1139" s="82">
        <f ca="1">IFERROR(__xludf.DUMMYFUNCTION("""COMPUTED_VALUE"""),0.666921296296296)</f>
        <v>0.66692129629629604</v>
      </c>
      <c r="G1139" s="83">
        <f t="shared" ca="1" si="9"/>
        <v>19</v>
      </c>
      <c r="H1139" s="83">
        <f ca="1">IFERROR(__xludf.DUMMYFUNCTION("""COMPUTED_VALUE"""),0)</f>
        <v>0</v>
      </c>
      <c r="I1139" s="83">
        <f ca="1">IFERROR(__xludf.DUMMYFUNCTION("""COMPUTED_VALUE"""),22)</f>
        <v>22</v>
      </c>
    </row>
    <row r="1140" spans="1:9">
      <c r="A1140" s="79">
        <v>395</v>
      </c>
      <c r="B1140" s="79">
        <v>1</v>
      </c>
      <c r="C1140" s="79">
        <v>396</v>
      </c>
      <c r="D1140" s="80">
        <v>43325.677303240744</v>
      </c>
      <c r="E1140" s="81">
        <f t="shared" ca="1" si="8"/>
        <v>43313</v>
      </c>
      <c r="F1140" s="82">
        <f ca="1">IFERROR(__xludf.DUMMYFUNCTION("""COMPUTED_VALUE"""),0.67730324074074)</f>
        <v>0.67730324074074</v>
      </c>
      <c r="G1140" s="83">
        <f t="shared" ca="1" si="9"/>
        <v>19</v>
      </c>
      <c r="H1140" s="83">
        <f ca="1">IFERROR(__xludf.DUMMYFUNCTION("""COMPUTED_VALUE"""),15)</f>
        <v>15</v>
      </c>
      <c r="I1140" s="83">
        <f ca="1">IFERROR(__xludf.DUMMYFUNCTION("""COMPUTED_VALUE"""),19)</f>
        <v>19</v>
      </c>
    </row>
    <row r="1141" spans="1:9">
      <c r="A1141" s="79">
        <v>329</v>
      </c>
      <c r="B1141" s="79">
        <v>4</v>
      </c>
      <c r="C1141" s="79">
        <v>333</v>
      </c>
      <c r="D1141" s="80">
        <v>43325.687719907408</v>
      </c>
      <c r="E1141" s="81">
        <f t="shared" ca="1" si="8"/>
        <v>43313</v>
      </c>
      <c r="F1141" s="82">
        <f ca="1">IFERROR(__xludf.DUMMYFUNCTION("""COMPUTED_VALUE"""),0.687719907407407)</f>
        <v>0.68771990740740696</v>
      </c>
      <c r="G1141" s="83">
        <f t="shared" ca="1" si="9"/>
        <v>19</v>
      </c>
      <c r="H1141" s="83">
        <f ca="1">IFERROR(__xludf.DUMMYFUNCTION("""COMPUTED_VALUE"""),30)</f>
        <v>30</v>
      </c>
      <c r="I1141" s="83">
        <f ca="1">IFERROR(__xludf.DUMMYFUNCTION("""COMPUTED_VALUE"""),19)</f>
        <v>19</v>
      </c>
    </row>
    <row r="1142" spans="1:9">
      <c r="A1142" s="79">
        <v>350</v>
      </c>
      <c r="B1142" s="79">
        <v>5</v>
      </c>
      <c r="C1142" s="79">
        <v>355</v>
      </c>
      <c r="D1142" s="80">
        <v>43325.698136574072</v>
      </c>
      <c r="E1142" s="81">
        <f t="shared" ca="1" si="8"/>
        <v>43313</v>
      </c>
      <c r="F1142" s="82">
        <f ca="1">IFERROR(__xludf.DUMMYFUNCTION("""COMPUTED_VALUE"""),0.698136574074074)</f>
        <v>0.69813657407407403</v>
      </c>
      <c r="G1142" s="83">
        <f t="shared" ca="1" si="9"/>
        <v>19</v>
      </c>
      <c r="H1142" s="83">
        <f ca="1">IFERROR(__xludf.DUMMYFUNCTION("""COMPUTED_VALUE"""),45)</f>
        <v>45</v>
      </c>
      <c r="I1142" s="83">
        <f ca="1">IFERROR(__xludf.DUMMYFUNCTION("""COMPUTED_VALUE"""),19)</f>
        <v>19</v>
      </c>
    </row>
    <row r="1143" spans="1:9">
      <c r="A1143" s="79">
        <v>312</v>
      </c>
      <c r="B1143" s="79">
        <v>2</v>
      </c>
      <c r="C1143" s="79">
        <v>314</v>
      </c>
      <c r="D1143" s="80">
        <v>43325.708587962959</v>
      </c>
      <c r="E1143" s="81">
        <f t="shared" ca="1" si="8"/>
        <v>43313</v>
      </c>
      <c r="F1143" s="82">
        <f ca="1">IFERROR(__xludf.DUMMYFUNCTION("""COMPUTED_VALUE"""),0.708587962962963)</f>
        <v>0.708587962962963</v>
      </c>
      <c r="G1143" s="83">
        <f t="shared" ca="1" si="9"/>
        <v>19</v>
      </c>
      <c r="H1143" s="83">
        <f ca="1">IFERROR(__xludf.DUMMYFUNCTION("""COMPUTED_VALUE"""),0)</f>
        <v>0</v>
      </c>
      <c r="I1143" s="83">
        <f ca="1">IFERROR(__xludf.DUMMYFUNCTION("""COMPUTED_VALUE"""),22)</f>
        <v>22</v>
      </c>
    </row>
    <row r="1144" spans="1:9">
      <c r="A1144" s="79">
        <v>487</v>
      </c>
      <c r="B1144" s="79">
        <v>7</v>
      </c>
      <c r="C1144" s="79">
        <v>494</v>
      </c>
      <c r="D1144" s="80">
        <v>43325.718969907408</v>
      </c>
      <c r="E1144" s="81">
        <f t="shared" ca="1" si="8"/>
        <v>43313</v>
      </c>
      <c r="F1144" s="82">
        <f ca="1">IFERROR(__xludf.DUMMYFUNCTION("""COMPUTED_VALUE"""),0.718969907407407)</f>
        <v>0.71896990740740696</v>
      </c>
      <c r="G1144" s="83">
        <f t="shared" ca="1" si="9"/>
        <v>19</v>
      </c>
      <c r="H1144" s="83">
        <f ca="1">IFERROR(__xludf.DUMMYFUNCTION("""COMPUTED_VALUE"""),15)</f>
        <v>15</v>
      </c>
      <c r="I1144" s="83">
        <f ca="1">IFERROR(__xludf.DUMMYFUNCTION("""COMPUTED_VALUE"""),19)</f>
        <v>19</v>
      </c>
    </row>
    <row r="1145" spans="1:9">
      <c r="A1145" s="79">
        <v>424</v>
      </c>
      <c r="B1145" s="79">
        <v>5</v>
      </c>
      <c r="C1145" s="79">
        <v>429</v>
      </c>
      <c r="D1145" s="80">
        <v>43325.729375000003</v>
      </c>
      <c r="E1145" s="81">
        <f t="shared" ca="1" si="8"/>
        <v>43313</v>
      </c>
      <c r="F1145" s="82">
        <f ca="1">IFERROR(__xludf.DUMMYFUNCTION("""COMPUTED_VALUE"""),0.729375)</f>
        <v>0.729375</v>
      </c>
      <c r="G1145" s="83">
        <f t="shared" ca="1" si="9"/>
        <v>19</v>
      </c>
      <c r="H1145" s="83">
        <f ca="1">IFERROR(__xludf.DUMMYFUNCTION("""COMPUTED_VALUE"""),30)</f>
        <v>30</v>
      </c>
      <c r="I1145" s="83">
        <f ca="1">IFERROR(__xludf.DUMMYFUNCTION("""COMPUTED_VALUE"""),18)</f>
        <v>18</v>
      </c>
    </row>
    <row r="1146" spans="1:9">
      <c r="A1146" s="79">
        <v>428</v>
      </c>
      <c r="B1146" s="79">
        <v>6</v>
      </c>
      <c r="C1146" s="79">
        <v>434</v>
      </c>
      <c r="D1146" s="80">
        <v>43325.739803240744</v>
      </c>
      <c r="E1146" s="81">
        <f t="shared" ca="1" si="8"/>
        <v>43313</v>
      </c>
      <c r="F1146" s="82">
        <f ca="1">IFERROR(__xludf.DUMMYFUNCTION("""COMPUTED_VALUE"""),0.73980324074074)</f>
        <v>0.73980324074074</v>
      </c>
      <c r="G1146" s="83">
        <f t="shared" ca="1" si="9"/>
        <v>19</v>
      </c>
      <c r="H1146" s="83">
        <f ca="1">IFERROR(__xludf.DUMMYFUNCTION("""COMPUTED_VALUE"""),45)</f>
        <v>45</v>
      </c>
      <c r="I1146" s="83">
        <f ca="1">IFERROR(__xludf.DUMMYFUNCTION("""COMPUTED_VALUE"""),19)</f>
        <v>19</v>
      </c>
    </row>
    <row r="1147" spans="1:9">
      <c r="A1147" s="79">
        <v>345</v>
      </c>
      <c r="B1147" s="79">
        <v>5</v>
      </c>
      <c r="C1147" s="79">
        <v>348</v>
      </c>
      <c r="D1147" s="80">
        <v>43325.750243055554</v>
      </c>
      <c r="E1147" s="81">
        <f t="shared" ca="1" si="8"/>
        <v>43313</v>
      </c>
      <c r="F1147" s="82">
        <f ca="1">IFERROR(__xludf.DUMMYFUNCTION("""COMPUTED_VALUE"""),0.750243055555555)</f>
        <v>0.75024305555555504</v>
      </c>
      <c r="G1147" s="83">
        <f t="shared" ca="1" si="9"/>
        <v>19</v>
      </c>
      <c r="H1147" s="83">
        <f ca="1">IFERROR(__xludf.DUMMYFUNCTION("""COMPUTED_VALUE"""),0)</f>
        <v>0</v>
      </c>
      <c r="I1147" s="83">
        <f ca="1">IFERROR(__xludf.DUMMYFUNCTION("""COMPUTED_VALUE"""),21)</f>
        <v>21</v>
      </c>
    </row>
    <row r="1148" spans="1:9">
      <c r="A1148" s="79">
        <v>398</v>
      </c>
      <c r="B1148" s="79">
        <v>12</v>
      </c>
      <c r="C1148" s="79">
        <v>410</v>
      </c>
      <c r="D1148" s="80">
        <v>43325.760636574072</v>
      </c>
      <c r="E1148" s="81">
        <f t="shared" ca="1" si="8"/>
        <v>43313</v>
      </c>
      <c r="F1148" s="82">
        <f ca="1">IFERROR(__xludf.DUMMYFUNCTION("""COMPUTED_VALUE"""),0.760636574074074)</f>
        <v>0.76063657407407403</v>
      </c>
      <c r="G1148" s="83">
        <f t="shared" ca="1" si="9"/>
        <v>19</v>
      </c>
      <c r="H1148" s="83">
        <f ca="1">IFERROR(__xludf.DUMMYFUNCTION("""COMPUTED_VALUE"""),15)</f>
        <v>15</v>
      </c>
      <c r="I1148" s="83">
        <f ca="1">IFERROR(__xludf.DUMMYFUNCTION("""COMPUTED_VALUE"""),19)</f>
        <v>19</v>
      </c>
    </row>
    <row r="1149" spans="1:9">
      <c r="A1149" s="79">
        <v>401</v>
      </c>
      <c r="B1149" s="79">
        <v>5</v>
      </c>
      <c r="C1149" s="79">
        <v>406</v>
      </c>
      <c r="D1149" s="80">
        <v>43325.771053240744</v>
      </c>
      <c r="E1149" s="81">
        <f t="shared" ca="1" si="8"/>
        <v>43313</v>
      </c>
      <c r="F1149" s="82">
        <f ca="1">IFERROR(__xludf.DUMMYFUNCTION("""COMPUTED_VALUE"""),0.77105324074074)</f>
        <v>0.77105324074074</v>
      </c>
      <c r="G1149" s="83">
        <f t="shared" ca="1" si="9"/>
        <v>19</v>
      </c>
      <c r="H1149" s="83">
        <f ca="1">IFERROR(__xludf.DUMMYFUNCTION("""COMPUTED_VALUE"""),30)</f>
        <v>30</v>
      </c>
      <c r="I1149" s="83">
        <f ca="1">IFERROR(__xludf.DUMMYFUNCTION("""COMPUTED_VALUE"""),19)</f>
        <v>19</v>
      </c>
    </row>
    <row r="1150" spans="1:9">
      <c r="A1150" s="79">
        <v>382</v>
      </c>
      <c r="B1150" s="79">
        <v>4</v>
      </c>
      <c r="C1150" s="79">
        <v>386</v>
      </c>
      <c r="D1150" s="80">
        <v>43325.781469907408</v>
      </c>
      <c r="E1150" s="81">
        <f t="shared" ca="1" si="8"/>
        <v>43313</v>
      </c>
      <c r="F1150" s="82">
        <f ca="1">IFERROR(__xludf.DUMMYFUNCTION("""COMPUTED_VALUE"""),0.781469907407407)</f>
        <v>0.78146990740740696</v>
      </c>
      <c r="G1150" s="83">
        <f t="shared" ca="1" si="9"/>
        <v>19</v>
      </c>
      <c r="H1150" s="83">
        <f ca="1">IFERROR(__xludf.DUMMYFUNCTION("""COMPUTED_VALUE"""),45)</f>
        <v>45</v>
      </c>
      <c r="I1150" s="83">
        <f ca="1">IFERROR(__xludf.DUMMYFUNCTION("""COMPUTED_VALUE"""),19)</f>
        <v>19</v>
      </c>
    </row>
    <row r="1151" spans="1:9">
      <c r="A1151" s="79">
        <v>379</v>
      </c>
      <c r="B1151" s="79">
        <v>3</v>
      </c>
      <c r="C1151" s="79">
        <v>382</v>
      </c>
      <c r="D1151" s="80">
        <v>43325.791886574072</v>
      </c>
      <c r="E1151" s="81">
        <f t="shared" ca="1" si="8"/>
        <v>43313</v>
      </c>
      <c r="F1151" s="82">
        <f ca="1">IFERROR(__xludf.DUMMYFUNCTION("""COMPUTED_VALUE"""),0.791886574074074)</f>
        <v>0.79188657407407403</v>
      </c>
      <c r="G1151" s="83">
        <f t="shared" ca="1" si="9"/>
        <v>19</v>
      </c>
      <c r="H1151" s="83">
        <f ca="1">IFERROR(__xludf.DUMMYFUNCTION("""COMPUTED_VALUE"""),0)</f>
        <v>0</v>
      </c>
      <c r="I1151" s="83">
        <f ca="1">IFERROR(__xludf.DUMMYFUNCTION("""COMPUTED_VALUE"""),19)</f>
        <v>19</v>
      </c>
    </row>
    <row r="1152" spans="1:9">
      <c r="A1152" s="79">
        <v>528</v>
      </c>
      <c r="B1152" s="79">
        <v>5</v>
      </c>
      <c r="C1152" s="79">
        <v>533</v>
      </c>
      <c r="D1152" s="80">
        <v>43325.802303240744</v>
      </c>
      <c r="E1152" s="81">
        <f t="shared" ca="1" si="8"/>
        <v>43313</v>
      </c>
      <c r="F1152" s="82">
        <f ca="1">IFERROR(__xludf.DUMMYFUNCTION("""COMPUTED_VALUE"""),0.80230324074074)</f>
        <v>0.80230324074074</v>
      </c>
      <c r="G1152" s="83">
        <f t="shared" ca="1" si="9"/>
        <v>19</v>
      </c>
      <c r="H1152" s="83">
        <f ca="1">IFERROR(__xludf.DUMMYFUNCTION("""COMPUTED_VALUE"""),15)</f>
        <v>15</v>
      </c>
      <c r="I1152" s="83">
        <f ca="1">IFERROR(__xludf.DUMMYFUNCTION("""COMPUTED_VALUE"""),19)</f>
        <v>19</v>
      </c>
    </row>
    <row r="1153" spans="1:9">
      <c r="A1153" s="79">
        <v>470</v>
      </c>
      <c r="B1153" s="79">
        <v>3</v>
      </c>
      <c r="C1153" s="79">
        <v>473</v>
      </c>
      <c r="D1153" s="80">
        <v>43325.812719907408</v>
      </c>
      <c r="E1153" s="81">
        <f t="shared" ca="1" si="8"/>
        <v>43313</v>
      </c>
      <c r="F1153" s="82">
        <f ca="1">IFERROR(__xludf.DUMMYFUNCTION("""COMPUTED_VALUE"""),0.812719907407407)</f>
        <v>0.81271990740740696</v>
      </c>
      <c r="G1153" s="83">
        <f t="shared" ca="1" si="9"/>
        <v>19</v>
      </c>
      <c r="H1153" s="83">
        <f ca="1">IFERROR(__xludf.DUMMYFUNCTION("""COMPUTED_VALUE"""),30)</f>
        <v>30</v>
      </c>
      <c r="I1153" s="83">
        <f ca="1">IFERROR(__xludf.DUMMYFUNCTION("""COMPUTED_VALUE"""),19)</f>
        <v>19</v>
      </c>
    </row>
    <row r="1154" spans="1:9">
      <c r="A1154" s="79">
        <v>532</v>
      </c>
      <c r="B1154" s="79">
        <v>6</v>
      </c>
      <c r="C1154" s="79">
        <v>538</v>
      </c>
      <c r="D1154" s="80">
        <v>43325.823136574072</v>
      </c>
      <c r="E1154" s="81">
        <f t="shared" ca="1" si="8"/>
        <v>43313</v>
      </c>
      <c r="F1154" s="82">
        <f ca="1">IFERROR(__xludf.DUMMYFUNCTION("""COMPUTED_VALUE"""),0.823136574074074)</f>
        <v>0.82313657407407403</v>
      </c>
      <c r="G1154" s="83">
        <f t="shared" ca="1" si="9"/>
        <v>19</v>
      </c>
      <c r="H1154" s="83">
        <f ca="1">IFERROR(__xludf.DUMMYFUNCTION("""COMPUTED_VALUE"""),45)</f>
        <v>45</v>
      </c>
      <c r="I1154" s="83">
        <f ca="1">IFERROR(__xludf.DUMMYFUNCTION("""COMPUTED_VALUE"""),19)</f>
        <v>19</v>
      </c>
    </row>
    <row r="1155" spans="1:9">
      <c r="A1155" s="79">
        <v>543</v>
      </c>
      <c r="B1155" s="79">
        <v>8</v>
      </c>
      <c r="C1155" s="79">
        <v>551</v>
      </c>
      <c r="D1155" s="80">
        <v>43325.833541666667</v>
      </c>
      <c r="E1155" s="81">
        <f t="shared" ca="1" si="8"/>
        <v>43313</v>
      </c>
      <c r="F1155" s="82">
        <f ca="1">IFERROR(__xludf.DUMMYFUNCTION("""COMPUTED_VALUE"""),0.833541666666666)</f>
        <v>0.83354166666666596</v>
      </c>
      <c r="G1155" s="83">
        <f t="shared" ca="1" si="9"/>
        <v>19</v>
      </c>
      <c r="H1155" s="83">
        <f ca="1">IFERROR(__xludf.DUMMYFUNCTION("""COMPUTED_VALUE"""),0)</f>
        <v>0</v>
      </c>
      <c r="I1155" s="83">
        <f ca="1">IFERROR(__xludf.DUMMYFUNCTION("""COMPUTED_VALUE"""),18)</f>
        <v>18</v>
      </c>
    </row>
    <row r="1156" spans="1:9">
      <c r="A1156" s="79">
        <v>696</v>
      </c>
      <c r="B1156" s="79">
        <v>10</v>
      </c>
      <c r="C1156" s="79">
        <v>706</v>
      </c>
      <c r="D1156" s="80">
        <v>43325.843969907408</v>
      </c>
      <c r="E1156" s="81">
        <f t="shared" ca="1" si="8"/>
        <v>43313</v>
      </c>
      <c r="F1156" s="82">
        <f ca="1">IFERROR(__xludf.DUMMYFUNCTION("""COMPUTED_VALUE"""),0.843969907407407)</f>
        <v>0.84396990740740696</v>
      </c>
      <c r="G1156" s="83">
        <f t="shared" ca="1" si="9"/>
        <v>19</v>
      </c>
      <c r="H1156" s="83">
        <f ca="1">IFERROR(__xludf.DUMMYFUNCTION("""COMPUTED_VALUE"""),15)</f>
        <v>15</v>
      </c>
      <c r="I1156" s="83">
        <f ca="1">IFERROR(__xludf.DUMMYFUNCTION("""COMPUTED_VALUE"""),19)</f>
        <v>19</v>
      </c>
    </row>
    <row r="1157" spans="1:9">
      <c r="A1157" s="79">
        <v>673</v>
      </c>
      <c r="B1157" s="79">
        <v>3</v>
      </c>
      <c r="C1157" s="79">
        <v>676</v>
      </c>
      <c r="D1157" s="80">
        <v>43325.854375000003</v>
      </c>
      <c r="E1157" s="81">
        <f t="shared" ca="1" si="8"/>
        <v>43313</v>
      </c>
      <c r="F1157" s="82">
        <f ca="1">IFERROR(__xludf.DUMMYFUNCTION("""COMPUTED_VALUE"""),0.854375)</f>
        <v>0.854375</v>
      </c>
      <c r="G1157" s="83">
        <f t="shared" ca="1" si="9"/>
        <v>19</v>
      </c>
      <c r="H1157" s="83">
        <f ca="1">IFERROR(__xludf.DUMMYFUNCTION("""COMPUTED_VALUE"""),30)</f>
        <v>30</v>
      </c>
      <c r="I1157" s="83">
        <f ca="1">IFERROR(__xludf.DUMMYFUNCTION("""COMPUTED_VALUE"""),18)</f>
        <v>18</v>
      </c>
    </row>
    <row r="1158" spans="1:9">
      <c r="A1158" s="79">
        <v>608</v>
      </c>
      <c r="B1158" s="79">
        <v>4</v>
      </c>
      <c r="C1158" s="79">
        <v>612</v>
      </c>
      <c r="D1158" s="80">
        <v>43325.864803240744</v>
      </c>
      <c r="E1158" s="81">
        <f t="shared" ca="1" si="8"/>
        <v>43313</v>
      </c>
      <c r="F1158" s="82">
        <f ca="1">IFERROR(__xludf.DUMMYFUNCTION("""COMPUTED_VALUE"""),0.86480324074074)</f>
        <v>0.86480324074074</v>
      </c>
      <c r="G1158" s="83">
        <f t="shared" ca="1" si="9"/>
        <v>19</v>
      </c>
      <c r="H1158" s="83">
        <f ca="1">IFERROR(__xludf.DUMMYFUNCTION("""COMPUTED_VALUE"""),45)</f>
        <v>45</v>
      </c>
      <c r="I1158" s="83">
        <f ca="1">IFERROR(__xludf.DUMMYFUNCTION("""COMPUTED_VALUE"""),19)</f>
        <v>19</v>
      </c>
    </row>
    <row r="1159" spans="1:9">
      <c r="A1159" s="79">
        <v>527</v>
      </c>
      <c r="B1159" s="79">
        <v>1</v>
      </c>
      <c r="C1159" s="79">
        <v>528</v>
      </c>
      <c r="D1159" s="80">
        <v>43325.875208333331</v>
      </c>
      <c r="E1159" s="81">
        <f t="shared" ca="1" si="8"/>
        <v>43313</v>
      </c>
      <c r="F1159" s="82">
        <f ca="1">IFERROR(__xludf.DUMMYFUNCTION("""COMPUTED_VALUE"""),0.875208333333333)</f>
        <v>0.87520833333333303</v>
      </c>
      <c r="G1159" s="83">
        <f t="shared" ca="1" si="9"/>
        <v>19</v>
      </c>
      <c r="H1159" s="83">
        <f ca="1">IFERROR(__xludf.DUMMYFUNCTION("""COMPUTED_VALUE"""),0)</f>
        <v>0</v>
      </c>
      <c r="I1159" s="83">
        <f ca="1">IFERROR(__xludf.DUMMYFUNCTION("""COMPUTED_VALUE"""),18)</f>
        <v>18</v>
      </c>
    </row>
    <row r="1160" spans="1:9">
      <c r="A1160" s="79">
        <v>595</v>
      </c>
      <c r="B1160" s="79">
        <v>4</v>
      </c>
      <c r="C1160" s="79">
        <v>599</v>
      </c>
      <c r="D1160" s="80">
        <v>43325.885636574072</v>
      </c>
      <c r="E1160" s="81">
        <f t="shared" ca="1" si="8"/>
        <v>43313</v>
      </c>
      <c r="F1160" s="82">
        <f ca="1">IFERROR(__xludf.DUMMYFUNCTION("""COMPUTED_VALUE"""),0.885636574074074)</f>
        <v>0.88563657407407403</v>
      </c>
      <c r="G1160" s="83">
        <f t="shared" ca="1" si="9"/>
        <v>19</v>
      </c>
      <c r="H1160" s="83">
        <f ca="1">IFERROR(__xludf.DUMMYFUNCTION("""COMPUTED_VALUE"""),15)</f>
        <v>15</v>
      </c>
      <c r="I1160" s="83">
        <f ca="1">IFERROR(__xludf.DUMMYFUNCTION("""COMPUTED_VALUE"""),19)</f>
        <v>19</v>
      </c>
    </row>
    <row r="1161" spans="1:9">
      <c r="A1161" s="79">
        <v>549</v>
      </c>
      <c r="B1161" s="79">
        <v>8</v>
      </c>
      <c r="C1161" s="79">
        <v>552</v>
      </c>
      <c r="D1161" s="80">
        <v>43325.896041666667</v>
      </c>
      <c r="E1161" s="81">
        <f t="shared" ca="1" si="8"/>
        <v>43313</v>
      </c>
      <c r="F1161" s="82">
        <f ca="1">IFERROR(__xludf.DUMMYFUNCTION("""COMPUTED_VALUE"""),0.896041666666666)</f>
        <v>0.89604166666666596</v>
      </c>
      <c r="G1161" s="83">
        <f t="shared" ca="1" si="9"/>
        <v>19</v>
      </c>
      <c r="H1161" s="83">
        <f ca="1">IFERROR(__xludf.DUMMYFUNCTION("""COMPUTED_VALUE"""),30)</f>
        <v>30</v>
      </c>
      <c r="I1161" s="83">
        <f ca="1">IFERROR(__xludf.DUMMYFUNCTION("""COMPUTED_VALUE"""),18)</f>
        <v>18</v>
      </c>
    </row>
    <row r="1162" spans="1:9">
      <c r="A1162" s="79">
        <v>531</v>
      </c>
      <c r="B1162" s="79">
        <v>8</v>
      </c>
      <c r="C1162" s="79">
        <v>539</v>
      </c>
      <c r="D1162" s="80">
        <v>43325.906469907408</v>
      </c>
      <c r="E1162" s="81">
        <f t="shared" ca="1" si="8"/>
        <v>43313</v>
      </c>
      <c r="F1162" s="82">
        <f ca="1">IFERROR(__xludf.DUMMYFUNCTION("""COMPUTED_VALUE"""),0.906469907407407)</f>
        <v>0.90646990740740696</v>
      </c>
      <c r="G1162" s="83">
        <f t="shared" ca="1" si="9"/>
        <v>19</v>
      </c>
      <c r="H1162" s="83">
        <f ca="1">IFERROR(__xludf.DUMMYFUNCTION("""COMPUTED_VALUE"""),45)</f>
        <v>45</v>
      </c>
      <c r="I1162" s="83">
        <f ca="1">IFERROR(__xludf.DUMMYFUNCTION("""COMPUTED_VALUE"""),19)</f>
        <v>19</v>
      </c>
    </row>
    <row r="1163" spans="1:9">
      <c r="A1163" s="79">
        <v>495</v>
      </c>
      <c r="B1163" s="79">
        <v>4</v>
      </c>
      <c r="C1163" s="79">
        <v>499</v>
      </c>
      <c r="D1163" s="80">
        <v>43325.916875000003</v>
      </c>
      <c r="E1163" s="81">
        <f t="shared" ca="1" si="8"/>
        <v>43313</v>
      </c>
      <c r="F1163" s="82">
        <f ca="1">IFERROR(__xludf.DUMMYFUNCTION("""COMPUTED_VALUE"""),0.916875)</f>
        <v>0.916875</v>
      </c>
      <c r="G1163" s="83">
        <f t="shared" ca="1" si="9"/>
        <v>19</v>
      </c>
      <c r="H1163" s="83">
        <f ca="1">IFERROR(__xludf.DUMMYFUNCTION("""COMPUTED_VALUE"""),0)</f>
        <v>0</v>
      </c>
      <c r="I1163" s="83">
        <f ca="1">IFERROR(__xludf.DUMMYFUNCTION("""COMPUTED_VALUE"""),18)</f>
        <v>18</v>
      </c>
    </row>
    <row r="1164" spans="1:9">
      <c r="A1164" s="79">
        <v>533</v>
      </c>
      <c r="B1164" s="79">
        <v>3</v>
      </c>
      <c r="C1164" s="79">
        <v>536</v>
      </c>
      <c r="D1164" s="80">
        <v>43325.927303240744</v>
      </c>
      <c r="E1164" s="81">
        <f t="shared" ca="1" si="8"/>
        <v>43313</v>
      </c>
      <c r="F1164" s="82">
        <f ca="1">IFERROR(__xludf.DUMMYFUNCTION("""COMPUTED_VALUE"""),0.92730324074074)</f>
        <v>0.92730324074074</v>
      </c>
      <c r="G1164" s="83">
        <f t="shared" ca="1" si="9"/>
        <v>19</v>
      </c>
      <c r="H1164" s="83">
        <f ca="1">IFERROR(__xludf.DUMMYFUNCTION("""COMPUTED_VALUE"""),15)</f>
        <v>15</v>
      </c>
      <c r="I1164" s="83">
        <f ca="1">IFERROR(__xludf.DUMMYFUNCTION("""COMPUTED_VALUE"""),19)</f>
        <v>19</v>
      </c>
    </row>
    <row r="1165" spans="1:9">
      <c r="A1165" s="79">
        <v>455</v>
      </c>
      <c r="B1165" s="79">
        <v>2</v>
      </c>
      <c r="C1165" s="79">
        <v>457</v>
      </c>
      <c r="D1165" s="80">
        <v>43325.937708333331</v>
      </c>
      <c r="E1165" s="81">
        <f t="shared" ca="1" si="8"/>
        <v>43313</v>
      </c>
      <c r="F1165" s="82">
        <f ca="1">IFERROR(__xludf.DUMMYFUNCTION("""COMPUTED_VALUE"""),0.937708333333333)</f>
        <v>0.93770833333333303</v>
      </c>
      <c r="G1165" s="83">
        <f t="shared" ca="1" si="9"/>
        <v>19</v>
      </c>
      <c r="H1165" s="83">
        <f ca="1">IFERROR(__xludf.DUMMYFUNCTION("""COMPUTED_VALUE"""),30)</f>
        <v>30</v>
      </c>
      <c r="I1165" s="83">
        <f ca="1">IFERROR(__xludf.DUMMYFUNCTION("""COMPUTED_VALUE"""),18)</f>
        <v>18</v>
      </c>
    </row>
    <row r="1166" spans="1:9">
      <c r="A1166" s="79">
        <v>429</v>
      </c>
      <c r="B1166" s="79">
        <v>1</v>
      </c>
      <c r="C1166" s="79">
        <v>430</v>
      </c>
      <c r="D1166" s="80">
        <v>43325.948136574072</v>
      </c>
      <c r="E1166" s="81">
        <f t="shared" ca="1" si="8"/>
        <v>43313</v>
      </c>
      <c r="F1166" s="82">
        <f ca="1">IFERROR(__xludf.DUMMYFUNCTION("""COMPUTED_VALUE"""),0.948136574074074)</f>
        <v>0.94813657407407403</v>
      </c>
      <c r="G1166" s="83">
        <f t="shared" ca="1" si="9"/>
        <v>19</v>
      </c>
      <c r="H1166" s="83">
        <f ca="1">IFERROR(__xludf.DUMMYFUNCTION("""COMPUTED_VALUE"""),45)</f>
        <v>45</v>
      </c>
      <c r="I1166" s="83">
        <f ca="1">IFERROR(__xludf.DUMMYFUNCTION("""COMPUTED_VALUE"""),19)</f>
        <v>19</v>
      </c>
    </row>
    <row r="1167" spans="1:9">
      <c r="A1167" s="79">
        <v>395</v>
      </c>
      <c r="B1167" s="79">
        <v>2</v>
      </c>
      <c r="C1167" s="79">
        <v>397</v>
      </c>
      <c r="D1167" s="80">
        <v>43325.958541666667</v>
      </c>
      <c r="E1167" s="81">
        <f t="shared" ca="1" si="8"/>
        <v>43313</v>
      </c>
      <c r="F1167" s="82">
        <f ca="1">IFERROR(__xludf.DUMMYFUNCTION("""COMPUTED_VALUE"""),0.958541666666666)</f>
        <v>0.95854166666666596</v>
      </c>
      <c r="G1167" s="83">
        <f t="shared" ca="1" si="9"/>
        <v>19</v>
      </c>
      <c r="H1167" s="83">
        <f ca="1">IFERROR(__xludf.DUMMYFUNCTION("""COMPUTED_VALUE"""),0)</f>
        <v>0</v>
      </c>
      <c r="I1167" s="83">
        <f ca="1">IFERROR(__xludf.DUMMYFUNCTION("""COMPUTED_VALUE"""),18)</f>
        <v>18</v>
      </c>
    </row>
    <row r="1168" spans="1:9">
      <c r="A1168" s="79">
        <v>402</v>
      </c>
      <c r="B1168" s="79">
        <v>6</v>
      </c>
      <c r="C1168" s="79">
        <v>408</v>
      </c>
      <c r="D1168" s="80">
        <v>43325.968969907408</v>
      </c>
      <c r="E1168" s="81">
        <f t="shared" ca="1" si="8"/>
        <v>43313</v>
      </c>
      <c r="F1168" s="82">
        <f ca="1">IFERROR(__xludf.DUMMYFUNCTION("""COMPUTED_VALUE"""),0.968969907407407)</f>
        <v>0.96896990740740696</v>
      </c>
      <c r="G1168" s="83">
        <f t="shared" ca="1" si="9"/>
        <v>19</v>
      </c>
      <c r="H1168" s="83">
        <f ca="1">IFERROR(__xludf.DUMMYFUNCTION("""COMPUTED_VALUE"""),15)</f>
        <v>15</v>
      </c>
      <c r="I1168" s="83">
        <f ca="1">IFERROR(__xludf.DUMMYFUNCTION("""COMPUTED_VALUE"""),19)</f>
        <v>19</v>
      </c>
    </row>
    <row r="1169" spans="1:9">
      <c r="A1169" s="79">
        <v>386</v>
      </c>
      <c r="B1169" s="79">
        <v>1</v>
      </c>
      <c r="C1169" s="79">
        <v>387</v>
      </c>
      <c r="D1169" s="80">
        <v>43325.979375000003</v>
      </c>
      <c r="E1169" s="81">
        <f t="shared" ca="1" si="8"/>
        <v>43313</v>
      </c>
      <c r="F1169" s="82">
        <f ca="1">IFERROR(__xludf.DUMMYFUNCTION("""COMPUTED_VALUE"""),0.979375)</f>
        <v>0.979375</v>
      </c>
      <c r="G1169" s="83">
        <f t="shared" ca="1" si="9"/>
        <v>19</v>
      </c>
      <c r="H1169" s="83">
        <f ca="1">IFERROR(__xludf.DUMMYFUNCTION("""COMPUTED_VALUE"""),30)</f>
        <v>30</v>
      </c>
      <c r="I1169" s="83">
        <f ca="1">IFERROR(__xludf.DUMMYFUNCTION("""COMPUTED_VALUE"""),18)</f>
        <v>18</v>
      </c>
    </row>
    <row r="1170" spans="1:9">
      <c r="A1170" s="79">
        <v>355</v>
      </c>
      <c r="B1170" s="79">
        <v>0</v>
      </c>
      <c r="C1170" s="79">
        <v>355</v>
      </c>
      <c r="D1170" s="80">
        <v>43325.989803240744</v>
      </c>
      <c r="E1170" s="81">
        <f t="shared" ca="1" si="8"/>
        <v>43313</v>
      </c>
      <c r="F1170" s="82">
        <f ca="1">IFERROR(__xludf.DUMMYFUNCTION("""COMPUTED_VALUE"""),0.98980324074074)</f>
        <v>0.98980324074074</v>
      </c>
      <c r="G1170" s="83">
        <f t="shared" ca="1" si="9"/>
        <v>19</v>
      </c>
      <c r="H1170" s="83">
        <f ca="1">IFERROR(__xludf.DUMMYFUNCTION("""COMPUTED_VALUE"""),45)</f>
        <v>45</v>
      </c>
      <c r="I1170" s="83">
        <f ca="1">IFERROR(__xludf.DUMMYFUNCTION("""COMPUTED_VALUE"""),19)</f>
        <v>19</v>
      </c>
    </row>
    <row r="1171" spans="1:9">
      <c r="A1171" s="79">
        <v>305</v>
      </c>
      <c r="B1171" s="79">
        <v>1</v>
      </c>
      <c r="C1171" s="79">
        <v>306</v>
      </c>
      <c r="D1171" s="80">
        <v>43326.000219907408</v>
      </c>
      <c r="E1171" s="81">
        <f t="shared" ca="1" si="8"/>
        <v>43313</v>
      </c>
      <c r="F1171" s="82">
        <f ca="1">IFERROR(__xludf.DUMMYFUNCTION("""COMPUTED_VALUE"""),0.000219907407407407)</f>
        <v>2.19907407407407E-4</v>
      </c>
      <c r="G1171" s="83">
        <f t="shared" ca="1" si="9"/>
        <v>19</v>
      </c>
      <c r="H1171" s="83">
        <f ca="1">IFERROR(__xludf.DUMMYFUNCTION("""COMPUTED_VALUE"""),0)</f>
        <v>0</v>
      </c>
      <c r="I1171" s="83">
        <f ca="1">IFERROR(__xludf.DUMMYFUNCTION("""COMPUTED_VALUE"""),19)</f>
        <v>19</v>
      </c>
    </row>
    <row r="1172" spans="1:9">
      <c r="A1172" s="79">
        <v>323</v>
      </c>
      <c r="B1172" s="79">
        <v>5</v>
      </c>
      <c r="C1172" s="79">
        <v>328</v>
      </c>
      <c r="D1172" s="80">
        <v>43326.010625000003</v>
      </c>
      <c r="E1172" s="81">
        <f t="shared" ca="1" si="8"/>
        <v>43313</v>
      </c>
      <c r="F1172" s="82">
        <f ca="1">IFERROR(__xludf.DUMMYFUNCTION("""COMPUTED_VALUE"""),0.010625)</f>
        <v>1.0625000000000001E-2</v>
      </c>
      <c r="G1172" s="83">
        <f t="shared" ca="1" si="9"/>
        <v>19</v>
      </c>
      <c r="H1172" s="83">
        <f ca="1">IFERROR(__xludf.DUMMYFUNCTION("""COMPUTED_VALUE"""),15)</f>
        <v>15</v>
      </c>
      <c r="I1172" s="83">
        <f ca="1">IFERROR(__xludf.DUMMYFUNCTION("""COMPUTED_VALUE"""),18)</f>
        <v>18</v>
      </c>
    </row>
    <row r="1173" spans="1:9">
      <c r="A1173" s="79">
        <v>290</v>
      </c>
      <c r="B1173" s="79">
        <v>1</v>
      </c>
      <c r="C1173" s="79">
        <v>291</v>
      </c>
      <c r="D1173" s="80">
        <v>43326.021041666667</v>
      </c>
      <c r="E1173" s="81">
        <f t="shared" ca="1" si="8"/>
        <v>43313</v>
      </c>
      <c r="F1173" s="82">
        <f ca="1">IFERROR(__xludf.DUMMYFUNCTION("""COMPUTED_VALUE"""),0.0210416666666666)</f>
        <v>2.1041666666666601E-2</v>
      </c>
      <c r="G1173" s="83">
        <f t="shared" ca="1" si="9"/>
        <v>19</v>
      </c>
      <c r="H1173" s="83">
        <f ca="1">IFERROR(__xludf.DUMMYFUNCTION("""COMPUTED_VALUE"""),30)</f>
        <v>30</v>
      </c>
      <c r="I1173" s="83">
        <f ca="1">IFERROR(__xludf.DUMMYFUNCTION("""COMPUTED_VALUE"""),18)</f>
        <v>18</v>
      </c>
    </row>
    <row r="1174" spans="1:9">
      <c r="A1174" s="79">
        <v>207</v>
      </c>
      <c r="B1174" s="79">
        <v>3</v>
      </c>
      <c r="C1174" s="79">
        <v>210</v>
      </c>
      <c r="D1174" s="80">
        <v>43326.031458333331</v>
      </c>
      <c r="E1174" s="81">
        <f t="shared" ca="1" si="8"/>
        <v>43313</v>
      </c>
      <c r="F1174" s="82">
        <f ca="1">IFERROR(__xludf.DUMMYFUNCTION("""COMPUTED_VALUE"""),0.0314583333333333)</f>
        <v>3.1458333333333303E-2</v>
      </c>
      <c r="G1174" s="83">
        <f t="shared" ca="1" si="9"/>
        <v>19</v>
      </c>
      <c r="H1174" s="83">
        <f ca="1">IFERROR(__xludf.DUMMYFUNCTION("""COMPUTED_VALUE"""),45)</f>
        <v>45</v>
      </c>
      <c r="I1174" s="83">
        <f ca="1">IFERROR(__xludf.DUMMYFUNCTION("""COMPUTED_VALUE"""),18)</f>
        <v>18</v>
      </c>
    </row>
    <row r="1175" spans="1:9">
      <c r="A1175" s="79">
        <v>182</v>
      </c>
      <c r="B1175" s="79">
        <v>4</v>
      </c>
      <c r="C1175" s="79">
        <v>186</v>
      </c>
      <c r="D1175" s="80">
        <v>43326.041921296295</v>
      </c>
      <c r="E1175" s="81">
        <f t="shared" ca="1" si="8"/>
        <v>43313</v>
      </c>
      <c r="F1175" s="82">
        <f ca="1">IFERROR(__xludf.DUMMYFUNCTION("""COMPUTED_VALUE"""),0.0419212962962963)</f>
        <v>4.1921296296296297E-2</v>
      </c>
      <c r="G1175" s="83">
        <f t="shared" ca="1" si="9"/>
        <v>19</v>
      </c>
      <c r="H1175" s="83">
        <f ca="1">IFERROR(__xludf.DUMMYFUNCTION("""COMPUTED_VALUE"""),0)</f>
        <v>0</v>
      </c>
      <c r="I1175" s="83">
        <f ca="1">IFERROR(__xludf.DUMMYFUNCTION("""COMPUTED_VALUE"""),22)</f>
        <v>22</v>
      </c>
    </row>
    <row r="1176" spans="1:9">
      <c r="A1176" s="79">
        <v>218</v>
      </c>
      <c r="B1176" s="79">
        <v>1</v>
      </c>
      <c r="C1176" s="79">
        <v>211</v>
      </c>
      <c r="D1176" s="80">
        <v>43326.052291666667</v>
      </c>
      <c r="E1176" s="81">
        <f t="shared" ca="1" si="8"/>
        <v>43313</v>
      </c>
      <c r="F1176" s="82">
        <f ca="1">IFERROR(__xludf.DUMMYFUNCTION("""COMPUTED_VALUE"""),0.0522916666666666)</f>
        <v>5.2291666666666597E-2</v>
      </c>
      <c r="G1176" s="83">
        <f t="shared" ca="1" si="9"/>
        <v>19</v>
      </c>
      <c r="H1176" s="83">
        <f ca="1">IFERROR(__xludf.DUMMYFUNCTION("""COMPUTED_VALUE"""),15)</f>
        <v>15</v>
      </c>
      <c r="I1176" s="83">
        <f ca="1">IFERROR(__xludf.DUMMYFUNCTION("""COMPUTED_VALUE"""),18)</f>
        <v>18</v>
      </c>
    </row>
    <row r="1177" spans="1:9">
      <c r="A1177" s="79">
        <v>199</v>
      </c>
      <c r="B1177" s="79">
        <v>5</v>
      </c>
      <c r="C1177" s="79">
        <v>204</v>
      </c>
      <c r="D1177" s="80">
        <v>43326.062708333331</v>
      </c>
      <c r="E1177" s="81">
        <f t="shared" ca="1" si="8"/>
        <v>43313</v>
      </c>
      <c r="F1177" s="82">
        <f ca="1">IFERROR(__xludf.DUMMYFUNCTION("""COMPUTED_VALUE"""),0.0627083333333333)</f>
        <v>6.2708333333333297E-2</v>
      </c>
      <c r="G1177" s="83">
        <f t="shared" ca="1" si="9"/>
        <v>19</v>
      </c>
      <c r="H1177" s="83">
        <f ca="1">IFERROR(__xludf.DUMMYFUNCTION("""COMPUTED_VALUE"""),30)</f>
        <v>30</v>
      </c>
      <c r="I1177" s="83">
        <f ca="1">IFERROR(__xludf.DUMMYFUNCTION("""COMPUTED_VALUE"""),18)</f>
        <v>18</v>
      </c>
    </row>
    <row r="1178" spans="1:9">
      <c r="A1178" s="79">
        <v>175</v>
      </c>
      <c r="B1178" s="79">
        <v>2</v>
      </c>
      <c r="C1178" s="79">
        <v>177</v>
      </c>
      <c r="D1178" s="80">
        <v>43326.073136574072</v>
      </c>
      <c r="E1178" s="81">
        <f t="shared" ca="1" si="8"/>
        <v>43313</v>
      </c>
      <c r="F1178" s="82">
        <f ca="1">IFERROR(__xludf.DUMMYFUNCTION("""COMPUTED_VALUE"""),0.073136574074074)</f>
        <v>7.3136574074074007E-2</v>
      </c>
      <c r="G1178" s="83">
        <f t="shared" ca="1" si="9"/>
        <v>19</v>
      </c>
      <c r="H1178" s="83">
        <f ca="1">IFERROR(__xludf.DUMMYFUNCTION("""COMPUTED_VALUE"""),45)</f>
        <v>45</v>
      </c>
      <c r="I1178" s="83">
        <f ca="1">IFERROR(__xludf.DUMMYFUNCTION("""COMPUTED_VALUE"""),19)</f>
        <v>19</v>
      </c>
    </row>
    <row r="1179" spans="1:9">
      <c r="A1179" s="79">
        <v>167</v>
      </c>
      <c r="B1179" s="79">
        <v>3</v>
      </c>
      <c r="C1179" s="79">
        <v>170</v>
      </c>
      <c r="D1179" s="80">
        <v>43326.083541666667</v>
      </c>
      <c r="E1179" s="81">
        <f t="shared" ca="1" si="8"/>
        <v>43313</v>
      </c>
      <c r="F1179" s="82">
        <f ca="1">IFERROR(__xludf.DUMMYFUNCTION("""COMPUTED_VALUE"""),0.0835416666666666)</f>
        <v>8.3541666666666597E-2</v>
      </c>
      <c r="G1179" s="83">
        <f t="shared" ca="1" si="9"/>
        <v>19</v>
      </c>
      <c r="H1179" s="83">
        <f ca="1">IFERROR(__xludf.DUMMYFUNCTION("""COMPUTED_VALUE"""),0)</f>
        <v>0</v>
      </c>
      <c r="I1179" s="83">
        <f ca="1">IFERROR(__xludf.DUMMYFUNCTION("""COMPUTED_VALUE"""),18)</f>
        <v>18</v>
      </c>
    </row>
    <row r="1180" spans="1:9">
      <c r="A1180" s="79">
        <v>196</v>
      </c>
      <c r="B1180" s="79">
        <v>0</v>
      </c>
      <c r="C1180" s="79">
        <v>196</v>
      </c>
      <c r="D1180" s="80">
        <v>43326.093958333331</v>
      </c>
      <c r="E1180" s="81">
        <f t="shared" ca="1" si="8"/>
        <v>43313</v>
      </c>
      <c r="F1180" s="82">
        <f ca="1">IFERROR(__xludf.DUMMYFUNCTION("""COMPUTED_VALUE"""),0.0939583333333333)</f>
        <v>9.3958333333333297E-2</v>
      </c>
      <c r="G1180" s="83">
        <f t="shared" ca="1" si="9"/>
        <v>19</v>
      </c>
      <c r="H1180" s="83">
        <f ca="1">IFERROR(__xludf.DUMMYFUNCTION("""COMPUTED_VALUE"""),15)</f>
        <v>15</v>
      </c>
      <c r="I1180" s="83">
        <f ca="1">IFERROR(__xludf.DUMMYFUNCTION("""COMPUTED_VALUE"""),18)</f>
        <v>18</v>
      </c>
    </row>
    <row r="1181" spans="1:9">
      <c r="A1181" s="79">
        <v>156</v>
      </c>
      <c r="B1181" s="79">
        <v>3</v>
      </c>
      <c r="C1181" s="79">
        <v>159</v>
      </c>
      <c r="D1181" s="80">
        <v>43326.104386574072</v>
      </c>
      <c r="E1181" s="81">
        <f t="shared" ca="1" si="8"/>
        <v>43313</v>
      </c>
      <c r="F1181" s="82">
        <f ca="1">IFERROR(__xludf.DUMMYFUNCTION("""COMPUTED_VALUE"""),0.104386574074074)</f>
        <v>0.10438657407407401</v>
      </c>
      <c r="G1181" s="83">
        <f t="shared" ca="1" si="9"/>
        <v>19</v>
      </c>
      <c r="H1181" s="83">
        <f ca="1">IFERROR(__xludf.DUMMYFUNCTION("""COMPUTED_VALUE"""),30)</f>
        <v>30</v>
      </c>
      <c r="I1181" s="83">
        <f ca="1">IFERROR(__xludf.DUMMYFUNCTION("""COMPUTED_VALUE"""),19)</f>
        <v>19</v>
      </c>
    </row>
    <row r="1182" spans="1:9">
      <c r="A1182" s="79">
        <v>142</v>
      </c>
      <c r="B1182" s="79">
        <v>1</v>
      </c>
      <c r="C1182" s="79">
        <v>143</v>
      </c>
      <c r="D1182" s="80">
        <v>43326.114791666667</v>
      </c>
      <c r="E1182" s="81">
        <f t="shared" ca="1" si="8"/>
        <v>43313</v>
      </c>
      <c r="F1182" s="82">
        <f ca="1">IFERROR(__xludf.DUMMYFUNCTION("""COMPUTED_VALUE"""),0.114791666666666)</f>
        <v>0.114791666666666</v>
      </c>
      <c r="G1182" s="83">
        <f t="shared" ca="1" si="9"/>
        <v>19</v>
      </c>
      <c r="H1182" s="83">
        <f ca="1">IFERROR(__xludf.DUMMYFUNCTION("""COMPUTED_VALUE"""),45)</f>
        <v>45</v>
      </c>
      <c r="I1182" s="83">
        <f ca="1">IFERROR(__xludf.DUMMYFUNCTION("""COMPUTED_VALUE"""),18)</f>
        <v>18</v>
      </c>
    </row>
    <row r="1183" spans="1:9">
      <c r="A1183" s="79">
        <v>169</v>
      </c>
      <c r="B1183" s="79">
        <v>1</v>
      </c>
      <c r="C1183" s="79">
        <v>170</v>
      </c>
      <c r="D1183" s="80">
        <v>43326.125219907408</v>
      </c>
      <c r="E1183" s="81">
        <f t="shared" ca="1" si="8"/>
        <v>43313</v>
      </c>
      <c r="F1183" s="82">
        <f ca="1">IFERROR(__xludf.DUMMYFUNCTION("""COMPUTED_VALUE"""),0.125219907407407)</f>
        <v>0.12521990740740699</v>
      </c>
      <c r="G1183" s="83">
        <f t="shared" ca="1" si="9"/>
        <v>19</v>
      </c>
      <c r="H1183" s="83">
        <f ca="1">IFERROR(__xludf.DUMMYFUNCTION("""COMPUTED_VALUE"""),0)</f>
        <v>0</v>
      </c>
      <c r="I1183" s="83">
        <f ca="1">IFERROR(__xludf.DUMMYFUNCTION("""COMPUTED_VALUE"""),19)</f>
        <v>19</v>
      </c>
    </row>
    <row r="1184" spans="1:9">
      <c r="A1184" s="79">
        <v>127</v>
      </c>
      <c r="B1184" s="79">
        <v>2</v>
      </c>
      <c r="C1184" s="79">
        <v>129</v>
      </c>
      <c r="D1184" s="80">
        <v>43326.135625000003</v>
      </c>
      <c r="E1184" s="81">
        <f t="shared" ca="1" si="8"/>
        <v>43313</v>
      </c>
      <c r="F1184" s="82">
        <f ca="1">IFERROR(__xludf.DUMMYFUNCTION("""COMPUTED_VALUE"""),0.135625)</f>
        <v>0.135625</v>
      </c>
      <c r="G1184" s="83">
        <f t="shared" ca="1" si="9"/>
        <v>19</v>
      </c>
      <c r="H1184" s="83">
        <f ca="1">IFERROR(__xludf.DUMMYFUNCTION("""COMPUTED_VALUE"""),15)</f>
        <v>15</v>
      </c>
      <c r="I1184" s="83">
        <f ca="1">IFERROR(__xludf.DUMMYFUNCTION("""COMPUTED_VALUE"""),18)</f>
        <v>18</v>
      </c>
    </row>
    <row r="1185" spans="1:9">
      <c r="A1185" s="79">
        <v>114</v>
      </c>
      <c r="B1185" s="79">
        <v>0</v>
      </c>
      <c r="C1185" s="79">
        <v>114</v>
      </c>
      <c r="D1185" s="80">
        <v>43326.146041666667</v>
      </c>
      <c r="E1185" s="81">
        <f t="shared" ca="1" si="8"/>
        <v>43313</v>
      </c>
      <c r="F1185" s="82">
        <f ca="1">IFERROR(__xludf.DUMMYFUNCTION("""COMPUTED_VALUE"""),0.146041666666666)</f>
        <v>0.14604166666666599</v>
      </c>
      <c r="G1185" s="83">
        <f t="shared" ca="1" si="9"/>
        <v>19</v>
      </c>
      <c r="H1185" s="83">
        <f ca="1">IFERROR(__xludf.DUMMYFUNCTION("""COMPUTED_VALUE"""),30)</f>
        <v>30</v>
      </c>
      <c r="I1185" s="83">
        <f ca="1">IFERROR(__xludf.DUMMYFUNCTION("""COMPUTED_VALUE"""),18)</f>
        <v>18</v>
      </c>
    </row>
    <row r="1186" spans="1:9">
      <c r="A1186" s="79">
        <v>104</v>
      </c>
      <c r="B1186" s="79">
        <v>1</v>
      </c>
      <c r="C1186" s="79">
        <v>95</v>
      </c>
      <c r="D1186" s="80">
        <v>43326.156458333331</v>
      </c>
      <c r="E1186" s="81">
        <f t="shared" ca="1" si="8"/>
        <v>43313</v>
      </c>
      <c r="F1186" s="82">
        <f ca="1">IFERROR(__xludf.DUMMYFUNCTION("""COMPUTED_VALUE"""),0.156458333333333)</f>
        <v>0.15645833333333301</v>
      </c>
      <c r="G1186" s="83">
        <f t="shared" ca="1" si="9"/>
        <v>19</v>
      </c>
      <c r="H1186" s="83">
        <f ca="1">IFERROR(__xludf.DUMMYFUNCTION("""COMPUTED_VALUE"""),45)</f>
        <v>45</v>
      </c>
      <c r="I1186" s="83">
        <f ca="1">IFERROR(__xludf.DUMMYFUNCTION("""COMPUTED_VALUE"""),18)</f>
        <v>18</v>
      </c>
    </row>
    <row r="1187" spans="1:9">
      <c r="A1187" s="79">
        <v>116</v>
      </c>
      <c r="B1187" s="79">
        <v>0</v>
      </c>
      <c r="C1187" s="79">
        <v>116</v>
      </c>
      <c r="D1187" s="80">
        <v>43326.166875000003</v>
      </c>
      <c r="E1187" s="81">
        <f t="shared" ca="1" si="8"/>
        <v>43313</v>
      </c>
      <c r="F1187" s="82">
        <f ca="1">IFERROR(__xludf.DUMMYFUNCTION("""COMPUTED_VALUE"""),0.166875)</f>
        <v>0.166875</v>
      </c>
      <c r="G1187" s="83">
        <f t="shared" ca="1" si="9"/>
        <v>19</v>
      </c>
      <c r="H1187" s="83">
        <f ca="1">IFERROR(__xludf.DUMMYFUNCTION("""COMPUTED_VALUE"""),0)</f>
        <v>0</v>
      </c>
      <c r="I1187" s="83">
        <f ca="1">IFERROR(__xludf.DUMMYFUNCTION("""COMPUTED_VALUE"""),18)</f>
        <v>18</v>
      </c>
    </row>
    <row r="1188" spans="1:9">
      <c r="A1188" s="79">
        <v>38</v>
      </c>
      <c r="B1188" s="79">
        <v>0</v>
      </c>
      <c r="C1188" s="79">
        <v>38</v>
      </c>
      <c r="D1188" s="80">
        <v>43326.177291666667</v>
      </c>
      <c r="E1188" s="81">
        <f t="shared" ca="1" si="8"/>
        <v>43313</v>
      </c>
      <c r="F1188" s="82">
        <f ca="1">IFERROR(__xludf.DUMMYFUNCTION("""COMPUTED_VALUE"""),0.177291666666666)</f>
        <v>0.17729166666666599</v>
      </c>
      <c r="G1188" s="83">
        <f t="shared" ca="1" si="9"/>
        <v>19</v>
      </c>
      <c r="H1188" s="83">
        <f ca="1">IFERROR(__xludf.DUMMYFUNCTION("""COMPUTED_VALUE"""),15)</f>
        <v>15</v>
      </c>
      <c r="I1188" s="83">
        <f ca="1">IFERROR(__xludf.DUMMYFUNCTION("""COMPUTED_VALUE"""),18)</f>
        <v>18</v>
      </c>
    </row>
    <row r="1189" spans="1:9">
      <c r="A1189" s="79">
        <v>15</v>
      </c>
      <c r="B1189" s="79">
        <v>0</v>
      </c>
      <c r="C1189" s="79">
        <v>15</v>
      </c>
      <c r="D1189" s="80">
        <v>43326.187708333331</v>
      </c>
      <c r="E1189" s="81">
        <f t="shared" ca="1" si="8"/>
        <v>43313</v>
      </c>
      <c r="F1189" s="82">
        <f ca="1">IFERROR(__xludf.DUMMYFUNCTION("""COMPUTED_VALUE"""),0.187708333333333)</f>
        <v>0.18770833333333301</v>
      </c>
      <c r="G1189" s="83">
        <f t="shared" ca="1" si="9"/>
        <v>19</v>
      </c>
      <c r="H1189" s="83">
        <f ca="1">IFERROR(__xludf.DUMMYFUNCTION("""COMPUTED_VALUE"""),30)</f>
        <v>30</v>
      </c>
      <c r="I1189" s="83">
        <f ca="1">IFERROR(__xludf.DUMMYFUNCTION("""COMPUTED_VALUE"""),18)</f>
        <v>18</v>
      </c>
    </row>
    <row r="1190" spans="1:9">
      <c r="A1190" s="79">
        <v>14</v>
      </c>
      <c r="B1190" s="79">
        <v>0</v>
      </c>
      <c r="C1190" s="79">
        <v>14</v>
      </c>
      <c r="D1190" s="80">
        <v>43326.198125000003</v>
      </c>
      <c r="E1190" s="81">
        <f t="shared" ca="1" si="8"/>
        <v>43313</v>
      </c>
      <c r="F1190" s="82">
        <f ca="1">IFERROR(__xludf.DUMMYFUNCTION("""COMPUTED_VALUE"""),0.198125)</f>
        <v>0.198125</v>
      </c>
      <c r="G1190" s="83">
        <f t="shared" ca="1" si="9"/>
        <v>19</v>
      </c>
      <c r="H1190" s="83">
        <f ca="1">IFERROR(__xludf.DUMMYFUNCTION("""COMPUTED_VALUE"""),45)</f>
        <v>45</v>
      </c>
      <c r="I1190" s="83">
        <f ca="1">IFERROR(__xludf.DUMMYFUNCTION("""COMPUTED_VALUE"""),18)</f>
        <v>18</v>
      </c>
    </row>
    <row r="1191" spans="1:9">
      <c r="A1191" s="79">
        <v>12</v>
      </c>
      <c r="B1191" s="79">
        <v>0</v>
      </c>
      <c r="C1191" s="79">
        <v>12</v>
      </c>
      <c r="D1191" s="80">
        <v>43326.20853009259</v>
      </c>
      <c r="E1191" s="81">
        <f t="shared" ca="1" si="8"/>
        <v>43313</v>
      </c>
      <c r="F1191" s="82">
        <f ca="1">IFERROR(__xludf.DUMMYFUNCTION("""COMPUTED_VALUE"""),0.208530092592592)</f>
        <v>0.208530092592592</v>
      </c>
      <c r="G1191" s="83">
        <f t="shared" ca="1" si="9"/>
        <v>19</v>
      </c>
      <c r="H1191" s="83">
        <f ca="1">IFERROR(__xludf.DUMMYFUNCTION("""COMPUTED_VALUE"""),0)</f>
        <v>0</v>
      </c>
      <c r="I1191" s="83">
        <f ca="1">IFERROR(__xludf.DUMMYFUNCTION("""COMPUTED_VALUE"""),17)</f>
        <v>17</v>
      </c>
    </row>
    <row r="1192" spans="1:9">
      <c r="A1192" s="79">
        <v>10</v>
      </c>
      <c r="B1192" s="79">
        <v>0</v>
      </c>
      <c r="C1192" s="79">
        <v>10</v>
      </c>
      <c r="D1192" s="80">
        <v>43326.218958333331</v>
      </c>
      <c r="E1192" s="81">
        <f t="shared" ca="1" si="8"/>
        <v>43313</v>
      </c>
      <c r="F1192" s="82">
        <f ca="1">IFERROR(__xludf.DUMMYFUNCTION("""COMPUTED_VALUE"""),0.218958333333333)</f>
        <v>0.21895833333333301</v>
      </c>
      <c r="G1192" s="83">
        <f t="shared" ca="1" si="9"/>
        <v>19</v>
      </c>
      <c r="H1192" s="83">
        <f ca="1">IFERROR(__xludf.DUMMYFUNCTION("""COMPUTED_VALUE"""),15)</f>
        <v>15</v>
      </c>
      <c r="I1192" s="83">
        <f ca="1">IFERROR(__xludf.DUMMYFUNCTION("""COMPUTED_VALUE"""),18)</f>
        <v>18</v>
      </c>
    </row>
    <row r="1193" spans="1:9">
      <c r="A1193" s="79">
        <v>9</v>
      </c>
      <c r="B1193" s="79">
        <v>0</v>
      </c>
      <c r="C1193" s="79">
        <v>9</v>
      </c>
      <c r="D1193" s="80">
        <v>43326.229375000003</v>
      </c>
      <c r="E1193" s="81">
        <f t="shared" ca="1" si="8"/>
        <v>43313</v>
      </c>
      <c r="F1193" s="82">
        <f ca="1">IFERROR(__xludf.DUMMYFUNCTION("""COMPUTED_VALUE"""),0.229375)</f>
        <v>0.229375</v>
      </c>
      <c r="G1193" s="83">
        <f t="shared" ca="1" si="9"/>
        <v>19</v>
      </c>
      <c r="H1193" s="83">
        <f ca="1">IFERROR(__xludf.DUMMYFUNCTION("""COMPUTED_VALUE"""),30)</f>
        <v>30</v>
      </c>
      <c r="I1193" s="83">
        <f ca="1">IFERROR(__xludf.DUMMYFUNCTION("""COMPUTED_VALUE"""),18)</f>
        <v>18</v>
      </c>
    </row>
    <row r="1194" spans="1:9">
      <c r="A1194" s="79">
        <v>8</v>
      </c>
      <c r="B1194" s="79">
        <v>0</v>
      </c>
      <c r="C1194" s="79">
        <v>8</v>
      </c>
      <c r="D1194" s="80">
        <v>43326.239791666667</v>
      </c>
      <c r="E1194" s="81">
        <f t="shared" ca="1" si="8"/>
        <v>43313</v>
      </c>
      <c r="F1194" s="82">
        <f ca="1">IFERROR(__xludf.DUMMYFUNCTION("""COMPUTED_VALUE"""),0.239791666666666)</f>
        <v>0.23979166666666599</v>
      </c>
      <c r="G1194" s="83">
        <f t="shared" ca="1" si="9"/>
        <v>19</v>
      </c>
      <c r="H1194" s="83">
        <f ca="1">IFERROR(__xludf.DUMMYFUNCTION("""COMPUTED_VALUE"""),45)</f>
        <v>45</v>
      </c>
      <c r="I1194" s="83">
        <f ca="1">IFERROR(__xludf.DUMMYFUNCTION("""COMPUTED_VALUE"""),18)</f>
        <v>18</v>
      </c>
    </row>
    <row r="1195" spans="1:9">
      <c r="A1195" s="79">
        <v>8</v>
      </c>
      <c r="B1195" s="79">
        <v>0</v>
      </c>
      <c r="C1195" s="79">
        <v>8</v>
      </c>
      <c r="D1195" s="80">
        <v>43326.250219907408</v>
      </c>
      <c r="E1195" s="81">
        <f t="shared" ca="1" si="8"/>
        <v>43313</v>
      </c>
      <c r="F1195" s="82">
        <f ca="1">IFERROR(__xludf.DUMMYFUNCTION("""COMPUTED_VALUE"""),0.250219907407407)</f>
        <v>0.25021990740740702</v>
      </c>
      <c r="G1195" s="83">
        <f t="shared" ca="1" si="9"/>
        <v>19</v>
      </c>
      <c r="H1195" s="83">
        <f ca="1">IFERROR(__xludf.DUMMYFUNCTION("""COMPUTED_VALUE"""),0)</f>
        <v>0</v>
      </c>
      <c r="I1195" s="83">
        <f ca="1">IFERROR(__xludf.DUMMYFUNCTION("""COMPUTED_VALUE"""),19)</f>
        <v>19</v>
      </c>
    </row>
    <row r="1196" spans="1:9">
      <c r="A1196" s="79">
        <v>11</v>
      </c>
      <c r="B1196" s="79">
        <v>0</v>
      </c>
      <c r="C1196" s="79">
        <v>8</v>
      </c>
      <c r="D1196" s="80">
        <v>43326.260625000003</v>
      </c>
      <c r="E1196" s="81">
        <f t="shared" ca="1" si="8"/>
        <v>43313</v>
      </c>
      <c r="F1196" s="82">
        <f ca="1">IFERROR(__xludf.DUMMYFUNCTION("""COMPUTED_VALUE"""),0.260625)</f>
        <v>0.260625</v>
      </c>
      <c r="G1196" s="83">
        <f t="shared" ca="1" si="9"/>
        <v>19</v>
      </c>
      <c r="H1196" s="83">
        <f ca="1">IFERROR(__xludf.DUMMYFUNCTION("""COMPUTED_VALUE"""),15)</f>
        <v>15</v>
      </c>
      <c r="I1196" s="83">
        <f ca="1">IFERROR(__xludf.DUMMYFUNCTION("""COMPUTED_VALUE"""),18)</f>
        <v>18</v>
      </c>
    </row>
    <row r="1197" spans="1:9">
      <c r="A1197" s="79">
        <v>7</v>
      </c>
      <c r="B1197" s="79">
        <v>0</v>
      </c>
      <c r="C1197" s="79">
        <v>7</v>
      </c>
      <c r="D1197" s="80">
        <v>43326.27375</v>
      </c>
      <c r="E1197" s="81">
        <f t="shared" ca="1" si="8"/>
        <v>43313</v>
      </c>
      <c r="F1197" s="82">
        <f ca="1">IFERROR(__xludf.DUMMYFUNCTION("""COMPUTED_VALUE"""),0.27375)</f>
        <v>0.27374999999999999</v>
      </c>
      <c r="G1197" s="83">
        <f t="shared" ca="1" si="9"/>
        <v>19</v>
      </c>
      <c r="H1197" s="83">
        <f ca="1">IFERROR(__xludf.DUMMYFUNCTION("""COMPUTED_VALUE"""),34)</f>
        <v>34</v>
      </c>
      <c r="I1197" s="83">
        <f ca="1">IFERROR(__xludf.DUMMYFUNCTION("""COMPUTED_VALUE"""),12)</f>
        <v>12</v>
      </c>
    </row>
    <row r="1198" spans="1:9">
      <c r="A1198" s="79">
        <v>7</v>
      </c>
      <c r="B1198" s="79">
        <v>0</v>
      </c>
      <c r="C1198" s="79">
        <v>7</v>
      </c>
      <c r="D1198" s="80">
        <v>43326.281458333331</v>
      </c>
      <c r="E1198" s="81">
        <f t="shared" ca="1" si="8"/>
        <v>43313</v>
      </c>
      <c r="F1198" s="82">
        <f ca="1">IFERROR(__xludf.DUMMYFUNCTION("""COMPUTED_VALUE"""),0.281458333333333)</f>
        <v>0.28145833333333298</v>
      </c>
      <c r="G1198" s="83">
        <f t="shared" ca="1" si="9"/>
        <v>19</v>
      </c>
      <c r="H1198" s="83">
        <f ca="1">IFERROR(__xludf.DUMMYFUNCTION("""COMPUTED_VALUE"""),45)</f>
        <v>45</v>
      </c>
      <c r="I1198" s="83">
        <f ca="1">IFERROR(__xludf.DUMMYFUNCTION("""COMPUTED_VALUE"""),18)</f>
        <v>18</v>
      </c>
    </row>
    <row r="1199" spans="1:9">
      <c r="A1199" s="79">
        <v>10</v>
      </c>
      <c r="B1199" s="79">
        <v>0</v>
      </c>
      <c r="C1199" s="79">
        <v>10</v>
      </c>
      <c r="D1199" s="80">
        <v>43326.291875000003</v>
      </c>
      <c r="E1199" s="81">
        <f t="shared" ca="1" si="8"/>
        <v>43313</v>
      </c>
      <c r="F1199" s="82">
        <f ca="1">IFERROR(__xludf.DUMMYFUNCTION("""COMPUTED_VALUE"""),0.291875)</f>
        <v>0.291875</v>
      </c>
      <c r="G1199" s="83">
        <f t="shared" ca="1" si="9"/>
        <v>19</v>
      </c>
      <c r="H1199" s="83">
        <f ca="1">IFERROR(__xludf.DUMMYFUNCTION("""COMPUTED_VALUE"""),0)</f>
        <v>0</v>
      </c>
      <c r="I1199" s="83">
        <f ca="1">IFERROR(__xludf.DUMMYFUNCTION("""COMPUTED_VALUE"""),18)</f>
        <v>18</v>
      </c>
    </row>
    <row r="1200" spans="1:9">
      <c r="A1200" s="79">
        <v>43</v>
      </c>
      <c r="B1200" s="79">
        <v>0</v>
      </c>
      <c r="C1200" s="79">
        <v>43</v>
      </c>
      <c r="D1200" s="80">
        <v>43326.302303240744</v>
      </c>
      <c r="E1200" s="81">
        <f t="shared" ca="1" si="8"/>
        <v>43313</v>
      </c>
      <c r="F1200" s="82">
        <f ca="1">IFERROR(__xludf.DUMMYFUNCTION("""COMPUTED_VALUE"""),0.30230324074074)</f>
        <v>0.30230324074074</v>
      </c>
      <c r="G1200" s="83">
        <f t="shared" ca="1" si="9"/>
        <v>19</v>
      </c>
      <c r="H1200" s="83">
        <f ca="1">IFERROR(__xludf.DUMMYFUNCTION("""COMPUTED_VALUE"""),15)</f>
        <v>15</v>
      </c>
      <c r="I1200" s="83">
        <f ca="1">IFERROR(__xludf.DUMMYFUNCTION("""COMPUTED_VALUE"""),19)</f>
        <v>19</v>
      </c>
    </row>
    <row r="1201" spans="1:9">
      <c r="A1201" s="79">
        <v>27</v>
      </c>
      <c r="B1201" s="79">
        <v>0</v>
      </c>
      <c r="C1201" s="79">
        <v>27</v>
      </c>
      <c r="D1201" s="80">
        <v>43326.312731481485</v>
      </c>
      <c r="E1201" s="81">
        <f t="shared" ca="1" si="8"/>
        <v>43313</v>
      </c>
      <c r="F1201" s="82">
        <f ca="1">IFERROR(__xludf.DUMMYFUNCTION("""COMPUTED_VALUE"""),0.312731481481481)</f>
        <v>0.312731481481481</v>
      </c>
      <c r="G1201" s="83">
        <f t="shared" ca="1" si="9"/>
        <v>19</v>
      </c>
      <c r="H1201" s="83">
        <f ca="1">IFERROR(__xludf.DUMMYFUNCTION("""COMPUTED_VALUE"""),30)</f>
        <v>30</v>
      </c>
      <c r="I1201" s="83">
        <f ca="1">IFERROR(__xludf.DUMMYFUNCTION("""COMPUTED_VALUE"""),20)</f>
        <v>20</v>
      </c>
    </row>
    <row r="1202" spans="1:9">
      <c r="A1202" s="79">
        <v>32</v>
      </c>
      <c r="B1202" s="79">
        <v>0</v>
      </c>
      <c r="C1202" s="79">
        <v>32</v>
      </c>
      <c r="D1202" s="80">
        <v>43326.323136574072</v>
      </c>
      <c r="E1202" s="81">
        <f t="shared" ca="1" si="8"/>
        <v>43313</v>
      </c>
      <c r="F1202" s="82">
        <f ca="1">IFERROR(__xludf.DUMMYFUNCTION("""COMPUTED_VALUE"""),0.323136574074074)</f>
        <v>0.32313657407407398</v>
      </c>
      <c r="G1202" s="83">
        <f t="shared" ca="1" si="9"/>
        <v>19</v>
      </c>
      <c r="H1202" s="83">
        <f ca="1">IFERROR(__xludf.DUMMYFUNCTION("""COMPUTED_VALUE"""),45)</f>
        <v>45</v>
      </c>
      <c r="I1202" s="83">
        <f ca="1">IFERROR(__xludf.DUMMYFUNCTION("""COMPUTED_VALUE"""),19)</f>
        <v>19</v>
      </c>
    </row>
    <row r="1203" spans="1:9">
      <c r="A1203" s="79">
        <v>47</v>
      </c>
      <c r="B1203" s="79">
        <v>0</v>
      </c>
      <c r="C1203" s="79">
        <v>47</v>
      </c>
      <c r="D1203" s="80">
        <v>43326.333599537036</v>
      </c>
      <c r="E1203" s="81">
        <f t="shared" ca="1" si="8"/>
        <v>43313</v>
      </c>
      <c r="F1203" s="82">
        <f ca="1">IFERROR(__xludf.DUMMYFUNCTION("""COMPUTED_VALUE"""),0.333599537037037)</f>
        <v>0.33359953703703699</v>
      </c>
      <c r="G1203" s="83">
        <f t="shared" ca="1" si="9"/>
        <v>19</v>
      </c>
      <c r="H1203" s="83">
        <f ca="1">IFERROR(__xludf.DUMMYFUNCTION("""COMPUTED_VALUE"""),0)</f>
        <v>0</v>
      </c>
      <c r="I1203" s="83">
        <f ca="1">IFERROR(__xludf.DUMMYFUNCTION("""COMPUTED_VALUE"""),23)</f>
        <v>23</v>
      </c>
    </row>
    <row r="1204" spans="1:9">
      <c r="A1204" s="79">
        <v>65</v>
      </c>
      <c r="B1204" s="79">
        <v>0</v>
      </c>
      <c r="C1204" s="79">
        <v>65</v>
      </c>
      <c r="D1204" s="80">
        <v>43326.343969907408</v>
      </c>
      <c r="E1204" s="81">
        <f t="shared" ca="1" si="8"/>
        <v>43313</v>
      </c>
      <c r="F1204" s="82">
        <f ca="1">IFERROR(__xludf.DUMMYFUNCTION("""COMPUTED_VALUE"""),0.343969907407407)</f>
        <v>0.34396990740740702</v>
      </c>
      <c r="G1204" s="83">
        <f t="shared" ca="1" si="9"/>
        <v>19</v>
      </c>
      <c r="H1204" s="83">
        <f ca="1">IFERROR(__xludf.DUMMYFUNCTION("""COMPUTED_VALUE"""),15)</f>
        <v>15</v>
      </c>
      <c r="I1204" s="83">
        <f ca="1">IFERROR(__xludf.DUMMYFUNCTION("""COMPUTED_VALUE"""),19)</f>
        <v>19</v>
      </c>
    </row>
    <row r="1205" spans="1:9">
      <c r="A1205" s="79">
        <v>97</v>
      </c>
      <c r="B1205" s="79">
        <v>1</v>
      </c>
      <c r="C1205" s="79">
        <v>94</v>
      </c>
      <c r="D1205" s="80">
        <v>43326.354386574072</v>
      </c>
      <c r="E1205" s="81">
        <f t="shared" ca="1" si="8"/>
        <v>43313</v>
      </c>
      <c r="F1205" s="82">
        <f ca="1">IFERROR(__xludf.DUMMYFUNCTION("""COMPUTED_VALUE"""),0.354386574074074)</f>
        <v>0.35438657407407398</v>
      </c>
      <c r="G1205" s="83">
        <f t="shared" ca="1" si="9"/>
        <v>19</v>
      </c>
      <c r="H1205" s="83">
        <f ca="1">IFERROR(__xludf.DUMMYFUNCTION("""COMPUTED_VALUE"""),30)</f>
        <v>30</v>
      </c>
      <c r="I1205" s="83">
        <f ca="1">IFERROR(__xludf.DUMMYFUNCTION("""COMPUTED_VALUE"""),19)</f>
        <v>19</v>
      </c>
    </row>
    <row r="1206" spans="1:9">
      <c r="A1206" s="79">
        <v>143</v>
      </c>
      <c r="B1206" s="79">
        <v>1</v>
      </c>
      <c r="C1206" s="79">
        <v>144</v>
      </c>
      <c r="D1206" s="80">
        <v>43326.364814814813</v>
      </c>
      <c r="E1206" s="81">
        <f t="shared" ca="1" si="8"/>
        <v>43313</v>
      </c>
      <c r="F1206" s="82">
        <f ca="1">IFERROR(__xludf.DUMMYFUNCTION("""COMPUTED_VALUE"""),0.364814814814814)</f>
        <v>0.36481481481481398</v>
      </c>
      <c r="G1206" s="83">
        <f t="shared" ca="1" si="9"/>
        <v>19</v>
      </c>
      <c r="H1206" s="83">
        <f ca="1">IFERROR(__xludf.DUMMYFUNCTION("""COMPUTED_VALUE"""),45)</f>
        <v>45</v>
      </c>
      <c r="I1206" s="83">
        <f ca="1">IFERROR(__xludf.DUMMYFUNCTION("""COMPUTED_VALUE"""),20)</f>
        <v>20</v>
      </c>
    </row>
    <row r="1207" spans="1:9">
      <c r="A1207" s="79">
        <v>122</v>
      </c>
      <c r="B1207" s="79">
        <v>1</v>
      </c>
      <c r="C1207" s="79">
        <v>123</v>
      </c>
      <c r="D1207" s="80">
        <v>43326.375231481485</v>
      </c>
      <c r="E1207" s="81">
        <f t="shared" ca="1" si="8"/>
        <v>43313</v>
      </c>
      <c r="F1207" s="82">
        <f ca="1">IFERROR(__xludf.DUMMYFUNCTION("""COMPUTED_VALUE"""),0.375231481481481)</f>
        <v>0.375231481481481</v>
      </c>
      <c r="G1207" s="83">
        <f t="shared" ca="1" si="9"/>
        <v>19</v>
      </c>
      <c r="H1207" s="83">
        <f ca="1">IFERROR(__xludf.DUMMYFUNCTION("""COMPUTED_VALUE"""),0)</f>
        <v>0</v>
      </c>
      <c r="I1207" s="83">
        <f ca="1">IFERROR(__xludf.DUMMYFUNCTION("""COMPUTED_VALUE"""),20)</f>
        <v>20</v>
      </c>
    </row>
    <row r="1208" spans="1:9">
      <c r="A1208" s="79">
        <v>158</v>
      </c>
      <c r="B1208" s="79">
        <v>0</v>
      </c>
      <c r="C1208" s="79">
        <v>158</v>
      </c>
      <c r="D1208" s="80">
        <v>43326.385648148149</v>
      </c>
      <c r="E1208" s="81">
        <f t="shared" ca="1" si="8"/>
        <v>43313</v>
      </c>
      <c r="F1208" s="82">
        <f ca="1">IFERROR(__xludf.DUMMYFUNCTION("""COMPUTED_VALUE"""),0.385648148148148)</f>
        <v>0.38564814814814802</v>
      </c>
      <c r="G1208" s="83">
        <f t="shared" ca="1" si="9"/>
        <v>19</v>
      </c>
      <c r="H1208" s="83">
        <f ca="1">IFERROR(__xludf.DUMMYFUNCTION("""COMPUTED_VALUE"""),15)</f>
        <v>15</v>
      </c>
      <c r="I1208" s="83">
        <f ca="1">IFERROR(__xludf.DUMMYFUNCTION("""COMPUTED_VALUE"""),20)</f>
        <v>20</v>
      </c>
    </row>
    <row r="1209" spans="1:9">
      <c r="A1209" s="79">
        <v>264</v>
      </c>
      <c r="B1209" s="79">
        <v>1</v>
      </c>
      <c r="C1209" s="79">
        <v>265</v>
      </c>
      <c r="D1209" s="80">
        <v>43326.396053240744</v>
      </c>
      <c r="E1209" s="81">
        <f t="shared" ca="1" si="8"/>
        <v>43313</v>
      </c>
      <c r="F1209" s="82">
        <f ca="1">IFERROR(__xludf.DUMMYFUNCTION("""COMPUTED_VALUE"""),0.39605324074074)</f>
        <v>0.39605324074074</v>
      </c>
      <c r="G1209" s="83">
        <f t="shared" ca="1" si="9"/>
        <v>19</v>
      </c>
      <c r="H1209" s="83">
        <f ca="1">IFERROR(__xludf.DUMMYFUNCTION("""COMPUTED_VALUE"""),30)</f>
        <v>30</v>
      </c>
      <c r="I1209" s="83">
        <f ca="1">IFERROR(__xludf.DUMMYFUNCTION("""COMPUTED_VALUE"""),19)</f>
        <v>19</v>
      </c>
    </row>
    <row r="1210" spans="1:9">
      <c r="A1210" s="79">
        <v>463</v>
      </c>
      <c r="B1210" s="79">
        <v>9</v>
      </c>
      <c r="C1210" s="79">
        <v>472</v>
      </c>
      <c r="D1210" s="80">
        <v>43326.406469907408</v>
      </c>
      <c r="E1210" s="81">
        <f t="shared" ca="1" si="8"/>
        <v>43313</v>
      </c>
      <c r="F1210" s="82">
        <f ca="1">IFERROR(__xludf.DUMMYFUNCTION("""COMPUTED_VALUE"""),0.406469907407407)</f>
        <v>0.40646990740740702</v>
      </c>
      <c r="G1210" s="83">
        <f t="shared" ca="1" si="9"/>
        <v>19</v>
      </c>
      <c r="H1210" s="83">
        <f ca="1">IFERROR(__xludf.DUMMYFUNCTION("""COMPUTED_VALUE"""),45)</f>
        <v>45</v>
      </c>
      <c r="I1210" s="83">
        <f ca="1">IFERROR(__xludf.DUMMYFUNCTION("""COMPUTED_VALUE"""),19)</f>
        <v>19</v>
      </c>
    </row>
    <row r="1211" spans="1:9">
      <c r="A1211" s="79">
        <v>410</v>
      </c>
      <c r="B1211" s="79">
        <v>6</v>
      </c>
      <c r="C1211" s="79">
        <v>416</v>
      </c>
      <c r="D1211" s="80">
        <v>43326.416886574072</v>
      </c>
      <c r="E1211" s="81">
        <f t="shared" ca="1" si="8"/>
        <v>43313</v>
      </c>
      <c r="F1211" s="82">
        <f ca="1">IFERROR(__xludf.DUMMYFUNCTION("""COMPUTED_VALUE"""),0.416886574074074)</f>
        <v>0.41688657407407398</v>
      </c>
      <c r="G1211" s="83">
        <f t="shared" ca="1" si="9"/>
        <v>19</v>
      </c>
      <c r="H1211" s="83">
        <f ca="1">IFERROR(__xludf.DUMMYFUNCTION("""COMPUTED_VALUE"""),0)</f>
        <v>0</v>
      </c>
      <c r="I1211" s="83">
        <f ca="1">IFERROR(__xludf.DUMMYFUNCTION("""COMPUTED_VALUE"""),19)</f>
        <v>19</v>
      </c>
    </row>
    <row r="1212" spans="1:9">
      <c r="A1212" s="79">
        <v>362</v>
      </c>
      <c r="B1212" s="79">
        <v>5</v>
      </c>
      <c r="C1212" s="79">
        <v>367</v>
      </c>
      <c r="D1212" s="80">
        <v>43326.427314814813</v>
      </c>
      <c r="E1212" s="81">
        <f t="shared" ca="1" si="8"/>
        <v>43313</v>
      </c>
      <c r="F1212" s="82">
        <f ca="1">IFERROR(__xludf.DUMMYFUNCTION("""COMPUTED_VALUE"""),0.427314814814814)</f>
        <v>0.42731481481481398</v>
      </c>
      <c r="G1212" s="83">
        <f t="shared" ca="1" si="9"/>
        <v>19</v>
      </c>
      <c r="H1212" s="83">
        <f ca="1">IFERROR(__xludf.DUMMYFUNCTION("""COMPUTED_VALUE"""),15)</f>
        <v>15</v>
      </c>
      <c r="I1212" s="83">
        <f ca="1">IFERROR(__xludf.DUMMYFUNCTION("""COMPUTED_VALUE"""),20)</f>
        <v>20</v>
      </c>
    </row>
    <row r="1213" spans="1:9">
      <c r="A1213" s="79">
        <v>443</v>
      </c>
      <c r="B1213" s="79">
        <v>5</v>
      </c>
      <c r="C1213" s="79">
        <v>445</v>
      </c>
      <c r="D1213" s="80">
        <v>43326.437719907408</v>
      </c>
      <c r="E1213" s="81">
        <f t="shared" ca="1" si="8"/>
        <v>43313</v>
      </c>
      <c r="F1213" s="82">
        <f ca="1">IFERROR(__xludf.DUMMYFUNCTION("""COMPUTED_VALUE"""),0.437719907407407)</f>
        <v>0.43771990740740702</v>
      </c>
      <c r="G1213" s="83">
        <f t="shared" ca="1" si="9"/>
        <v>19</v>
      </c>
      <c r="H1213" s="83">
        <f ca="1">IFERROR(__xludf.DUMMYFUNCTION("""COMPUTED_VALUE"""),30)</f>
        <v>30</v>
      </c>
      <c r="I1213" s="83">
        <f ca="1">IFERROR(__xludf.DUMMYFUNCTION("""COMPUTED_VALUE"""),19)</f>
        <v>19</v>
      </c>
    </row>
    <row r="1214" spans="1:9">
      <c r="A1214" s="79">
        <v>597</v>
      </c>
      <c r="B1214" s="79">
        <v>12</v>
      </c>
      <c r="C1214" s="79">
        <v>609</v>
      </c>
      <c r="D1214" s="80">
        <v>43326.448136574072</v>
      </c>
      <c r="E1214" s="81">
        <f t="shared" ca="1" si="8"/>
        <v>43313</v>
      </c>
      <c r="F1214" s="82">
        <f ca="1">IFERROR(__xludf.DUMMYFUNCTION("""COMPUTED_VALUE"""),0.448136574074074)</f>
        <v>0.44813657407407398</v>
      </c>
      <c r="G1214" s="83">
        <f t="shared" ca="1" si="9"/>
        <v>19</v>
      </c>
      <c r="H1214" s="83">
        <f ca="1">IFERROR(__xludf.DUMMYFUNCTION("""COMPUTED_VALUE"""),45)</f>
        <v>45</v>
      </c>
      <c r="I1214" s="83">
        <f ca="1">IFERROR(__xludf.DUMMYFUNCTION("""COMPUTED_VALUE"""),19)</f>
        <v>19</v>
      </c>
    </row>
    <row r="1215" spans="1:9">
      <c r="A1215" s="79">
        <v>412</v>
      </c>
      <c r="B1215" s="79">
        <v>13</v>
      </c>
      <c r="C1215" s="79">
        <v>425</v>
      </c>
      <c r="D1215" s="80">
        <v>43326.458553240744</v>
      </c>
      <c r="E1215" s="81">
        <f t="shared" ca="1" si="8"/>
        <v>43313</v>
      </c>
      <c r="F1215" s="82">
        <f ca="1">IFERROR(__xludf.DUMMYFUNCTION("""COMPUTED_VALUE"""),0.45855324074074)</f>
        <v>0.45855324074074</v>
      </c>
      <c r="G1215" s="83">
        <f t="shared" ca="1" si="9"/>
        <v>19</v>
      </c>
      <c r="H1215" s="83">
        <f ca="1">IFERROR(__xludf.DUMMYFUNCTION("""COMPUTED_VALUE"""),0)</f>
        <v>0</v>
      </c>
      <c r="I1215" s="83">
        <f ca="1">IFERROR(__xludf.DUMMYFUNCTION("""COMPUTED_VALUE"""),19)</f>
        <v>19</v>
      </c>
    </row>
    <row r="1216" spans="1:9">
      <c r="A1216" s="79">
        <v>377</v>
      </c>
      <c r="B1216" s="79">
        <v>7</v>
      </c>
      <c r="C1216" s="79">
        <v>384</v>
      </c>
      <c r="D1216" s="80">
        <v>43326.468969907408</v>
      </c>
      <c r="E1216" s="81">
        <f t="shared" ca="1" si="8"/>
        <v>43313</v>
      </c>
      <c r="F1216" s="82">
        <f ca="1">IFERROR(__xludf.DUMMYFUNCTION("""COMPUTED_VALUE"""),0.468969907407407)</f>
        <v>0.46896990740740702</v>
      </c>
      <c r="G1216" s="83">
        <f t="shared" ca="1" si="9"/>
        <v>19</v>
      </c>
      <c r="H1216" s="83">
        <f ca="1">IFERROR(__xludf.DUMMYFUNCTION("""COMPUTED_VALUE"""),15)</f>
        <v>15</v>
      </c>
      <c r="I1216" s="83">
        <f ca="1">IFERROR(__xludf.DUMMYFUNCTION("""COMPUTED_VALUE"""),19)</f>
        <v>19</v>
      </c>
    </row>
    <row r="1217" spans="1:9">
      <c r="A1217" s="79">
        <v>385</v>
      </c>
      <c r="B1217" s="79">
        <v>6</v>
      </c>
      <c r="C1217" s="79">
        <v>391</v>
      </c>
      <c r="D1217" s="80">
        <v>43326.479386574072</v>
      </c>
      <c r="E1217" s="81">
        <f t="shared" ca="1" si="8"/>
        <v>43313</v>
      </c>
      <c r="F1217" s="82">
        <f ca="1">IFERROR(__xludf.DUMMYFUNCTION("""COMPUTED_VALUE"""),0.479386574074074)</f>
        <v>0.47938657407407398</v>
      </c>
      <c r="G1217" s="83">
        <f t="shared" ca="1" si="9"/>
        <v>19</v>
      </c>
      <c r="H1217" s="83">
        <f ca="1">IFERROR(__xludf.DUMMYFUNCTION("""COMPUTED_VALUE"""),30)</f>
        <v>30</v>
      </c>
      <c r="I1217" s="83">
        <f ca="1">IFERROR(__xludf.DUMMYFUNCTION("""COMPUTED_VALUE"""),19)</f>
        <v>19</v>
      </c>
    </row>
    <row r="1218" spans="1:9">
      <c r="A1218" s="79">
        <v>324</v>
      </c>
      <c r="B1218" s="79">
        <v>5</v>
      </c>
      <c r="C1218" s="79">
        <v>329</v>
      </c>
      <c r="D1218" s="80">
        <v>43326.489791666667</v>
      </c>
      <c r="E1218" s="81">
        <f t="shared" ca="1" si="8"/>
        <v>43313</v>
      </c>
      <c r="F1218" s="82">
        <f ca="1">IFERROR(__xludf.DUMMYFUNCTION("""COMPUTED_VALUE"""),0.489791666666666)</f>
        <v>0.48979166666666601</v>
      </c>
      <c r="G1218" s="83">
        <f t="shared" ca="1" si="9"/>
        <v>19</v>
      </c>
      <c r="H1218" s="83">
        <f ca="1">IFERROR(__xludf.DUMMYFUNCTION("""COMPUTED_VALUE"""),45)</f>
        <v>45</v>
      </c>
      <c r="I1218" s="83">
        <f ca="1">IFERROR(__xludf.DUMMYFUNCTION("""COMPUTED_VALUE"""),18)</f>
        <v>18</v>
      </c>
    </row>
    <row r="1219" spans="1:9">
      <c r="A1219" s="79">
        <v>249</v>
      </c>
      <c r="B1219" s="79">
        <v>4</v>
      </c>
      <c r="C1219" s="79">
        <v>253</v>
      </c>
      <c r="D1219" s="80">
        <v>43326.500254629631</v>
      </c>
      <c r="E1219" s="81">
        <f t="shared" ca="1" si="8"/>
        <v>43313</v>
      </c>
      <c r="F1219" s="82">
        <f ca="1">IFERROR(__xludf.DUMMYFUNCTION("""COMPUTED_VALUE"""),0.500254629629629)</f>
        <v>0.50025462962962897</v>
      </c>
      <c r="G1219" s="83">
        <f t="shared" ca="1" si="9"/>
        <v>19</v>
      </c>
      <c r="H1219" s="83">
        <f ca="1">IFERROR(__xludf.DUMMYFUNCTION("""COMPUTED_VALUE"""),0)</f>
        <v>0</v>
      </c>
      <c r="I1219" s="83">
        <f ca="1">IFERROR(__xludf.DUMMYFUNCTION("""COMPUTED_VALUE"""),22)</f>
        <v>22</v>
      </c>
    </row>
    <row r="1220" spans="1:9">
      <c r="A1220" s="79">
        <v>262</v>
      </c>
      <c r="B1220" s="79">
        <v>7</v>
      </c>
      <c r="C1220" s="79">
        <v>269</v>
      </c>
      <c r="D1220" s="80">
        <v>43326.510636574072</v>
      </c>
      <c r="E1220" s="81">
        <f t="shared" ca="1" si="8"/>
        <v>43313</v>
      </c>
      <c r="F1220" s="82">
        <f ca="1">IFERROR(__xludf.DUMMYFUNCTION("""COMPUTED_VALUE"""),0.510636574074074)</f>
        <v>0.51063657407407403</v>
      </c>
      <c r="G1220" s="83">
        <f t="shared" ca="1" si="9"/>
        <v>19</v>
      </c>
      <c r="H1220" s="83">
        <f ca="1">IFERROR(__xludf.DUMMYFUNCTION("""COMPUTED_VALUE"""),15)</f>
        <v>15</v>
      </c>
      <c r="I1220" s="83">
        <f ca="1">IFERROR(__xludf.DUMMYFUNCTION("""COMPUTED_VALUE"""),19)</f>
        <v>19</v>
      </c>
    </row>
    <row r="1221" spans="1:9">
      <c r="A1221" s="79">
        <v>267</v>
      </c>
      <c r="B1221" s="79">
        <v>8</v>
      </c>
      <c r="C1221" s="79">
        <v>275</v>
      </c>
      <c r="D1221" s="80">
        <v>43326.521053240744</v>
      </c>
      <c r="E1221" s="81">
        <f t="shared" ca="1" si="8"/>
        <v>43313</v>
      </c>
      <c r="F1221" s="82">
        <f ca="1">IFERROR(__xludf.DUMMYFUNCTION("""COMPUTED_VALUE"""),0.52105324074074)</f>
        <v>0.52105324074074</v>
      </c>
      <c r="G1221" s="83">
        <f t="shared" ca="1" si="9"/>
        <v>19</v>
      </c>
      <c r="H1221" s="83">
        <f ca="1">IFERROR(__xludf.DUMMYFUNCTION("""COMPUTED_VALUE"""),30)</f>
        <v>30</v>
      </c>
      <c r="I1221" s="83">
        <f ca="1">IFERROR(__xludf.DUMMYFUNCTION("""COMPUTED_VALUE"""),19)</f>
        <v>19</v>
      </c>
    </row>
    <row r="1222" spans="1:9">
      <c r="A1222" s="79">
        <v>295</v>
      </c>
      <c r="B1222" s="79">
        <v>4</v>
      </c>
      <c r="C1222" s="79">
        <v>299</v>
      </c>
      <c r="D1222" s="80">
        <v>43326.531469907408</v>
      </c>
      <c r="E1222" s="81">
        <f t="shared" ca="1" si="8"/>
        <v>43313</v>
      </c>
      <c r="F1222" s="82">
        <f ca="1">IFERROR(__xludf.DUMMYFUNCTION("""COMPUTED_VALUE"""),0.531469907407407)</f>
        <v>0.53146990740740696</v>
      </c>
      <c r="G1222" s="83">
        <f t="shared" ca="1" si="9"/>
        <v>19</v>
      </c>
      <c r="H1222" s="83">
        <f ca="1">IFERROR(__xludf.DUMMYFUNCTION("""COMPUTED_VALUE"""),45)</f>
        <v>45</v>
      </c>
      <c r="I1222" s="83">
        <f ca="1">IFERROR(__xludf.DUMMYFUNCTION("""COMPUTED_VALUE"""),19)</f>
        <v>19</v>
      </c>
    </row>
    <row r="1223" spans="1:9">
      <c r="A1223" s="79">
        <v>248</v>
      </c>
      <c r="B1223" s="79">
        <v>3</v>
      </c>
      <c r="C1223" s="79">
        <v>251</v>
      </c>
      <c r="D1223" s="80">
        <v>43326.541921296295</v>
      </c>
      <c r="E1223" s="81">
        <f t="shared" ca="1" si="8"/>
        <v>43313</v>
      </c>
      <c r="F1223" s="82">
        <f ca="1">IFERROR(__xludf.DUMMYFUNCTION("""COMPUTED_VALUE"""),0.541921296296296)</f>
        <v>0.54192129629629604</v>
      </c>
      <c r="G1223" s="83">
        <f t="shared" ca="1" si="9"/>
        <v>19</v>
      </c>
      <c r="H1223" s="83">
        <f ca="1">IFERROR(__xludf.DUMMYFUNCTION("""COMPUTED_VALUE"""),0)</f>
        <v>0</v>
      </c>
      <c r="I1223" s="83">
        <f ca="1">IFERROR(__xludf.DUMMYFUNCTION("""COMPUTED_VALUE"""),22)</f>
        <v>22</v>
      </c>
    </row>
    <row r="1224" spans="1:9">
      <c r="A1224" s="79">
        <v>267</v>
      </c>
      <c r="B1224" s="79">
        <v>3</v>
      </c>
      <c r="C1224" s="79">
        <v>270</v>
      </c>
      <c r="D1224" s="80">
        <v>43326.552303240744</v>
      </c>
      <c r="E1224" s="81">
        <f t="shared" ca="1" si="8"/>
        <v>43313</v>
      </c>
      <c r="F1224" s="82">
        <f ca="1">IFERROR(__xludf.DUMMYFUNCTION("""COMPUTED_VALUE"""),0.55230324074074)</f>
        <v>0.55230324074074</v>
      </c>
      <c r="G1224" s="83">
        <f t="shared" ca="1" si="9"/>
        <v>19</v>
      </c>
      <c r="H1224" s="83">
        <f ca="1">IFERROR(__xludf.DUMMYFUNCTION("""COMPUTED_VALUE"""),15)</f>
        <v>15</v>
      </c>
      <c r="I1224" s="83">
        <f ca="1">IFERROR(__xludf.DUMMYFUNCTION("""COMPUTED_VALUE"""),19)</f>
        <v>19</v>
      </c>
    </row>
    <row r="1225" spans="1:9">
      <c r="A1225" s="79">
        <v>277</v>
      </c>
      <c r="B1225" s="79">
        <v>5</v>
      </c>
      <c r="C1225" s="79">
        <v>282</v>
      </c>
      <c r="D1225" s="80">
        <v>43326.562719907408</v>
      </c>
      <c r="E1225" s="81">
        <f t="shared" ca="1" si="8"/>
        <v>43313</v>
      </c>
      <c r="F1225" s="82">
        <f ca="1">IFERROR(__xludf.DUMMYFUNCTION("""COMPUTED_VALUE"""),0.562719907407407)</f>
        <v>0.56271990740740696</v>
      </c>
      <c r="G1225" s="83">
        <f t="shared" ca="1" si="9"/>
        <v>19</v>
      </c>
      <c r="H1225" s="83">
        <f ca="1">IFERROR(__xludf.DUMMYFUNCTION("""COMPUTED_VALUE"""),30)</f>
        <v>30</v>
      </c>
      <c r="I1225" s="83">
        <f ca="1">IFERROR(__xludf.DUMMYFUNCTION("""COMPUTED_VALUE"""),19)</f>
        <v>19</v>
      </c>
    </row>
    <row r="1226" spans="1:9">
      <c r="A1226" s="79">
        <v>300</v>
      </c>
      <c r="B1226" s="79">
        <v>0</v>
      </c>
      <c r="C1226" s="79">
        <v>300</v>
      </c>
      <c r="D1226" s="80">
        <v>43326.573136574072</v>
      </c>
      <c r="E1226" s="81">
        <f t="shared" ca="1" si="8"/>
        <v>43313</v>
      </c>
      <c r="F1226" s="82">
        <f ca="1">IFERROR(__xludf.DUMMYFUNCTION("""COMPUTED_VALUE"""),0.573136574074074)</f>
        <v>0.57313657407407403</v>
      </c>
      <c r="G1226" s="83">
        <f t="shared" ca="1" si="9"/>
        <v>19</v>
      </c>
      <c r="H1226" s="83">
        <f ca="1">IFERROR(__xludf.DUMMYFUNCTION("""COMPUTED_VALUE"""),45)</f>
        <v>45</v>
      </c>
      <c r="I1226" s="83">
        <f ca="1">IFERROR(__xludf.DUMMYFUNCTION("""COMPUTED_VALUE"""),19)</f>
        <v>19</v>
      </c>
    </row>
    <row r="1227" spans="1:9">
      <c r="A1227" s="79">
        <v>300</v>
      </c>
      <c r="B1227" s="79">
        <v>1</v>
      </c>
      <c r="C1227" s="79">
        <v>301</v>
      </c>
      <c r="D1227" s="80">
        <v>43326.583553240744</v>
      </c>
      <c r="E1227" s="81">
        <f t="shared" ca="1" si="8"/>
        <v>43313</v>
      </c>
      <c r="F1227" s="82">
        <f ca="1">IFERROR(__xludf.DUMMYFUNCTION("""COMPUTED_VALUE"""),0.58355324074074)</f>
        <v>0.58355324074074</v>
      </c>
      <c r="G1227" s="83">
        <f t="shared" ca="1" si="9"/>
        <v>19</v>
      </c>
      <c r="H1227" s="83">
        <f ca="1">IFERROR(__xludf.DUMMYFUNCTION("""COMPUTED_VALUE"""),0)</f>
        <v>0</v>
      </c>
      <c r="I1227" s="83">
        <f ca="1">IFERROR(__xludf.DUMMYFUNCTION("""COMPUTED_VALUE"""),19)</f>
        <v>19</v>
      </c>
    </row>
    <row r="1228" spans="1:9">
      <c r="A1228" s="79">
        <v>294</v>
      </c>
      <c r="B1228" s="79">
        <v>1</v>
      </c>
      <c r="C1228" s="79">
        <v>295</v>
      </c>
      <c r="D1228" s="80">
        <v>43326.593969907408</v>
      </c>
      <c r="E1228" s="81">
        <f t="shared" ca="1" si="8"/>
        <v>43313</v>
      </c>
      <c r="F1228" s="82">
        <f ca="1">IFERROR(__xludf.DUMMYFUNCTION("""COMPUTED_VALUE"""),0.593969907407407)</f>
        <v>0.59396990740740696</v>
      </c>
      <c r="G1228" s="83">
        <f t="shared" ca="1" si="9"/>
        <v>19</v>
      </c>
      <c r="H1228" s="83">
        <f ca="1">IFERROR(__xludf.DUMMYFUNCTION("""COMPUTED_VALUE"""),15)</f>
        <v>15</v>
      </c>
      <c r="I1228" s="83">
        <f ca="1">IFERROR(__xludf.DUMMYFUNCTION("""COMPUTED_VALUE"""),19)</f>
        <v>19</v>
      </c>
    </row>
    <row r="1229" spans="1:9">
      <c r="A1229" s="79">
        <v>275</v>
      </c>
      <c r="B1229" s="79">
        <v>1</v>
      </c>
      <c r="C1229" s="79">
        <v>276</v>
      </c>
      <c r="D1229" s="80">
        <v>43326.604375000003</v>
      </c>
      <c r="E1229" s="81">
        <f t="shared" ca="1" si="8"/>
        <v>43313</v>
      </c>
      <c r="F1229" s="82">
        <f ca="1">IFERROR(__xludf.DUMMYFUNCTION("""COMPUTED_VALUE"""),0.604375)</f>
        <v>0.604375</v>
      </c>
      <c r="G1229" s="83">
        <f t="shared" ca="1" si="9"/>
        <v>19</v>
      </c>
      <c r="H1229" s="83">
        <f ca="1">IFERROR(__xludf.DUMMYFUNCTION("""COMPUTED_VALUE"""),30)</f>
        <v>30</v>
      </c>
      <c r="I1229" s="83">
        <f ca="1">IFERROR(__xludf.DUMMYFUNCTION("""COMPUTED_VALUE"""),18)</f>
        <v>18</v>
      </c>
    </row>
    <row r="1230" spans="1:9">
      <c r="A1230" s="79">
        <v>318</v>
      </c>
      <c r="B1230" s="79">
        <v>2</v>
      </c>
      <c r="C1230" s="79">
        <v>320</v>
      </c>
      <c r="D1230" s="80">
        <v>43326.614803240744</v>
      </c>
      <c r="E1230" s="81">
        <f t="shared" ca="1" si="8"/>
        <v>43313</v>
      </c>
      <c r="F1230" s="82">
        <f ca="1">IFERROR(__xludf.DUMMYFUNCTION("""COMPUTED_VALUE"""),0.61480324074074)</f>
        <v>0.61480324074074</v>
      </c>
      <c r="G1230" s="83">
        <f t="shared" ca="1" si="9"/>
        <v>19</v>
      </c>
      <c r="H1230" s="83">
        <f ca="1">IFERROR(__xludf.DUMMYFUNCTION("""COMPUTED_VALUE"""),45)</f>
        <v>45</v>
      </c>
      <c r="I1230" s="83">
        <f ca="1">IFERROR(__xludf.DUMMYFUNCTION("""COMPUTED_VALUE"""),19)</f>
        <v>19</v>
      </c>
    </row>
    <row r="1231" spans="1:9">
      <c r="A1231" s="79">
        <v>297</v>
      </c>
      <c r="B1231" s="79">
        <v>0</v>
      </c>
      <c r="C1231" s="79">
        <v>297</v>
      </c>
      <c r="D1231" s="80">
        <v>43326.625208333331</v>
      </c>
      <c r="E1231" s="81">
        <f t="shared" ca="1" si="8"/>
        <v>43313</v>
      </c>
      <c r="F1231" s="82">
        <f ca="1">IFERROR(__xludf.DUMMYFUNCTION("""COMPUTED_VALUE"""),0.625208333333333)</f>
        <v>0.62520833333333303</v>
      </c>
      <c r="G1231" s="83">
        <f t="shared" ca="1" si="9"/>
        <v>19</v>
      </c>
      <c r="H1231" s="83">
        <f ca="1">IFERROR(__xludf.DUMMYFUNCTION("""COMPUTED_VALUE"""),0)</f>
        <v>0</v>
      </c>
      <c r="I1231" s="83">
        <f ca="1">IFERROR(__xludf.DUMMYFUNCTION("""COMPUTED_VALUE"""),18)</f>
        <v>18</v>
      </c>
    </row>
    <row r="1232" spans="1:9">
      <c r="A1232" s="79">
        <v>294</v>
      </c>
      <c r="B1232" s="79">
        <v>2</v>
      </c>
      <c r="C1232" s="79">
        <v>296</v>
      </c>
      <c r="D1232" s="80">
        <v>43326.635636574072</v>
      </c>
      <c r="E1232" s="81">
        <f t="shared" ca="1" si="8"/>
        <v>43313</v>
      </c>
      <c r="F1232" s="82">
        <f ca="1">IFERROR(__xludf.DUMMYFUNCTION("""COMPUTED_VALUE"""),0.635636574074074)</f>
        <v>0.63563657407407403</v>
      </c>
      <c r="G1232" s="83">
        <f t="shared" ca="1" si="9"/>
        <v>19</v>
      </c>
      <c r="H1232" s="83">
        <f ca="1">IFERROR(__xludf.DUMMYFUNCTION("""COMPUTED_VALUE"""),15)</f>
        <v>15</v>
      </c>
      <c r="I1232" s="83">
        <f ca="1">IFERROR(__xludf.DUMMYFUNCTION("""COMPUTED_VALUE"""),19)</f>
        <v>19</v>
      </c>
    </row>
    <row r="1233" spans="1:9">
      <c r="A1233" s="79">
        <v>341</v>
      </c>
      <c r="B1233" s="79">
        <v>1</v>
      </c>
      <c r="C1233" s="79">
        <v>342</v>
      </c>
      <c r="D1233" s="80">
        <v>43326.646041666667</v>
      </c>
      <c r="E1233" s="81">
        <f t="shared" ca="1" si="8"/>
        <v>43313</v>
      </c>
      <c r="F1233" s="82">
        <f ca="1">IFERROR(__xludf.DUMMYFUNCTION("""COMPUTED_VALUE"""),0.646041666666666)</f>
        <v>0.64604166666666596</v>
      </c>
      <c r="G1233" s="83">
        <f t="shared" ca="1" si="9"/>
        <v>19</v>
      </c>
      <c r="H1233" s="83">
        <f ca="1">IFERROR(__xludf.DUMMYFUNCTION("""COMPUTED_VALUE"""),30)</f>
        <v>30</v>
      </c>
      <c r="I1233" s="83">
        <f ca="1">IFERROR(__xludf.DUMMYFUNCTION("""COMPUTED_VALUE"""),18)</f>
        <v>18</v>
      </c>
    </row>
    <row r="1234" spans="1:9">
      <c r="A1234" s="79">
        <v>360</v>
      </c>
      <c r="B1234" s="79">
        <v>1</v>
      </c>
      <c r="C1234" s="79">
        <v>361</v>
      </c>
      <c r="D1234" s="80">
        <v>43326.656469907408</v>
      </c>
      <c r="E1234" s="81">
        <f t="shared" ca="1" si="8"/>
        <v>43313</v>
      </c>
      <c r="F1234" s="82">
        <f ca="1">IFERROR(__xludf.DUMMYFUNCTION("""COMPUTED_VALUE"""),0.656469907407407)</f>
        <v>0.65646990740740696</v>
      </c>
      <c r="G1234" s="83">
        <f t="shared" ca="1" si="9"/>
        <v>19</v>
      </c>
      <c r="H1234" s="83">
        <f ca="1">IFERROR(__xludf.DUMMYFUNCTION("""COMPUTED_VALUE"""),45)</f>
        <v>45</v>
      </c>
      <c r="I1234" s="83">
        <f ca="1">IFERROR(__xludf.DUMMYFUNCTION("""COMPUTED_VALUE"""),19)</f>
        <v>19</v>
      </c>
    </row>
    <row r="1235" spans="1:9">
      <c r="A1235" s="79">
        <v>328</v>
      </c>
      <c r="B1235" s="79">
        <v>2</v>
      </c>
      <c r="C1235" s="79">
        <v>330</v>
      </c>
      <c r="D1235" s="80">
        <v>43326.666875000003</v>
      </c>
      <c r="E1235" s="81">
        <f t="shared" ca="1" si="8"/>
        <v>43313</v>
      </c>
      <c r="F1235" s="82">
        <f ca="1">IFERROR(__xludf.DUMMYFUNCTION("""COMPUTED_VALUE"""),0.666875)</f>
        <v>0.666875</v>
      </c>
      <c r="G1235" s="83">
        <f t="shared" ca="1" si="9"/>
        <v>19</v>
      </c>
      <c r="H1235" s="83">
        <f ca="1">IFERROR(__xludf.DUMMYFUNCTION("""COMPUTED_VALUE"""),0)</f>
        <v>0</v>
      </c>
      <c r="I1235" s="83">
        <f ca="1">IFERROR(__xludf.DUMMYFUNCTION("""COMPUTED_VALUE"""),18)</f>
        <v>18</v>
      </c>
    </row>
    <row r="1236" spans="1:9">
      <c r="A1236" s="79">
        <v>387</v>
      </c>
      <c r="B1236" s="79">
        <v>0</v>
      </c>
      <c r="C1236" s="79">
        <v>387</v>
      </c>
      <c r="D1236" s="80">
        <v>43326.677303240744</v>
      </c>
      <c r="E1236" s="81">
        <f t="shared" ca="1" si="8"/>
        <v>43313</v>
      </c>
      <c r="F1236" s="82">
        <f ca="1">IFERROR(__xludf.DUMMYFUNCTION("""COMPUTED_VALUE"""),0.67730324074074)</f>
        <v>0.67730324074074</v>
      </c>
      <c r="G1236" s="83">
        <f t="shared" ca="1" si="9"/>
        <v>19</v>
      </c>
      <c r="H1236" s="83">
        <f ca="1">IFERROR(__xludf.DUMMYFUNCTION("""COMPUTED_VALUE"""),15)</f>
        <v>15</v>
      </c>
      <c r="I1236" s="83">
        <f ca="1">IFERROR(__xludf.DUMMYFUNCTION("""COMPUTED_VALUE"""),19)</f>
        <v>19</v>
      </c>
    </row>
    <row r="1237" spans="1:9">
      <c r="A1237" s="79">
        <v>355</v>
      </c>
      <c r="B1237" s="79">
        <v>8</v>
      </c>
      <c r="C1237" s="79">
        <v>363</v>
      </c>
      <c r="D1237" s="80">
        <v>43326.687708333331</v>
      </c>
      <c r="E1237" s="81">
        <f t="shared" ca="1" si="8"/>
        <v>43313</v>
      </c>
      <c r="F1237" s="82">
        <f ca="1">IFERROR(__xludf.DUMMYFUNCTION("""COMPUTED_VALUE"""),0.687708333333333)</f>
        <v>0.68770833333333303</v>
      </c>
      <c r="G1237" s="83">
        <f t="shared" ca="1" si="9"/>
        <v>19</v>
      </c>
      <c r="H1237" s="83">
        <f ca="1">IFERROR(__xludf.DUMMYFUNCTION("""COMPUTED_VALUE"""),30)</f>
        <v>30</v>
      </c>
      <c r="I1237" s="83">
        <f ca="1">IFERROR(__xludf.DUMMYFUNCTION("""COMPUTED_VALUE"""),18)</f>
        <v>18</v>
      </c>
    </row>
    <row r="1238" spans="1:9">
      <c r="A1238" s="79">
        <v>369</v>
      </c>
      <c r="B1238" s="79">
        <v>6</v>
      </c>
      <c r="C1238" s="79">
        <v>375</v>
      </c>
      <c r="D1238" s="80">
        <v>43326.698136574072</v>
      </c>
      <c r="E1238" s="81">
        <f t="shared" ca="1" si="8"/>
        <v>43313</v>
      </c>
      <c r="F1238" s="82">
        <f ca="1">IFERROR(__xludf.DUMMYFUNCTION("""COMPUTED_VALUE"""),0.698136574074074)</f>
        <v>0.69813657407407403</v>
      </c>
      <c r="G1238" s="83">
        <f t="shared" ca="1" si="9"/>
        <v>19</v>
      </c>
      <c r="H1238" s="83">
        <f ca="1">IFERROR(__xludf.DUMMYFUNCTION("""COMPUTED_VALUE"""),45)</f>
        <v>45</v>
      </c>
      <c r="I1238" s="83">
        <f ca="1">IFERROR(__xludf.DUMMYFUNCTION("""COMPUTED_VALUE"""),19)</f>
        <v>19</v>
      </c>
    </row>
    <row r="1239" spans="1:9">
      <c r="A1239" s="79">
        <v>355</v>
      </c>
      <c r="B1239" s="79">
        <v>3</v>
      </c>
      <c r="C1239" s="79">
        <v>358</v>
      </c>
      <c r="D1239" s="80">
        <v>43326.708541666667</v>
      </c>
      <c r="E1239" s="81">
        <f t="shared" ca="1" si="8"/>
        <v>43313</v>
      </c>
      <c r="F1239" s="82">
        <f ca="1">IFERROR(__xludf.DUMMYFUNCTION("""COMPUTED_VALUE"""),0.708541666666666)</f>
        <v>0.70854166666666596</v>
      </c>
      <c r="G1239" s="83">
        <f t="shared" ca="1" si="9"/>
        <v>19</v>
      </c>
      <c r="H1239" s="83">
        <f ca="1">IFERROR(__xludf.DUMMYFUNCTION("""COMPUTED_VALUE"""),0)</f>
        <v>0</v>
      </c>
      <c r="I1239" s="83">
        <f ca="1">IFERROR(__xludf.DUMMYFUNCTION("""COMPUTED_VALUE"""),18)</f>
        <v>18</v>
      </c>
    </row>
    <row r="1240" spans="1:9">
      <c r="A1240" s="79">
        <v>492</v>
      </c>
      <c r="B1240" s="79">
        <v>13</v>
      </c>
      <c r="C1240" s="79">
        <v>505</v>
      </c>
      <c r="D1240" s="80">
        <v>43326.718958333331</v>
      </c>
      <c r="E1240" s="81">
        <f t="shared" ca="1" si="8"/>
        <v>43313</v>
      </c>
      <c r="F1240" s="82">
        <f ca="1">IFERROR(__xludf.DUMMYFUNCTION("""COMPUTED_VALUE"""),0.718958333333333)</f>
        <v>0.71895833333333303</v>
      </c>
      <c r="G1240" s="83">
        <f t="shared" ca="1" si="9"/>
        <v>19</v>
      </c>
      <c r="H1240" s="83">
        <f ca="1">IFERROR(__xludf.DUMMYFUNCTION("""COMPUTED_VALUE"""),15)</f>
        <v>15</v>
      </c>
      <c r="I1240" s="83">
        <f ca="1">IFERROR(__xludf.DUMMYFUNCTION("""COMPUTED_VALUE"""),18)</f>
        <v>18</v>
      </c>
    </row>
    <row r="1241" spans="1:9">
      <c r="A1241" s="79">
        <v>441</v>
      </c>
      <c r="B1241" s="79">
        <v>8</v>
      </c>
      <c r="C1241" s="79">
        <v>449</v>
      </c>
      <c r="D1241" s="80">
        <v>43326.729375000003</v>
      </c>
      <c r="E1241" s="81">
        <f t="shared" ca="1" si="8"/>
        <v>43313</v>
      </c>
      <c r="F1241" s="82">
        <f ca="1">IFERROR(__xludf.DUMMYFUNCTION("""COMPUTED_VALUE"""),0.729375)</f>
        <v>0.729375</v>
      </c>
      <c r="G1241" s="83">
        <f t="shared" ca="1" si="9"/>
        <v>19</v>
      </c>
      <c r="H1241" s="83">
        <f ca="1">IFERROR(__xludf.DUMMYFUNCTION("""COMPUTED_VALUE"""),30)</f>
        <v>30</v>
      </c>
      <c r="I1241" s="83">
        <f ca="1">IFERROR(__xludf.DUMMYFUNCTION("""COMPUTED_VALUE"""),18)</f>
        <v>18</v>
      </c>
    </row>
    <row r="1242" spans="1:9">
      <c r="A1242" s="79">
        <v>411</v>
      </c>
      <c r="B1242" s="79">
        <v>3</v>
      </c>
      <c r="C1242" s="79">
        <v>414</v>
      </c>
      <c r="D1242" s="80">
        <v>43326.739791666667</v>
      </c>
      <c r="E1242" s="81">
        <f t="shared" ca="1" si="8"/>
        <v>43313</v>
      </c>
      <c r="F1242" s="82">
        <f ca="1">IFERROR(__xludf.DUMMYFUNCTION("""COMPUTED_VALUE"""),0.739791666666666)</f>
        <v>0.73979166666666596</v>
      </c>
      <c r="G1242" s="83">
        <f t="shared" ca="1" si="9"/>
        <v>19</v>
      </c>
      <c r="H1242" s="83">
        <f ca="1">IFERROR(__xludf.DUMMYFUNCTION("""COMPUTED_VALUE"""),45)</f>
        <v>45</v>
      </c>
      <c r="I1242" s="83">
        <f ca="1">IFERROR(__xludf.DUMMYFUNCTION("""COMPUTED_VALUE"""),18)</f>
        <v>18</v>
      </c>
    </row>
    <row r="1243" spans="1:9">
      <c r="A1243" s="79">
        <v>358</v>
      </c>
      <c r="B1243" s="79">
        <v>3</v>
      </c>
      <c r="C1243" s="79">
        <v>361</v>
      </c>
      <c r="D1243" s="80">
        <v>43326.750208333331</v>
      </c>
      <c r="E1243" s="81">
        <f t="shared" ca="1" si="8"/>
        <v>43313</v>
      </c>
      <c r="F1243" s="82">
        <f ca="1">IFERROR(__xludf.DUMMYFUNCTION("""COMPUTED_VALUE"""),0.750208333333333)</f>
        <v>0.75020833333333303</v>
      </c>
      <c r="G1243" s="83">
        <f t="shared" ca="1" si="9"/>
        <v>19</v>
      </c>
      <c r="H1243" s="83">
        <f ca="1">IFERROR(__xludf.DUMMYFUNCTION("""COMPUTED_VALUE"""),0)</f>
        <v>0</v>
      </c>
      <c r="I1243" s="83">
        <f ca="1">IFERROR(__xludf.DUMMYFUNCTION("""COMPUTED_VALUE"""),18)</f>
        <v>18</v>
      </c>
    </row>
    <row r="1244" spans="1:9">
      <c r="A1244" s="79">
        <v>425</v>
      </c>
      <c r="B1244" s="79">
        <v>8</v>
      </c>
      <c r="C1244" s="79">
        <v>433</v>
      </c>
      <c r="D1244" s="80">
        <v>43326.760625000003</v>
      </c>
      <c r="E1244" s="81">
        <f t="shared" ca="1" si="8"/>
        <v>43313</v>
      </c>
      <c r="F1244" s="82">
        <f ca="1">IFERROR(__xludf.DUMMYFUNCTION("""COMPUTED_VALUE"""),0.760625)</f>
        <v>0.760625</v>
      </c>
      <c r="G1244" s="83">
        <f t="shared" ca="1" si="9"/>
        <v>19</v>
      </c>
      <c r="H1244" s="83">
        <f ca="1">IFERROR(__xludf.DUMMYFUNCTION("""COMPUTED_VALUE"""),15)</f>
        <v>15</v>
      </c>
      <c r="I1244" s="83">
        <f ca="1">IFERROR(__xludf.DUMMYFUNCTION("""COMPUTED_VALUE"""),18)</f>
        <v>18</v>
      </c>
    </row>
    <row r="1245" spans="1:9">
      <c r="A1245" s="79">
        <v>455</v>
      </c>
      <c r="B1245" s="79">
        <v>2</v>
      </c>
      <c r="C1245" s="79">
        <v>457</v>
      </c>
      <c r="D1245" s="80">
        <v>43326.771041666667</v>
      </c>
      <c r="E1245" s="81">
        <f t="shared" ca="1" si="8"/>
        <v>43313</v>
      </c>
      <c r="F1245" s="82">
        <f ca="1">IFERROR(__xludf.DUMMYFUNCTION("""COMPUTED_VALUE"""),0.771041666666666)</f>
        <v>0.77104166666666596</v>
      </c>
      <c r="G1245" s="83">
        <f t="shared" ca="1" si="9"/>
        <v>19</v>
      </c>
      <c r="H1245" s="83">
        <f ca="1">IFERROR(__xludf.DUMMYFUNCTION("""COMPUTED_VALUE"""),30)</f>
        <v>30</v>
      </c>
      <c r="I1245" s="83">
        <f ca="1">IFERROR(__xludf.DUMMYFUNCTION("""COMPUTED_VALUE"""),18)</f>
        <v>18</v>
      </c>
    </row>
    <row r="1246" spans="1:9">
      <c r="A1246" s="79">
        <v>417</v>
      </c>
      <c r="B1246" s="79">
        <v>2</v>
      </c>
      <c r="C1246" s="79">
        <v>415</v>
      </c>
      <c r="D1246" s="80">
        <v>43326.781458333331</v>
      </c>
      <c r="E1246" s="81">
        <f t="shared" ca="1" si="8"/>
        <v>43313</v>
      </c>
      <c r="F1246" s="82">
        <f ca="1">IFERROR(__xludf.DUMMYFUNCTION("""COMPUTED_VALUE"""),0.781458333333333)</f>
        <v>0.78145833333333303</v>
      </c>
      <c r="G1246" s="83">
        <f t="shared" ca="1" si="9"/>
        <v>19</v>
      </c>
      <c r="H1246" s="83">
        <f ca="1">IFERROR(__xludf.DUMMYFUNCTION("""COMPUTED_VALUE"""),45)</f>
        <v>45</v>
      </c>
      <c r="I1246" s="83">
        <f ca="1">IFERROR(__xludf.DUMMYFUNCTION("""COMPUTED_VALUE"""),18)</f>
        <v>18</v>
      </c>
    </row>
    <row r="1247" spans="1:9">
      <c r="A1247" s="79">
        <v>398</v>
      </c>
      <c r="B1247" s="79">
        <v>4</v>
      </c>
      <c r="C1247" s="79">
        <v>402</v>
      </c>
      <c r="D1247" s="80">
        <v>43326.791886574072</v>
      </c>
      <c r="E1247" s="81">
        <f t="shared" ca="1" si="8"/>
        <v>43313</v>
      </c>
      <c r="F1247" s="82">
        <f ca="1">IFERROR(__xludf.DUMMYFUNCTION("""COMPUTED_VALUE"""),0.791886574074074)</f>
        <v>0.79188657407407403</v>
      </c>
      <c r="G1247" s="83">
        <f t="shared" ca="1" si="9"/>
        <v>19</v>
      </c>
      <c r="H1247" s="83">
        <f ca="1">IFERROR(__xludf.DUMMYFUNCTION("""COMPUTED_VALUE"""),0)</f>
        <v>0</v>
      </c>
      <c r="I1247" s="83">
        <f ca="1">IFERROR(__xludf.DUMMYFUNCTION("""COMPUTED_VALUE"""),19)</f>
        <v>19</v>
      </c>
    </row>
    <row r="1248" spans="1:9">
      <c r="A1248" s="79">
        <v>501</v>
      </c>
      <c r="B1248" s="79">
        <v>7</v>
      </c>
      <c r="C1248" s="79">
        <v>505</v>
      </c>
      <c r="D1248" s="80">
        <v>43326.802291666667</v>
      </c>
      <c r="E1248" s="81">
        <f t="shared" ca="1" si="8"/>
        <v>43313</v>
      </c>
      <c r="F1248" s="82">
        <f ca="1">IFERROR(__xludf.DUMMYFUNCTION("""COMPUTED_VALUE"""),0.802291666666666)</f>
        <v>0.80229166666666596</v>
      </c>
      <c r="G1248" s="83">
        <f t="shared" ca="1" si="9"/>
        <v>19</v>
      </c>
      <c r="H1248" s="83">
        <f ca="1">IFERROR(__xludf.DUMMYFUNCTION("""COMPUTED_VALUE"""),15)</f>
        <v>15</v>
      </c>
      <c r="I1248" s="83">
        <f ca="1">IFERROR(__xludf.DUMMYFUNCTION("""COMPUTED_VALUE"""),18)</f>
        <v>18</v>
      </c>
    </row>
    <row r="1249" spans="1:9">
      <c r="A1249" s="79">
        <v>472</v>
      </c>
      <c r="B1249" s="79">
        <v>5</v>
      </c>
      <c r="C1249" s="79">
        <v>477</v>
      </c>
      <c r="D1249" s="80">
        <v>43326.812708333331</v>
      </c>
      <c r="E1249" s="81">
        <f t="shared" ca="1" si="8"/>
        <v>43313</v>
      </c>
      <c r="F1249" s="82">
        <f ca="1">IFERROR(__xludf.DUMMYFUNCTION("""COMPUTED_VALUE"""),0.812708333333333)</f>
        <v>0.81270833333333303</v>
      </c>
      <c r="G1249" s="83">
        <f t="shared" ca="1" si="9"/>
        <v>19</v>
      </c>
      <c r="H1249" s="83">
        <f ca="1">IFERROR(__xludf.DUMMYFUNCTION("""COMPUTED_VALUE"""),30)</f>
        <v>30</v>
      </c>
      <c r="I1249" s="83">
        <f ca="1">IFERROR(__xludf.DUMMYFUNCTION("""COMPUTED_VALUE"""),18)</f>
        <v>18</v>
      </c>
    </row>
    <row r="1250" spans="1:9">
      <c r="A1250" s="79">
        <v>559</v>
      </c>
      <c r="B1250" s="79">
        <v>4</v>
      </c>
      <c r="C1250" s="79">
        <v>563</v>
      </c>
      <c r="D1250" s="80">
        <v>43326.823125000003</v>
      </c>
      <c r="E1250" s="81">
        <f t="shared" ca="1" si="8"/>
        <v>43313</v>
      </c>
      <c r="F1250" s="82">
        <f ca="1">IFERROR(__xludf.DUMMYFUNCTION("""COMPUTED_VALUE"""),0.823125)</f>
        <v>0.823125</v>
      </c>
      <c r="G1250" s="83">
        <f t="shared" ca="1" si="9"/>
        <v>19</v>
      </c>
      <c r="H1250" s="83">
        <f ca="1">IFERROR(__xludf.DUMMYFUNCTION("""COMPUTED_VALUE"""),45)</f>
        <v>45</v>
      </c>
      <c r="I1250" s="83">
        <f ca="1">IFERROR(__xludf.DUMMYFUNCTION("""COMPUTED_VALUE"""),18)</f>
        <v>18</v>
      </c>
    </row>
    <row r="1251" spans="1:9">
      <c r="A1251" s="79">
        <v>540</v>
      </c>
      <c r="B1251" s="79">
        <v>3</v>
      </c>
      <c r="C1251" s="79">
        <v>543</v>
      </c>
      <c r="D1251" s="80">
        <v>43326.83357638889</v>
      </c>
      <c r="E1251" s="81">
        <f t="shared" ca="1" si="8"/>
        <v>43313</v>
      </c>
      <c r="F1251" s="82">
        <f ca="1">IFERROR(__xludf.DUMMYFUNCTION("""COMPUTED_VALUE"""),0.833576388888888)</f>
        <v>0.83357638888888796</v>
      </c>
      <c r="G1251" s="83">
        <f t="shared" ca="1" si="9"/>
        <v>19</v>
      </c>
      <c r="H1251" s="83">
        <f ca="1">IFERROR(__xludf.DUMMYFUNCTION("""COMPUTED_VALUE"""),0)</f>
        <v>0</v>
      </c>
      <c r="I1251" s="83">
        <f ca="1">IFERROR(__xludf.DUMMYFUNCTION("""COMPUTED_VALUE"""),21)</f>
        <v>21</v>
      </c>
    </row>
    <row r="1252" spans="1:9">
      <c r="A1252" s="79">
        <v>682</v>
      </c>
      <c r="B1252" s="79">
        <v>7</v>
      </c>
      <c r="C1252" s="79">
        <v>689</v>
      </c>
      <c r="D1252" s="80">
        <v>43326.843958333331</v>
      </c>
      <c r="E1252" s="81">
        <f t="shared" ca="1" si="8"/>
        <v>43313</v>
      </c>
      <c r="F1252" s="82">
        <f ca="1">IFERROR(__xludf.DUMMYFUNCTION("""COMPUTED_VALUE"""),0.843958333333333)</f>
        <v>0.84395833333333303</v>
      </c>
      <c r="G1252" s="83">
        <f t="shared" ca="1" si="9"/>
        <v>19</v>
      </c>
      <c r="H1252" s="83">
        <f ca="1">IFERROR(__xludf.DUMMYFUNCTION("""COMPUTED_VALUE"""),15)</f>
        <v>15</v>
      </c>
      <c r="I1252" s="83">
        <f ca="1">IFERROR(__xludf.DUMMYFUNCTION("""COMPUTED_VALUE"""),18)</f>
        <v>18</v>
      </c>
    </row>
    <row r="1253" spans="1:9">
      <c r="A1253" s="79">
        <v>602</v>
      </c>
      <c r="B1253" s="79">
        <v>6</v>
      </c>
      <c r="C1253" s="79">
        <v>608</v>
      </c>
      <c r="D1253" s="80">
        <v>43326.854375000003</v>
      </c>
      <c r="E1253" s="81">
        <f t="shared" ca="1" si="8"/>
        <v>43313</v>
      </c>
      <c r="F1253" s="82">
        <f ca="1">IFERROR(__xludf.DUMMYFUNCTION("""COMPUTED_VALUE"""),0.854375)</f>
        <v>0.854375</v>
      </c>
      <c r="G1253" s="83">
        <f t="shared" ca="1" si="9"/>
        <v>19</v>
      </c>
      <c r="H1253" s="83">
        <f ca="1">IFERROR(__xludf.DUMMYFUNCTION("""COMPUTED_VALUE"""),30)</f>
        <v>30</v>
      </c>
      <c r="I1253" s="83">
        <f ca="1">IFERROR(__xludf.DUMMYFUNCTION("""COMPUTED_VALUE"""),18)</f>
        <v>18</v>
      </c>
    </row>
    <row r="1254" spans="1:9">
      <c r="A1254" s="79">
        <v>664</v>
      </c>
      <c r="B1254" s="79">
        <v>7</v>
      </c>
      <c r="C1254" s="79">
        <v>671</v>
      </c>
      <c r="D1254" s="80">
        <v>43326.864791666667</v>
      </c>
      <c r="E1254" s="81">
        <f t="shared" ca="1" si="8"/>
        <v>43313</v>
      </c>
      <c r="F1254" s="82">
        <f ca="1">IFERROR(__xludf.DUMMYFUNCTION("""COMPUTED_VALUE"""),0.864791666666666)</f>
        <v>0.86479166666666596</v>
      </c>
      <c r="G1254" s="83">
        <f t="shared" ca="1" si="9"/>
        <v>19</v>
      </c>
      <c r="H1254" s="83">
        <f ca="1">IFERROR(__xludf.DUMMYFUNCTION("""COMPUTED_VALUE"""),45)</f>
        <v>45</v>
      </c>
      <c r="I1254" s="83">
        <f ca="1">IFERROR(__xludf.DUMMYFUNCTION("""COMPUTED_VALUE"""),18)</f>
        <v>18</v>
      </c>
    </row>
    <row r="1255" spans="1:9">
      <c r="A1255" s="79">
        <v>561</v>
      </c>
      <c r="B1255" s="79">
        <v>6</v>
      </c>
      <c r="C1255" s="79">
        <v>561</v>
      </c>
      <c r="D1255" s="80">
        <v>43326.875219907408</v>
      </c>
      <c r="E1255" s="81">
        <f t="shared" ca="1" si="8"/>
        <v>43313</v>
      </c>
      <c r="F1255" s="82">
        <f ca="1">IFERROR(__xludf.DUMMYFUNCTION("""COMPUTED_VALUE"""),0.875219907407407)</f>
        <v>0.87521990740740696</v>
      </c>
      <c r="G1255" s="83">
        <f t="shared" ca="1" si="9"/>
        <v>19</v>
      </c>
      <c r="H1255" s="83">
        <f ca="1">IFERROR(__xludf.DUMMYFUNCTION("""COMPUTED_VALUE"""),0)</f>
        <v>0</v>
      </c>
      <c r="I1255" s="83">
        <f ca="1">IFERROR(__xludf.DUMMYFUNCTION("""COMPUTED_VALUE"""),19)</f>
        <v>19</v>
      </c>
    </row>
    <row r="1256" spans="1:9">
      <c r="A1256" s="79">
        <v>622</v>
      </c>
      <c r="B1256" s="79">
        <v>4</v>
      </c>
      <c r="C1256" s="79">
        <v>626</v>
      </c>
      <c r="D1256" s="80">
        <v>43326.885625000003</v>
      </c>
      <c r="E1256" s="81">
        <f t="shared" ca="1" si="8"/>
        <v>43313</v>
      </c>
      <c r="F1256" s="82">
        <f ca="1">IFERROR(__xludf.DUMMYFUNCTION("""COMPUTED_VALUE"""),0.885625)</f>
        <v>0.885625</v>
      </c>
      <c r="G1256" s="83">
        <f t="shared" ca="1" si="9"/>
        <v>19</v>
      </c>
      <c r="H1256" s="83">
        <f ca="1">IFERROR(__xludf.DUMMYFUNCTION("""COMPUTED_VALUE"""),15)</f>
        <v>15</v>
      </c>
      <c r="I1256" s="83">
        <f ca="1">IFERROR(__xludf.DUMMYFUNCTION("""COMPUTED_VALUE"""),18)</f>
        <v>18</v>
      </c>
    </row>
    <row r="1257" spans="1:9">
      <c r="A1257" s="79">
        <v>587</v>
      </c>
      <c r="B1257" s="79">
        <v>8</v>
      </c>
      <c r="C1257" s="79">
        <v>595</v>
      </c>
      <c r="D1257" s="80">
        <v>43326.896041666667</v>
      </c>
      <c r="E1257" s="81">
        <f t="shared" ca="1" si="8"/>
        <v>43313</v>
      </c>
      <c r="F1257" s="82">
        <f ca="1">IFERROR(__xludf.DUMMYFUNCTION("""COMPUTED_VALUE"""),0.896041666666666)</f>
        <v>0.89604166666666596</v>
      </c>
      <c r="G1257" s="83">
        <f t="shared" ca="1" si="9"/>
        <v>19</v>
      </c>
      <c r="H1257" s="83">
        <f ca="1">IFERROR(__xludf.DUMMYFUNCTION("""COMPUTED_VALUE"""),30)</f>
        <v>30</v>
      </c>
      <c r="I1257" s="83">
        <f ca="1">IFERROR(__xludf.DUMMYFUNCTION("""COMPUTED_VALUE"""),18)</f>
        <v>18</v>
      </c>
    </row>
    <row r="1258" spans="1:9">
      <c r="A1258" s="79">
        <v>528</v>
      </c>
      <c r="B1258" s="79">
        <v>3</v>
      </c>
      <c r="C1258" s="79">
        <v>531</v>
      </c>
      <c r="D1258" s="80">
        <v>43326.906458333331</v>
      </c>
      <c r="E1258" s="81">
        <f t="shared" ca="1" si="8"/>
        <v>43313</v>
      </c>
      <c r="F1258" s="82">
        <f ca="1">IFERROR(__xludf.DUMMYFUNCTION("""COMPUTED_VALUE"""),0.906458333333333)</f>
        <v>0.90645833333333303</v>
      </c>
      <c r="G1258" s="83">
        <f t="shared" ca="1" si="9"/>
        <v>19</v>
      </c>
      <c r="H1258" s="83">
        <f ca="1">IFERROR(__xludf.DUMMYFUNCTION("""COMPUTED_VALUE"""),45)</f>
        <v>45</v>
      </c>
      <c r="I1258" s="83">
        <f ca="1">IFERROR(__xludf.DUMMYFUNCTION("""COMPUTED_VALUE"""),18)</f>
        <v>18</v>
      </c>
    </row>
    <row r="1259" spans="1:9">
      <c r="A1259" s="79">
        <v>494</v>
      </c>
      <c r="B1259" s="79">
        <v>5</v>
      </c>
      <c r="C1259" s="79">
        <v>499</v>
      </c>
      <c r="D1259" s="80">
        <v>43326.916909722226</v>
      </c>
      <c r="E1259" s="81">
        <f t="shared" ca="1" si="8"/>
        <v>43313</v>
      </c>
      <c r="F1259" s="82">
        <f ca="1">IFERROR(__xludf.DUMMYFUNCTION("""COMPUTED_VALUE"""),0.916909722222222)</f>
        <v>0.916909722222222</v>
      </c>
      <c r="G1259" s="83">
        <f t="shared" ca="1" si="9"/>
        <v>19</v>
      </c>
      <c r="H1259" s="83">
        <f ca="1">IFERROR(__xludf.DUMMYFUNCTION("""COMPUTED_VALUE"""),0)</f>
        <v>0</v>
      </c>
      <c r="I1259" s="83">
        <f ca="1">IFERROR(__xludf.DUMMYFUNCTION("""COMPUTED_VALUE"""),21)</f>
        <v>21</v>
      </c>
    </row>
    <row r="1260" spans="1:9">
      <c r="A1260" s="79">
        <v>538</v>
      </c>
      <c r="B1260" s="79">
        <v>5</v>
      </c>
      <c r="C1260" s="79">
        <v>543</v>
      </c>
      <c r="D1260" s="80">
        <v>43326.927303240744</v>
      </c>
      <c r="E1260" s="81">
        <f t="shared" ca="1" si="8"/>
        <v>43313</v>
      </c>
      <c r="F1260" s="82">
        <f ca="1">IFERROR(__xludf.DUMMYFUNCTION("""COMPUTED_VALUE"""),0.92730324074074)</f>
        <v>0.92730324074074</v>
      </c>
      <c r="G1260" s="83">
        <f t="shared" ca="1" si="9"/>
        <v>19</v>
      </c>
      <c r="H1260" s="83">
        <f ca="1">IFERROR(__xludf.DUMMYFUNCTION("""COMPUTED_VALUE"""),15)</f>
        <v>15</v>
      </c>
      <c r="I1260" s="83">
        <f ca="1">IFERROR(__xludf.DUMMYFUNCTION("""COMPUTED_VALUE"""),19)</f>
        <v>19</v>
      </c>
    </row>
    <row r="1261" spans="1:9">
      <c r="A1261" s="79">
        <v>496</v>
      </c>
      <c r="B1261" s="79">
        <v>3</v>
      </c>
      <c r="C1261" s="79">
        <v>499</v>
      </c>
      <c r="D1261" s="80">
        <v>43326.937708333331</v>
      </c>
      <c r="E1261" s="81">
        <f t="shared" ca="1" si="8"/>
        <v>43313</v>
      </c>
      <c r="F1261" s="82">
        <f ca="1">IFERROR(__xludf.DUMMYFUNCTION("""COMPUTED_VALUE"""),0.937708333333333)</f>
        <v>0.93770833333333303</v>
      </c>
      <c r="G1261" s="83">
        <f t="shared" ca="1" si="9"/>
        <v>19</v>
      </c>
      <c r="H1261" s="83">
        <f ca="1">IFERROR(__xludf.DUMMYFUNCTION("""COMPUTED_VALUE"""),30)</f>
        <v>30</v>
      </c>
      <c r="I1261" s="83">
        <f ca="1">IFERROR(__xludf.DUMMYFUNCTION("""COMPUTED_VALUE"""),18)</f>
        <v>18</v>
      </c>
    </row>
    <row r="1262" spans="1:9">
      <c r="A1262" s="79">
        <v>459</v>
      </c>
      <c r="B1262" s="79">
        <v>4</v>
      </c>
      <c r="C1262" s="79">
        <v>463</v>
      </c>
      <c r="D1262" s="80">
        <v>43326.948125000003</v>
      </c>
      <c r="E1262" s="81">
        <f t="shared" ca="1" si="8"/>
        <v>43313</v>
      </c>
      <c r="F1262" s="82">
        <f ca="1">IFERROR(__xludf.DUMMYFUNCTION("""COMPUTED_VALUE"""),0.948125)</f>
        <v>0.948125</v>
      </c>
      <c r="G1262" s="83">
        <f t="shared" ca="1" si="9"/>
        <v>19</v>
      </c>
      <c r="H1262" s="83">
        <f ca="1">IFERROR(__xludf.DUMMYFUNCTION("""COMPUTED_VALUE"""),45)</f>
        <v>45</v>
      </c>
      <c r="I1262" s="83">
        <f ca="1">IFERROR(__xludf.DUMMYFUNCTION("""COMPUTED_VALUE"""),18)</f>
        <v>18</v>
      </c>
    </row>
    <row r="1263" spans="1:9">
      <c r="A1263" s="79">
        <v>480</v>
      </c>
      <c r="B1263" s="79">
        <v>4</v>
      </c>
      <c r="C1263" s="79">
        <v>484</v>
      </c>
      <c r="D1263" s="80">
        <v>43326.95857638889</v>
      </c>
      <c r="E1263" s="81">
        <f t="shared" ca="1" si="8"/>
        <v>43313</v>
      </c>
      <c r="F1263" s="82">
        <f ca="1">IFERROR(__xludf.DUMMYFUNCTION("""COMPUTED_VALUE"""),0.958576388888888)</f>
        <v>0.95857638888888796</v>
      </c>
      <c r="G1263" s="83">
        <f t="shared" ca="1" si="9"/>
        <v>19</v>
      </c>
      <c r="H1263" s="83">
        <f ca="1">IFERROR(__xludf.DUMMYFUNCTION("""COMPUTED_VALUE"""),0)</f>
        <v>0</v>
      </c>
      <c r="I1263" s="83">
        <f ca="1">IFERROR(__xludf.DUMMYFUNCTION("""COMPUTED_VALUE"""),21)</f>
        <v>21</v>
      </c>
    </row>
    <row r="1264" spans="1:9">
      <c r="A1264" s="79">
        <v>492</v>
      </c>
      <c r="B1264" s="79">
        <v>5</v>
      </c>
      <c r="C1264" s="79">
        <v>497</v>
      </c>
      <c r="D1264" s="80">
        <v>43326.968958333331</v>
      </c>
      <c r="E1264" s="81">
        <f t="shared" ca="1" si="8"/>
        <v>43313</v>
      </c>
      <c r="F1264" s="82">
        <f ca="1">IFERROR(__xludf.DUMMYFUNCTION("""COMPUTED_VALUE"""),0.968958333333333)</f>
        <v>0.96895833333333303</v>
      </c>
      <c r="G1264" s="83">
        <f t="shared" ca="1" si="9"/>
        <v>19</v>
      </c>
      <c r="H1264" s="83">
        <f ca="1">IFERROR(__xludf.DUMMYFUNCTION("""COMPUTED_VALUE"""),15)</f>
        <v>15</v>
      </c>
      <c r="I1264" s="83">
        <f ca="1">IFERROR(__xludf.DUMMYFUNCTION("""COMPUTED_VALUE"""),18)</f>
        <v>18</v>
      </c>
    </row>
    <row r="1265" spans="1:9">
      <c r="A1265" s="79">
        <v>405</v>
      </c>
      <c r="B1265" s="79">
        <v>1</v>
      </c>
      <c r="C1265" s="79">
        <v>406</v>
      </c>
      <c r="D1265" s="80">
        <v>43326.979375000003</v>
      </c>
      <c r="E1265" s="81">
        <f t="shared" ca="1" si="8"/>
        <v>43313</v>
      </c>
      <c r="F1265" s="82">
        <f ca="1">IFERROR(__xludf.DUMMYFUNCTION("""COMPUTED_VALUE"""),0.979375)</f>
        <v>0.979375</v>
      </c>
      <c r="G1265" s="83">
        <f t="shared" ca="1" si="9"/>
        <v>19</v>
      </c>
      <c r="H1265" s="83">
        <f ca="1">IFERROR(__xludf.DUMMYFUNCTION("""COMPUTED_VALUE"""),30)</f>
        <v>30</v>
      </c>
      <c r="I1265" s="83">
        <f ca="1">IFERROR(__xludf.DUMMYFUNCTION("""COMPUTED_VALUE"""),18)</f>
        <v>18</v>
      </c>
    </row>
    <row r="1266" spans="1:9">
      <c r="A1266" s="79">
        <v>353</v>
      </c>
      <c r="B1266" s="79">
        <v>0</v>
      </c>
      <c r="C1266" s="79">
        <v>353</v>
      </c>
      <c r="D1266" s="80">
        <v>43326.989791666667</v>
      </c>
      <c r="E1266" s="81">
        <f t="shared" ca="1" si="8"/>
        <v>43313</v>
      </c>
      <c r="F1266" s="82">
        <f ca="1">IFERROR(__xludf.DUMMYFUNCTION("""COMPUTED_VALUE"""),0.989791666666666)</f>
        <v>0.98979166666666596</v>
      </c>
      <c r="G1266" s="83">
        <f t="shared" ca="1" si="9"/>
        <v>19</v>
      </c>
      <c r="H1266" s="83">
        <f ca="1">IFERROR(__xludf.DUMMYFUNCTION("""COMPUTED_VALUE"""),45)</f>
        <v>45</v>
      </c>
      <c r="I1266" s="83">
        <f ca="1">IFERROR(__xludf.DUMMYFUNCTION("""COMPUTED_VALUE"""),18)</f>
        <v>18</v>
      </c>
    </row>
    <row r="1267" spans="1:9">
      <c r="A1267" s="79">
        <v>314</v>
      </c>
      <c r="B1267" s="79">
        <v>1</v>
      </c>
      <c r="C1267" s="79">
        <v>315</v>
      </c>
      <c r="D1267" s="80">
        <v>43327.000208333331</v>
      </c>
      <c r="E1267" s="81">
        <f t="shared" ca="1" si="8"/>
        <v>43313</v>
      </c>
      <c r="F1267" s="82">
        <f ca="1">IFERROR(__xludf.DUMMYFUNCTION("""COMPUTED_VALUE"""),0.000208333333333333)</f>
        <v>2.0833333333333299E-4</v>
      </c>
      <c r="G1267" s="83">
        <f t="shared" ca="1" si="9"/>
        <v>19</v>
      </c>
      <c r="H1267" s="83">
        <f ca="1">IFERROR(__xludf.DUMMYFUNCTION("""COMPUTED_VALUE"""),0)</f>
        <v>0</v>
      </c>
      <c r="I1267" s="83">
        <f ca="1">IFERROR(__xludf.DUMMYFUNCTION("""COMPUTED_VALUE"""),18)</f>
        <v>18</v>
      </c>
    </row>
    <row r="1268" spans="1:9">
      <c r="A1268" s="79">
        <v>325</v>
      </c>
      <c r="B1268" s="79">
        <v>3</v>
      </c>
      <c r="C1268" s="79">
        <v>328</v>
      </c>
      <c r="D1268" s="80">
        <v>43327.010625000003</v>
      </c>
      <c r="E1268" s="81">
        <f t="shared" ca="1" si="8"/>
        <v>43313</v>
      </c>
      <c r="F1268" s="82">
        <f ca="1">IFERROR(__xludf.DUMMYFUNCTION("""COMPUTED_VALUE"""),0.010625)</f>
        <v>1.0625000000000001E-2</v>
      </c>
      <c r="G1268" s="83">
        <f t="shared" ca="1" si="9"/>
        <v>19</v>
      </c>
      <c r="H1268" s="83">
        <f ca="1">IFERROR(__xludf.DUMMYFUNCTION("""COMPUTED_VALUE"""),15)</f>
        <v>15</v>
      </c>
      <c r="I1268" s="83">
        <f ca="1">IFERROR(__xludf.DUMMYFUNCTION("""COMPUTED_VALUE"""),18)</f>
        <v>18</v>
      </c>
    </row>
    <row r="1269" spans="1:9">
      <c r="A1269" s="79">
        <v>294</v>
      </c>
      <c r="B1269" s="79">
        <v>3</v>
      </c>
      <c r="C1269" s="79">
        <v>297</v>
      </c>
      <c r="D1269" s="80">
        <v>43327.021041666667</v>
      </c>
      <c r="E1269" s="81">
        <f t="shared" ca="1" si="8"/>
        <v>43313</v>
      </c>
      <c r="F1269" s="82">
        <f ca="1">IFERROR(__xludf.DUMMYFUNCTION("""COMPUTED_VALUE"""),0.0210416666666666)</f>
        <v>2.1041666666666601E-2</v>
      </c>
      <c r="G1269" s="83">
        <f t="shared" ca="1" si="9"/>
        <v>19</v>
      </c>
      <c r="H1269" s="83">
        <f ca="1">IFERROR(__xludf.DUMMYFUNCTION("""COMPUTED_VALUE"""),30)</f>
        <v>30</v>
      </c>
      <c r="I1269" s="83">
        <f ca="1">IFERROR(__xludf.DUMMYFUNCTION("""COMPUTED_VALUE"""),18)</f>
        <v>18</v>
      </c>
    </row>
    <row r="1270" spans="1:9">
      <c r="A1270" s="79">
        <v>241</v>
      </c>
      <c r="B1270" s="79">
        <v>2</v>
      </c>
      <c r="C1270" s="79">
        <v>243</v>
      </c>
      <c r="D1270" s="80">
        <v>43327.031458333331</v>
      </c>
      <c r="E1270" s="81">
        <f t="shared" ca="1" si="8"/>
        <v>43313</v>
      </c>
      <c r="F1270" s="82">
        <f ca="1">IFERROR(__xludf.DUMMYFUNCTION("""COMPUTED_VALUE"""),0.0314583333333333)</f>
        <v>3.1458333333333303E-2</v>
      </c>
      <c r="G1270" s="83">
        <f t="shared" ca="1" si="9"/>
        <v>19</v>
      </c>
      <c r="H1270" s="83">
        <f ca="1">IFERROR(__xludf.DUMMYFUNCTION("""COMPUTED_VALUE"""),45)</f>
        <v>45</v>
      </c>
      <c r="I1270" s="83">
        <f ca="1">IFERROR(__xludf.DUMMYFUNCTION("""COMPUTED_VALUE"""),18)</f>
        <v>18</v>
      </c>
    </row>
    <row r="1271" spans="1:9">
      <c r="A1271" s="79">
        <v>207</v>
      </c>
      <c r="B1271" s="79">
        <v>5</v>
      </c>
      <c r="C1271" s="79">
        <v>212</v>
      </c>
      <c r="D1271" s="80">
        <v>43327.041875000003</v>
      </c>
      <c r="E1271" s="81">
        <f t="shared" ca="1" si="8"/>
        <v>43313</v>
      </c>
      <c r="F1271" s="82">
        <f ca="1">IFERROR(__xludf.DUMMYFUNCTION("""COMPUTED_VALUE"""),0.041875)</f>
        <v>4.1875000000000002E-2</v>
      </c>
      <c r="G1271" s="83">
        <f t="shared" ca="1" si="9"/>
        <v>19</v>
      </c>
      <c r="H1271" s="83">
        <f ca="1">IFERROR(__xludf.DUMMYFUNCTION("""COMPUTED_VALUE"""),0)</f>
        <v>0</v>
      </c>
      <c r="I1271" s="83">
        <f ca="1">IFERROR(__xludf.DUMMYFUNCTION("""COMPUTED_VALUE"""),18)</f>
        <v>18</v>
      </c>
    </row>
    <row r="1272" spans="1:9">
      <c r="A1272" s="79">
        <v>266</v>
      </c>
      <c r="B1272" s="79">
        <v>6</v>
      </c>
      <c r="C1272" s="79">
        <v>272</v>
      </c>
      <c r="D1272" s="80">
        <v>43327.052291666667</v>
      </c>
      <c r="E1272" s="81">
        <f t="shared" ca="1" si="8"/>
        <v>43313</v>
      </c>
      <c r="F1272" s="82">
        <f ca="1">IFERROR(__xludf.DUMMYFUNCTION("""COMPUTED_VALUE"""),0.0522916666666666)</f>
        <v>5.2291666666666597E-2</v>
      </c>
      <c r="G1272" s="83">
        <f t="shared" ca="1" si="9"/>
        <v>19</v>
      </c>
      <c r="H1272" s="83">
        <f ca="1">IFERROR(__xludf.DUMMYFUNCTION("""COMPUTED_VALUE"""),15)</f>
        <v>15</v>
      </c>
      <c r="I1272" s="83">
        <f ca="1">IFERROR(__xludf.DUMMYFUNCTION("""COMPUTED_VALUE"""),18)</f>
        <v>18</v>
      </c>
    </row>
    <row r="1273" spans="1:9">
      <c r="A1273" s="79">
        <v>238</v>
      </c>
      <c r="B1273" s="79">
        <v>4</v>
      </c>
      <c r="C1273" s="79">
        <v>242</v>
      </c>
      <c r="D1273" s="80">
        <v>43327.062696759262</v>
      </c>
      <c r="E1273" s="81">
        <f t="shared" ca="1" si="8"/>
        <v>43313</v>
      </c>
      <c r="F1273" s="82">
        <f ca="1">IFERROR(__xludf.DUMMYFUNCTION("""COMPUTED_VALUE"""),0.0626967592592592)</f>
        <v>6.2696759259259202E-2</v>
      </c>
      <c r="G1273" s="83">
        <f t="shared" ca="1" si="9"/>
        <v>19</v>
      </c>
      <c r="H1273" s="83">
        <f ca="1">IFERROR(__xludf.DUMMYFUNCTION("""COMPUTED_VALUE"""),30)</f>
        <v>30</v>
      </c>
      <c r="I1273" s="83">
        <f ca="1">IFERROR(__xludf.DUMMYFUNCTION("""COMPUTED_VALUE"""),17)</f>
        <v>17</v>
      </c>
    </row>
    <row r="1274" spans="1:9">
      <c r="A1274" s="79">
        <v>225</v>
      </c>
      <c r="B1274" s="79">
        <v>2</v>
      </c>
      <c r="C1274" s="79">
        <v>227</v>
      </c>
      <c r="D1274" s="80">
        <v>43327.073125000003</v>
      </c>
      <c r="E1274" s="81">
        <f t="shared" ca="1" si="8"/>
        <v>43313</v>
      </c>
      <c r="F1274" s="82">
        <f ca="1">IFERROR(__xludf.DUMMYFUNCTION("""COMPUTED_VALUE"""),0.073125)</f>
        <v>7.3124999999999996E-2</v>
      </c>
      <c r="G1274" s="83">
        <f t="shared" ca="1" si="9"/>
        <v>19</v>
      </c>
      <c r="H1274" s="83">
        <f ca="1">IFERROR(__xludf.DUMMYFUNCTION("""COMPUTED_VALUE"""),45)</f>
        <v>45</v>
      </c>
      <c r="I1274" s="83">
        <f ca="1">IFERROR(__xludf.DUMMYFUNCTION("""COMPUTED_VALUE"""),18)</f>
        <v>18</v>
      </c>
    </row>
    <row r="1275" spans="1:9">
      <c r="A1275" s="79">
        <v>231</v>
      </c>
      <c r="B1275" s="79">
        <v>0</v>
      </c>
      <c r="C1275" s="79">
        <v>231</v>
      </c>
      <c r="D1275" s="80">
        <v>43327.083541666667</v>
      </c>
      <c r="E1275" s="81">
        <f t="shared" ca="1" si="8"/>
        <v>43313</v>
      </c>
      <c r="F1275" s="82">
        <f ca="1">IFERROR(__xludf.DUMMYFUNCTION("""COMPUTED_VALUE"""),0.0835416666666666)</f>
        <v>8.3541666666666597E-2</v>
      </c>
      <c r="G1275" s="83">
        <f t="shared" ca="1" si="9"/>
        <v>19</v>
      </c>
      <c r="H1275" s="83">
        <f ca="1">IFERROR(__xludf.DUMMYFUNCTION("""COMPUTED_VALUE"""),0)</f>
        <v>0</v>
      </c>
      <c r="I1275" s="83">
        <f ca="1">IFERROR(__xludf.DUMMYFUNCTION("""COMPUTED_VALUE"""),18)</f>
        <v>18</v>
      </c>
    </row>
    <row r="1276" spans="1:9">
      <c r="A1276" s="79">
        <v>264</v>
      </c>
      <c r="B1276" s="79">
        <v>2</v>
      </c>
      <c r="C1276" s="79">
        <v>266</v>
      </c>
      <c r="D1276" s="80">
        <v>43327.093958333331</v>
      </c>
      <c r="E1276" s="81">
        <f t="shared" ca="1" si="8"/>
        <v>43313</v>
      </c>
      <c r="F1276" s="82">
        <f ca="1">IFERROR(__xludf.DUMMYFUNCTION("""COMPUTED_VALUE"""),0.0939583333333333)</f>
        <v>9.3958333333333297E-2</v>
      </c>
      <c r="G1276" s="83">
        <f t="shared" ca="1" si="9"/>
        <v>19</v>
      </c>
      <c r="H1276" s="83">
        <f ca="1">IFERROR(__xludf.DUMMYFUNCTION("""COMPUTED_VALUE"""),15)</f>
        <v>15</v>
      </c>
      <c r="I1276" s="83">
        <f ca="1">IFERROR(__xludf.DUMMYFUNCTION("""COMPUTED_VALUE"""),18)</f>
        <v>18</v>
      </c>
    </row>
    <row r="1277" spans="1:9">
      <c r="A1277" s="79">
        <v>240</v>
      </c>
      <c r="B1277" s="79">
        <v>2</v>
      </c>
      <c r="C1277" s="79">
        <v>242</v>
      </c>
      <c r="D1277" s="80">
        <v>43327.104375000003</v>
      </c>
      <c r="E1277" s="81">
        <f t="shared" ref="E1277:E2834" ca="1" si="10">IFERROR(__xludf.DUMMYFUNCTION("SPLIT(D2, "" "")"),43313)</f>
        <v>43313</v>
      </c>
      <c r="F1277" s="82">
        <f ca="1">IFERROR(__xludf.DUMMYFUNCTION("""COMPUTED_VALUE"""),0.104375)</f>
        <v>0.104375</v>
      </c>
      <c r="G1277" s="83">
        <f t="shared" ref="G1277:G2834" ca="1" si="11">IFERROR(__xludf.DUMMYFUNCTION("SPLIT(F2, "":"")"),19)</f>
        <v>19</v>
      </c>
      <c r="H1277" s="83">
        <f ca="1">IFERROR(__xludf.DUMMYFUNCTION("""COMPUTED_VALUE"""),30)</f>
        <v>30</v>
      </c>
      <c r="I1277" s="83">
        <f ca="1">IFERROR(__xludf.DUMMYFUNCTION("""COMPUTED_VALUE"""),18)</f>
        <v>18</v>
      </c>
    </row>
    <row r="1278" spans="1:9">
      <c r="A1278" s="79">
        <v>211</v>
      </c>
      <c r="B1278" s="79">
        <v>2</v>
      </c>
      <c r="C1278" s="79">
        <v>213</v>
      </c>
      <c r="D1278" s="80">
        <v>43327.11478009259</v>
      </c>
      <c r="E1278" s="81">
        <f t="shared" ca="1" si="10"/>
        <v>43313</v>
      </c>
      <c r="F1278" s="82">
        <f ca="1">IFERROR(__xludf.DUMMYFUNCTION("""COMPUTED_VALUE"""),0.114780092592592)</f>
        <v>0.114780092592592</v>
      </c>
      <c r="G1278" s="83">
        <f t="shared" ca="1" si="11"/>
        <v>19</v>
      </c>
      <c r="H1278" s="83">
        <f ca="1">IFERROR(__xludf.DUMMYFUNCTION("""COMPUTED_VALUE"""),45)</f>
        <v>45</v>
      </c>
      <c r="I1278" s="83">
        <f ca="1">IFERROR(__xludf.DUMMYFUNCTION("""COMPUTED_VALUE"""),17)</f>
        <v>17</v>
      </c>
    </row>
    <row r="1279" spans="1:9">
      <c r="A1279" s="79">
        <v>213</v>
      </c>
      <c r="B1279" s="79">
        <v>5</v>
      </c>
      <c r="C1279" s="79">
        <v>218</v>
      </c>
      <c r="D1279" s="80">
        <v>43327.125208333331</v>
      </c>
      <c r="E1279" s="81">
        <f t="shared" ca="1" si="10"/>
        <v>43313</v>
      </c>
      <c r="F1279" s="82">
        <f ca="1">IFERROR(__xludf.DUMMYFUNCTION("""COMPUTED_VALUE"""),0.125208333333333)</f>
        <v>0.12520833333333301</v>
      </c>
      <c r="G1279" s="83">
        <f t="shared" ca="1" si="11"/>
        <v>19</v>
      </c>
      <c r="H1279" s="83">
        <f ca="1">IFERROR(__xludf.DUMMYFUNCTION("""COMPUTED_VALUE"""),0)</f>
        <v>0</v>
      </c>
      <c r="I1279" s="83">
        <f ca="1">IFERROR(__xludf.DUMMYFUNCTION("""COMPUTED_VALUE"""),18)</f>
        <v>18</v>
      </c>
    </row>
    <row r="1280" spans="1:9">
      <c r="A1280" s="79">
        <v>189</v>
      </c>
      <c r="B1280" s="79">
        <v>3</v>
      </c>
      <c r="C1280" s="79">
        <v>192</v>
      </c>
      <c r="D1280" s="80">
        <v>43327.135613425926</v>
      </c>
      <c r="E1280" s="81">
        <f t="shared" ca="1" si="10"/>
        <v>43313</v>
      </c>
      <c r="F1280" s="82">
        <f ca="1">IFERROR(__xludf.DUMMYFUNCTION("""COMPUTED_VALUE"""),0.135613425925925)</f>
        <v>0.13561342592592501</v>
      </c>
      <c r="G1280" s="83">
        <f t="shared" ca="1" si="11"/>
        <v>19</v>
      </c>
      <c r="H1280" s="83">
        <f ca="1">IFERROR(__xludf.DUMMYFUNCTION("""COMPUTED_VALUE"""),15)</f>
        <v>15</v>
      </c>
      <c r="I1280" s="83">
        <f ca="1">IFERROR(__xludf.DUMMYFUNCTION("""COMPUTED_VALUE"""),17)</f>
        <v>17</v>
      </c>
    </row>
    <row r="1281" spans="1:9">
      <c r="A1281" s="79">
        <v>197</v>
      </c>
      <c r="B1281" s="79">
        <v>1</v>
      </c>
      <c r="C1281" s="79">
        <v>198</v>
      </c>
      <c r="D1281" s="80">
        <v>43327.146041666667</v>
      </c>
      <c r="E1281" s="81">
        <f t="shared" ca="1" si="10"/>
        <v>43313</v>
      </c>
      <c r="F1281" s="82">
        <f ca="1">IFERROR(__xludf.DUMMYFUNCTION("""COMPUTED_VALUE"""),0.146041666666666)</f>
        <v>0.14604166666666599</v>
      </c>
      <c r="G1281" s="83">
        <f t="shared" ca="1" si="11"/>
        <v>19</v>
      </c>
      <c r="H1281" s="83">
        <f ca="1">IFERROR(__xludf.DUMMYFUNCTION("""COMPUTED_VALUE"""),30)</f>
        <v>30</v>
      </c>
      <c r="I1281" s="83">
        <f ca="1">IFERROR(__xludf.DUMMYFUNCTION("""COMPUTED_VALUE"""),18)</f>
        <v>18</v>
      </c>
    </row>
    <row r="1282" spans="1:9">
      <c r="A1282" s="79">
        <v>141</v>
      </c>
      <c r="B1282" s="79">
        <v>2</v>
      </c>
      <c r="C1282" s="79">
        <v>143</v>
      </c>
      <c r="D1282" s="80">
        <v>43327.156458333331</v>
      </c>
      <c r="E1282" s="81">
        <f t="shared" ca="1" si="10"/>
        <v>43313</v>
      </c>
      <c r="F1282" s="82">
        <f ca="1">IFERROR(__xludf.DUMMYFUNCTION("""COMPUTED_VALUE"""),0.156458333333333)</f>
        <v>0.15645833333333301</v>
      </c>
      <c r="G1282" s="83">
        <f t="shared" ca="1" si="11"/>
        <v>19</v>
      </c>
      <c r="H1282" s="83">
        <f ca="1">IFERROR(__xludf.DUMMYFUNCTION("""COMPUTED_VALUE"""),45)</f>
        <v>45</v>
      </c>
      <c r="I1282" s="83">
        <f ca="1">IFERROR(__xludf.DUMMYFUNCTION("""COMPUTED_VALUE"""),18)</f>
        <v>18</v>
      </c>
    </row>
    <row r="1283" spans="1:9">
      <c r="A1283" s="79">
        <v>130</v>
      </c>
      <c r="B1283" s="79">
        <v>1</v>
      </c>
      <c r="C1283" s="79">
        <v>131</v>
      </c>
      <c r="D1283" s="80">
        <v>43327.166863425926</v>
      </c>
      <c r="E1283" s="81">
        <f t="shared" ca="1" si="10"/>
        <v>43313</v>
      </c>
      <c r="F1283" s="82">
        <f ca="1">IFERROR(__xludf.DUMMYFUNCTION("""COMPUTED_VALUE"""),0.166863425925925)</f>
        <v>0.16686342592592501</v>
      </c>
      <c r="G1283" s="83">
        <f t="shared" ca="1" si="11"/>
        <v>19</v>
      </c>
      <c r="H1283" s="83">
        <f ca="1">IFERROR(__xludf.DUMMYFUNCTION("""COMPUTED_VALUE"""),0)</f>
        <v>0</v>
      </c>
      <c r="I1283" s="83">
        <f ca="1">IFERROR(__xludf.DUMMYFUNCTION("""COMPUTED_VALUE"""),17)</f>
        <v>17</v>
      </c>
    </row>
    <row r="1284" spans="1:9">
      <c r="A1284" s="79">
        <v>114</v>
      </c>
      <c r="B1284" s="79">
        <v>4</v>
      </c>
      <c r="C1284" s="79">
        <v>118</v>
      </c>
      <c r="D1284" s="80">
        <v>43327.177291666667</v>
      </c>
      <c r="E1284" s="81">
        <f t="shared" ca="1" si="10"/>
        <v>43313</v>
      </c>
      <c r="F1284" s="82">
        <f ca="1">IFERROR(__xludf.DUMMYFUNCTION("""COMPUTED_VALUE"""),0.177291666666666)</f>
        <v>0.17729166666666599</v>
      </c>
      <c r="G1284" s="83">
        <f t="shared" ca="1" si="11"/>
        <v>19</v>
      </c>
      <c r="H1284" s="83">
        <f ca="1">IFERROR(__xludf.DUMMYFUNCTION("""COMPUTED_VALUE"""),15)</f>
        <v>15</v>
      </c>
      <c r="I1284" s="83">
        <f ca="1">IFERROR(__xludf.DUMMYFUNCTION("""COMPUTED_VALUE"""),18)</f>
        <v>18</v>
      </c>
    </row>
    <row r="1285" spans="1:9">
      <c r="A1285" s="79">
        <v>100</v>
      </c>
      <c r="B1285" s="79">
        <v>2</v>
      </c>
      <c r="C1285" s="79">
        <v>102</v>
      </c>
      <c r="D1285" s="80">
        <v>43327.187696759262</v>
      </c>
      <c r="E1285" s="81">
        <f t="shared" ca="1" si="10"/>
        <v>43313</v>
      </c>
      <c r="F1285" s="82">
        <f ca="1">IFERROR(__xludf.DUMMYFUNCTION("""COMPUTED_VALUE"""),0.187696759259259)</f>
        <v>0.18769675925925899</v>
      </c>
      <c r="G1285" s="83">
        <f t="shared" ca="1" si="11"/>
        <v>19</v>
      </c>
      <c r="H1285" s="83">
        <f ca="1">IFERROR(__xludf.DUMMYFUNCTION("""COMPUTED_VALUE"""),30)</f>
        <v>30</v>
      </c>
      <c r="I1285" s="83">
        <f ca="1">IFERROR(__xludf.DUMMYFUNCTION("""COMPUTED_VALUE"""),17)</f>
        <v>17</v>
      </c>
    </row>
    <row r="1286" spans="1:9">
      <c r="A1286" s="79">
        <v>90</v>
      </c>
      <c r="B1286" s="79">
        <v>1</v>
      </c>
      <c r="C1286" s="79">
        <v>91</v>
      </c>
      <c r="D1286" s="80">
        <v>43327.198125000003</v>
      </c>
      <c r="E1286" s="81">
        <f t="shared" ca="1" si="10"/>
        <v>43313</v>
      </c>
      <c r="F1286" s="82">
        <f ca="1">IFERROR(__xludf.DUMMYFUNCTION("""COMPUTED_VALUE"""),0.198125)</f>
        <v>0.198125</v>
      </c>
      <c r="G1286" s="83">
        <f t="shared" ca="1" si="11"/>
        <v>19</v>
      </c>
      <c r="H1286" s="83">
        <f ca="1">IFERROR(__xludf.DUMMYFUNCTION("""COMPUTED_VALUE"""),45)</f>
        <v>45</v>
      </c>
      <c r="I1286" s="83">
        <f ca="1">IFERROR(__xludf.DUMMYFUNCTION("""COMPUTED_VALUE"""),18)</f>
        <v>18</v>
      </c>
    </row>
    <row r="1287" spans="1:9">
      <c r="A1287" s="79">
        <v>98</v>
      </c>
      <c r="B1287" s="79">
        <v>1</v>
      </c>
      <c r="C1287" s="79">
        <v>99</v>
      </c>
      <c r="D1287" s="80">
        <v>43327.20853009259</v>
      </c>
      <c r="E1287" s="81">
        <f t="shared" ca="1" si="10"/>
        <v>43313</v>
      </c>
      <c r="F1287" s="82">
        <f ca="1">IFERROR(__xludf.DUMMYFUNCTION("""COMPUTED_VALUE"""),0.208530092592592)</f>
        <v>0.208530092592592</v>
      </c>
      <c r="G1287" s="83">
        <f t="shared" ca="1" si="11"/>
        <v>19</v>
      </c>
      <c r="H1287" s="83">
        <f ca="1">IFERROR(__xludf.DUMMYFUNCTION("""COMPUTED_VALUE"""),0)</f>
        <v>0</v>
      </c>
      <c r="I1287" s="83">
        <f ca="1">IFERROR(__xludf.DUMMYFUNCTION("""COMPUTED_VALUE"""),17)</f>
        <v>17</v>
      </c>
    </row>
    <row r="1288" spans="1:9">
      <c r="A1288" s="79">
        <v>90</v>
      </c>
      <c r="B1288" s="79">
        <v>1</v>
      </c>
      <c r="C1288" s="79">
        <v>91</v>
      </c>
      <c r="D1288" s="80">
        <v>43327.218946759262</v>
      </c>
      <c r="E1288" s="81">
        <f t="shared" ca="1" si="10"/>
        <v>43313</v>
      </c>
      <c r="F1288" s="82">
        <f ca="1">IFERROR(__xludf.DUMMYFUNCTION("""COMPUTED_VALUE"""),0.218946759259259)</f>
        <v>0.21894675925925899</v>
      </c>
      <c r="G1288" s="83">
        <f t="shared" ca="1" si="11"/>
        <v>19</v>
      </c>
      <c r="H1288" s="83">
        <f ca="1">IFERROR(__xludf.DUMMYFUNCTION("""COMPUTED_VALUE"""),15)</f>
        <v>15</v>
      </c>
      <c r="I1288" s="83">
        <f ca="1">IFERROR(__xludf.DUMMYFUNCTION("""COMPUTED_VALUE"""),17)</f>
        <v>17</v>
      </c>
    </row>
    <row r="1289" spans="1:9">
      <c r="A1289" s="79">
        <v>75</v>
      </c>
      <c r="B1289" s="79">
        <v>0</v>
      </c>
      <c r="C1289" s="79">
        <v>75</v>
      </c>
      <c r="D1289" s="80">
        <v>43327.229363425926</v>
      </c>
      <c r="E1289" s="81">
        <f t="shared" ca="1" si="10"/>
        <v>43313</v>
      </c>
      <c r="F1289" s="82">
        <f ca="1">IFERROR(__xludf.DUMMYFUNCTION("""COMPUTED_VALUE"""),0.229363425925925)</f>
        <v>0.22936342592592501</v>
      </c>
      <c r="G1289" s="83">
        <f t="shared" ca="1" si="11"/>
        <v>19</v>
      </c>
      <c r="H1289" s="83">
        <f ca="1">IFERROR(__xludf.DUMMYFUNCTION("""COMPUTED_VALUE"""),30)</f>
        <v>30</v>
      </c>
      <c r="I1289" s="83">
        <f ca="1">IFERROR(__xludf.DUMMYFUNCTION("""COMPUTED_VALUE"""),17)</f>
        <v>17</v>
      </c>
    </row>
    <row r="1290" spans="1:9">
      <c r="A1290" s="79">
        <v>70</v>
      </c>
      <c r="B1290" s="79">
        <v>0</v>
      </c>
      <c r="C1290" s="79">
        <v>70</v>
      </c>
      <c r="D1290" s="80">
        <v>43327.23978009259</v>
      </c>
      <c r="E1290" s="81">
        <f t="shared" ca="1" si="10"/>
        <v>43313</v>
      </c>
      <c r="F1290" s="82">
        <f ca="1">IFERROR(__xludf.DUMMYFUNCTION("""COMPUTED_VALUE"""),0.239780092592592)</f>
        <v>0.239780092592592</v>
      </c>
      <c r="G1290" s="83">
        <f t="shared" ca="1" si="11"/>
        <v>19</v>
      </c>
      <c r="H1290" s="83">
        <f ca="1">IFERROR(__xludf.DUMMYFUNCTION("""COMPUTED_VALUE"""),45)</f>
        <v>45</v>
      </c>
      <c r="I1290" s="83">
        <f ca="1">IFERROR(__xludf.DUMMYFUNCTION("""COMPUTED_VALUE"""),17)</f>
        <v>17</v>
      </c>
    </row>
    <row r="1291" spans="1:9">
      <c r="A1291" s="79">
        <v>67</v>
      </c>
      <c r="B1291" s="79">
        <v>0</v>
      </c>
      <c r="C1291" s="79">
        <v>67</v>
      </c>
      <c r="D1291" s="80">
        <v>43327.250196759262</v>
      </c>
      <c r="E1291" s="81">
        <f t="shared" ca="1" si="10"/>
        <v>43313</v>
      </c>
      <c r="F1291" s="82">
        <f ca="1">IFERROR(__xludf.DUMMYFUNCTION("""COMPUTED_VALUE"""),0.250196759259259)</f>
        <v>0.25019675925925899</v>
      </c>
      <c r="G1291" s="83">
        <f t="shared" ca="1" si="11"/>
        <v>19</v>
      </c>
      <c r="H1291" s="83">
        <f ca="1">IFERROR(__xludf.DUMMYFUNCTION("""COMPUTED_VALUE"""),0)</f>
        <v>0</v>
      </c>
      <c r="I1291" s="83">
        <f ca="1">IFERROR(__xludf.DUMMYFUNCTION("""COMPUTED_VALUE"""),17)</f>
        <v>17</v>
      </c>
    </row>
    <row r="1292" spans="1:9">
      <c r="A1292" s="79">
        <v>67</v>
      </c>
      <c r="B1292" s="79">
        <v>0</v>
      </c>
      <c r="C1292" s="79">
        <v>67</v>
      </c>
      <c r="D1292" s="80">
        <v>43327.260613425926</v>
      </c>
      <c r="E1292" s="81">
        <f t="shared" ca="1" si="10"/>
        <v>43313</v>
      </c>
      <c r="F1292" s="82">
        <f ca="1">IFERROR(__xludf.DUMMYFUNCTION("""COMPUTED_VALUE"""),0.260613425925925)</f>
        <v>0.26061342592592501</v>
      </c>
      <c r="G1292" s="83">
        <f t="shared" ca="1" si="11"/>
        <v>19</v>
      </c>
      <c r="H1292" s="83">
        <f ca="1">IFERROR(__xludf.DUMMYFUNCTION("""COMPUTED_VALUE"""),15)</f>
        <v>15</v>
      </c>
      <c r="I1292" s="83">
        <f ca="1">IFERROR(__xludf.DUMMYFUNCTION("""COMPUTED_VALUE"""),17)</f>
        <v>17</v>
      </c>
    </row>
    <row r="1293" spans="1:9">
      <c r="A1293" s="79">
        <v>61</v>
      </c>
      <c r="B1293" s="79">
        <v>0</v>
      </c>
      <c r="C1293" s="79">
        <v>61</v>
      </c>
      <c r="D1293" s="80">
        <v>43327.273842592593</v>
      </c>
      <c r="E1293" s="81">
        <f t="shared" ca="1" si="10"/>
        <v>43313</v>
      </c>
      <c r="F1293" s="82">
        <f ca="1">IFERROR(__xludf.DUMMYFUNCTION("""COMPUTED_VALUE"""),0.273842592592592)</f>
        <v>0.27384259259259203</v>
      </c>
      <c r="G1293" s="83">
        <f t="shared" ca="1" si="11"/>
        <v>19</v>
      </c>
      <c r="H1293" s="83">
        <f ca="1">IFERROR(__xludf.DUMMYFUNCTION("""COMPUTED_VALUE"""),34)</f>
        <v>34</v>
      </c>
      <c r="I1293" s="83">
        <f ca="1">IFERROR(__xludf.DUMMYFUNCTION("""COMPUTED_VALUE"""),20)</f>
        <v>20</v>
      </c>
    </row>
    <row r="1294" spans="1:9">
      <c r="A1294" s="79">
        <v>46</v>
      </c>
      <c r="B1294" s="79">
        <v>0</v>
      </c>
      <c r="C1294" s="79">
        <v>46</v>
      </c>
      <c r="D1294" s="80">
        <v>43327.281446759262</v>
      </c>
      <c r="E1294" s="81">
        <f t="shared" ca="1" si="10"/>
        <v>43313</v>
      </c>
      <c r="F1294" s="82">
        <f ca="1">IFERROR(__xludf.DUMMYFUNCTION("""COMPUTED_VALUE"""),0.281446759259259)</f>
        <v>0.28144675925925899</v>
      </c>
      <c r="G1294" s="83">
        <f t="shared" ca="1" si="11"/>
        <v>19</v>
      </c>
      <c r="H1294" s="83">
        <f ca="1">IFERROR(__xludf.DUMMYFUNCTION("""COMPUTED_VALUE"""),45)</f>
        <v>45</v>
      </c>
      <c r="I1294" s="83">
        <f ca="1">IFERROR(__xludf.DUMMYFUNCTION("""COMPUTED_VALUE"""),17)</f>
        <v>17</v>
      </c>
    </row>
    <row r="1295" spans="1:9">
      <c r="A1295" s="79">
        <v>47</v>
      </c>
      <c r="B1295" s="79">
        <v>0</v>
      </c>
      <c r="C1295" s="79">
        <v>47</v>
      </c>
      <c r="D1295" s="80">
        <v>43327.291886574072</v>
      </c>
      <c r="E1295" s="81">
        <f t="shared" ca="1" si="10"/>
        <v>43313</v>
      </c>
      <c r="F1295" s="82">
        <f ca="1">IFERROR(__xludf.DUMMYFUNCTION("""COMPUTED_VALUE"""),0.291886574074074)</f>
        <v>0.29188657407407398</v>
      </c>
      <c r="G1295" s="83">
        <f t="shared" ca="1" si="11"/>
        <v>19</v>
      </c>
      <c r="H1295" s="83">
        <f ca="1">IFERROR(__xludf.DUMMYFUNCTION("""COMPUTED_VALUE"""),0)</f>
        <v>0</v>
      </c>
      <c r="I1295" s="83">
        <f ca="1">IFERROR(__xludf.DUMMYFUNCTION("""COMPUTED_VALUE"""),19)</f>
        <v>19</v>
      </c>
    </row>
    <row r="1296" spans="1:9">
      <c r="A1296" s="79">
        <v>59</v>
      </c>
      <c r="B1296" s="79">
        <v>0</v>
      </c>
      <c r="C1296" s="79">
        <v>59</v>
      </c>
      <c r="D1296" s="80">
        <v>43327.302303240744</v>
      </c>
      <c r="E1296" s="81">
        <f t="shared" ca="1" si="10"/>
        <v>43313</v>
      </c>
      <c r="F1296" s="82">
        <f ca="1">IFERROR(__xludf.DUMMYFUNCTION("""COMPUTED_VALUE"""),0.30230324074074)</f>
        <v>0.30230324074074</v>
      </c>
      <c r="G1296" s="83">
        <f t="shared" ca="1" si="11"/>
        <v>19</v>
      </c>
      <c r="H1296" s="83">
        <f ca="1">IFERROR(__xludf.DUMMYFUNCTION("""COMPUTED_VALUE"""),15)</f>
        <v>15</v>
      </c>
      <c r="I1296" s="83">
        <f ca="1">IFERROR(__xludf.DUMMYFUNCTION("""COMPUTED_VALUE"""),19)</f>
        <v>19</v>
      </c>
    </row>
    <row r="1297" spans="1:9">
      <c r="A1297" s="79">
        <v>63</v>
      </c>
      <c r="B1297" s="79">
        <v>0</v>
      </c>
      <c r="C1297" s="79">
        <v>63</v>
      </c>
      <c r="D1297" s="80">
        <v>43327.312719907408</v>
      </c>
      <c r="E1297" s="81">
        <f t="shared" ca="1" si="10"/>
        <v>43313</v>
      </c>
      <c r="F1297" s="82">
        <f ca="1">IFERROR(__xludf.DUMMYFUNCTION("""COMPUTED_VALUE"""),0.312719907407407)</f>
        <v>0.31271990740740702</v>
      </c>
      <c r="G1297" s="83">
        <f t="shared" ca="1" si="11"/>
        <v>19</v>
      </c>
      <c r="H1297" s="83">
        <f ca="1">IFERROR(__xludf.DUMMYFUNCTION("""COMPUTED_VALUE"""),30)</f>
        <v>30</v>
      </c>
      <c r="I1297" s="83">
        <f ca="1">IFERROR(__xludf.DUMMYFUNCTION("""COMPUTED_VALUE"""),19)</f>
        <v>19</v>
      </c>
    </row>
    <row r="1298" spans="1:9">
      <c r="A1298" s="79">
        <v>58</v>
      </c>
      <c r="B1298" s="79">
        <v>0</v>
      </c>
      <c r="C1298" s="79">
        <v>58</v>
      </c>
      <c r="D1298" s="80">
        <v>43327.323136574072</v>
      </c>
      <c r="E1298" s="81">
        <f t="shared" ca="1" si="10"/>
        <v>43313</v>
      </c>
      <c r="F1298" s="82">
        <f ca="1">IFERROR(__xludf.DUMMYFUNCTION("""COMPUTED_VALUE"""),0.323136574074074)</f>
        <v>0.32313657407407398</v>
      </c>
      <c r="G1298" s="83">
        <f t="shared" ca="1" si="11"/>
        <v>19</v>
      </c>
      <c r="H1298" s="83">
        <f ca="1">IFERROR(__xludf.DUMMYFUNCTION("""COMPUTED_VALUE"""),45)</f>
        <v>45</v>
      </c>
      <c r="I1298" s="83">
        <f ca="1">IFERROR(__xludf.DUMMYFUNCTION("""COMPUTED_VALUE"""),19)</f>
        <v>19</v>
      </c>
    </row>
    <row r="1299" spans="1:9">
      <c r="A1299" s="79">
        <v>67</v>
      </c>
      <c r="B1299" s="79">
        <v>1</v>
      </c>
      <c r="C1299" s="79">
        <v>68</v>
      </c>
      <c r="D1299" s="80">
        <v>43327.333553240744</v>
      </c>
      <c r="E1299" s="81">
        <f t="shared" ca="1" si="10"/>
        <v>43313</v>
      </c>
      <c r="F1299" s="82">
        <f ca="1">IFERROR(__xludf.DUMMYFUNCTION("""COMPUTED_VALUE"""),0.33355324074074)</f>
        <v>0.33355324074074</v>
      </c>
      <c r="G1299" s="83">
        <f t="shared" ca="1" si="11"/>
        <v>19</v>
      </c>
      <c r="H1299" s="83">
        <f ca="1">IFERROR(__xludf.DUMMYFUNCTION("""COMPUTED_VALUE"""),0)</f>
        <v>0</v>
      </c>
      <c r="I1299" s="83">
        <f ca="1">IFERROR(__xludf.DUMMYFUNCTION("""COMPUTED_VALUE"""),19)</f>
        <v>19</v>
      </c>
    </row>
    <row r="1300" spans="1:9">
      <c r="A1300" s="79">
        <v>76</v>
      </c>
      <c r="B1300" s="79">
        <v>1</v>
      </c>
      <c r="C1300" s="79">
        <v>77</v>
      </c>
      <c r="D1300" s="80">
        <v>43327.343969907408</v>
      </c>
      <c r="E1300" s="81">
        <f t="shared" ca="1" si="10"/>
        <v>43313</v>
      </c>
      <c r="F1300" s="82">
        <f ca="1">IFERROR(__xludf.DUMMYFUNCTION("""COMPUTED_VALUE"""),0.343969907407407)</f>
        <v>0.34396990740740702</v>
      </c>
      <c r="G1300" s="83">
        <f t="shared" ca="1" si="11"/>
        <v>19</v>
      </c>
      <c r="H1300" s="83">
        <f ca="1">IFERROR(__xludf.DUMMYFUNCTION("""COMPUTED_VALUE"""),15)</f>
        <v>15</v>
      </c>
      <c r="I1300" s="83">
        <f ca="1">IFERROR(__xludf.DUMMYFUNCTION("""COMPUTED_VALUE"""),19)</f>
        <v>19</v>
      </c>
    </row>
    <row r="1301" spans="1:9">
      <c r="A1301" s="79">
        <v>102</v>
      </c>
      <c r="B1301" s="79">
        <v>0</v>
      </c>
      <c r="C1301" s="79">
        <v>102</v>
      </c>
      <c r="D1301" s="80">
        <v>43327.354386574072</v>
      </c>
      <c r="E1301" s="81">
        <f t="shared" ca="1" si="10"/>
        <v>43313</v>
      </c>
      <c r="F1301" s="82">
        <f ca="1">IFERROR(__xludf.DUMMYFUNCTION("""COMPUTED_VALUE"""),0.354386574074074)</f>
        <v>0.35438657407407398</v>
      </c>
      <c r="G1301" s="83">
        <f t="shared" ca="1" si="11"/>
        <v>19</v>
      </c>
      <c r="H1301" s="83">
        <f ca="1">IFERROR(__xludf.DUMMYFUNCTION("""COMPUTED_VALUE"""),30)</f>
        <v>30</v>
      </c>
      <c r="I1301" s="83">
        <f ca="1">IFERROR(__xludf.DUMMYFUNCTION("""COMPUTED_VALUE"""),19)</f>
        <v>19</v>
      </c>
    </row>
    <row r="1302" spans="1:9">
      <c r="A1302" s="79">
        <v>122</v>
      </c>
      <c r="B1302" s="79">
        <v>1</v>
      </c>
      <c r="C1302" s="79">
        <v>123</v>
      </c>
      <c r="D1302" s="80">
        <v>43327.364803240744</v>
      </c>
      <c r="E1302" s="81">
        <f t="shared" ca="1" si="10"/>
        <v>43313</v>
      </c>
      <c r="F1302" s="82">
        <f ca="1">IFERROR(__xludf.DUMMYFUNCTION("""COMPUTED_VALUE"""),0.36480324074074)</f>
        <v>0.36480324074074</v>
      </c>
      <c r="G1302" s="83">
        <f t="shared" ca="1" si="11"/>
        <v>19</v>
      </c>
      <c r="H1302" s="83">
        <f ca="1">IFERROR(__xludf.DUMMYFUNCTION("""COMPUTED_VALUE"""),45)</f>
        <v>45</v>
      </c>
      <c r="I1302" s="83">
        <f ca="1">IFERROR(__xludf.DUMMYFUNCTION("""COMPUTED_VALUE"""),19)</f>
        <v>19</v>
      </c>
    </row>
    <row r="1303" spans="1:9">
      <c r="A1303" s="79">
        <v>89</v>
      </c>
      <c r="B1303" s="79">
        <v>0</v>
      </c>
      <c r="C1303" s="79">
        <v>89</v>
      </c>
      <c r="D1303" s="80">
        <v>43327.375219907408</v>
      </c>
      <c r="E1303" s="81">
        <f t="shared" ca="1" si="10"/>
        <v>43313</v>
      </c>
      <c r="F1303" s="82">
        <f ca="1">IFERROR(__xludf.DUMMYFUNCTION("""COMPUTED_VALUE"""),0.375219907407407)</f>
        <v>0.37521990740740702</v>
      </c>
      <c r="G1303" s="83">
        <f t="shared" ca="1" si="11"/>
        <v>19</v>
      </c>
      <c r="H1303" s="83">
        <f ca="1">IFERROR(__xludf.DUMMYFUNCTION("""COMPUTED_VALUE"""),0)</f>
        <v>0</v>
      </c>
      <c r="I1303" s="83">
        <f ca="1">IFERROR(__xludf.DUMMYFUNCTION("""COMPUTED_VALUE"""),19)</f>
        <v>19</v>
      </c>
    </row>
    <row r="1304" spans="1:9">
      <c r="A1304" s="79">
        <v>108</v>
      </c>
      <c r="B1304" s="79">
        <v>0</v>
      </c>
      <c r="C1304" s="79">
        <v>108</v>
      </c>
      <c r="D1304" s="80">
        <v>43327.385636574072</v>
      </c>
      <c r="E1304" s="81">
        <f t="shared" ca="1" si="10"/>
        <v>43313</v>
      </c>
      <c r="F1304" s="82">
        <f ca="1">IFERROR(__xludf.DUMMYFUNCTION("""COMPUTED_VALUE"""),0.385636574074074)</f>
        <v>0.38563657407407398</v>
      </c>
      <c r="G1304" s="83">
        <f t="shared" ca="1" si="11"/>
        <v>19</v>
      </c>
      <c r="H1304" s="83">
        <f ca="1">IFERROR(__xludf.DUMMYFUNCTION("""COMPUTED_VALUE"""),15)</f>
        <v>15</v>
      </c>
      <c r="I1304" s="83">
        <f ca="1">IFERROR(__xludf.DUMMYFUNCTION("""COMPUTED_VALUE"""),19)</f>
        <v>19</v>
      </c>
    </row>
    <row r="1305" spans="1:9">
      <c r="A1305" s="79">
        <v>134</v>
      </c>
      <c r="B1305" s="79">
        <v>0</v>
      </c>
      <c r="C1305" s="79">
        <v>134</v>
      </c>
      <c r="D1305" s="80">
        <v>43327.396053240744</v>
      </c>
      <c r="E1305" s="81">
        <f t="shared" ca="1" si="10"/>
        <v>43313</v>
      </c>
      <c r="F1305" s="82">
        <f ca="1">IFERROR(__xludf.DUMMYFUNCTION("""COMPUTED_VALUE"""),0.39605324074074)</f>
        <v>0.39605324074074</v>
      </c>
      <c r="G1305" s="83">
        <f t="shared" ca="1" si="11"/>
        <v>19</v>
      </c>
      <c r="H1305" s="83">
        <f ca="1">IFERROR(__xludf.DUMMYFUNCTION("""COMPUTED_VALUE"""),30)</f>
        <v>30</v>
      </c>
      <c r="I1305" s="83">
        <f ca="1">IFERROR(__xludf.DUMMYFUNCTION("""COMPUTED_VALUE"""),19)</f>
        <v>19</v>
      </c>
    </row>
    <row r="1306" spans="1:9">
      <c r="A1306" s="79">
        <v>164</v>
      </c>
      <c r="B1306" s="79">
        <v>1</v>
      </c>
      <c r="C1306" s="79">
        <v>165</v>
      </c>
      <c r="D1306" s="80">
        <v>43327.406458333331</v>
      </c>
      <c r="E1306" s="81">
        <f t="shared" ca="1" si="10"/>
        <v>43313</v>
      </c>
      <c r="F1306" s="82">
        <f ca="1">IFERROR(__xludf.DUMMYFUNCTION("""COMPUTED_VALUE"""),0.406458333333333)</f>
        <v>0.40645833333333298</v>
      </c>
      <c r="G1306" s="83">
        <f t="shared" ca="1" si="11"/>
        <v>19</v>
      </c>
      <c r="H1306" s="83">
        <f ca="1">IFERROR(__xludf.DUMMYFUNCTION("""COMPUTED_VALUE"""),45)</f>
        <v>45</v>
      </c>
      <c r="I1306" s="83">
        <f ca="1">IFERROR(__xludf.DUMMYFUNCTION("""COMPUTED_VALUE"""),18)</f>
        <v>18</v>
      </c>
    </row>
    <row r="1307" spans="1:9">
      <c r="A1307" s="79">
        <v>130</v>
      </c>
      <c r="B1307" s="79">
        <v>1</v>
      </c>
      <c r="C1307" s="79">
        <v>130</v>
      </c>
      <c r="D1307" s="80">
        <v>43327.416898148149</v>
      </c>
      <c r="E1307" s="81">
        <f t="shared" ca="1" si="10"/>
        <v>43313</v>
      </c>
      <c r="F1307" s="82">
        <f ca="1">IFERROR(__xludf.DUMMYFUNCTION("""COMPUTED_VALUE"""),0.416898148148148)</f>
        <v>0.41689814814814802</v>
      </c>
      <c r="G1307" s="83">
        <f t="shared" ca="1" si="11"/>
        <v>19</v>
      </c>
      <c r="H1307" s="83">
        <f ca="1">IFERROR(__xludf.DUMMYFUNCTION("""COMPUTED_VALUE"""),0)</f>
        <v>0</v>
      </c>
      <c r="I1307" s="83">
        <f ca="1">IFERROR(__xludf.DUMMYFUNCTION("""COMPUTED_VALUE"""),20)</f>
        <v>20</v>
      </c>
    </row>
    <row r="1308" spans="1:9">
      <c r="A1308" s="79">
        <v>141</v>
      </c>
      <c r="B1308" s="79">
        <v>1</v>
      </c>
      <c r="C1308" s="79">
        <v>142</v>
      </c>
      <c r="D1308" s="80">
        <v>43327.427291666667</v>
      </c>
      <c r="E1308" s="81">
        <f t="shared" ca="1" si="10"/>
        <v>43313</v>
      </c>
      <c r="F1308" s="82">
        <f ca="1">IFERROR(__xludf.DUMMYFUNCTION("""COMPUTED_VALUE"""),0.427291666666666)</f>
        <v>0.42729166666666601</v>
      </c>
      <c r="G1308" s="83">
        <f t="shared" ca="1" si="11"/>
        <v>19</v>
      </c>
      <c r="H1308" s="83">
        <f ca="1">IFERROR(__xludf.DUMMYFUNCTION("""COMPUTED_VALUE"""),15)</f>
        <v>15</v>
      </c>
      <c r="I1308" s="83">
        <f ca="1">IFERROR(__xludf.DUMMYFUNCTION("""COMPUTED_VALUE"""),18)</f>
        <v>18</v>
      </c>
    </row>
    <row r="1309" spans="1:9">
      <c r="A1309" s="79">
        <v>188</v>
      </c>
      <c r="B1309" s="79">
        <v>1</v>
      </c>
      <c r="C1309" s="79">
        <v>189</v>
      </c>
      <c r="D1309" s="80">
        <v>43327.437719907408</v>
      </c>
      <c r="E1309" s="81">
        <f t="shared" ca="1" si="10"/>
        <v>43313</v>
      </c>
      <c r="F1309" s="82">
        <f ca="1">IFERROR(__xludf.DUMMYFUNCTION("""COMPUTED_VALUE"""),0.437719907407407)</f>
        <v>0.43771990740740702</v>
      </c>
      <c r="G1309" s="83">
        <f t="shared" ca="1" si="11"/>
        <v>19</v>
      </c>
      <c r="H1309" s="83">
        <f ca="1">IFERROR(__xludf.DUMMYFUNCTION("""COMPUTED_VALUE"""),30)</f>
        <v>30</v>
      </c>
      <c r="I1309" s="83">
        <f ca="1">IFERROR(__xludf.DUMMYFUNCTION("""COMPUTED_VALUE"""),19)</f>
        <v>19</v>
      </c>
    </row>
    <row r="1310" spans="1:9">
      <c r="A1310" s="79">
        <v>247</v>
      </c>
      <c r="B1310" s="79">
        <v>1</v>
      </c>
      <c r="C1310" s="79">
        <v>248</v>
      </c>
      <c r="D1310" s="80">
        <v>43327.448125000003</v>
      </c>
      <c r="E1310" s="81">
        <f t="shared" ca="1" si="10"/>
        <v>43313</v>
      </c>
      <c r="F1310" s="82">
        <f ca="1">IFERROR(__xludf.DUMMYFUNCTION("""COMPUTED_VALUE"""),0.448125)</f>
        <v>0.448125</v>
      </c>
      <c r="G1310" s="83">
        <f t="shared" ca="1" si="11"/>
        <v>19</v>
      </c>
      <c r="H1310" s="83">
        <f ca="1">IFERROR(__xludf.DUMMYFUNCTION("""COMPUTED_VALUE"""),45)</f>
        <v>45</v>
      </c>
      <c r="I1310" s="83">
        <f ca="1">IFERROR(__xludf.DUMMYFUNCTION("""COMPUTED_VALUE"""),18)</f>
        <v>18</v>
      </c>
    </row>
    <row r="1311" spans="1:9">
      <c r="A1311" s="79">
        <v>186</v>
      </c>
      <c r="B1311" s="79">
        <v>0</v>
      </c>
      <c r="C1311" s="79">
        <v>186</v>
      </c>
      <c r="D1311" s="80">
        <v>43327.458541666667</v>
      </c>
      <c r="E1311" s="81">
        <f t="shared" ca="1" si="10"/>
        <v>43313</v>
      </c>
      <c r="F1311" s="82">
        <f ca="1">IFERROR(__xludf.DUMMYFUNCTION("""COMPUTED_VALUE"""),0.458541666666666)</f>
        <v>0.45854166666666601</v>
      </c>
      <c r="G1311" s="83">
        <f t="shared" ca="1" si="11"/>
        <v>19</v>
      </c>
      <c r="H1311" s="83">
        <f ca="1">IFERROR(__xludf.DUMMYFUNCTION("""COMPUTED_VALUE"""),0)</f>
        <v>0</v>
      </c>
      <c r="I1311" s="83">
        <f ca="1">IFERROR(__xludf.DUMMYFUNCTION("""COMPUTED_VALUE"""),18)</f>
        <v>18</v>
      </c>
    </row>
    <row r="1312" spans="1:9">
      <c r="A1312" s="79">
        <v>170</v>
      </c>
      <c r="B1312" s="79">
        <v>0</v>
      </c>
      <c r="C1312" s="79">
        <v>170</v>
      </c>
      <c r="D1312" s="80">
        <v>43327.468969907408</v>
      </c>
      <c r="E1312" s="81">
        <f t="shared" ca="1" si="10"/>
        <v>43313</v>
      </c>
      <c r="F1312" s="82">
        <f ca="1">IFERROR(__xludf.DUMMYFUNCTION("""COMPUTED_VALUE"""),0.468969907407407)</f>
        <v>0.46896990740740702</v>
      </c>
      <c r="G1312" s="83">
        <f t="shared" ca="1" si="11"/>
        <v>19</v>
      </c>
      <c r="H1312" s="83">
        <f ca="1">IFERROR(__xludf.DUMMYFUNCTION("""COMPUTED_VALUE"""),15)</f>
        <v>15</v>
      </c>
      <c r="I1312" s="83">
        <f ca="1">IFERROR(__xludf.DUMMYFUNCTION("""COMPUTED_VALUE"""),19)</f>
        <v>19</v>
      </c>
    </row>
    <row r="1313" spans="1:9">
      <c r="A1313" s="79">
        <v>203</v>
      </c>
      <c r="B1313" s="79">
        <v>3</v>
      </c>
      <c r="C1313" s="79">
        <v>205</v>
      </c>
      <c r="D1313" s="80">
        <v>43327.479375000003</v>
      </c>
      <c r="E1313" s="81">
        <f t="shared" ca="1" si="10"/>
        <v>43313</v>
      </c>
      <c r="F1313" s="82">
        <f ca="1">IFERROR(__xludf.DUMMYFUNCTION("""COMPUTED_VALUE"""),0.479375)</f>
        <v>0.479375</v>
      </c>
      <c r="G1313" s="83">
        <f t="shared" ca="1" si="11"/>
        <v>19</v>
      </c>
      <c r="H1313" s="83">
        <f ca="1">IFERROR(__xludf.DUMMYFUNCTION("""COMPUTED_VALUE"""),30)</f>
        <v>30</v>
      </c>
      <c r="I1313" s="83">
        <f ca="1">IFERROR(__xludf.DUMMYFUNCTION("""COMPUTED_VALUE"""),18)</f>
        <v>18</v>
      </c>
    </row>
    <row r="1314" spans="1:9">
      <c r="A1314" s="79">
        <v>239</v>
      </c>
      <c r="B1314" s="79">
        <v>1</v>
      </c>
      <c r="C1314" s="79">
        <v>235</v>
      </c>
      <c r="D1314" s="80">
        <v>43327.489803240744</v>
      </c>
      <c r="E1314" s="81">
        <f t="shared" ca="1" si="10"/>
        <v>43313</v>
      </c>
      <c r="F1314" s="82">
        <f ca="1">IFERROR(__xludf.DUMMYFUNCTION("""COMPUTED_VALUE"""),0.48980324074074)</f>
        <v>0.48980324074074</v>
      </c>
      <c r="G1314" s="83">
        <f t="shared" ca="1" si="11"/>
        <v>19</v>
      </c>
      <c r="H1314" s="83">
        <f ca="1">IFERROR(__xludf.DUMMYFUNCTION("""COMPUTED_VALUE"""),45)</f>
        <v>45</v>
      </c>
      <c r="I1314" s="83">
        <f ca="1">IFERROR(__xludf.DUMMYFUNCTION("""COMPUTED_VALUE"""),19)</f>
        <v>19</v>
      </c>
    </row>
    <row r="1315" spans="1:9">
      <c r="A1315" s="79">
        <v>212</v>
      </c>
      <c r="B1315" s="79">
        <v>1</v>
      </c>
      <c r="C1315" s="79">
        <v>213</v>
      </c>
      <c r="D1315" s="80">
        <v>43327.500208333331</v>
      </c>
      <c r="E1315" s="81">
        <f t="shared" ca="1" si="10"/>
        <v>43313</v>
      </c>
      <c r="F1315" s="82">
        <f ca="1">IFERROR(__xludf.DUMMYFUNCTION("""COMPUTED_VALUE"""),0.500208333333333)</f>
        <v>0.50020833333333303</v>
      </c>
      <c r="G1315" s="83">
        <f t="shared" ca="1" si="11"/>
        <v>19</v>
      </c>
      <c r="H1315" s="83">
        <f ca="1">IFERROR(__xludf.DUMMYFUNCTION("""COMPUTED_VALUE"""),0)</f>
        <v>0</v>
      </c>
      <c r="I1315" s="83">
        <f ca="1">IFERROR(__xludf.DUMMYFUNCTION("""COMPUTED_VALUE"""),18)</f>
        <v>18</v>
      </c>
    </row>
    <row r="1316" spans="1:9">
      <c r="A1316" s="79">
        <v>214</v>
      </c>
      <c r="B1316" s="79">
        <v>1</v>
      </c>
      <c r="C1316" s="79">
        <v>215</v>
      </c>
      <c r="D1316" s="80">
        <v>43327.510625000003</v>
      </c>
      <c r="E1316" s="81">
        <f t="shared" ca="1" si="10"/>
        <v>43313</v>
      </c>
      <c r="F1316" s="82">
        <f ca="1">IFERROR(__xludf.DUMMYFUNCTION("""COMPUTED_VALUE"""),0.510625)</f>
        <v>0.510625</v>
      </c>
      <c r="G1316" s="83">
        <f t="shared" ca="1" si="11"/>
        <v>19</v>
      </c>
      <c r="H1316" s="83">
        <f ca="1">IFERROR(__xludf.DUMMYFUNCTION("""COMPUTED_VALUE"""),15)</f>
        <v>15</v>
      </c>
      <c r="I1316" s="83">
        <f ca="1">IFERROR(__xludf.DUMMYFUNCTION("""COMPUTED_VALUE"""),18)</f>
        <v>18</v>
      </c>
    </row>
    <row r="1317" spans="1:9">
      <c r="A1317" s="79">
        <v>236</v>
      </c>
      <c r="B1317" s="79">
        <v>0</v>
      </c>
      <c r="C1317" s="79">
        <v>236</v>
      </c>
      <c r="D1317" s="80">
        <v>43327.521041666667</v>
      </c>
      <c r="E1317" s="81">
        <f t="shared" ca="1" si="10"/>
        <v>43313</v>
      </c>
      <c r="F1317" s="82">
        <f ca="1">IFERROR(__xludf.DUMMYFUNCTION("""COMPUTED_VALUE"""),0.521041666666666)</f>
        <v>0.52104166666666596</v>
      </c>
      <c r="G1317" s="83">
        <f t="shared" ca="1" si="11"/>
        <v>19</v>
      </c>
      <c r="H1317" s="83">
        <f ca="1">IFERROR(__xludf.DUMMYFUNCTION("""COMPUTED_VALUE"""),30)</f>
        <v>30</v>
      </c>
      <c r="I1317" s="83">
        <f ca="1">IFERROR(__xludf.DUMMYFUNCTION("""COMPUTED_VALUE"""),18)</f>
        <v>18</v>
      </c>
    </row>
    <row r="1318" spans="1:9">
      <c r="A1318" s="79">
        <v>220</v>
      </c>
      <c r="B1318" s="79">
        <v>1</v>
      </c>
      <c r="C1318" s="79">
        <v>221</v>
      </c>
      <c r="D1318" s="80">
        <v>43327.531458333331</v>
      </c>
      <c r="E1318" s="81">
        <f t="shared" ca="1" si="10"/>
        <v>43313</v>
      </c>
      <c r="F1318" s="82">
        <f ca="1">IFERROR(__xludf.DUMMYFUNCTION("""COMPUTED_VALUE"""),0.531458333333333)</f>
        <v>0.53145833333333303</v>
      </c>
      <c r="G1318" s="83">
        <f t="shared" ca="1" si="11"/>
        <v>19</v>
      </c>
      <c r="H1318" s="83">
        <f ca="1">IFERROR(__xludf.DUMMYFUNCTION("""COMPUTED_VALUE"""),45)</f>
        <v>45</v>
      </c>
      <c r="I1318" s="83">
        <f ca="1">IFERROR(__xludf.DUMMYFUNCTION("""COMPUTED_VALUE"""),18)</f>
        <v>18</v>
      </c>
    </row>
    <row r="1319" spans="1:9">
      <c r="A1319" s="79">
        <v>217</v>
      </c>
      <c r="B1319" s="79">
        <v>2</v>
      </c>
      <c r="C1319" s="79">
        <v>219</v>
      </c>
      <c r="D1319" s="80">
        <v>43327.541886574072</v>
      </c>
      <c r="E1319" s="81">
        <f t="shared" ca="1" si="10"/>
        <v>43313</v>
      </c>
      <c r="F1319" s="82">
        <f ca="1">IFERROR(__xludf.DUMMYFUNCTION("""COMPUTED_VALUE"""),0.541886574074074)</f>
        <v>0.54188657407407403</v>
      </c>
      <c r="G1319" s="83">
        <f t="shared" ca="1" si="11"/>
        <v>19</v>
      </c>
      <c r="H1319" s="83">
        <f ca="1">IFERROR(__xludf.DUMMYFUNCTION("""COMPUTED_VALUE"""),0)</f>
        <v>0</v>
      </c>
      <c r="I1319" s="83">
        <f ca="1">IFERROR(__xludf.DUMMYFUNCTION("""COMPUTED_VALUE"""),19)</f>
        <v>19</v>
      </c>
    </row>
    <row r="1320" spans="1:9">
      <c r="A1320" s="79">
        <v>231</v>
      </c>
      <c r="B1320" s="79">
        <v>2</v>
      </c>
      <c r="C1320" s="79">
        <v>233</v>
      </c>
      <c r="D1320" s="80">
        <v>43327.552291666667</v>
      </c>
      <c r="E1320" s="81">
        <f t="shared" ca="1" si="10"/>
        <v>43313</v>
      </c>
      <c r="F1320" s="82">
        <f ca="1">IFERROR(__xludf.DUMMYFUNCTION("""COMPUTED_VALUE"""),0.552291666666666)</f>
        <v>0.55229166666666596</v>
      </c>
      <c r="G1320" s="83">
        <f t="shared" ca="1" si="11"/>
        <v>19</v>
      </c>
      <c r="H1320" s="83">
        <f ca="1">IFERROR(__xludf.DUMMYFUNCTION("""COMPUTED_VALUE"""),15)</f>
        <v>15</v>
      </c>
      <c r="I1320" s="83">
        <f ca="1">IFERROR(__xludf.DUMMYFUNCTION("""COMPUTED_VALUE"""),18)</f>
        <v>18</v>
      </c>
    </row>
    <row r="1321" spans="1:9">
      <c r="A1321" s="79">
        <v>282</v>
      </c>
      <c r="B1321" s="79">
        <v>3</v>
      </c>
      <c r="C1321" s="79">
        <v>285</v>
      </c>
      <c r="D1321" s="80">
        <v>43327.562719907408</v>
      </c>
      <c r="E1321" s="81">
        <f t="shared" ca="1" si="10"/>
        <v>43313</v>
      </c>
      <c r="F1321" s="82">
        <f ca="1">IFERROR(__xludf.DUMMYFUNCTION("""COMPUTED_VALUE"""),0.562719907407407)</f>
        <v>0.56271990740740696</v>
      </c>
      <c r="G1321" s="83">
        <f t="shared" ca="1" si="11"/>
        <v>19</v>
      </c>
      <c r="H1321" s="83">
        <f ca="1">IFERROR(__xludf.DUMMYFUNCTION("""COMPUTED_VALUE"""),30)</f>
        <v>30</v>
      </c>
      <c r="I1321" s="83">
        <f ca="1">IFERROR(__xludf.DUMMYFUNCTION("""COMPUTED_VALUE"""),19)</f>
        <v>19</v>
      </c>
    </row>
    <row r="1322" spans="1:9">
      <c r="A1322" s="79">
        <v>316</v>
      </c>
      <c r="B1322" s="79">
        <v>3</v>
      </c>
      <c r="C1322" s="79">
        <v>310</v>
      </c>
      <c r="D1322" s="80">
        <v>43327.573125000003</v>
      </c>
      <c r="E1322" s="81">
        <f t="shared" ca="1" si="10"/>
        <v>43313</v>
      </c>
      <c r="F1322" s="82">
        <f ca="1">IFERROR(__xludf.DUMMYFUNCTION("""COMPUTED_VALUE"""),0.573125)</f>
        <v>0.573125</v>
      </c>
      <c r="G1322" s="83">
        <f t="shared" ca="1" si="11"/>
        <v>19</v>
      </c>
      <c r="H1322" s="83">
        <f ca="1">IFERROR(__xludf.DUMMYFUNCTION("""COMPUTED_VALUE"""),45)</f>
        <v>45</v>
      </c>
      <c r="I1322" s="83">
        <f ca="1">IFERROR(__xludf.DUMMYFUNCTION("""COMPUTED_VALUE"""),18)</f>
        <v>18</v>
      </c>
    </row>
    <row r="1323" spans="1:9">
      <c r="A1323" s="79">
        <v>258</v>
      </c>
      <c r="B1323" s="79">
        <v>3</v>
      </c>
      <c r="C1323" s="79">
        <v>261</v>
      </c>
      <c r="D1323" s="80">
        <v>43327.583541666667</v>
      </c>
      <c r="E1323" s="81">
        <f t="shared" ca="1" si="10"/>
        <v>43313</v>
      </c>
      <c r="F1323" s="82">
        <f ca="1">IFERROR(__xludf.DUMMYFUNCTION("""COMPUTED_VALUE"""),0.583541666666666)</f>
        <v>0.58354166666666596</v>
      </c>
      <c r="G1323" s="83">
        <f t="shared" ca="1" si="11"/>
        <v>19</v>
      </c>
      <c r="H1323" s="83">
        <f ca="1">IFERROR(__xludf.DUMMYFUNCTION("""COMPUTED_VALUE"""),0)</f>
        <v>0</v>
      </c>
      <c r="I1323" s="83">
        <f ca="1">IFERROR(__xludf.DUMMYFUNCTION("""COMPUTED_VALUE"""),18)</f>
        <v>18</v>
      </c>
    </row>
    <row r="1324" spans="1:9">
      <c r="A1324" s="79">
        <v>282</v>
      </c>
      <c r="B1324" s="79">
        <v>2</v>
      </c>
      <c r="C1324" s="79">
        <v>284</v>
      </c>
      <c r="D1324" s="80">
        <v>43327.593969907408</v>
      </c>
      <c r="E1324" s="81">
        <f t="shared" ca="1" si="10"/>
        <v>43313</v>
      </c>
      <c r="F1324" s="82">
        <f ca="1">IFERROR(__xludf.DUMMYFUNCTION("""COMPUTED_VALUE"""),0.593969907407407)</f>
        <v>0.59396990740740696</v>
      </c>
      <c r="G1324" s="83">
        <f t="shared" ca="1" si="11"/>
        <v>19</v>
      </c>
      <c r="H1324" s="83">
        <f ca="1">IFERROR(__xludf.DUMMYFUNCTION("""COMPUTED_VALUE"""),15)</f>
        <v>15</v>
      </c>
      <c r="I1324" s="83">
        <f ca="1">IFERROR(__xludf.DUMMYFUNCTION("""COMPUTED_VALUE"""),19)</f>
        <v>19</v>
      </c>
    </row>
    <row r="1325" spans="1:9">
      <c r="A1325" s="79">
        <v>298</v>
      </c>
      <c r="B1325" s="79">
        <v>2</v>
      </c>
      <c r="C1325" s="79">
        <v>300</v>
      </c>
      <c r="D1325" s="80">
        <v>43327.604375000003</v>
      </c>
      <c r="E1325" s="81">
        <f t="shared" ca="1" si="10"/>
        <v>43313</v>
      </c>
      <c r="F1325" s="82">
        <f ca="1">IFERROR(__xludf.DUMMYFUNCTION("""COMPUTED_VALUE"""),0.604375)</f>
        <v>0.604375</v>
      </c>
      <c r="G1325" s="83">
        <f t="shared" ca="1" si="11"/>
        <v>19</v>
      </c>
      <c r="H1325" s="83">
        <f ca="1">IFERROR(__xludf.DUMMYFUNCTION("""COMPUTED_VALUE"""),30)</f>
        <v>30</v>
      </c>
      <c r="I1325" s="83">
        <f ca="1">IFERROR(__xludf.DUMMYFUNCTION("""COMPUTED_VALUE"""),18)</f>
        <v>18</v>
      </c>
    </row>
    <row r="1326" spans="1:9">
      <c r="A1326" s="79">
        <v>312</v>
      </c>
      <c r="B1326" s="79">
        <v>0</v>
      </c>
      <c r="C1326" s="79">
        <v>312</v>
      </c>
      <c r="D1326" s="80">
        <v>43327.614791666667</v>
      </c>
      <c r="E1326" s="81">
        <f t="shared" ca="1" si="10"/>
        <v>43313</v>
      </c>
      <c r="F1326" s="82">
        <f ca="1">IFERROR(__xludf.DUMMYFUNCTION("""COMPUTED_VALUE"""),0.614791666666666)</f>
        <v>0.61479166666666596</v>
      </c>
      <c r="G1326" s="83">
        <f t="shared" ca="1" si="11"/>
        <v>19</v>
      </c>
      <c r="H1326" s="83">
        <f ca="1">IFERROR(__xludf.DUMMYFUNCTION("""COMPUTED_VALUE"""),45)</f>
        <v>45</v>
      </c>
      <c r="I1326" s="83">
        <f ca="1">IFERROR(__xludf.DUMMYFUNCTION("""COMPUTED_VALUE"""),18)</f>
        <v>18</v>
      </c>
    </row>
    <row r="1327" spans="1:9">
      <c r="A1327" s="79">
        <v>273</v>
      </c>
      <c r="B1327" s="79">
        <v>0</v>
      </c>
      <c r="C1327" s="79">
        <v>269</v>
      </c>
      <c r="D1327" s="80">
        <v>43327.625219907408</v>
      </c>
      <c r="E1327" s="81">
        <f t="shared" ca="1" si="10"/>
        <v>43313</v>
      </c>
      <c r="F1327" s="82">
        <f ca="1">IFERROR(__xludf.DUMMYFUNCTION("""COMPUTED_VALUE"""),0.625219907407407)</f>
        <v>0.62521990740740696</v>
      </c>
      <c r="G1327" s="83">
        <f t="shared" ca="1" si="11"/>
        <v>19</v>
      </c>
      <c r="H1327" s="83">
        <f ca="1">IFERROR(__xludf.DUMMYFUNCTION("""COMPUTED_VALUE"""),0)</f>
        <v>0</v>
      </c>
      <c r="I1327" s="83">
        <f ca="1">IFERROR(__xludf.DUMMYFUNCTION("""COMPUTED_VALUE"""),19)</f>
        <v>19</v>
      </c>
    </row>
    <row r="1328" spans="1:9">
      <c r="A1328" s="79">
        <v>315</v>
      </c>
      <c r="B1328" s="79">
        <v>1</v>
      </c>
      <c r="C1328" s="79">
        <v>312</v>
      </c>
      <c r="D1328" s="80">
        <v>43327.635625000003</v>
      </c>
      <c r="E1328" s="81">
        <f t="shared" ca="1" si="10"/>
        <v>43313</v>
      </c>
      <c r="F1328" s="82">
        <f ca="1">IFERROR(__xludf.DUMMYFUNCTION("""COMPUTED_VALUE"""),0.635625)</f>
        <v>0.635625</v>
      </c>
      <c r="G1328" s="83">
        <f t="shared" ca="1" si="11"/>
        <v>19</v>
      </c>
      <c r="H1328" s="83">
        <f ca="1">IFERROR(__xludf.DUMMYFUNCTION("""COMPUTED_VALUE"""),15)</f>
        <v>15</v>
      </c>
      <c r="I1328" s="83">
        <f ca="1">IFERROR(__xludf.DUMMYFUNCTION("""COMPUTED_VALUE"""),18)</f>
        <v>18</v>
      </c>
    </row>
    <row r="1329" spans="1:9">
      <c r="A1329" s="79">
        <v>339</v>
      </c>
      <c r="B1329" s="79">
        <v>1</v>
      </c>
      <c r="C1329" s="79">
        <v>340</v>
      </c>
      <c r="D1329" s="80">
        <v>43327.646041666667</v>
      </c>
      <c r="E1329" s="81">
        <f t="shared" ca="1" si="10"/>
        <v>43313</v>
      </c>
      <c r="F1329" s="82">
        <f ca="1">IFERROR(__xludf.DUMMYFUNCTION("""COMPUTED_VALUE"""),0.646041666666666)</f>
        <v>0.64604166666666596</v>
      </c>
      <c r="G1329" s="83">
        <f t="shared" ca="1" si="11"/>
        <v>19</v>
      </c>
      <c r="H1329" s="83">
        <f ca="1">IFERROR(__xludf.DUMMYFUNCTION("""COMPUTED_VALUE"""),30)</f>
        <v>30</v>
      </c>
      <c r="I1329" s="83">
        <f ca="1">IFERROR(__xludf.DUMMYFUNCTION("""COMPUTED_VALUE"""),18)</f>
        <v>18</v>
      </c>
    </row>
    <row r="1330" spans="1:9">
      <c r="A1330" s="79">
        <v>332</v>
      </c>
      <c r="B1330" s="79">
        <v>0</v>
      </c>
      <c r="C1330" s="79">
        <v>332</v>
      </c>
      <c r="D1330" s="80">
        <v>43327.656458333331</v>
      </c>
      <c r="E1330" s="81">
        <f t="shared" ca="1" si="10"/>
        <v>43313</v>
      </c>
      <c r="F1330" s="82">
        <f ca="1">IFERROR(__xludf.DUMMYFUNCTION("""COMPUTED_VALUE"""),0.656458333333333)</f>
        <v>0.65645833333333303</v>
      </c>
      <c r="G1330" s="83">
        <f t="shared" ca="1" si="11"/>
        <v>19</v>
      </c>
      <c r="H1330" s="83">
        <f ca="1">IFERROR(__xludf.DUMMYFUNCTION("""COMPUTED_VALUE"""),45)</f>
        <v>45</v>
      </c>
      <c r="I1330" s="83">
        <f ca="1">IFERROR(__xludf.DUMMYFUNCTION("""COMPUTED_VALUE"""),18)</f>
        <v>18</v>
      </c>
    </row>
    <row r="1331" spans="1:9">
      <c r="A1331" s="79">
        <v>308</v>
      </c>
      <c r="B1331" s="79">
        <v>1</v>
      </c>
      <c r="C1331" s="79">
        <v>309</v>
      </c>
      <c r="D1331" s="80">
        <v>43327.666909722226</v>
      </c>
      <c r="E1331" s="81">
        <f t="shared" ca="1" si="10"/>
        <v>43313</v>
      </c>
      <c r="F1331" s="82">
        <f ca="1">IFERROR(__xludf.DUMMYFUNCTION("""COMPUTED_VALUE"""),0.666909722222222)</f>
        <v>0.666909722222222</v>
      </c>
      <c r="G1331" s="83">
        <f t="shared" ca="1" si="11"/>
        <v>19</v>
      </c>
      <c r="H1331" s="83">
        <f ca="1">IFERROR(__xludf.DUMMYFUNCTION("""COMPUTED_VALUE"""),0)</f>
        <v>0</v>
      </c>
      <c r="I1331" s="83">
        <f ca="1">IFERROR(__xludf.DUMMYFUNCTION("""COMPUTED_VALUE"""),21)</f>
        <v>21</v>
      </c>
    </row>
    <row r="1332" spans="1:9">
      <c r="A1332" s="79">
        <v>332</v>
      </c>
      <c r="B1332" s="79">
        <v>3</v>
      </c>
      <c r="C1332" s="79">
        <v>335</v>
      </c>
      <c r="D1332" s="80">
        <v>43327.677291666667</v>
      </c>
      <c r="E1332" s="81">
        <f t="shared" ca="1" si="10"/>
        <v>43313</v>
      </c>
      <c r="F1332" s="82">
        <f ca="1">IFERROR(__xludf.DUMMYFUNCTION("""COMPUTED_VALUE"""),0.677291666666666)</f>
        <v>0.67729166666666596</v>
      </c>
      <c r="G1332" s="83">
        <f t="shared" ca="1" si="11"/>
        <v>19</v>
      </c>
      <c r="H1332" s="83">
        <f ca="1">IFERROR(__xludf.DUMMYFUNCTION("""COMPUTED_VALUE"""),15)</f>
        <v>15</v>
      </c>
      <c r="I1332" s="83">
        <f ca="1">IFERROR(__xludf.DUMMYFUNCTION("""COMPUTED_VALUE"""),18)</f>
        <v>18</v>
      </c>
    </row>
    <row r="1333" spans="1:9">
      <c r="A1333" s="79">
        <v>313</v>
      </c>
      <c r="B1333" s="79">
        <v>4</v>
      </c>
      <c r="C1333" s="79">
        <v>317</v>
      </c>
      <c r="D1333" s="80">
        <v>43327.687719907408</v>
      </c>
      <c r="E1333" s="81">
        <f t="shared" ca="1" si="10"/>
        <v>43313</v>
      </c>
      <c r="F1333" s="82">
        <f ca="1">IFERROR(__xludf.DUMMYFUNCTION("""COMPUTED_VALUE"""),0.687719907407407)</f>
        <v>0.68771990740740696</v>
      </c>
      <c r="G1333" s="83">
        <f t="shared" ca="1" si="11"/>
        <v>19</v>
      </c>
      <c r="H1333" s="83">
        <f ca="1">IFERROR(__xludf.DUMMYFUNCTION("""COMPUTED_VALUE"""),30)</f>
        <v>30</v>
      </c>
      <c r="I1333" s="83">
        <f ca="1">IFERROR(__xludf.DUMMYFUNCTION("""COMPUTED_VALUE"""),19)</f>
        <v>19</v>
      </c>
    </row>
    <row r="1334" spans="1:9">
      <c r="A1334" s="79">
        <v>309</v>
      </c>
      <c r="B1334" s="79">
        <v>3</v>
      </c>
      <c r="C1334" s="79">
        <v>312</v>
      </c>
      <c r="D1334" s="80">
        <v>43327.698125000003</v>
      </c>
      <c r="E1334" s="81">
        <f t="shared" ca="1" si="10"/>
        <v>43313</v>
      </c>
      <c r="F1334" s="82">
        <f ca="1">IFERROR(__xludf.DUMMYFUNCTION("""COMPUTED_VALUE"""),0.698125)</f>
        <v>0.698125</v>
      </c>
      <c r="G1334" s="83">
        <f t="shared" ca="1" si="11"/>
        <v>19</v>
      </c>
      <c r="H1334" s="83">
        <f ca="1">IFERROR(__xludf.DUMMYFUNCTION("""COMPUTED_VALUE"""),45)</f>
        <v>45</v>
      </c>
      <c r="I1334" s="83">
        <f ca="1">IFERROR(__xludf.DUMMYFUNCTION("""COMPUTED_VALUE"""),18)</f>
        <v>18</v>
      </c>
    </row>
    <row r="1335" spans="1:9">
      <c r="A1335" s="79">
        <v>279</v>
      </c>
      <c r="B1335" s="79">
        <v>4</v>
      </c>
      <c r="C1335" s="79">
        <v>283</v>
      </c>
      <c r="D1335" s="80">
        <v>43327.708564814813</v>
      </c>
      <c r="E1335" s="81">
        <f t="shared" ca="1" si="10"/>
        <v>43313</v>
      </c>
      <c r="F1335" s="82">
        <f ca="1">IFERROR(__xludf.DUMMYFUNCTION("""COMPUTED_VALUE"""),0.708564814814814)</f>
        <v>0.70856481481481404</v>
      </c>
      <c r="G1335" s="83">
        <f t="shared" ca="1" si="11"/>
        <v>19</v>
      </c>
      <c r="H1335" s="83">
        <f ca="1">IFERROR(__xludf.DUMMYFUNCTION("""COMPUTED_VALUE"""),0)</f>
        <v>0</v>
      </c>
      <c r="I1335" s="83">
        <f ca="1">IFERROR(__xludf.DUMMYFUNCTION("""COMPUTED_VALUE"""),20)</f>
        <v>20</v>
      </c>
    </row>
    <row r="1336" spans="1:9">
      <c r="A1336" s="79">
        <v>295</v>
      </c>
      <c r="B1336" s="79">
        <v>5</v>
      </c>
      <c r="C1336" s="79">
        <v>300</v>
      </c>
      <c r="D1336" s="80">
        <v>43327.718958333331</v>
      </c>
      <c r="E1336" s="81">
        <f t="shared" ca="1" si="10"/>
        <v>43313</v>
      </c>
      <c r="F1336" s="82">
        <f ca="1">IFERROR(__xludf.DUMMYFUNCTION("""COMPUTED_VALUE"""),0.718958333333333)</f>
        <v>0.71895833333333303</v>
      </c>
      <c r="G1336" s="83">
        <f t="shared" ca="1" si="11"/>
        <v>19</v>
      </c>
      <c r="H1336" s="83">
        <f ca="1">IFERROR(__xludf.DUMMYFUNCTION("""COMPUTED_VALUE"""),15)</f>
        <v>15</v>
      </c>
      <c r="I1336" s="83">
        <f ca="1">IFERROR(__xludf.DUMMYFUNCTION("""COMPUTED_VALUE"""),18)</f>
        <v>18</v>
      </c>
    </row>
    <row r="1337" spans="1:9">
      <c r="A1337" s="79">
        <v>319</v>
      </c>
      <c r="B1337" s="79">
        <v>4</v>
      </c>
      <c r="C1337" s="79">
        <v>320</v>
      </c>
      <c r="D1337" s="80">
        <v>43327.729375000003</v>
      </c>
      <c r="E1337" s="81">
        <f t="shared" ca="1" si="10"/>
        <v>43313</v>
      </c>
      <c r="F1337" s="82">
        <f ca="1">IFERROR(__xludf.DUMMYFUNCTION("""COMPUTED_VALUE"""),0.729375)</f>
        <v>0.729375</v>
      </c>
      <c r="G1337" s="83">
        <f t="shared" ca="1" si="11"/>
        <v>19</v>
      </c>
      <c r="H1337" s="83">
        <f ca="1">IFERROR(__xludf.DUMMYFUNCTION("""COMPUTED_VALUE"""),30)</f>
        <v>30</v>
      </c>
      <c r="I1337" s="83">
        <f ca="1">IFERROR(__xludf.DUMMYFUNCTION("""COMPUTED_VALUE"""),18)</f>
        <v>18</v>
      </c>
    </row>
    <row r="1338" spans="1:9">
      <c r="A1338" s="79">
        <v>287</v>
      </c>
      <c r="B1338" s="79">
        <v>4</v>
      </c>
      <c r="C1338" s="79">
        <v>291</v>
      </c>
      <c r="D1338" s="80">
        <v>43327.739791666667</v>
      </c>
      <c r="E1338" s="81">
        <f t="shared" ca="1" si="10"/>
        <v>43313</v>
      </c>
      <c r="F1338" s="82">
        <f ca="1">IFERROR(__xludf.DUMMYFUNCTION("""COMPUTED_VALUE"""),0.739791666666666)</f>
        <v>0.73979166666666596</v>
      </c>
      <c r="G1338" s="83">
        <f t="shared" ca="1" si="11"/>
        <v>19</v>
      </c>
      <c r="H1338" s="83">
        <f ca="1">IFERROR(__xludf.DUMMYFUNCTION("""COMPUTED_VALUE"""),45)</f>
        <v>45</v>
      </c>
      <c r="I1338" s="83">
        <f ca="1">IFERROR(__xludf.DUMMYFUNCTION("""COMPUTED_VALUE"""),18)</f>
        <v>18</v>
      </c>
    </row>
    <row r="1339" spans="1:9">
      <c r="A1339" s="79">
        <v>297</v>
      </c>
      <c r="B1339" s="79">
        <v>3</v>
      </c>
      <c r="C1339" s="79">
        <v>300</v>
      </c>
      <c r="D1339" s="80">
        <v>43327.750208333331</v>
      </c>
      <c r="E1339" s="81">
        <f t="shared" ca="1" si="10"/>
        <v>43313</v>
      </c>
      <c r="F1339" s="82">
        <f ca="1">IFERROR(__xludf.DUMMYFUNCTION("""COMPUTED_VALUE"""),0.750208333333333)</f>
        <v>0.75020833333333303</v>
      </c>
      <c r="G1339" s="83">
        <f t="shared" ca="1" si="11"/>
        <v>19</v>
      </c>
      <c r="H1339" s="83">
        <f ca="1">IFERROR(__xludf.DUMMYFUNCTION("""COMPUTED_VALUE"""),0)</f>
        <v>0</v>
      </c>
      <c r="I1339" s="83">
        <f ca="1">IFERROR(__xludf.DUMMYFUNCTION("""COMPUTED_VALUE"""),18)</f>
        <v>18</v>
      </c>
    </row>
    <row r="1340" spans="1:9">
      <c r="A1340" s="79">
        <v>359</v>
      </c>
      <c r="B1340" s="79">
        <v>4</v>
      </c>
      <c r="C1340" s="79">
        <v>363</v>
      </c>
      <c r="D1340" s="80">
        <v>43327.760625000003</v>
      </c>
      <c r="E1340" s="81">
        <f t="shared" ca="1" si="10"/>
        <v>43313</v>
      </c>
      <c r="F1340" s="82">
        <f ca="1">IFERROR(__xludf.DUMMYFUNCTION("""COMPUTED_VALUE"""),0.760625)</f>
        <v>0.760625</v>
      </c>
      <c r="G1340" s="83">
        <f t="shared" ca="1" si="11"/>
        <v>19</v>
      </c>
      <c r="H1340" s="83">
        <f ca="1">IFERROR(__xludf.DUMMYFUNCTION("""COMPUTED_VALUE"""),15)</f>
        <v>15</v>
      </c>
      <c r="I1340" s="83">
        <f ca="1">IFERROR(__xludf.DUMMYFUNCTION("""COMPUTED_VALUE"""),18)</f>
        <v>18</v>
      </c>
    </row>
    <row r="1341" spans="1:9">
      <c r="A1341" s="79">
        <v>354</v>
      </c>
      <c r="B1341" s="79">
        <v>4</v>
      </c>
      <c r="C1341" s="79">
        <v>358</v>
      </c>
      <c r="D1341" s="80">
        <v>43327.771041666667</v>
      </c>
      <c r="E1341" s="81">
        <f t="shared" ca="1" si="10"/>
        <v>43313</v>
      </c>
      <c r="F1341" s="82">
        <f ca="1">IFERROR(__xludf.DUMMYFUNCTION("""COMPUTED_VALUE"""),0.771041666666666)</f>
        <v>0.77104166666666596</v>
      </c>
      <c r="G1341" s="83">
        <f t="shared" ca="1" si="11"/>
        <v>19</v>
      </c>
      <c r="H1341" s="83">
        <f ca="1">IFERROR(__xludf.DUMMYFUNCTION("""COMPUTED_VALUE"""),30)</f>
        <v>30</v>
      </c>
      <c r="I1341" s="83">
        <f ca="1">IFERROR(__xludf.DUMMYFUNCTION("""COMPUTED_VALUE"""),18)</f>
        <v>18</v>
      </c>
    </row>
    <row r="1342" spans="1:9">
      <c r="A1342" s="79">
        <v>356</v>
      </c>
      <c r="B1342" s="79">
        <v>2</v>
      </c>
      <c r="C1342" s="79">
        <v>358</v>
      </c>
      <c r="D1342" s="80">
        <v>43327.781458333331</v>
      </c>
      <c r="E1342" s="81">
        <f t="shared" ca="1" si="10"/>
        <v>43313</v>
      </c>
      <c r="F1342" s="82">
        <f ca="1">IFERROR(__xludf.DUMMYFUNCTION("""COMPUTED_VALUE"""),0.781458333333333)</f>
        <v>0.78145833333333303</v>
      </c>
      <c r="G1342" s="83">
        <f t="shared" ca="1" si="11"/>
        <v>19</v>
      </c>
      <c r="H1342" s="83">
        <f ca="1">IFERROR(__xludf.DUMMYFUNCTION("""COMPUTED_VALUE"""),45)</f>
        <v>45</v>
      </c>
      <c r="I1342" s="83">
        <f ca="1">IFERROR(__xludf.DUMMYFUNCTION("""COMPUTED_VALUE"""),18)</f>
        <v>18</v>
      </c>
    </row>
    <row r="1343" spans="1:9">
      <c r="A1343" s="79">
        <v>297</v>
      </c>
      <c r="B1343" s="79">
        <v>3</v>
      </c>
      <c r="C1343" s="79">
        <v>300</v>
      </c>
      <c r="D1343" s="80">
        <v>43327.791863425926</v>
      </c>
      <c r="E1343" s="81">
        <f t="shared" ca="1" si="10"/>
        <v>43313</v>
      </c>
      <c r="F1343" s="82">
        <f ca="1">IFERROR(__xludf.DUMMYFUNCTION("""COMPUTED_VALUE"""),0.791863425925926)</f>
        <v>0.79186342592592596</v>
      </c>
      <c r="G1343" s="83">
        <f t="shared" ca="1" si="11"/>
        <v>19</v>
      </c>
      <c r="H1343" s="83">
        <f ca="1">IFERROR(__xludf.DUMMYFUNCTION("""COMPUTED_VALUE"""),0)</f>
        <v>0</v>
      </c>
      <c r="I1343" s="83">
        <f ca="1">IFERROR(__xludf.DUMMYFUNCTION("""COMPUTED_VALUE"""),17)</f>
        <v>17</v>
      </c>
    </row>
    <row r="1344" spans="1:9">
      <c r="A1344" s="79">
        <v>349</v>
      </c>
      <c r="B1344" s="79">
        <v>6</v>
      </c>
      <c r="C1344" s="79">
        <v>355</v>
      </c>
      <c r="D1344" s="80">
        <v>43327.802291666667</v>
      </c>
      <c r="E1344" s="81">
        <f t="shared" ca="1" si="10"/>
        <v>43313</v>
      </c>
      <c r="F1344" s="82">
        <f ca="1">IFERROR(__xludf.DUMMYFUNCTION("""COMPUTED_VALUE"""),0.802291666666666)</f>
        <v>0.80229166666666596</v>
      </c>
      <c r="G1344" s="83">
        <f t="shared" ca="1" si="11"/>
        <v>19</v>
      </c>
      <c r="H1344" s="83">
        <f ca="1">IFERROR(__xludf.DUMMYFUNCTION("""COMPUTED_VALUE"""),15)</f>
        <v>15</v>
      </c>
      <c r="I1344" s="83">
        <f ca="1">IFERROR(__xludf.DUMMYFUNCTION("""COMPUTED_VALUE"""),18)</f>
        <v>18</v>
      </c>
    </row>
    <row r="1345" spans="1:9">
      <c r="A1345" s="79">
        <v>373</v>
      </c>
      <c r="B1345" s="79">
        <v>6</v>
      </c>
      <c r="C1345" s="79">
        <v>379</v>
      </c>
      <c r="D1345" s="80">
        <v>43327.812696759262</v>
      </c>
      <c r="E1345" s="81">
        <f t="shared" ca="1" si="10"/>
        <v>43313</v>
      </c>
      <c r="F1345" s="82">
        <f ca="1">IFERROR(__xludf.DUMMYFUNCTION("""COMPUTED_VALUE"""),0.812696759259259)</f>
        <v>0.81269675925925899</v>
      </c>
      <c r="G1345" s="83">
        <f t="shared" ca="1" si="11"/>
        <v>19</v>
      </c>
      <c r="H1345" s="83">
        <f ca="1">IFERROR(__xludf.DUMMYFUNCTION("""COMPUTED_VALUE"""),30)</f>
        <v>30</v>
      </c>
      <c r="I1345" s="83">
        <f ca="1">IFERROR(__xludf.DUMMYFUNCTION("""COMPUTED_VALUE"""),17)</f>
        <v>17</v>
      </c>
    </row>
    <row r="1346" spans="1:9">
      <c r="A1346" s="79">
        <v>390</v>
      </c>
      <c r="B1346" s="79">
        <v>5</v>
      </c>
      <c r="C1346" s="79">
        <v>395</v>
      </c>
      <c r="D1346" s="80">
        <v>43327.823125000003</v>
      </c>
      <c r="E1346" s="81">
        <f t="shared" ca="1" si="10"/>
        <v>43313</v>
      </c>
      <c r="F1346" s="82">
        <f ca="1">IFERROR(__xludf.DUMMYFUNCTION("""COMPUTED_VALUE"""),0.823125)</f>
        <v>0.823125</v>
      </c>
      <c r="G1346" s="83">
        <f t="shared" ca="1" si="11"/>
        <v>19</v>
      </c>
      <c r="H1346" s="83">
        <f ca="1">IFERROR(__xludf.DUMMYFUNCTION("""COMPUTED_VALUE"""),45)</f>
        <v>45</v>
      </c>
      <c r="I1346" s="83">
        <f ca="1">IFERROR(__xludf.DUMMYFUNCTION("""COMPUTED_VALUE"""),18)</f>
        <v>18</v>
      </c>
    </row>
    <row r="1347" spans="1:9">
      <c r="A1347" s="79">
        <v>383</v>
      </c>
      <c r="B1347" s="79">
        <v>4</v>
      </c>
      <c r="C1347" s="79">
        <v>387</v>
      </c>
      <c r="D1347" s="80">
        <v>43327.83353009259</v>
      </c>
      <c r="E1347" s="81">
        <f t="shared" ca="1" si="10"/>
        <v>43313</v>
      </c>
      <c r="F1347" s="82">
        <f ca="1">IFERROR(__xludf.DUMMYFUNCTION("""COMPUTED_VALUE"""),0.833530092592592)</f>
        <v>0.83353009259259203</v>
      </c>
      <c r="G1347" s="83">
        <f t="shared" ca="1" si="11"/>
        <v>19</v>
      </c>
      <c r="H1347" s="83">
        <f ca="1">IFERROR(__xludf.DUMMYFUNCTION("""COMPUTED_VALUE"""),0)</f>
        <v>0</v>
      </c>
      <c r="I1347" s="83">
        <f ca="1">IFERROR(__xludf.DUMMYFUNCTION("""COMPUTED_VALUE"""),17)</f>
        <v>17</v>
      </c>
    </row>
    <row r="1348" spans="1:9">
      <c r="A1348" s="79">
        <v>418</v>
      </c>
      <c r="B1348" s="79">
        <v>4</v>
      </c>
      <c r="C1348" s="79">
        <v>422</v>
      </c>
      <c r="D1348" s="80">
        <v>43327.843958333331</v>
      </c>
      <c r="E1348" s="81">
        <f t="shared" ca="1" si="10"/>
        <v>43313</v>
      </c>
      <c r="F1348" s="82">
        <f ca="1">IFERROR(__xludf.DUMMYFUNCTION("""COMPUTED_VALUE"""),0.843958333333333)</f>
        <v>0.84395833333333303</v>
      </c>
      <c r="G1348" s="83">
        <f t="shared" ca="1" si="11"/>
        <v>19</v>
      </c>
      <c r="H1348" s="83">
        <f ca="1">IFERROR(__xludf.DUMMYFUNCTION("""COMPUTED_VALUE"""),15)</f>
        <v>15</v>
      </c>
      <c r="I1348" s="83">
        <f ca="1">IFERROR(__xludf.DUMMYFUNCTION("""COMPUTED_VALUE"""),18)</f>
        <v>18</v>
      </c>
    </row>
    <row r="1349" spans="1:9">
      <c r="A1349" s="79">
        <v>415</v>
      </c>
      <c r="B1349" s="79">
        <v>6</v>
      </c>
      <c r="C1349" s="79">
        <v>421</v>
      </c>
      <c r="D1349" s="80">
        <v>43327.854363425926</v>
      </c>
      <c r="E1349" s="81">
        <f t="shared" ca="1" si="10"/>
        <v>43313</v>
      </c>
      <c r="F1349" s="82">
        <f ca="1">IFERROR(__xludf.DUMMYFUNCTION("""COMPUTED_VALUE"""),0.854363425925926)</f>
        <v>0.85436342592592596</v>
      </c>
      <c r="G1349" s="83">
        <f t="shared" ca="1" si="11"/>
        <v>19</v>
      </c>
      <c r="H1349" s="83">
        <f ca="1">IFERROR(__xludf.DUMMYFUNCTION("""COMPUTED_VALUE"""),30)</f>
        <v>30</v>
      </c>
      <c r="I1349" s="83">
        <f ca="1">IFERROR(__xludf.DUMMYFUNCTION("""COMPUTED_VALUE"""),17)</f>
        <v>17</v>
      </c>
    </row>
    <row r="1350" spans="1:9">
      <c r="A1350" s="79">
        <v>374</v>
      </c>
      <c r="B1350" s="79">
        <v>7</v>
      </c>
      <c r="C1350" s="79">
        <v>381</v>
      </c>
      <c r="D1350" s="80">
        <v>43327.864791666667</v>
      </c>
      <c r="E1350" s="81">
        <f t="shared" ca="1" si="10"/>
        <v>43313</v>
      </c>
      <c r="F1350" s="82">
        <f ca="1">IFERROR(__xludf.DUMMYFUNCTION("""COMPUTED_VALUE"""),0.864791666666666)</f>
        <v>0.86479166666666596</v>
      </c>
      <c r="G1350" s="83">
        <f t="shared" ca="1" si="11"/>
        <v>19</v>
      </c>
      <c r="H1350" s="83">
        <f ca="1">IFERROR(__xludf.DUMMYFUNCTION("""COMPUTED_VALUE"""),45)</f>
        <v>45</v>
      </c>
      <c r="I1350" s="83">
        <f ca="1">IFERROR(__xludf.DUMMYFUNCTION("""COMPUTED_VALUE"""),18)</f>
        <v>18</v>
      </c>
    </row>
    <row r="1351" spans="1:9">
      <c r="A1351" s="79">
        <v>385</v>
      </c>
      <c r="B1351" s="79">
        <v>7</v>
      </c>
      <c r="C1351" s="79">
        <v>392</v>
      </c>
      <c r="D1351" s="80">
        <v>43327.875196759262</v>
      </c>
      <c r="E1351" s="81">
        <f t="shared" ca="1" si="10"/>
        <v>43313</v>
      </c>
      <c r="F1351" s="82">
        <f ca="1">IFERROR(__xludf.DUMMYFUNCTION("""COMPUTED_VALUE"""),0.875196759259259)</f>
        <v>0.87519675925925899</v>
      </c>
      <c r="G1351" s="83">
        <f t="shared" ca="1" si="11"/>
        <v>19</v>
      </c>
      <c r="H1351" s="83">
        <f ca="1">IFERROR(__xludf.DUMMYFUNCTION("""COMPUTED_VALUE"""),0)</f>
        <v>0</v>
      </c>
      <c r="I1351" s="83">
        <f ca="1">IFERROR(__xludf.DUMMYFUNCTION("""COMPUTED_VALUE"""),17)</f>
        <v>17</v>
      </c>
    </row>
    <row r="1352" spans="1:9">
      <c r="A1352" s="79">
        <v>404</v>
      </c>
      <c r="B1352" s="79">
        <v>4</v>
      </c>
      <c r="C1352" s="79">
        <v>408</v>
      </c>
      <c r="D1352" s="80">
        <v>43327.885625000003</v>
      </c>
      <c r="E1352" s="81">
        <f t="shared" ca="1" si="10"/>
        <v>43313</v>
      </c>
      <c r="F1352" s="82">
        <f ca="1">IFERROR(__xludf.DUMMYFUNCTION("""COMPUTED_VALUE"""),0.885625)</f>
        <v>0.885625</v>
      </c>
      <c r="G1352" s="83">
        <f t="shared" ca="1" si="11"/>
        <v>19</v>
      </c>
      <c r="H1352" s="83">
        <f ca="1">IFERROR(__xludf.DUMMYFUNCTION("""COMPUTED_VALUE"""),15)</f>
        <v>15</v>
      </c>
      <c r="I1352" s="83">
        <f ca="1">IFERROR(__xludf.DUMMYFUNCTION("""COMPUTED_VALUE"""),18)</f>
        <v>18</v>
      </c>
    </row>
    <row r="1353" spans="1:9">
      <c r="A1353" s="79">
        <v>398</v>
      </c>
      <c r="B1353" s="79">
        <v>1</v>
      </c>
      <c r="C1353" s="79">
        <v>399</v>
      </c>
      <c r="D1353" s="80">
        <v>43327.89603009259</v>
      </c>
      <c r="E1353" s="81">
        <f t="shared" ca="1" si="10"/>
        <v>43313</v>
      </c>
      <c r="F1353" s="82">
        <f ca="1">IFERROR(__xludf.DUMMYFUNCTION("""COMPUTED_VALUE"""),0.896030092592592)</f>
        <v>0.89603009259259203</v>
      </c>
      <c r="G1353" s="83">
        <f t="shared" ca="1" si="11"/>
        <v>19</v>
      </c>
      <c r="H1353" s="83">
        <f ca="1">IFERROR(__xludf.DUMMYFUNCTION("""COMPUTED_VALUE"""),30)</f>
        <v>30</v>
      </c>
      <c r="I1353" s="83">
        <f ca="1">IFERROR(__xludf.DUMMYFUNCTION("""COMPUTED_VALUE"""),17)</f>
        <v>17</v>
      </c>
    </row>
    <row r="1354" spans="1:9">
      <c r="A1354" s="79">
        <v>468</v>
      </c>
      <c r="B1354" s="79">
        <v>2</v>
      </c>
      <c r="C1354" s="79">
        <v>470</v>
      </c>
      <c r="D1354" s="80">
        <v>43327.906458333331</v>
      </c>
      <c r="E1354" s="81">
        <f t="shared" ca="1" si="10"/>
        <v>43313</v>
      </c>
      <c r="F1354" s="82">
        <f ca="1">IFERROR(__xludf.DUMMYFUNCTION("""COMPUTED_VALUE"""),0.906458333333333)</f>
        <v>0.90645833333333303</v>
      </c>
      <c r="G1354" s="83">
        <f t="shared" ca="1" si="11"/>
        <v>19</v>
      </c>
      <c r="H1354" s="83">
        <f ca="1">IFERROR(__xludf.DUMMYFUNCTION("""COMPUTED_VALUE"""),45)</f>
        <v>45</v>
      </c>
      <c r="I1354" s="83">
        <f ca="1">IFERROR(__xludf.DUMMYFUNCTION("""COMPUTED_VALUE"""),18)</f>
        <v>18</v>
      </c>
    </row>
    <row r="1355" spans="1:9">
      <c r="A1355" s="79">
        <v>394</v>
      </c>
      <c r="B1355" s="79">
        <v>3</v>
      </c>
      <c r="C1355" s="79">
        <v>397</v>
      </c>
      <c r="D1355" s="80">
        <v>43327.916875000003</v>
      </c>
      <c r="E1355" s="81">
        <f t="shared" ca="1" si="10"/>
        <v>43313</v>
      </c>
      <c r="F1355" s="82">
        <f ca="1">IFERROR(__xludf.DUMMYFUNCTION("""COMPUTED_VALUE"""),0.916875)</f>
        <v>0.916875</v>
      </c>
      <c r="G1355" s="83">
        <f t="shared" ca="1" si="11"/>
        <v>19</v>
      </c>
      <c r="H1355" s="83">
        <f ca="1">IFERROR(__xludf.DUMMYFUNCTION("""COMPUTED_VALUE"""),0)</f>
        <v>0</v>
      </c>
      <c r="I1355" s="83">
        <f ca="1">IFERROR(__xludf.DUMMYFUNCTION("""COMPUTED_VALUE"""),18)</f>
        <v>18</v>
      </c>
    </row>
    <row r="1356" spans="1:9">
      <c r="A1356" s="79">
        <v>435</v>
      </c>
      <c r="B1356" s="79">
        <v>5</v>
      </c>
      <c r="C1356" s="79">
        <v>440</v>
      </c>
      <c r="D1356" s="80">
        <v>43327.927291666667</v>
      </c>
      <c r="E1356" s="81">
        <f t="shared" ca="1" si="10"/>
        <v>43313</v>
      </c>
      <c r="F1356" s="82">
        <f ca="1">IFERROR(__xludf.DUMMYFUNCTION("""COMPUTED_VALUE"""),0.927291666666666)</f>
        <v>0.92729166666666596</v>
      </c>
      <c r="G1356" s="83">
        <f t="shared" ca="1" si="11"/>
        <v>19</v>
      </c>
      <c r="H1356" s="83">
        <f ca="1">IFERROR(__xludf.DUMMYFUNCTION("""COMPUTED_VALUE"""),15)</f>
        <v>15</v>
      </c>
      <c r="I1356" s="83">
        <f ca="1">IFERROR(__xludf.DUMMYFUNCTION("""COMPUTED_VALUE"""),18)</f>
        <v>18</v>
      </c>
    </row>
    <row r="1357" spans="1:9">
      <c r="A1357" s="79">
        <v>441</v>
      </c>
      <c r="B1357" s="79">
        <v>4</v>
      </c>
      <c r="C1357" s="79">
        <v>445</v>
      </c>
      <c r="D1357" s="80">
        <v>43327.937696759262</v>
      </c>
      <c r="E1357" s="81">
        <f t="shared" ca="1" si="10"/>
        <v>43313</v>
      </c>
      <c r="F1357" s="82">
        <f ca="1">IFERROR(__xludf.DUMMYFUNCTION("""COMPUTED_VALUE"""),0.937696759259259)</f>
        <v>0.93769675925925899</v>
      </c>
      <c r="G1357" s="83">
        <f t="shared" ca="1" si="11"/>
        <v>19</v>
      </c>
      <c r="H1357" s="83">
        <f ca="1">IFERROR(__xludf.DUMMYFUNCTION("""COMPUTED_VALUE"""),30)</f>
        <v>30</v>
      </c>
      <c r="I1357" s="83">
        <f ca="1">IFERROR(__xludf.DUMMYFUNCTION("""COMPUTED_VALUE"""),17)</f>
        <v>17</v>
      </c>
    </row>
    <row r="1358" spans="1:9">
      <c r="A1358" s="79">
        <v>467</v>
      </c>
      <c r="B1358" s="79">
        <v>2</v>
      </c>
      <c r="C1358" s="79">
        <v>469</v>
      </c>
      <c r="D1358" s="80">
        <v>43327.948125000003</v>
      </c>
      <c r="E1358" s="81">
        <f t="shared" ca="1" si="10"/>
        <v>43313</v>
      </c>
      <c r="F1358" s="82">
        <f ca="1">IFERROR(__xludf.DUMMYFUNCTION("""COMPUTED_VALUE"""),0.948125)</f>
        <v>0.948125</v>
      </c>
      <c r="G1358" s="83">
        <f t="shared" ca="1" si="11"/>
        <v>19</v>
      </c>
      <c r="H1358" s="83">
        <f ca="1">IFERROR(__xludf.DUMMYFUNCTION("""COMPUTED_VALUE"""),45)</f>
        <v>45</v>
      </c>
      <c r="I1358" s="83">
        <f ca="1">IFERROR(__xludf.DUMMYFUNCTION("""COMPUTED_VALUE"""),18)</f>
        <v>18</v>
      </c>
    </row>
    <row r="1359" spans="1:9">
      <c r="A1359" s="79">
        <v>420</v>
      </c>
      <c r="B1359" s="79">
        <v>1</v>
      </c>
      <c r="C1359" s="79">
        <v>421</v>
      </c>
      <c r="D1359" s="80">
        <v>43327.95853009259</v>
      </c>
      <c r="E1359" s="81">
        <f t="shared" ca="1" si="10"/>
        <v>43313</v>
      </c>
      <c r="F1359" s="82">
        <f ca="1">IFERROR(__xludf.DUMMYFUNCTION("""COMPUTED_VALUE"""),0.958530092592592)</f>
        <v>0.95853009259259203</v>
      </c>
      <c r="G1359" s="83">
        <f t="shared" ca="1" si="11"/>
        <v>19</v>
      </c>
      <c r="H1359" s="83">
        <f ca="1">IFERROR(__xludf.DUMMYFUNCTION("""COMPUTED_VALUE"""),0)</f>
        <v>0</v>
      </c>
      <c r="I1359" s="83">
        <f ca="1">IFERROR(__xludf.DUMMYFUNCTION("""COMPUTED_VALUE"""),17)</f>
        <v>17</v>
      </c>
    </row>
    <row r="1360" spans="1:9">
      <c r="A1360" s="79">
        <v>392</v>
      </c>
      <c r="B1360" s="79">
        <v>3</v>
      </c>
      <c r="C1360" s="79">
        <v>391</v>
      </c>
      <c r="D1360" s="80">
        <v>43327.968958333331</v>
      </c>
      <c r="E1360" s="81">
        <f t="shared" ca="1" si="10"/>
        <v>43313</v>
      </c>
      <c r="F1360" s="82">
        <f ca="1">IFERROR(__xludf.DUMMYFUNCTION("""COMPUTED_VALUE"""),0.968958333333333)</f>
        <v>0.96895833333333303</v>
      </c>
      <c r="G1360" s="83">
        <f t="shared" ca="1" si="11"/>
        <v>19</v>
      </c>
      <c r="H1360" s="83">
        <f ca="1">IFERROR(__xludf.DUMMYFUNCTION("""COMPUTED_VALUE"""),15)</f>
        <v>15</v>
      </c>
      <c r="I1360" s="83">
        <f ca="1">IFERROR(__xludf.DUMMYFUNCTION("""COMPUTED_VALUE"""),18)</f>
        <v>18</v>
      </c>
    </row>
    <row r="1361" spans="1:9">
      <c r="A1361" s="79">
        <v>364</v>
      </c>
      <c r="B1361" s="79">
        <v>4</v>
      </c>
      <c r="C1361" s="79">
        <v>368</v>
      </c>
      <c r="D1361" s="80">
        <v>43327.979363425926</v>
      </c>
      <c r="E1361" s="81">
        <f t="shared" ca="1" si="10"/>
        <v>43313</v>
      </c>
      <c r="F1361" s="82">
        <f ca="1">IFERROR(__xludf.DUMMYFUNCTION("""COMPUTED_VALUE"""),0.979363425925926)</f>
        <v>0.97936342592592596</v>
      </c>
      <c r="G1361" s="83">
        <f t="shared" ca="1" si="11"/>
        <v>19</v>
      </c>
      <c r="H1361" s="83">
        <f ca="1">IFERROR(__xludf.DUMMYFUNCTION("""COMPUTED_VALUE"""),30)</f>
        <v>30</v>
      </c>
      <c r="I1361" s="83">
        <f ca="1">IFERROR(__xludf.DUMMYFUNCTION("""COMPUTED_VALUE"""),17)</f>
        <v>17</v>
      </c>
    </row>
    <row r="1362" spans="1:9">
      <c r="A1362" s="79">
        <v>353</v>
      </c>
      <c r="B1362" s="79">
        <v>1</v>
      </c>
      <c r="C1362" s="79">
        <v>354</v>
      </c>
      <c r="D1362" s="80">
        <v>43327.989791666667</v>
      </c>
      <c r="E1362" s="81">
        <f t="shared" ca="1" si="10"/>
        <v>43313</v>
      </c>
      <c r="F1362" s="82">
        <f ca="1">IFERROR(__xludf.DUMMYFUNCTION("""COMPUTED_VALUE"""),0.989791666666666)</f>
        <v>0.98979166666666596</v>
      </c>
      <c r="G1362" s="83">
        <f t="shared" ca="1" si="11"/>
        <v>19</v>
      </c>
      <c r="H1362" s="83">
        <f ca="1">IFERROR(__xludf.DUMMYFUNCTION("""COMPUTED_VALUE"""),45)</f>
        <v>45</v>
      </c>
      <c r="I1362" s="83">
        <f ca="1">IFERROR(__xludf.DUMMYFUNCTION("""COMPUTED_VALUE"""),18)</f>
        <v>18</v>
      </c>
    </row>
    <row r="1363" spans="1:9">
      <c r="A1363" s="79">
        <v>324</v>
      </c>
      <c r="B1363" s="79">
        <v>1</v>
      </c>
      <c r="C1363" s="79">
        <v>325</v>
      </c>
      <c r="D1363" s="80">
        <v>43328.000196759262</v>
      </c>
      <c r="E1363" s="81">
        <f t="shared" ca="1" si="10"/>
        <v>43313</v>
      </c>
      <c r="F1363" s="82">
        <f ca="1">IFERROR(__xludf.DUMMYFUNCTION("""COMPUTED_VALUE"""),0.000196759259259259)</f>
        <v>1.9675925925925899E-4</v>
      </c>
      <c r="G1363" s="83">
        <f t="shared" ca="1" si="11"/>
        <v>19</v>
      </c>
      <c r="H1363" s="83">
        <f ca="1">IFERROR(__xludf.DUMMYFUNCTION("""COMPUTED_VALUE"""),0)</f>
        <v>0</v>
      </c>
      <c r="I1363" s="83">
        <f ca="1">IFERROR(__xludf.DUMMYFUNCTION("""COMPUTED_VALUE"""),17)</f>
        <v>17</v>
      </c>
    </row>
    <row r="1364" spans="1:9">
      <c r="A1364" s="79">
        <v>294</v>
      </c>
      <c r="B1364" s="79">
        <v>4</v>
      </c>
      <c r="C1364" s="79">
        <v>298</v>
      </c>
      <c r="D1364" s="80">
        <v>43328.010625000003</v>
      </c>
      <c r="E1364" s="81">
        <f t="shared" ca="1" si="10"/>
        <v>43313</v>
      </c>
      <c r="F1364" s="82">
        <f ca="1">IFERROR(__xludf.DUMMYFUNCTION("""COMPUTED_VALUE"""),0.010625)</f>
        <v>1.0625000000000001E-2</v>
      </c>
      <c r="G1364" s="83">
        <f t="shared" ca="1" si="11"/>
        <v>19</v>
      </c>
      <c r="H1364" s="83">
        <f ca="1">IFERROR(__xludf.DUMMYFUNCTION("""COMPUTED_VALUE"""),15)</f>
        <v>15</v>
      </c>
      <c r="I1364" s="83">
        <f ca="1">IFERROR(__xludf.DUMMYFUNCTION("""COMPUTED_VALUE"""),18)</f>
        <v>18</v>
      </c>
    </row>
    <row r="1365" spans="1:9">
      <c r="A1365" s="79">
        <v>236</v>
      </c>
      <c r="B1365" s="79">
        <v>6</v>
      </c>
      <c r="C1365" s="79">
        <v>242</v>
      </c>
      <c r="D1365" s="80">
        <v>43328.02103009259</v>
      </c>
      <c r="E1365" s="81">
        <f t="shared" ca="1" si="10"/>
        <v>43313</v>
      </c>
      <c r="F1365" s="82">
        <f ca="1">IFERROR(__xludf.DUMMYFUNCTION("""COMPUTED_VALUE"""),0.0210300925925925)</f>
        <v>2.10300925925925E-2</v>
      </c>
      <c r="G1365" s="83">
        <f t="shared" ca="1" si="11"/>
        <v>19</v>
      </c>
      <c r="H1365" s="83">
        <f ca="1">IFERROR(__xludf.DUMMYFUNCTION("""COMPUTED_VALUE"""),30)</f>
        <v>30</v>
      </c>
      <c r="I1365" s="83">
        <f ca="1">IFERROR(__xludf.DUMMYFUNCTION("""COMPUTED_VALUE"""),17)</f>
        <v>17</v>
      </c>
    </row>
    <row r="1366" spans="1:9">
      <c r="A1366" s="79">
        <v>239</v>
      </c>
      <c r="B1366" s="79">
        <v>6</v>
      </c>
      <c r="C1366" s="79">
        <v>245</v>
      </c>
      <c r="D1366" s="80">
        <v>43328.031446759262</v>
      </c>
      <c r="E1366" s="81">
        <f t="shared" ca="1" si="10"/>
        <v>43313</v>
      </c>
      <c r="F1366" s="82">
        <f ca="1">IFERROR(__xludf.DUMMYFUNCTION("""COMPUTED_VALUE"""),0.0314467592592592)</f>
        <v>3.1446759259259202E-2</v>
      </c>
      <c r="G1366" s="83">
        <f t="shared" ca="1" si="11"/>
        <v>19</v>
      </c>
      <c r="H1366" s="83">
        <f ca="1">IFERROR(__xludf.DUMMYFUNCTION("""COMPUTED_VALUE"""),45)</f>
        <v>45</v>
      </c>
      <c r="I1366" s="83">
        <f ca="1">IFERROR(__xludf.DUMMYFUNCTION("""COMPUTED_VALUE"""),17)</f>
        <v>17</v>
      </c>
    </row>
    <row r="1367" spans="1:9">
      <c r="A1367" s="79">
        <v>236</v>
      </c>
      <c r="B1367" s="79">
        <v>6</v>
      </c>
      <c r="C1367" s="79">
        <v>242</v>
      </c>
      <c r="D1367" s="80">
        <v>43328.041863425926</v>
      </c>
      <c r="E1367" s="81">
        <f t="shared" ca="1" si="10"/>
        <v>43313</v>
      </c>
      <c r="F1367" s="82">
        <f ca="1">IFERROR(__xludf.DUMMYFUNCTION("""COMPUTED_VALUE"""),0.0418634259259259)</f>
        <v>4.1863425925925901E-2</v>
      </c>
      <c r="G1367" s="83">
        <f t="shared" ca="1" si="11"/>
        <v>19</v>
      </c>
      <c r="H1367" s="83">
        <f ca="1">IFERROR(__xludf.DUMMYFUNCTION("""COMPUTED_VALUE"""),0)</f>
        <v>0</v>
      </c>
      <c r="I1367" s="83">
        <f ca="1">IFERROR(__xludf.DUMMYFUNCTION("""COMPUTED_VALUE"""),17)</f>
        <v>17</v>
      </c>
    </row>
    <row r="1368" spans="1:9">
      <c r="A1368" s="79">
        <v>269</v>
      </c>
      <c r="B1368" s="79">
        <v>6</v>
      </c>
      <c r="C1368" s="79">
        <v>275</v>
      </c>
      <c r="D1368" s="80">
        <v>43328.05228009259</v>
      </c>
      <c r="E1368" s="81">
        <f t="shared" ca="1" si="10"/>
        <v>43313</v>
      </c>
      <c r="F1368" s="82">
        <f ca="1">IFERROR(__xludf.DUMMYFUNCTION("""COMPUTED_VALUE"""),0.0522800925925925)</f>
        <v>5.2280092592592503E-2</v>
      </c>
      <c r="G1368" s="83">
        <f t="shared" ca="1" si="11"/>
        <v>19</v>
      </c>
      <c r="H1368" s="83">
        <f ca="1">IFERROR(__xludf.DUMMYFUNCTION("""COMPUTED_VALUE"""),15)</f>
        <v>15</v>
      </c>
      <c r="I1368" s="83">
        <f ca="1">IFERROR(__xludf.DUMMYFUNCTION("""COMPUTED_VALUE"""),17)</f>
        <v>17</v>
      </c>
    </row>
    <row r="1369" spans="1:9">
      <c r="A1369" s="79">
        <v>243</v>
      </c>
      <c r="B1369" s="79">
        <v>5</v>
      </c>
      <c r="C1369" s="79">
        <v>248</v>
      </c>
      <c r="D1369" s="80">
        <v>43328.062708333331</v>
      </c>
      <c r="E1369" s="81">
        <f t="shared" ca="1" si="10"/>
        <v>43313</v>
      </c>
      <c r="F1369" s="82">
        <f ca="1">IFERROR(__xludf.DUMMYFUNCTION("""COMPUTED_VALUE"""),0.0627083333333333)</f>
        <v>6.2708333333333297E-2</v>
      </c>
      <c r="G1369" s="83">
        <f t="shared" ca="1" si="11"/>
        <v>19</v>
      </c>
      <c r="H1369" s="83">
        <f ca="1">IFERROR(__xludf.DUMMYFUNCTION("""COMPUTED_VALUE"""),30)</f>
        <v>30</v>
      </c>
      <c r="I1369" s="83">
        <f ca="1">IFERROR(__xludf.DUMMYFUNCTION("""COMPUTED_VALUE"""),18)</f>
        <v>18</v>
      </c>
    </row>
    <row r="1370" spans="1:9">
      <c r="A1370" s="79">
        <v>247</v>
      </c>
      <c r="B1370" s="79">
        <v>4</v>
      </c>
      <c r="C1370" s="79">
        <v>251</v>
      </c>
      <c r="D1370" s="80">
        <v>43328.073113425926</v>
      </c>
      <c r="E1370" s="81">
        <f t="shared" ca="1" si="10"/>
        <v>43313</v>
      </c>
      <c r="F1370" s="82">
        <f ca="1">IFERROR(__xludf.DUMMYFUNCTION("""COMPUTED_VALUE"""),0.0731134259259259)</f>
        <v>7.3113425925925901E-2</v>
      </c>
      <c r="G1370" s="83">
        <f t="shared" ca="1" si="11"/>
        <v>19</v>
      </c>
      <c r="H1370" s="83">
        <f ca="1">IFERROR(__xludf.DUMMYFUNCTION("""COMPUTED_VALUE"""),45)</f>
        <v>45</v>
      </c>
      <c r="I1370" s="83">
        <f ca="1">IFERROR(__xludf.DUMMYFUNCTION("""COMPUTED_VALUE"""),17)</f>
        <v>17</v>
      </c>
    </row>
    <row r="1371" spans="1:9">
      <c r="A1371" s="79">
        <v>236</v>
      </c>
      <c r="B1371" s="79">
        <v>1</v>
      </c>
      <c r="C1371" s="79">
        <v>237</v>
      </c>
      <c r="D1371" s="80">
        <v>43328.08353009259</v>
      </c>
      <c r="E1371" s="81">
        <f t="shared" ca="1" si="10"/>
        <v>43313</v>
      </c>
      <c r="F1371" s="82">
        <f ca="1">IFERROR(__xludf.DUMMYFUNCTION("""COMPUTED_VALUE"""),0.0835300925925925)</f>
        <v>8.3530092592592503E-2</v>
      </c>
      <c r="G1371" s="83">
        <f t="shared" ca="1" si="11"/>
        <v>19</v>
      </c>
      <c r="H1371" s="83">
        <f ca="1">IFERROR(__xludf.DUMMYFUNCTION("""COMPUTED_VALUE"""),0)</f>
        <v>0</v>
      </c>
      <c r="I1371" s="83">
        <f ca="1">IFERROR(__xludf.DUMMYFUNCTION("""COMPUTED_VALUE"""),17)</f>
        <v>17</v>
      </c>
    </row>
    <row r="1372" spans="1:9">
      <c r="A1372" s="79">
        <v>243</v>
      </c>
      <c r="B1372" s="79">
        <v>3</v>
      </c>
      <c r="C1372" s="79">
        <v>246</v>
      </c>
      <c r="D1372" s="80">
        <v>43328.093958333331</v>
      </c>
      <c r="E1372" s="81">
        <f t="shared" ca="1" si="10"/>
        <v>43313</v>
      </c>
      <c r="F1372" s="82">
        <f ca="1">IFERROR(__xludf.DUMMYFUNCTION("""COMPUTED_VALUE"""),0.0939583333333333)</f>
        <v>9.3958333333333297E-2</v>
      </c>
      <c r="G1372" s="83">
        <f t="shared" ca="1" si="11"/>
        <v>19</v>
      </c>
      <c r="H1372" s="83">
        <f ca="1">IFERROR(__xludf.DUMMYFUNCTION("""COMPUTED_VALUE"""),15)</f>
        <v>15</v>
      </c>
      <c r="I1372" s="83">
        <f ca="1">IFERROR(__xludf.DUMMYFUNCTION("""COMPUTED_VALUE"""),18)</f>
        <v>18</v>
      </c>
    </row>
    <row r="1373" spans="1:9">
      <c r="A1373" s="79">
        <v>259</v>
      </c>
      <c r="B1373" s="79">
        <v>11</v>
      </c>
      <c r="C1373" s="79">
        <v>261</v>
      </c>
      <c r="D1373" s="80">
        <v>43328.104363425926</v>
      </c>
      <c r="E1373" s="81">
        <f t="shared" ca="1" si="10"/>
        <v>43313</v>
      </c>
      <c r="F1373" s="82">
        <f ca="1">IFERROR(__xludf.DUMMYFUNCTION("""COMPUTED_VALUE"""),0.104363425925925)</f>
        <v>0.104363425925925</v>
      </c>
      <c r="G1373" s="83">
        <f t="shared" ca="1" si="11"/>
        <v>19</v>
      </c>
      <c r="H1373" s="83">
        <f ca="1">IFERROR(__xludf.DUMMYFUNCTION("""COMPUTED_VALUE"""),30)</f>
        <v>30</v>
      </c>
      <c r="I1373" s="83">
        <f ca="1">IFERROR(__xludf.DUMMYFUNCTION("""COMPUTED_VALUE"""),17)</f>
        <v>17</v>
      </c>
    </row>
    <row r="1374" spans="1:9">
      <c r="A1374" s="79">
        <v>246</v>
      </c>
      <c r="B1374" s="79">
        <v>8</v>
      </c>
      <c r="C1374" s="79">
        <v>254</v>
      </c>
      <c r="D1374" s="80">
        <v>43328.11478009259</v>
      </c>
      <c r="E1374" s="81">
        <f t="shared" ca="1" si="10"/>
        <v>43313</v>
      </c>
      <c r="F1374" s="82">
        <f ca="1">IFERROR(__xludf.DUMMYFUNCTION("""COMPUTED_VALUE"""),0.114780092592592)</f>
        <v>0.114780092592592</v>
      </c>
      <c r="G1374" s="83">
        <f t="shared" ca="1" si="11"/>
        <v>19</v>
      </c>
      <c r="H1374" s="83">
        <f ca="1">IFERROR(__xludf.DUMMYFUNCTION("""COMPUTED_VALUE"""),45)</f>
        <v>45</v>
      </c>
      <c r="I1374" s="83">
        <f ca="1">IFERROR(__xludf.DUMMYFUNCTION("""COMPUTED_VALUE"""),17)</f>
        <v>17</v>
      </c>
    </row>
    <row r="1375" spans="1:9">
      <c r="A1375" s="79">
        <v>182</v>
      </c>
      <c r="B1375" s="79">
        <v>4</v>
      </c>
      <c r="C1375" s="79">
        <v>186</v>
      </c>
      <c r="D1375" s="80">
        <v>43328.125196759262</v>
      </c>
      <c r="E1375" s="81">
        <f t="shared" ca="1" si="10"/>
        <v>43313</v>
      </c>
      <c r="F1375" s="82">
        <f ca="1">IFERROR(__xludf.DUMMYFUNCTION("""COMPUTED_VALUE"""),0.125196759259259)</f>
        <v>0.12519675925925899</v>
      </c>
      <c r="G1375" s="83">
        <f t="shared" ca="1" si="11"/>
        <v>19</v>
      </c>
      <c r="H1375" s="83">
        <f ca="1">IFERROR(__xludf.DUMMYFUNCTION("""COMPUTED_VALUE"""),0)</f>
        <v>0</v>
      </c>
      <c r="I1375" s="83">
        <f ca="1">IFERROR(__xludf.DUMMYFUNCTION("""COMPUTED_VALUE"""),17)</f>
        <v>17</v>
      </c>
    </row>
    <row r="1376" spans="1:9">
      <c r="A1376" s="79">
        <v>164</v>
      </c>
      <c r="B1376" s="79">
        <v>4</v>
      </c>
      <c r="C1376" s="79">
        <v>168</v>
      </c>
      <c r="D1376" s="80">
        <v>43328.135601851849</v>
      </c>
      <c r="E1376" s="81">
        <f t="shared" ca="1" si="10"/>
        <v>43313</v>
      </c>
      <c r="F1376" s="82">
        <f ca="1">IFERROR(__xludf.DUMMYFUNCTION("""COMPUTED_VALUE"""),0.135601851851851)</f>
        <v>0.135601851851851</v>
      </c>
      <c r="G1376" s="83">
        <f t="shared" ca="1" si="11"/>
        <v>19</v>
      </c>
      <c r="H1376" s="83">
        <f ca="1">IFERROR(__xludf.DUMMYFUNCTION("""COMPUTED_VALUE"""),15)</f>
        <v>15</v>
      </c>
      <c r="I1376" s="83">
        <f ca="1">IFERROR(__xludf.DUMMYFUNCTION("""COMPUTED_VALUE"""),16)</f>
        <v>16</v>
      </c>
    </row>
    <row r="1377" spans="1:9">
      <c r="A1377" s="79">
        <v>185</v>
      </c>
      <c r="B1377" s="79">
        <v>4</v>
      </c>
      <c r="C1377" s="79">
        <v>189</v>
      </c>
      <c r="D1377" s="80">
        <v>43328.14603009259</v>
      </c>
      <c r="E1377" s="81">
        <f t="shared" ca="1" si="10"/>
        <v>43313</v>
      </c>
      <c r="F1377" s="82">
        <f ca="1">IFERROR(__xludf.DUMMYFUNCTION("""COMPUTED_VALUE"""),0.146030092592592)</f>
        <v>0.146030092592592</v>
      </c>
      <c r="G1377" s="83">
        <f t="shared" ca="1" si="11"/>
        <v>19</v>
      </c>
      <c r="H1377" s="83">
        <f ca="1">IFERROR(__xludf.DUMMYFUNCTION("""COMPUTED_VALUE"""),30)</f>
        <v>30</v>
      </c>
      <c r="I1377" s="83">
        <f ca="1">IFERROR(__xludf.DUMMYFUNCTION("""COMPUTED_VALUE"""),17)</f>
        <v>17</v>
      </c>
    </row>
    <row r="1378" spans="1:9">
      <c r="A1378" s="79">
        <v>142</v>
      </c>
      <c r="B1378" s="79">
        <v>5</v>
      </c>
      <c r="C1378" s="79">
        <v>147</v>
      </c>
      <c r="D1378" s="80">
        <v>43328.156446759262</v>
      </c>
      <c r="E1378" s="81">
        <f t="shared" ca="1" si="10"/>
        <v>43313</v>
      </c>
      <c r="F1378" s="82">
        <f ca="1">IFERROR(__xludf.DUMMYFUNCTION("""COMPUTED_VALUE"""),0.156446759259259)</f>
        <v>0.15644675925925899</v>
      </c>
      <c r="G1378" s="83">
        <f t="shared" ca="1" si="11"/>
        <v>19</v>
      </c>
      <c r="H1378" s="83">
        <f ca="1">IFERROR(__xludf.DUMMYFUNCTION("""COMPUTED_VALUE"""),45)</f>
        <v>45</v>
      </c>
      <c r="I1378" s="83">
        <f ca="1">IFERROR(__xludf.DUMMYFUNCTION("""COMPUTED_VALUE"""),17)</f>
        <v>17</v>
      </c>
    </row>
    <row r="1379" spans="1:9">
      <c r="A1379" s="79">
        <v>124</v>
      </c>
      <c r="B1379" s="79">
        <v>5</v>
      </c>
      <c r="C1379" s="79">
        <v>129</v>
      </c>
      <c r="D1379" s="80">
        <v>43328.166863425926</v>
      </c>
      <c r="E1379" s="81">
        <f t="shared" ca="1" si="10"/>
        <v>43313</v>
      </c>
      <c r="F1379" s="82">
        <f ca="1">IFERROR(__xludf.DUMMYFUNCTION("""COMPUTED_VALUE"""),0.166863425925925)</f>
        <v>0.16686342592592501</v>
      </c>
      <c r="G1379" s="83">
        <f t="shared" ca="1" si="11"/>
        <v>19</v>
      </c>
      <c r="H1379" s="83">
        <f ca="1">IFERROR(__xludf.DUMMYFUNCTION("""COMPUTED_VALUE"""),0)</f>
        <v>0</v>
      </c>
      <c r="I1379" s="83">
        <f ca="1">IFERROR(__xludf.DUMMYFUNCTION("""COMPUTED_VALUE"""),17)</f>
        <v>17</v>
      </c>
    </row>
    <row r="1380" spans="1:9">
      <c r="A1380" s="79">
        <v>46</v>
      </c>
      <c r="B1380" s="79">
        <v>1</v>
      </c>
      <c r="C1380" s="79">
        <v>47</v>
      </c>
      <c r="D1380" s="80">
        <v>43328.177268518521</v>
      </c>
      <c r="E1380" s="81">
        <f t="shared" ca="1" si="10"/>
        <v>43313</v>
      </c>
      <c r="F1380" s="82">
        <f ca="1">IFERROR(__xludf.DUMMYFUNCTION("""COMPUTED_VALUE"""),0.177268518518518)</f>
        <v>0.17726851851851799</v>
      </c>
      <c r="G1380" s="83">
        <f t="shared" ca="1" si="11"/>
        <v>19</v>
      </c>
      <c r="H1380" s="83">
        <f ca="1">IFERROR(__xludf.DUMMYFUNCTION("""COMPUTED_VALUE"""),15)</f>
        <v>15</v>
      </c>
      <c r="I1380" s="83">
        <f ca="1">IFERROR(__xludf.DUMMYFUNCTION("""COMPUTED_VALUE"""),16)</f>
        <v>16</v>
      </c>
    </row>
    <row r="1381" spans="1:9">
      <c r="A1381" s="79">
        <v>27</v>
      </c>
      <c r="B1381" s="79">
        <v>0</v>
      </c>
      <c r="C1381" s="79">
        <v>27</v>
      </c>
      <c r="D1381" s="80">
        <v>43328.187696759262</v>
      </c>
      <c r="E1381" s="81">
        <f t="shared" ca="1" si="10"/>
        <v>43313</v>
      </c>
      <c r="F1381" s="82">
        <f ca="1">IFERROR(__xludf.DUMMYFUNCTION("""COMPUTED_VALUE"""),0.187696759259259)</f>
        <v>0.18769675925925899</v>
      </c>
      <c r="G1381" s="83">
        <f t="shared" ca="1" si="11"/>
        <v>19</v>
      </c>
      <c r="H1381" s="83">
        <f ca="1">IFERROR(__xludf.DUMMYFUNCTION("""COMPUTED_VALUE"""),30)</f>
        <v>30</v>
      </c>
      <c r="I1381" s="83">
        <f ca="1">IFERROR(__xludf.DUMMYFUNCTION("""COMPUTED_VALUE"""),17)</f>
        <v>17</v>
      </c>
    </row>
    <row r="1382" spans="1:9">
      <c r="A1382" s="79">
        <v>25</v>
      </c>
      <c r="B1382" s="79">
        <v>0</v>
      </c>
      <c r="C1382" s="79">
        <v>25</v>
      </c>
      <c r="D1382" s="80">
        <v>43328.198113425926</v>
      </c>
      <c r="E1382" s="81">
        <f t="shared" ca="1" si="10"/>
        <v>43313</v>
      </c>
      <c r="F1382" s="82">
        <f ca="1">IFERROR(__xludf.DUMMYFUNCTION("""COMPUTED_VALUE"""),0.198113425925925)</f>
        <v>0.19811342592592501</v>
      </c>
      <c r="G1382" s="83">
        <f t="shared" ca="1" si="11"/>
        <v>19</v>
      </c>
      <c r="H1382" s="83">
        <f ca="1">IFERROR(__xludf.DUMMYFUNCTION("""COMPUTED_VALUE"""),45)</f>
        <v>45</v>
      </c>
      <c r="I1382" s="83">
        <f ca="1">IFERROR(__xludf.DUMMYFUNCTION("""COMPUTED_VALUE"""),17)</f>
        <v>17</v>
      </c>
    </row>
    <row r="1383" spans="1:9">
      <c r="A1383" s="79">
        <v>23</v>
      </c>
      <c r="B1383" s="79">
        <v>0</v>
      </c>
      <c r="C1383" s="79">
        <v>23</v>
      </c>
      <c r="D1383" s="80">
        <v>43328.20853009259</v>
      </c>
      <c r="E1383" s="81">
        <f t="shared" ca="1" si="10"/>
        <v>43313</v>
      </c>
      <c r="F1383" s="82">
        <f ca="1">IFERROR(__xludf.DUMMYFUNCTION("""COMPUTED_VALUE"""),0.208530092592592)</f>
        <v>0.208530092592592</v>
      </c>
      <c r="G1383" s="83">
        <f t="shared" ca="1" si="11"/>
        <v>19</v>
      </c>
      <c r="H1383" s="83">
        <f ca="1">IFERROR(__xludf.DUMMYFUNCTION("""COMPUTED_VALUE"""),0)</f>
        <v>0</v>
      </c>
      <c r="I1383" s="83">
        <f ca="1">IFERROR(__xludf.DUMMYFUNCTION("""COMPUTED_VALUE"""),17)</f>
        <v>17</v>
      </c>
    </row>
    <row r="1384" spans="1:9">
      <c r="A1384" s="79">
        <v>23</v>
      </c>
      <c r="B1384" s="79">
        <v>0</v>
      </c>
      <c r="C1384" s="79">
        <v>23</v>
      </c>
      <c r="D1384" s="80">
        <v>43328.218946759262</v>
      </c>
      <c r="E1384" s="81">
        <f t="shared" ca="1" si="10"/>
        <v>43313</v>
      </c>
      <c r="F1384" s="82">
        <f ca="1">IFERROR(__xludf.DUMMYFUNCTION("""COMPUTED_VALUE"""),0.218946759259259)</f>
        <v>0.21894675925925899</v>
      </c>
      <c r="G1384" s="83">
        <f t="shared" ca="1" si="11"/>
        <v>19</v>
      </c>
      <c r="H1384" s="83">
        <f ca="1">IFERROR(__xludf.DUMMYFUNCTION("""COMPUTED_VALUE"""),15)</f>
        <v>15</v>
      </c>
      <c r="I1384" s="83">
        <f ca="1">IFERROR(__xludf.DUMMYFUNCTION("""COMPUTED_VALUE"""),17)</f>
        <v>17</v>
      </c>
    </row>
    <row r="1385" spans="1:9">
      <c r="A1385" s="79">
        <v>23</v>
      </c>
      <c r="B1385" s="79">
        <v>0</v>
      </c>
      <c r="C1385" s="79">
        <v>23</v>
      </c>
      <c r="D1385" s="80">
        <v>43328.229363425926</v>
      </c>
      <c r="E1385" s="81">
        <f t="shared" ca="1" si="10"/>
        <v>43313</v>
      </c>
      <c r="F1385" s="82">
        <f ca="1">IFERROR(__xludf.DUMMYFUNCTION("""COMPUTED_VALUE"""),0.229363425925925)</f>
        <v>0.22936342592592501</v>
      </c>
      <c r="G1385" s="83">
        <f t="shared" ca="1" si="11"/>
        <v>19</v>
      </c>
      <c r="H1385" s="83">
        <f ca="1">IFERROR(__xludf.DUMMYFUNCTION("""COMPUTED_VALUE"""),30)</f>
        <v>30</v>
      </c>
      <c r="I1385" s="83">
        <f ca="1">IFERROR(__xludf.DUMMYFUNCTION("""COMPUTED_VALUE"""),17)</f>
        <v>17</v>
      </c>
    </row>
    <row r="1386" spans="1:9">
      <c r="A1386" s="79">
        <v>23</v>
      </c>
      <c r="B1386" s="79">
        <v>0</v>
      </c>
      <c r="C1386" s="79">
        <v>23</v>
      </c>
      <c r="D1386" s="80">
        <v>43328.239768518521</v>
      </c>
      <c r="E1386" s="81">
        <f t="shared" ca="1" si="10"/>
        <v>43313</v>
      </c>
      <c r="F1386" s="82">
        <f ca="1">IFERROR(__xludf.DUMMYFUNCTION("""COMPUTED_VALUE"""),0.239768518518518)</f>
        <v>0.23976851851851799</v>
      </c>
      <c r="G1386" s="83">
        <f t="shared" ca="1" si="11"/>
        <v>19</v>
      </c>
      <c r="H1386" s="83">
        <f ca="1">IFERROR(__xludf.DUMMYFUNCTION("""COMPUTED_VALUE"""),45)</f>
        <v>45</v>
      </c>
      <c r="I1386" s="83">
        <f ca="1">IFERROR(__xludf.DUMMYFUNCTION("""COMPUTED_VALUE"""),16)</f>
        <v>16</v>
      </c>
    </row>
    <row r="1387" spans="1:9">
      <c r="A1387" s="79">
        <v>22</v>
      </c>
      <c r="B1387" s="79">
        <v>0</v>
      </c>
      <c r="C1387" s="79">
        <v>22</v>
      </c>
      <c r="D1387" s="80">
        <v>43328.250208333331</v>
      </c>
      <c r="E1387" s="81">
        <f t="shared" ca="1" si="10"/>
        <v>43313</v>
      </c>
      <c r="F1387" s="82">
        <f ca="1">IFERROR(__xludf.DUMMYFUNCTION("""COMPUTED_VALUE"""),0.250208333333333)</f>
        <v>0.25020833333333298</v>
      </c>
      <c r="G1387" s="83">
        <f t="shared" ca="1" si="11"/>
        <v>19</v>
      </c>
      <c r="H1387" s="83">
        <f ca="1">IFERROR(__xludf.DUMMYFUNCTION("""COMPUTED_VALUE"""),0)</f>
        <v>0</v>
      </c>
      <c r="I1387" s="83">
        <f ca="1">IFERROR(__xludf.DUMMYFUNCTION("""COMPUTED_VALUE"""),18)</f>
        <v>18</v>
      </c>
    </row>
    <row r="1388" spans="1:9">
      <c r="A1388" s="79">
        <v>22</v>
      </c>
      <c r="B1388" s="79">
        <v>0</v>
      </c>
      <c r="C1388" s="79">
        <v>22</v>
      </c>
      <c r="D1388" s="80">
        <v>43328.260601851849</v>
      </c>
      <c r="E1388" s="81">
        <f t="shared" ca="1" si="10"/>
        <v>43313</v>
      </c>
      <c r="F1388" s="82">
        <f ca="1">IFERROR(__xludf.DUMMYFUNCTION("""COMPUTED_VALUE"""),0.260601851851851)</f>
        <v>0.26060185185185097</v>
      </c>
      <c r="G1388" s="83">
        <f t="shared" ca="1" si="11"/>
        <v>19</v>
      </c>
      <c r="H1388" s="83">
        <f ca="1">IFERROR(__xludf.DUMMYFUNCTION("""COMPUTED_VALUE"""),15)</f>
        <v>15</v>
      </c>
      <c r="I1388" s="83">
        <f ca="1">IFERROR(__xludf.DUMMYFUNCTION("""COMPUTED_VALUE"""),16)</f>
        <v>16</v>
      </c>
    </row>
    <row r="1389" spans="1:9">
      <c r="A1389" s="79">
        <v>22</v>
      </c>
      <c r="B1389" s="79">
        <v>0</v>
      </c>
      <c r="C1389" s="79">
        <v>22</v>
      </c>
      <c r="D1389" s="80">
        <v>43328.273761574077</v>
      </c>
      <c r="E1389" s="81">
        <f t="shared" ca="1" si="10"/>
        <v>43313</v>
      </c>
      <c r="F1389" s="82">
        <f ca="1">IFERROR(__xludf.DUMMYFUNCTION("""COMPUTED_VALUE"""),0.273761574074074)</f>
        <v>0.27376157407407398</v>
      </c>
      <c r="G1389" s="83">
        <f t="shared" ca="1" si="11"/>
        <v>19</v>
      </c>
      <c r="H1389" s="83">
        <f ca="1">IFERROR(__xludf.DUMMYFUNCTION("""COMPUTED_VALUE"""),34)</f>
        <v>34</v>
      </c>
      <c r="I1389" s="83">
        <f ca="1">IFERROR(__xludf.DUMMYFUNCTION("""COMPUTED_VALUE"""),13)</f>
        <v>13</v>
      </c>
    </row>
    <row r="1390" spans="1:9">
      <c r="A1390" s="79">
        <v>31</v>
      </c>
      <c r="B1390" s="79">
        <v>0</v>
      </c>
      <c r="C1390" s="79">
        <v>22</v>
      </c>
      <c r="D1390" s="80">
        <v>43328.281446759262</v>
      </c>
      <c r="E1390" s="81">
        <f t="shared" ca="1" si="10"/>
        <v>43313</v>
      </c>
      <c r="F1390" s="82">
        <f ca="1">IFERROR(__xludf.DUMMYFUNCTION("""COMPUTED_VALUE"""),0.281446759259259)</f>
        <v>0.28144675925925899</v>
      </c>
      <c r="G1390" s="83">
        <f t="shared" ca="1" si="11"/>
        <v>19</v>
      </c>
      <c r="H1390" s="83">
        <f ca="1">IFERROR(__xludf.DUMMYFUNCTION("""COMPUTED_VALUE"""),45)</f>
        <v>45</v>
      </c>
      <c r="I1390" s="83">
        <f ca="1">IFERROR(__xludf.DUMMYFUNCTION("""COMPUTED_VALUE"""),17)</f>
        <v>17</v>
      </c>
    </row>
    <row r="1391" spans="1:9">
      <c r="A1391" s="79">
        <v>27</v>
      </c>
      <c r="B1391" s="79">
        <v>0</v>
      </c>
      <c r="C1391" s="79">
        <v>27</v>
      </c>
      <c r="D1391" s="80">
        <v>43328.291851851849</v>
      </c>
      <c r="E1391" s="81">
        <f t="shared" ca="1" si="10"/>
        <v>43313</v>
      </c>
      <c r="F1391" s="82">
        <f ca="1">IFERROR(__xludf.DUMMYFUNCTION("""COMPUTED_VALUE"""),0.291851851851851)</f>
        <v>0.29185185185185097</v>
      </c>
      <c r="G1391" s="83">
        <f t="shared" ca="1" si="11"/>
        <v>19</v>
      </c>
      <c r="H1391" s="83">
        <f ca="1">IFERROR(__xludf.DUMMYFUNCTION("""COMPUTED_VALUE"""),0)</f>
        <v>0</v>
      </c>
      <c r="I1391" s="83">
        <f ca="1">IFERROR(__xludf.DUMMYFUNCTION("""COMPUTED_VALUE"""),16)</f>
        <v>16</v>
      </c>
    </row>
    <row r="1392" spans="1:9">
      <c r="A1392" s="79">
        <v>57</v>
      </c>
      <c r="B1392" s="79">
        <v>0</v>
      </c>
      <c r="C1392" s="79">
        <v>57</v>
      </c>
      <c r="D1392" s="80">
        <v>43328.302303240744</v>
      </c>
      <c r="E1392" s="81">
        <f t="shared" ca="1" si="10"/>
        <v>43313</v>
      </c>
      <c r="F1392" s="82">
        <f ca="1">IFERROR(__xludf.DUMMYFUNCTION("""COMPUTED_VALUE"""),0.30230324074074)</f>
        <v>0.30230324074074</v>
      </c>
      <c r="G1392" s="83">
        <f t="shared" ca="1" si="11"/>
        <v>19</v>
      </c>
      <c r="H1392" s="83">
        <f ca="1">IFERROR(__xludf.DUMMYFUNCTION("""COMPUTED_VALUE"""),15)</f>
        <v>15</v>
      </c>
      <c r="I1392" s="83">
        <f ca="1">IFERROR(__xludf.DUMMYFUNCTION("""COMPUTED_VALUE"""),19)</f>
        <v>19</v>
      </c>
    </row>
    <row r="1393" spans="1:9">
      <c r="A1393" s="79">
        <v>66</v>
      </c>
      <c r="B1393" s="79">
        <v>0</v>
      </c>
      <c r="C1393" s="79">
        <v>66</v>
      </c>
      <c r="D1393" s="80">
        <v>43328.312708333331</v>
      </c>
      <c r="E1393" s="81">
        <f t="shared" ca="1" si="10"/>
        <v>43313</v>
      </c>
      <c r="F1393" s="82">
        <f ca="1">IFERROR(__xludf.DUMMYFUNCTION("""COMPUTED_VALUE"""),0.312708333333333)</f>
        <v>0.31270833333333298</v>
      </c>
      <c r="G1393" s="83">
        <f t="shared" ca="1" si="11"/>
        <v>19</v>
      </c>
      <c r="H1393" s="83">
        <f ca="1">IFERROR(__xludf.DUMMYFUNCTION("""COMPUTED_VALUE"""),30)</f>
        <v>30</v>
      </c>
      <c r="I1393" s="83">
        <f ca="1">IFERROR(__xludf.DUMMYFUNCTION("""COMPUTED_VALUE"""),18)</f>
        <v>18</v>
      </c>
    </row>
    <row r="1394" spans="1:9">
      <c r="A1394" s="79">
        <v>66</v>
      </c>
      <c r="B1394" s="79">
        <v>0</v>
      </c>
      <c r="C1394" s="79">
        <v>66</v>
      </c>
      <c r="D1394" s="80">
        <v>43328.323125000003</v>
      </c>
      <c r="E1394" s="81">
        <f t="shared" ca="1" si="10"/>
        <v>43313</v>
      </c>
      <c r="F1394" s="82">
        <f ca="1">IFERROR(__xludf.DUMMYFUNCTION("""COMPUTED_VALUE"""),0.323125)</f>
        <v>0.323125</v>
      </c>
      <c r="G1394" s="83">
        <f t="shared" ca="1" si="11"/>
        <v>19</v>
      </c>
      <c r="H1394" s="83">
        <f ca="1">IFERROR(__xludf.DUMMYFUNCTION("""COMPUTED_VALUE"""),45)</f>
        <v>45</v>
      </c>
      <c r="I1394" s="83">
        <f ca="1">IFERROR(__xludf.DUMMYFUNCTION("""COMPUTED_VALUE"""),18)</f>
        <v>18</v>
      </c>
    </row>
    <row r="1395" spans="1:9">
      <c r="A1395" s="79">
        <v>55</v>
      </c>
      <c r="B1395" s="79">
        <v>0</v>
      </c>
      <c r="C1395" s="79">
        <v>55</v>
      </c>
      <c r="D1395" s="80">
        <v>43328.333553240744</v>
      </c>
      <c r="E1395" s="81">
        <f t="shared" ca="1" si="10"/>
        <v>43313</v>
      </c>
      <c r="F1395" s="82">
        <f ca="1">IFERROR(__xludf.DUMMYFUNCTION("""COMPUTED_VALUE"""),0.33355324074074)</f>
        <v>0.33355324074074</v>
      </c>
      <c r="G1395" s="83">
        <f t="shared" ca="1" si="11"/>
        <v>19</v>
      </c>
      <c r="H1395" s="83">
        <f ca="1">IFERROR(__xludf.DUMMYFUNCTION("""COMPUTED_VALUE"""),0)</f>
        <v>0</v>
      </c>
      <c r="I1395" s="83">
        <f ca="1">IFERROR(__xludf.DUMMYFUNCTION("""COMPUTED_VALUE"""),19)</f>
        <v>19</v>
      </c>
    </row>
    <row r="1396" spans="1:9">
      <c r="A1396" s="79">
        <v>78</v>
      </c>
      <c r="B1396" s="79">
        <v>0</v>
      </c>
      <c r="C1396" s="79">
        <v>78</v>
      </c>
      <c r="D1396" s="80">
        <v>43328.343958333331</v>
      </c>
      <c r="E1396" s="81">
        <f t="shared" ca="1" si="10"/>
        <v>43313</v>
      </c>
      <c r="F1396" s="82">
        <f ca="1">IFERROR(__xludf.DUMMYFUNCTION("""COMPUTED_VALUE"""),0.343958333333333)</f>
        <v>0.34395833333333298</v>
      </c>
      <c r="G1396" s="83">
        <f t="shared" ca="1" si="11"/>
        <v>19</v>
      </c>
      <c r="H1396" s="83">
        <f ca="1">IFERROR(__xludf.DUMMYFUNCTION("""COMPUTED_VALUE"""),15)</f>
        <v>15</v>
      </c>
      <c r="I1396" s="83">
        <f ca="1">IFERROR(__xludf.DUMMYFUNCTION("""COMPUTED_VALUE"""),18)</f>
        <v>18</v>
      </c>
    </row>
    <row r="1397" spans="1:9">
      <c r="A1397" s="79">
        <v>112</v>
      </c>
      <c r="B1397" s="79">
        <v>2</v>
      </c>
      <c r="C1397" s="79">
        <v>114</v>
      </c>
      <c r="D1397" s="80">
        <v>43328.354375000003</v>
      </c>
      <c r="E1397" s="81">
        <f t="shared" ca="1" si="10"/>
        <v>43313</v>
      </c>
      <c r="F1397" s="82">
        <f ca="1">IFERROR(__xludf.DUMMYFUNCTION("""COMPUTED_VALUE"""),0.354375)</f>
        <v>0.354375</v>
      </c>
      <c r="G1397" s="83">
        <f t="shared" ca="1" si="11"/>
        <v>19</v>
      </c>
      <c r="H1397" s="83">
        <f ca="1">IFERROR(__xludf.DUMMYFUNCTION("""COMPUTED_VALUE"""),30)</f>
        <v>30</v>
      </c>
      <c r="I1397" s="83">
        <f ca="1">IFERROR(__xludf.DUMMYFUNCTION("""COMPUTED_VALUE"""),18)</f>
        <v>18</v>
      </c>
    </row>
    <row r="1398" spans="1:9">
      <c r="A1398" s="79">
        <v>190</v>
      </c>
      <c r="B1398" s="79">
        <v>2</v>
      </c>
      <c r="C1398" s="79">
        <v>192</v>
      </c>
      <c r="D1398" s="80">
        <v>43328.364803240744</v>
      </c>
      <c r="E1398" s="81">
        <f t="shared" ca="1" si="10"/>
        <v>43313</v>
      </c>
      <c r="F1398" s="82">
        <f ca="1">IFERROR(__xludf.DUMMYFUNCTION("""COMPUTED_VALUE"""),0.36480324074074)</f>
        <v>0.36480324074074</v>
      </c>
      <c r="G1398" s="83">
        <f t="shared" ca="1" si="11"/>
        <v>19</v>
      </c>
      <c r="H1398" s="83">
        <f ca="1">IFERROR(__xludf.DUMMYFUNCTION("""COMPUTED_VALUE"""),45)</f>
        <v>45</v>
      </c>
      <c r="I1398" s="83">
        <f ca="1">IFERROR(__xludf.DUMMYFUNCTION("""COMPUTED_VALUE"""),19)</f>
        <v>19</v>
      </c>
    </row>
    <row r="1399" spans="1:9">
      <c r="A1399" s="79">
        <v>155</v>
      </c>
      <c r="B1399" s="79">
        <v>0</v>
      </c>
      <c r="C1399" s="79">
        <v>155</v>
      </c>
      <c r="D1399" s="80">
        <v>43328.375208333331</v>
      </c>
      <c r="E1399" s="81">
        <f t="shared" ca="1" si="10"/>
        <v>43313</v>
      </c>
      <c r="F1399" s="82">
        <f ca="1">IFERROR(__xludf.DUMMYFUNCTION("""COMPUTED_VALUE"""),0.375208333333333)</f>
        <v>0.37520833333333298</v>
      </c>
      <c r="G1399" s="83">
        <f t="shared" ca="1" si="11"/>
        <v>19</v>
      </c>
      <c r="H1399" s="83">
        <f ca="1">IFERROR(__xludf.DUMMYFUNCTION("""COMPUTED_VALUE"""),0)</f>
        <v>0</v>
      </c>
      <c r="I1399" s="83">
        <f ca="1">IFERROR(__xludf.DUMMYFUNCTION("""COMPUTED_VALUE"""),18)</f>
        <v>18</v>
      </c>
    </row>
    <row r="1400" spans="1:9">
      <c r="A1400" s="79">
        <v>199</v>
      </c>
      <c r="B1400" s="79">
        <v>1</v>
      </c>
      <c r="C1400" s="79">
        <v>200</v>
      </c>
      <c r="D1400" s="80">
        <v>43328.385636574072</v>
      </c>
      <c r="E1400" s="81">
        <f t="shared" ca="1" si="10"/>
        <v>43313</v>
      </c>
      <c r="F1400" s="82">
        <f ca="1">IFERROR(__xludf.DUMMYFUNCTION("""COMPUTED_VALUE"""),0.385636574074074)</f>
        <v>0.38563657407407398</v>
      </c>
      <c r="G1400" s="83">
        <f t="shared" ca="1" si="11"/>
        <v>19</v>
      </c>
      <c r="H1400" s="83">
        <f ca="1">IFERROR(__xludf.DUMMYFUNCTION("""COMPUTED_VALUE"""),15)</f>
        <v>15</v>
      </c>
      <c r="I1400" s="83">
        <f ca="1">IFERROR(__xludf.DUMMYFUNCTION("""COMPUTED_VALUE"""),19)</f>
        <v>19</v>
      </c>
    </row>
    <row r="1401" spans="1:9">
      <c r="A1401" s="79">
        <v>299</v>
      </c>
      <c r="B1401" s="79">
        <v>5</v>
      </c>
      <c r="C1401" s="79">
        <v>304</v>
      </c>
      <c r="D1401" s="80">
        <v>43328.396041666667</v>
      </c>
      <c r="E1401" s="81">
        <f t="shared" ca="1" si="10"/>
        <v>43313</v>
      </c>
      <c r="F1401" s="82">
        <f ca="1">IFERROR(__xludf.DUMMYFUNCTION("""COMPUTED_VALUE"""),0.396041666666666)</f>
        <v>0.39604166666666601</v>
      </c>
      <c r="G1401" s="83">
        <f t="shared" ca="1" si="11"/>
        <v>19</v>
      </c>
      <c r="H1401" s="83">
        <f ca="1">IFERROR(__xludf.DUMMYFUNCTION("""COMPUTED_VALUE"""),30)</f>
        <v>30</v>
      </c>
      <c r="I1401" s="83">
        <f ca="1">IFERROR(__xludf.DUMMYFUNCTION("""COMPUTED_VALUE"""),18)</f>
        <v>18</v>
      </c>
    </row>
    <row r="1402" spans="1:9">
      <c r="A1402" s="79">
        <v>458</v>
      </c>
      <c r="B1402" s="79">
        <v>4</v>
      </c>
      <c r="C1402" s="79">
        <v>461</v>
      </c>
      <c r="D1402" s="80">
        <v>43328.406458333331</v>
      </c>
      <c r="E1402" s="81">
        <f t="shared" ca="1" si="10"/>
        <v>43313</v>
      </c>
      <c r="F1402" s="82">
        <f ca="1">IFERROR(__xludf.DUMMYFUNCTION("""COMPUTED_VALUE"""),0.406458333333333)</f>
        <v>0.40645833333333298</v>
      </c>
      <c r="G1402" s="83">
        <f t="shared" ca="1" si="11"/>
        <v>19</v>
      </c>
      <c r="H1402" s="83">
        <f ca="1">IFERROR(__xludf.DUMMYFUNCTION("""COMPUTED_VALUE"""),45)</f>
        <v>45</v>
      </c>
      <c r="I1402" s="83">
        <f ca="1">IFERROR(__xludf.DUMMYFUNCTION("""COMPUTED_VALUE"""),18)</f>
        <v>18</v>
      </c>
    </row>
    <row r="1403" spans="1:9">
      <c r="A1403" s="79">
        <v>429</v>
      </c>
      <c r="B1403" s="79">
        <v>3</v>
      </c>
      <c r="C1403" s="79">
        <v>432</v>
      </c>
      <c r="D1403" s="80">
        <v>43328.416875000003</v>
      </c>
      <c r="E1403" s="81">
        <f t="shared" ca="1" si="10"/>
        <v>43313</v>
      </c>
      <c r="F1403" s="82">
        <f ca="1">IFERROR(__xludf.DUMMYFUNCTION("""COMPUTED_VALUE"""),0.416875)</f>
        <v>0.416875</v>
      </c>
      <c r="G1403" s="83">
        <f t="shared" ca="1" si="11"/>
        <v>19</v>
      </c>
      <c r="H1403" s="83">
        <f ca="1">IFERROR(__xludf.DUMMYFUNCTION("""COMPUTED_VALUE"""),0)</f>
        <v>0</v>
      </c>
      <c r="I1403" s="83">
        <f ca="1">IFERROR(__xludf.DUMMYFUNCTION("""COMPUTED_VALUE"""),18)</f>
        <v>18</v>
      </c>
    </row>
    <row r="1404" spans="1:9">
      <c r="A1404" s="79">
        <v>401</v>
      </c>
      <c r="B1404" s="79">
        <v>3</v>
      </c>
      <c r="C1404" s="79">
        <v>404</v>
      </c>
      <c r="D1404" s="80">
        <v>43328.427291666667</v>
      </c>
      <c r="E1404" s="81">
        <f t="shared" ca="1" si="10"/>
        <v>43313</v>
      </c>
      <c r="F1404" s="82">
        <f ca="1">IFERROR(__xludf.DUMMYFUNCTION("""COMPUTED_VALUE"""),0.427291666666666)</f>
        <v>0.42729166666666601</v>
      </c>
      <c r="G1404" s="83">
        <f t="shared" ca="1" si="11"/>
        <v>19</v>
      </c>
      <c r="H1404" s="83">
        <f ca="1">IFERROR(__xludf.DUMMYFUNCTION("""COMPUTED_VALUE"""),15)</f>
        <v>15</v>
      </c>
      <c r="I1404" s="83">
        <f ca="1">IFERROR(__xludf.DUMMYFUNCTION("""COMPUTED_VALUE"""),18)</f>
        <v>18</v>
      </c>
    </row>
    <row r="1405" spans="1:9">
      <c r="A1405" s="79">
        <v>477</v>
      </c>
      <c r="B1405" s="79">
        <v>7</v>
      </c>
      <c r="C1405" s="79">
        <v>484</v>
      </c>
      <c r="D1405" s="80">
        <v>43328.437708333331</v>
      </c>
      <c r="E1405" s="81">
        <f t="shared" ca="1" si="10"/>
        <v>43313</v>
      </c>
      <c r="F1405" s="82">
        <f ca="1">IFERROR(__xludf.DUMMYFUNCTION("""COMPUTED_VALUE"""),0.437708333333333)</f>
        <v>0.43770833333333298</v>
      </c>
      <c r="G1405" s="83">
        <f t="shared" ca="1" si="11"/>
        <v>19</v>
      </c>
      <c r="H1405" s="83">
        <f ca="1">IFERROR(__xludf.DUMMYFUNCTION("""COMPUTED_VALUE"""),30)</f>
        <v>30</v>
      </c>
      <c r="I1405" s="83">
        <f ca="1">IFERROR(__xludf.DUMMYFUNCTION("""COMPUTED_VALUE"""),18)</f>
        <v>18</v>
      </c>
    </row>
    <row r="1406" spans="1:9">
      <c r="A1406" s="79">
        <v>575</v>
      </c>
      <c r="B1406" s="79">
        <v>13</v>
      </c>
      <c r="C1406" s="79">
        <v>583</v>
      </c>
      <c r="D1406" s="80">
        <v>43328.448125000003</v>
      </c>
      <c r="E1406" s="81">
        <f t="shared" ca="1" si="10"/>
        <v>43313</v>
      </c>
      <c r="F1406" s="82">
        <f ca="1">IFERROR(__xludf.DUMMYFUNCTION("""COMPUTED_VALUE"""),0.448125)</f>
        <v>0.448125</v>
      </c>
      <c r="G1406" s="83">
        <f t="shared" ca="1" si="11"/>
        <v>19</v>
      </c>
      <c r="H1406" s="83">
        <f ca="1">IFERROR(__xludf.DUMMYFUNCTION("""COMPUTED_VALUE"""),45)</f>
        <v>45</v>
      </c>
      <c r="I1406" s="83">
        <f ca="1">IFERROR(__xludf.DUMMYFUNCTION("""COMPUTED_VALUE"""),18)</f>
        <v>18</v>
      </c>
    </row>
    <row r="1407" spans="1:9">
      <c r="A1407" s="79">
        <v>434</v>
      </c>
      <c r="B1407" s="79">
        <v>10</v>
      </c>
      <c r="C1407" s="79">
        <v>444</v>
      </c>
      <c r="D1407" s="80">
        <v>43328.458541666667</v>
      </c>
      <c r="E1407" s="81">
        <f t="shared" ca="1" si="10"/>
        <v>43313</v>
      </c>
      <c r="F1407" s="82">
        <f ca="1">IFERROR(__xludf.DUMMYFUNCTION("""COMPUTED_VALUE"""),0.458541666666666)</f>
        <v>0.45854166666666601</v>
      </c>
      <c r="G1407" s="83">
        <f t="shared" ca="1" si="11"/>
        <v>19</v>
      </c>
      <c r="H1407" s="83">
        <f ca="1">IFERROR(__xludf.DUMMYFUNCTION("""COMPUTED_VALUE"""),0)</f>
        <v>0</v>
      </c>
      <c r="I1407" s="83">
        <f ca="1">IFERROR(__xludf.DUMMYFUNCTION("""COMPUTED_VALUE"""),18)</f>
        <v>18</v>
      </c>
    </row>
    <row r="1408" spans="1:9">
      <c r="A1408" s="79">
        <v>387</v>
      </c>
      <c r="B1408" s="79">
        <v>7</v>
      </c>
      <c r="C1408" s="79">
        <v>394</v>
      </c>
      <c r="D1408" s="80">
        <v>43328.468958333331</v>
      </c>
      <c r="E1408" s="81">
        <f t="shared" ca="1" si="10"/>
        <v>43313</v>
      </c>
      <c r="F1408" s="82">
        <f ca="1">IFERROR(__xludf.DUMMYFUNCTION("""COMPUTED_VALUE"""),0.468958333333333)</f>
        <v>0.46895833333333298</v>
      </c>
      <c r="G1408" s="83">
        <f t="shared" ca="1" si="11"/>
        <v>19</v>
      </c>
      <c r="H1408" s="83">
        <f ca="1">IFERROR(__xludf.DUMMYFUNCTION("""COMPUTED_VALUE"""),15)</f>
        <v>15</v>
      </c>
      <c r="I1408" s="83">
        <f ca="1">IFERROR(__xludf.DUMMYFUNCTION("""COMPUTED_VALUE"""),18)</f>
        <v>18</v>
      </c>
    </row>
    <row r="1409" spans="1:9">
      <c r="A1409" s="79">
        <v>372</v>
      </c>
      <c r="B1409" s="79">
        <v>2</v>
      </c>
      <c r="C1409" s="79">
        <v>364</v>
      </c>
      <c r="D1409" s="80">
        <v>43328.479375000003</v>
      </c>
      <c r="E1409" s="81">
        <f t="shared" ca="1" si="10"/>
        <v>43313</v>
      </c>
      <c r="F1409" s="82">
        <f ca="1">IFERROR(__xludf.DUMMYFUNCTION("""COMPUTED_VALUE"""),0.479375)</f>
        <v>0.479375</v>
      </c>
      <c r="G1409" s="83">
        <f t="shared" ca="1" si="11"/>
        <v>19</v>
      </c>
      <c r="H1409" s="83">
        <f ca="1">IFERROR(__xludf.DUMMYFUNCTION("""COMPUTED_VALUE"""),30)</f>
        <v>30</v>
      </c>
      <c r="I1409" s="83">
        <f ca="1">IFERROR(__xludf.DUMMYFUNCTION("""COMPUTED_VALUE"""),18)</f>
        <v>18</v>
      </c>
    </row>
    <row r="1410" spans="1:9">
      <c r="A1410" s="79">
        <v>335</v>
      </c>
      <c r="B1410" s="79">
        <v>3</v>
      </c>
      <c r="C1410" s="79">
        <v>338</v>
      </c>
      <c r="D1410" s="80">
        <v>43328.489791666667</v>
      </c>
      <c r="E1410" s="81">
        <f t="shared" ca="1" si="10"/>
        <v>43313</v>
      </c>
      <c r="F1410" s="82">
        <f ca="1">IFERROR(__xludf.DUMMYFUNCTION("""COMPUTED_VALUE"""),0.489791666666666)</f>
        <v>0.48979166666666601</v>
      </c>
      <c r="G1410" s="83">
        <f t="shared" ca="1" si="11"/>
        <v>19</v>
      </c>
      <c r="H1410" s="83">
        <f ca="1">IFERROR(__xludf.DUMMYFUNCTION("""COMPUTED_VALUE"""),45)</f>
        <v>45</v>
      </c>
      <c r="I1410" s="83">
        <f ca="1">IFERROR(__xludf.DUMMYFUNCTION("""COMPUTED_VALUE"""),18)</f>
        <v>18</v>
      </c>
    </row>
    <row r="1411" spans="1:9">
      <c r="A1411" s="79">
        <v>280</v>
      </c>
      <c r="B1411" s="79">
        <v>1</v>
      </c>
      <c r="C1411" s="79">
        <v>276</v>
      </c>
      <c r="D1411" s="80">
        <v>43328.500208333331</v>
      </c>
      <c r="E1411" s="81">
        <f t="shared" ca="1" si="10"/>
        <v>43313</v>
      </c>
      <c r="F1411" s="82">
        <f ca="1">IFERROR(__xludf.DUMMYFUNCTION("""COMPUTED_VALUE"""),0.500208333333333)</f>
        <v>0.50020833333333303</v>
      </c>
      <c r="G1411" s="83">
        <f t="shared" ca="1" si="11"/>
        <v>19</v>
      </c>
      <c r="H1411" s="83">
        <f ca="1">IFERROR(__xludf.DUMMYFUNCTION("""COMPUTED_VALUE"""),0)</f>
        <v>0</v>
      </c>
      <c r="I1411" s="83">
        <f ca="1">IFERROR(__xludf.DUMMYFUNCTION("""COMPUTED_VALUE"""),18)</f>
        <v>18</v>
      </c>
    </row>
    <row r="1412" spans="1:9">
      <c r="A1412" s="79">
        <v>249</v>
      </c>
      <c r="B1412" s="79">
        <v>3</v>
      </c>
      <c r="C1412" s="79">
        <v>252</v>
      </c>
      <c r="D1412" s="80">
        <v>43328.510625000003</v>
      </c>
      <c r="E1412" s="81">
        <f t="shared" ca="1" si="10"/>
        <v>43313</v>
      </c>
      <c r="F1412" s="82">
        <f ca="1">IFERROR(__xludf.DUMMYFUNCTION("""COMPUTED_VALUE"""),0.510625)</f>
        <v>0.510625</v>
      </c>
      <c r="G1412" s="83">
        <f t="shared" ca="1" si="11"/>
        <v>19</v>
      </c>
      <c r="H1412" s="83">
        <f ca="1">IFERROR(__xludf.DUMMYFUNCTION("""COMPUTED_VALUE"""),15)</f>
        <v>15</v>
      </c>
      <c r="I1412" s="83">
        <f ca="1">IFERROR(__xludf.DUMMYFUNCTION("""COMPUTED_VALUE"""),18)</f>
        <v>18</v>
      </c>
    </row>
    <row r="1413" spans="1:9">
      <c r="A1413" s="79">
        <v>257</v>
      </c>
      <c r="B1413" s="79">
        <v>4</v>
      </c>
      <c r="C1413" s="79">
        <v>261</v>
      </c>
      <c r="D1413" s="80">
        <v>43328.521053240744</v>
      </c>
      <c r="E1413" s="81">
        <f t="shared" ca="1" si="10"/>
        <v>43313</v>
      </c>
      <c r="F1413" s="82">
        <f ca="1">IFERROR(__xludf.DUMMYFUNCTION("""COMPUTED_VALUE"""),0.52105324074074)</f>
        <v>0.52105324074074</v>
      </c>
      <c r="G1413" s="83">
        <f t="shared" ca="1" si="11"/>
        <v>19</v>
      </c>
      <c r="H1413" s="83">
        <f ca="1">IFERROR(__xludf.DUMMYFUNCTION("""COMPUTED_VALUE"""),30)</f>
        <v>30</v>
      </c>
      <c r="I1413" s="83">
        <f ca="1">IFERROR(__xludf.DUMMYFUNCTION("""COMPUTED_VALUE"""),19)</f>
        <v>19</v>
      </c>
    </row>
    <row r="1414" spans="1:9">
      <c r="A1414" s="79">
        <v>266</v>
      </c>
      <c r="B1414" s="79">
        <v>5</v>
      </c>
      <c r="C1414" s="79">
        <v>271</v>
      </c>
      <c r="D1414" s="80">
        <v>43328.531458333331</v>
      </c>
      <c r="E1414" s="81">
        <f t="shared" ca="1" si="10"/>
        <v>43313</v>
      </c>
      <c r="F1414" s="82">
        <f ca="1">IFERROR(__xludf.DUMMYFUNCTION("""COMPUTED_VALUE"""),0.531458333333333)</f>
        <v>0.53145833333333303</v>
      </c>
      <c r="G1414" s="83">
        <f t="shared" ca="1" si="11"/>
        <v>19</v>
      </c>
      <c r="H1414" s="83">
        <f ca="1">IFERROR(__xludf.DUMMYFUNCTION("""COMPUTED_VALUE"""),45)</f>
        <v>45</v>
      </c>
      <c r="I1414" s="83">
        <f ca="1">IFERROR(__xludf.DUMMYFUNCTION("""COMPUTED_VALUE"""),18)</f>
        <v>18</v>
      </c>
    </row>
    <row r="1415" spans="1:9">
      <c r="A1415" s="79">
        <v>257</v>
      </c>
      <c r="B1415" s="79">
        <v>3</v>
      </c>
      <c r="C1415" s="79">
        <v>260</v>
      </c>
      <c r="D1415" s="80">
        <v>43328.541875000003</v>
      </c>
      <c r="E1415" s="81">
        <f t="shared" ca="1" si="10"/>
        <v>43313</v>
      </c>
      <c r="F1415" s="82">
        <f ca="1">IFERROR(__xludf.DUMMYFUNCTION("""COMPUTED_VALUE"""),0.541875)</f>
        <v>0.541875</v>
      </c>
      <c r="G1415" s="83">
        <f t="shared" ca="1" si="11"/>
        <v>19</v>
      </c>
      <c r="H1415" s="83">
        <f ca="1">IFERROR(__xludf.DUMMYFUNCTION("""COMPUTED_VALUE"""),0)</f>
        <v>0</v>
      </c>
      <c r="I1415" s="83">
        <f ca="1">IFERROR(__xludf.DUMMYFUNCTION("""COMPUTED_VALUE"""),18)</f>
        <v>18</v>
      </c>
    </row>
    <row r="1416" spans="1:9">
      <c r="A1416" s="79">
        <v>264</v>
      </c>
      <c r="B1416" s="79">
        <v>3</v>
      </c>
      <c r="C1416" s="79">
        <v>267</v>
      </c>
      <c r="D1416" s="80">
        <v>43328.552291666667</v>
      </c>
      <c r="E1416" s="81">
        <f t="shared" ca="1" si="10"/>
        <v>43313</v>
      </c>
      <c r="F1416" s="82">
        <f ca="1">IFERROR(__xludf.DUMMYFUNCTION("""COMPUTED_VALUE"""),0.552291666666666)</f>
        <v>0.55229166666666596</v>
      </c>
      <c r="G1416" s="83">
        <f t="shared" ca="1" si="11"/>
        <v>19</v>
      </c>
      <c r="H1416" s="83">
        <f ca="1">IFERROR(__xludf.DUMMYFUNCTION("""COMPUTED_VALUE"""),15)</f>
        <v>15</v>
      </c>
      <c r="I1416" s="83">
        <f ca="1">IFERROR(__xludf.DUMMYFUNCTION("""COMPUTED_VALUE"""),18)</f>
        <v>18</v>
      </c>
    </row>
    <row r="1417" spans="1:9">
      <c r="A1417" s="79">
        <v>269</v>
      </c>
      <c r="B1417" s="79">
        <v>3</v>
      </c>
      <c r="C1417" s="79">
        <v>272</v>
      </c>
      <c r="D1417" s="80">
        <v>43328.562708333331</v>
      </c>
      <c r="E1417" s="81">
        <f t="shared" ca="1" si="10"/>
        <v>43313</v>
      </c>
      <c r="F1417" s="82">
        <f ca="1">IFERROR(__xludf.DUMMYFUNCTION("""COMPUTED_VALUE"""),0.562708333333333)</f>
        <v>0.56270833333333303</v>
      </c>
      <c r="G1417" s="83">
        <f t="shared" ca="1" si="11"/>
        <v>19</v>
      </c>
      <c r="H1417" s="83">
        <f ca="1">IFERROR(__xludf.DUMMYFUNCTION("""COMPUTED_VALUE"""),30)</f>
        <v>30</v>
      </c>
      <c r="I1417" s="83">
        <f ca="1">IFERROR(__xludf.DUMMYFUNCTION("""COMPUTED_VALUE"""),18)</f>
        <v>18</v>
      </c>
    </row>
    <row r="1418" spans="1:9">
      <c r="A1418" s="79">
        <v>293</v>
      </c>
      <c r="B1418" s="79">
        <v>3</v>
      </c>
      <c r="C1418" s="79">
        <v>296</v>
      </c>
      <c r="D1418" s="80">
        <v>43328.573125000003</v>
      </c>
      <c r="E1418" s="81">
        <f t="shared" ca="1" si="10"/>
        <v>43313</v>
      </c>
      <c r="F1418" s="82">
        <f ca="1">IFERROR(__xludf.DUMMYFUNCTION("""COMPUTED_VALUE"""),0.573125)</f>
        <v>0.573125</v>
      </c>
      <c r="G1418" s="83">
        <f t="shared" ca="1" si="11"/>
        <v>19</v>
      </c>
      <c r="H1418" s="83">
        <f ca="1">IFERROR(__xludf.DUMMYFUNCTION("""COMPUTED_VALUE"""),45)</f>
        <v>45</v>
      </c>
      <c r="I1418" s="83">
        <f ca="1">IFERROR(__xludf.DUMMYFUNCTION("""COMPUTED_VALUE"""),18)</f>
        <v>18</v>
      </c>
    </row>
    <row r="1419" spans="1:9">
      <c r="A1419" s="79">
        <v>268</v>
      </c>
      <c r="B1419" s="79">
        <v>1</v>
      </c>
      <c r="C1419" s="79">
        <v>269</v>
      </c>
      <c r="D1419" s="80">
        <v>43328.583541666667</v>
      </c>
      <c r="E1419" s="81">
        <f t="shared" ca="1" si="10"/>
        <v>43313</v>
      </c>
      <c r="F1419" s="82">
        <f ca="1">IFERROR(__xludf.DUMMYFUNCTION("""COMPUTED_VALUE"""),0.583541666666666)</f>
        <v>0.58354166666666596</v>
      </c>
      <c r="G1419" s="83">
        <f t="shared" ca="1" si="11"/>
        <v>19</v>
      </c>
      <c r="H1419" s="83">
        <f ca="1">IFERROR(__xludf.DUMMYFUNCTION("""COMPUTED_VALUE"""),0)</f>
        <v>0</v>
      </c>
      <c r="I1419" s="83">
        <f ca="1">IFERROR(__xludf.DUMMYFUNCTION("""COMPUTED_VALUE"""),18)</f>
        <v>18</v>
      </c>
    </row>
    <row r="1420" spans="1:9">
      <c r="A1420" s="79">
        <v>274</v>
      </c>
      <c r="B1420" s="79">
        <v>1</v>
      </c>
      <c r="C1420" s="79">
        <v>275</v>
      </c>
      <c r="D1420" s="80">
        <v>43328.593958333331</v>
      </c>
      <c r="E1420" s="81">
        <f t="shared" ca="1" si="10"/>
        <v>43313</v>
      </c>
      <c r="F1420" s="82">
        <f ca="1">IFERROR(__xludf.DUMMYFUNCTION("""COMPUTED_VALUE"""),0.593958333333333)</f>
        <v>0.59395833333333303</v>
      </c>
      <c r="G1420" s="83">
        <f t="shared" ca="1" si="11"/>
        <v>19</v>
      </c>
      <c r="H1420" s="83">
        <f ca="1">IFERROR(__xludf.DUMMYFUNCTION("""COMPUTED_VALUE"""),15)</f>
        <v>15</v>
      </c>
      <c r="I1420" s="83">
        <f ca="1">IFERROR(__xludf.DUMMYFUNCTION("""COMPUTED_VALUE"""),18)</f>
        <v>18</v>
      </c>
    </row>
    <row r="1421" spans="1:9">
      <c r="A1421" s="79">
        <v>248</v>
      </c>
      <c r="B1421" s="79">
        <v>2</v>
      </c>
      <c r="C1421" s="79">
        <v>250</v>
      </c>
      <c r="D1421" s="80">
        <v>43328.604363425926</v>
      </c>
      <c r="E1421" s="81">
        <f t="shared" ca="1" si="10"/>
        <v>43313</v>
      </c>
      <c r="F1421" s="82">
        <f ca="1">IFERROR(__xludf.DUMMYFUNCTION("""COMPUTED_VALUE"""),0.604363425925926)</f>
        <v>0.60436342592592596</v>
      </c>
      <c r="G1421" s="83">
        <f t="shared" ca="1" si="11"/>
        <v>19</v>
      </c>
      <c r="H1421" s="83">
        <f ca="1">IFERROR(__xludf.DUMMYFUNCTION("""COMPUTED_VALUE"""),30)</f>
        <v>30</v>
      </c>
      <c r="I1421" s="83">
        <f ca="1">IFERROR(__xludf.DUMMYFUNCTION("""COMPUTED_VALUE"""),17)</f>
        <v>17</v>
      </c>
    </row>
    <row r="1422" spans="1:9">
      <c r="A1422" s="79">
        <v>307</v>
      </c>
      <c r="B1422" s="79">
        <v>5</v>
      </c>
      <c r="C1422" s="79">
        <v>312</v>
      </c>
      <c r="D1422" s="80">
        <v>43328.614791666667</v>
      </c>
      <c r="E1422" s="81">
        <f t="shared" ca="1" si="10"/>
        <v>43313</v>
      </c>
      <c r="F1422" s="82">
        <f ca="1">IFERROR(__xludf.DUMMYFUNCTION("""COMPUTED_VALUE"""),0.614791666666666)</f>
        <v>0.61479166666666596</v>
      </c>
      <c r="G1422" s="83">
        <f t="shared" ca="1" si="11"/>
        <v>19</v>
      </c>
      <c r="H1422" s="83">
        <f ca="1">IFERROR(__xludf.DUMMYFUNCTION("""COMPUTED_VALUE"""),45)</f>
        <v>45</v>
      </c>
      <c r="I1422" s="83">
        <f ca="1">IFERROR(__xludf.DUMMYFUNCTION("""COMPUTED_VALUE"""),18)</f>
        <v>18</v>
      </c>
    </row>
    <row r="1423" spans="1:9">
      <c r="A1423" s="79">
        <v>326</v>
      </c>
      <c r="B1423" s="79">
        <v>0</v>
      </c>
      <c r="C1423" s="79">
        <v>326</v>
      </c>
      <c r="D1423" s="80">
        <v>43328.625196759262</v>
      </c>
      <c r="E1423" s="81">
        <f t="shared" ca="1" si="10"/>
        <v>43313</v>
      </c>
      <c r="F1423" s="82">
        <f ca="1">IFERROR(__xludf.DUMMYFUNCTION("""COMPUTED_VALUE"""),0.625196759259259)</f>
        <v>0.62519675925925899</v>
      </c>
      <c r="G1423" s="83">
        <f t="shared" ca="1" si="11"/>
        <v>19</v>
      </c>
      <c r="H1423" s="83">
        <f ca="1">IFERROR(__xludf.DUMMYFUNCTION("""COMPUTED_VALUE"""),0)</f>
        <v>0</v>
      </c>
      <c r="I1423" s="83">
        <f ca="1">IFERROR(__xludf.DUMMYFUNCTION("""COMPUTED_VALUE"""),17)</f>
        <v>17</v>
      </c>
    </row>
    <row r="1424" spans="1:9">
      <c r="A1424" s="79">
        <v>360</v>
      </c>
      <c r="B1424" s="79">
        <v>3</v>
      </c>
      <c r="C1424" s="79">
        <v>363</v>
      </c>
      <c r="D1424" s="80">
        <v>43328.635625000003</v>
      </c>
      <c r="E1424" s="81">
        <f t="shared" ca="1" si="10"/>
        <v>43313</v>
      </c>
      <c r="F1424" s="82">
        <f ca="1">IFERROR(__xludf.DUMMYFUNCTION("""COMPUTED_VALUE"""),0.635625)</f>
        <v>0.635625</v>
      </c>
      <c r="G1424" s="83">
        <f t="shared" ca="1" si="11"/>
        <v>19</v>
      </c>
      <c r="H1424" s="83">
        <f ca="1">IFERROR(__xludf.DUMMYFUNCTION("""COMPUTED_VALUE"""),15)</f>
        <v>15</v>
      </c>
      <c r="I1424" s="83">
        <f ca="1">IFERROR(__xludf.DUMMYFUNCTION("""COMPUTED_VALUE"""),18)</f>
        <v>18</v>
      </c>
    </row>
    <row r="1425" spans="1:9">
      <c r="A1425" s="79">
        <v>303</v>
      </c>
      <c r="B1425" s="79">
        <v>5</v>
      </c>
      <c r="C1425" s="79">
        <v>308</v>
      </c>
      <c r="D1425" s="80">
        <v>43328.64603009259</v>
      </c>
      <c r="E1425" s="81">
        <f t="shared" ca="1" si="10"/>
        <v>43313</v>
      </c>
      <c r="F1425" s="82">
        <f ca="1">IFERROR(__xludf.DUMMYFUNCTION("""COMPUTED_VALUE"""),0.646030092592592)</f>
        <v>0.64603009259259203</v>
      </c>
      <c r="G1425" s="83">
        <f t="shared" ca="1" si="11"/>
        <v>19</v>
      </c>
      <c r="H1425" s="83">
        <f ca="1">IFERROR(__xludf.DUMMYFUNCTION("""COMPUTED_VALUE"""),30)</f>
        <v>30</v>
      </c>
      <c r="I1425" s="83">
        <f ca="1">IFERROR(__xludf.DUMMYFUNCTION("""COMPUTED_VALUE"""),17)</f>
        <v>17</v>
      </c>
    </row>
    <row r="1426" spans="1:9">
      <c r="A1426" s="79">
        <v>341</v>
      </c>
      <c r="B1426" s="79">
        <v>6</v>
      </c>
      <c r="C1426" s="79">
        <v>347</v>
      </c>
      <c r="D1426" s="80">
        <v>43328.656458333331</v>
      </c>
      <c r="E1426" s="81">
        <f t="shared" ca="1" si="10"/>
        <v>43313</v>
      </c>
      <c r="F1426" s="82">
        <f ca="1">IFERROR(__xludf.DUMMYFUNCTION("""COMPUTED_VALUE"""),0.656458333333333)</f>
        <v>0.65645833333333303</v>
      </c>
      <c r="G1426" s="83">
        <f t="shared" ca="1" si="11"/>
        <v>19</v>
      </c>
      <c r="H1426" s="83">
        <f ca="1">IFERROR(__xludf.DUMMYFUNCTION("""COMPUTED_VALUE"""),45)</f>
        <v>45</v>
      </c>
      <c r="I1426" s="83">
        <f ca="1">IFERROR(__xludf.DUMMYFUNCTION("""COMPUTED_VALUE"""),18)</f>
        <v>18</v>
      </c>
    </row>
    <row r="1427" spans="1:9">
      <c r="A1427" s="79">
        <v>310</v>
      </c>
      <c r="B1427" s="79">
        <v>4</v>
      </c>
      <c r="C1427" s="79">
        <v>314</v>
      </c>
      <c r="D1427" s="80">
        <v>43328.666863425926</v>
      </c>
      <c r="E1427" s="81">
        <f t="shared" ca="1" si="10"/>
        <v>43313</v>
      </c>
      <c r="F1427" s="82">
        <f ca="1">IFERROR(__xludf.DUMMYFUNCTION("""COMPUTED_VALUE"""),0.666863425925926)</f>
        <v>0.66686342592592596</v>
      </c>
      <c r="G1427" s="83">
        <f t="shared" ca="1" si="11"/>
        <v>19</v>
      </c>
      <c r="H1427" s="83">
        <f ca="1">IFERROR(__xludf.DUMMYFUNCTION("""COMPUTED_VALUE"""),0)</f>
        <v>0</v>
      </c>
      <c r="I1427" s="83">
        <f ca="1">IFERROR(__xludf.DUMMYFUNCTION("""COMPUTED_VALUE"""),17)</f>
        <v>17</v>
      </c>
    </row>
    <row r="1428" spans="1:9">
      <c r="A1428" s="79">
        <v>324</v>
      </c>
      <c r="B1428" s="79">
        <v>4</v>
      </c>
      <c r="C1428" s="79">
        <v>328</v>
      </c>
      <c r="D1428" s="80">
        <v>43328.677291666667</v>
      </c>
      <c r="E1428" s="81">
        <f t="shared" ca="1" si="10"/>
        <v>43313</v>
      </c>
      <c r="F1428" s="82">
        <f ca="1">IFERROR(__xludf.DUMMYFUNCTION("""COMPUTED_VALUE"""),0.677291666666666)</f>
        <v>0.67729166666666596</v>
      </c>
      <c r="G1428" s="83">
        <f t="shared" ca="1" si="11"/>
        <v>19</v>
      </c>
      <c r="H1428" s="83">
        <f ca="1">IFERROR(__xludf.DUMMYFUNCTION("""COMPUTED_VALUE"""),15)</f>
        <v>15</v>
      </c>
      <c r="I1428" s="83">
        <f ca="1">IFERROR(__xludf.DUMMYFUNCTION("""COMPUTED_VALUE"""),18)</f>
        <v>18</v>
      </c>
    </row>
    <row r="1429" spans="1:9">
      <c r="A1429" s="79">
        <v>350</v>
      </c>
      <c r="B1429" s="79">
        <v>5</v>
      </c>
      <c r="C1429" s="79">
        <v>355</v>
      </c>
      <c r="D1429" s="80">
        <v>43328.687696759262</v>
      </c>
      <c r="E1429" s="81">
        <f t="shared" ca="1" si="10"/>
        <v>43313</v>
      </c>
      <c r="F1429" s="82">
        <f ca="1">IFERROR(__xludf.DUMMYFUNCTION("""COMPUTED_VALUE"""),0.687696759259259)</f>
        <v>0.68769675925925899</v>
      </c>
      <c r="G1429" s="83">
        <f t="shared" ca="1" si="11"/>
        <v>19</v>
      </c>
      <c r="H1429" s="83">
        <f ca="1">IFERROR(__xludf.DUMMYFUNCTION("""COMPUTED_VALUE"""),30)</f>
        <v>30</v>
      </c>
      <c r="I1429" s="83">
        <f ca="1">IFERROR(__xludf.DUMMYFUNCTION("""COMPUTED_VALUE"""),17)</f>
        <v>17</v>
      </c>
    </row>
    <row r="1430" spans="1:9">
      <c r="A1430" s="79">
        <v>354</v>
      </c>
      <c r="B1430" s="79">
        <v>7</v>
      </c>
      <c r="C1430" s="79">
        <v>361</v>
      </c>
      <c r="D1430" s="80">
        <v>43328.698125000003</v>
      </c>
      <c r="E1430" s="81">
        <f t="shared" ca="1" si="10"/>
        <v>43313</v>
      </c>
      <c r="F1430" s="82">
        <f ca="1">IFERROR(__xludf.DUMMYFUNCTION("""COMPUTED_VALUE"""),0.698125)</f>
        <v>0.698125</v>
      </c>
      <c r="G1430" s="83">
        <f t="shared" ca="1" si="11"/>
        <v>19</v>
      </c>
      <c r="H1430" s="83">
        <f ca="1">IFERROR(__xludf.DUMMYFUNCTION("""COMPUTED_VALUE"""),45)</f>
        <v>45</v>
      </c>
      <c r="I1430" s="83">
        <f ca="1">IFERROR(__xludf.DUMMYFUNCTION("""COMPUTED_VALUE"""),18)</f>
        <v>18</v>
      </c>
    </row>
    <row r="1431" spans="1:9">
      <c r="A1431" s="79">
        <v>368</v>
      </c>
      <c r="B1431" s="79">
        <v>6</v>
      </c>
      <c r="C1431" s="79">
        <v>374</v>
      </c>
      <c r="D1431" s="80">
        <v>43328.708541666667</v>
      </c>
      <c r="E1431" s="81">
        <f t="shared" ca="1" si="10"/>
        <v>43313</v>
      </c>
      <c r="F1431" s="82">
        <f ca="1">IFERROR(__xludf.DUMMYFUNCTION("""COMPUTED_VALUE"""),0.708541666666666)</f>
        <v>0.70854166666666596</v>
      </c>
      <c r="G1431" s="83">
        <f t="shared" ca="1" si="11"/>
        <v>19</v>
      </c>
      <c r="H1431" s="83">
        <f ca="1">IFERROR(__xludf.DUMMYFUNCTION("""COMPUTED_VALUE"""),0)</f>
        <v>0</v>
      </c>
      <c r="I1431" s="83">
        <f ca="1">IFERROR(__xludf.DUMMYFUNCTION("""COMPUTED_VALUE"""),18)</f>
        <v>18</v>
      </c>
    </row>
    <row r="1432" spans="1:9">
      <c r="A1432" s="79">
        <v>470</v>
      </c>
      <c r="B1432" s="79">
        <v>6</v>
      </c>
      <c r="C1432" s="79">
        <v>476</v>
      </c>
      <c r="D1432" s="80">
        <v>43328.718946759262</v>
      </c>
      <c r="E1432" s="81">
        <f t="shared" ca="1" si="10"/>
        <v>43313</v>
      </c>
      <c r="F1432" s="82">
        <f ca="1">IFERROR(__xludf.DUMMYFUNCTION("""COMPUTED_VALUE"""),0.718946759259259)</f>
        <v>0.71894675925925899</v>
      </c>
      <c r="G1432" s="83">
        <f t="shared" ca="1" si="11"/>
        <v>19</v>
      </c>
      <c r="H1432" s="83">
        <f ca="1">IFERROR(__xludf.DUMMYFUNCTION("""COMPUTED_VALUE"""),15)</f>
        <v>15</v>
      </c>
      <c r="I1432" s="83">
        <f ca="1">IFERROR(__xludf.DUMMYFUNCTION("""COMPUTED_VALUE"""),17)</f>
        <v>17</v>
      </c>
    </row>
    <row r="1433" spans="1:9">
      <c r="A1433" s="79">
        <v>419</v>
      </c>
      <c r="B1433" s="79">
        <v>6</v>
      </c>
      <c r="C1433" s="79">
        <v>425</v>
      </c>
      <c r="D1433" s="80">
        <v>43328.729375000003</v>
      </c>
      <c r="E1433" s="81">
        <f t="shared" ca="1" si="10"/>
        <v>43313</v>
      </c>
      <c r="F1433" s="82">
        <f ca="1">IFERROR(__xludf.DUMMYFUNCTION("""COMPUTED_VALUE"""),0.729375)</f>
        <v>0.729375</v>
      </c>
      <c r="G1433" s="83">
        <f t="shared" ca="1" si="11"/>
        <v>19</v>
      </c>
      <c r="H1433" s="83">
        <f ca="1">IFERROR(__xludf.DUMMYFUNCTION("""COMPUTED_VALUE"""),30)</f>
        <v>30</v>
      </c>
      <c r="I1433" s="83">
        <f ca="1">IFERROR(__xludf.DUMMYFUNCTION("""COMPUTED_VALUE"""),18)</f>
        <v>18</v>
      </c>
    </row>
    <row r="1434" spans="1:9">
      <c r="A1434" s="79">
        <v>390</v>
      </c>
      <c r="B1434" s="79">
        <v>5</v>
      </c>
      <c r="C1434" s="79">
        <v>395</v>
      </c>
      <c r="D1434" s="80">
        <v>43328.739791666667</v>
      </c>
      <c r="E1434" s="81">
        <f t="shared" ca="1" si="10"/>
        <v>43313</v>
      </c>
      <c r="F1434" s="82">
        <f ca="1">IFERROR(__xludf.DUMMYFUNCTION("""COMPUTED_VALUE"""),0.739791666666666)</f>
        <v>0.73979166666666596</v>
      </c>
      <c r="G1434" s="83">
        <f t="shared" ca="1" si="11"/>
        <v>19</v>
      </c>
      <c r="H1434" s="83">
        <f ca="1">IFERROR(__xludf.DUMMYFUNCTION("""COMPUTED_VALUE"""),45)</f>
        <v>45</v>
      </c>
      <c r="I1434" s="83">
        <f ca="1">IFERROR(__xludf.DUMMYFUNCTION("""COMPUTED_VALUE"""),18)</f>
        <v>18</v>
      </c>
    </row>
    <row r="1435" spans="1:9">
      <c r="A1435" s="79">
        <v>350</v>
      </c>
      <c r="B1435" s="79">
        <v>8</v>
      </c>
      <c r="C1435" s="79">
        <v>358</v>
      </c>
      <c r="D1435" s="80">
        <v>43328.750208333331</v>
      </c>
      <c r="E1435" s="81">
        <f t="shared" ca="1" si="10"/>
        <v>43313</v>
      </c>
      <c r="F1435" s="82">
        <f ca="1">IFERROR(__xludf.DUMMYFUNCTION("""COMPUTED_VALUE"""),0.750208333333333)</f>
        <v>0.75020833333333303</v>
      </c>
      <c r="G1435" s="83">
        <f t="shared" ca="1" si="11"/>
        <v>19</v>
      </c>
      <c r="H1435" s="83">
        <f ca="1">IFERROR(__xludf.DUMMYFUNCTION("""COMPUTED_VALUE"""),0)</f>
        <v>0</v>
      </c>
      <c r="I1435" s="83">
        <f ca="1">IFERROR(__xludf.DUMMYFUNCTION("""COMPUTED_VALUE"""),18)</f>
        <v>18</v>
      </c>
    </row>
    <row r="1436" spans="1:9">
      <c r="A1436" s="79">
        <v>440</v>
      </c>
      <c r="B1436" s="79">
        <v>8</v>
      </c>
      <c r="C1436" s="79">
        <v>448</v>
      </c>
      <c r="D1436" s="80">
        <v>43328.760613425926</v>
      </c>
      <c r="E1436" s="81">
        <f t="shared" ca="1" si="10"/>
        <v>43313</v>
      </c>
      <c r="F1436" s="82">
        <f ca="1">IFERROR(__xludf.DUMMYFUNCTION("""COMPUTED_VALUE"""),0.760613425925926)</f>
        <v>0.76061342592592596</v>
      </c>
      <c r="G1436" s="83">
        <f t="shared" ca="1" si="11"/>
        <v>19</v>
      </c>
      <c r="H1436" s="83">
        <f ca="1">IFERROR(__xludf.DUMMYFUNCTION("""COMPUTED_VALUE"""),15)</f>
        <v>15</v>
      </c>
      <c r="I1436" s="83">
        <f ca="1">IFERROR(__xludf.DUMMYFUNCTION("""COMPUTED_VALUE"""),17)</f>
        <v>17</v>
      </c>
    </row>
    <row r="1437" spans="1:9">
      <c r="A1437" s="79">
        <v>418</v>
      </c>
      <c r="B1437" s="79">
        <v>6</v>
      </c>
      <c r="C1437" s="79">
        <v>424</v>
      </c>
      <c r="D1437" s="80">
        <v>43328.771041666667</v>
      </c>
      <c r="E1437" s="81">
        <f t="shared" ca="1" si="10"/>
        <v>43313</v>
      </c>
      <c r="F1437" s="82">
        <f ca="1">IFERROR(__xludf.DUMMYFUNCTION("""COMPUTED_VALUE"""),0.771041666666666)</f>
        <v>0.77104166666666596</v>
      </c>
      <c r="G1437" s="83">
        <f t="shared" ca="1" si="11"/>
        <v>19</v>
      </c>
      <c r="H1437" s="83">
        <f ca="1">IFERROR(__xludf.DUMMYFUNCTION("""COMPUTED_VALUE"""),30)</f>
        <v>30</v>
      </c>
      <c r="I1437" s="83">
        <f ca="1">IFERROR(__xludf.DUMMYFUNCTION("""COMPUTED_VALUE"""),18)</f>
        <v>18</v>
      </c>
    </row>
    <row r="1438" spans="1:9">
      <c r="A1438" s="79">
        <v>393</v>
      </c>
      <c r="B1438" s="79">
        <v>7</v>
      </c>
      <c r="C1438" s="79">
        <v>400</v>
      </c>
      <c r="D1438" s="80">
        <v>43328.781458333331</v>
      </c>
      <c r="E1438" s="81">
        <f t="shared" ca="1" si="10"/>
        <v>43313</v>
      </c>
      <c r="F1438" s="82">
        <f ca="1">IFERROR(__xludf.DUMMYFUNCTION("""COMPUTED_VALUE"""),0.781458333333333)</f>
        <v>0.78145833333333303</v>
      </c>
      <c r="G1438" s="83">
        <f t="shared" ca="1" si="11"/>
        <v>19</v>
      </c>
      <c r="H1438" s="83">
        <f ca="1">IFERROR(__xludf.DUMMYFUNCTION("""COMPUTED_VALUE"""),45)</f>
        <v>45</v>
      </c>
      <c r="I1438" s="83">
        <f ca="1">IFERROR(__xludf.DUMMYFUNCTION("""COMPUTED_VALUE"""),18)</f>
        <v>18</v>
      </c>
    </row>
    <row r="1439" spans="1:9">
      <c r="A1439" s="79">
        <v>403</v>
      </c>
      <c r="B1439" s="79">
        <v>8</v>
      </c>
      <c r="C1439" s="79">
        <v>411</v>
      </c>
      <c r="D1439" s="80">
        <v>43328.791875000003</v>
      </c>
      <c r="E1439" s="81">
        <f t="shared" ca="1" si="10"/>
        <v>43313</v>
      </c>
      <c r="F1439" s="82">
        <f ca="1">IFERROR(__xludf.DUMMYFUNCTION("""COMPUTED_VALUE"""),0.791875)</f>
        <v>0.791875</v>
      </c>
      <c r="G1439" s="83">
        <f t="shared" ca="1" si="11"/>
        <v>19</v>
      </c>
      <c r="H1439" s="83">
        <f ca="1">IFERROR(__xludf.DUMMYFUNCTION("""COMPUTED_VALUE"""),0)</f>
        <v>0</v>
      </c>
      <c r="I1439" s="83">
        <f ca="1">IFERROR(__xludf.DUMMYFUNCTION("""COMPUTED_VALUE"""),18)</f>
        <v>18</v>
      </c>
    </row>
    <row r="1440" spans="1:9">
      <c r="A1440" s="79">
        <v>517</v>
      </c>
      <c r="B1440" s="79">
        <v>9</v>
      </c>
      <c r="C1440" s="79">
        <v>526</v>
      </c>
      <c r="D1440" s="80">
        <v>43328.80228009259</v>
      </c>
      <c r="E1440" s="81">
        <f t="shared" ca="1" si="10"/>
        <v>43313</v>
      </c>
      <c r="F1440" s="82">
        <f ca="1">IFERROR(__xludf.DUMMYFUNCTION("""COMPUTED_VALUE"""),0.802280092592592)</f>
        <v>0.80228009259259203</v>
      </c>
      <c r="G1440" s="83">
        <f t="shared" ca="1" si="11"/>
        <v>19</v>
      </c>
      <c r="H1440" s="83">
        <f ca="1">IFERROR(__xludf.DUMMYFUNCTION("""COMPUTED_VALUE"""),15)</f>
        <v>15</v>
      </c>
      <c r="I1440" s="83">
        <f ca="1">IFERROR(__xludf.DUMMYFUNCTION("""COMPUTED_VALUE"""),17)</f>
        <v>17</v>
      </c>
    </row>
    <row r="1441" spans="1:9">
      <c r="A1441" s="79">
        <v>486</v>
      </c>
      <c r="B1441" s="79">
        <v>8</v>
      </c>
      <c r="C1441" s="79">
        <v>494</v>
      </c>
      <c r="D1441" s="80">
        <v>43328.812708333331</v>
      </c>
      <c r="E1441" s="81">
        <f t="shared" ca="1" si="10"/>
        <v>43313</v>
      </c>
      <c r="F1441" s="82">
        <f ca="1">IFERROR(__xludf.DUMMYFUNCTION("""COMPUTED_VALUE"""),0.812708333333333)</f>
        <v>0.81270833333333303</v>
      </c>
      <c r="G1441" s="83">
        <f t="shared" ca="1" si="11"/>
        <v>19</v>
      </c>
      <c r="H1441" s="83">
        <f ca="1">IFERROR(__xludf.DUMMYFUNCTION("""COMPUTED_VALUE"""),30)</f>
        <v>30</v>
      </c>
      <c r="I1441" s="83">
        <f ca="1">IFERROR(__xludf.DUMMYFUNCTION("""COMPUTED_VALUE"""),18)</f>
        <v>18</v>
      </c>
    </row>
    <row r="1442" spans="1:9">
      <c r="A1442" s="79">
        <v>526</v>
      </c>
      <c r="B1442" s="79">
        <v>4</v>
      </c>
      <c r="C1442" s="79">
        <v>521</v>
      </c>
      <c r="D1442" s="80">
        <v>43328.823113425926</v>
      </c>
      <c r="E1442" s="81">
        <f t="shared" ca="1" si="10"/>
        <v>43313</v>
      </c>
      <c r="F1442" s="82">
        <f ca="1">IFERROR(__xludf.DUMMYFUNCTION("""COMPUTED_VALUE"""),0.823113425925926)</f>
        <v>0.82311342592592596</v>
      </c>
      <c r="G1442" s="83">
        <f t="shared" ca="1" si="11"/>
        <v>19</v>
      </c>
      <c r="H1442" s="83">
        <f ca="1">IFERROR(__xludf.DUMMYFUNCTION("""COMPUTED_VALUE"""),45)</f>
        <v>45</v>
      </c>
      <c r="I1442" s="83">
        <f ca="1">IFERROR(__xludf.DUMMYFUNCTION("""COMPUTED_VALUE"""),17)</f>
        <v>17</v>
      </c>
    </row>
    <row r="1443" spans="1:9">
      <c r="A1443" s="79">
        <v>506</v>
      </c>
      <c r="B1443" s="79">
        <v>11</v>
      </c>
      <c r="C1443" s="79">
        <v>517</v>
      </c>
      <c r="D1443" s="80">
        <v>43328.83353009259</v>
      </c>
      <c r="E1443" s="81">
        <f t="shared" ca="1" si="10"/>
        <v>43313</v>
      </c>
      <c r="F1443" s="82">
        <f ca="1">IFERROR(__xludf.DUMMYFUNCTION("""COMPUTED_VALUE"""),0.833530092592592)</f>
        <v>0.83353009259259203</v>
      </c>
      <c r="G1443" s="83">
        <f t="shared" ca="1" si="11"/>
        <v>19</v>
      </c>
      <c r="H1443" s="83">
        <f ca="1">IFERROR(__xludf.DUMMYFUNCTION("""COMPUTED_VALUE"""),0)</f>
        <v>0</v>
      </c>
      <c r="I1443" s="83">
        <f ca="1">IFERROR(__xludf.DUMMYFUNCTION("""COMPUTED_VALUE"""),17)</f>
        <v>17</v>
      </c>
    </row>
    <row r="1444" spans="1:9">
      <c r="A1444" s="79">
        <v>684</v>
      </c>
      <c r="B1444" s="79">
        <v>11</v>
      </c>
      <c r="C1444" s="79">
        <v>695</v>
      </c>
      <c r="D1444" s="80">
        <v>43328.843958333331</v>
      </c>
      <c r="E1444" s="81">
        <f t="shared" ca="1" si="10"/>
        <v>43313</v>
      </c>
      <c r="F1444" s="82">
        <f ca="1">IFERROR(__xludf.DUMMYFUNCTION("""COMPUTED_VALUE"""),0.843958333333333)</f>
        <v>0.84395833333333303</v>
      </c>
      <c r="G1444" s="83">
        <f t="shared" ca="1" si="11"/>
        <v>19</v>
      </c>
      <c r="H1444" s="83">
        <f ca="1">IFERROR(__xludf.DUMMYFUNCTION("""COMPUTED_VALUE"""),15)</f>
        <v>15</v>
      </c>
      <c r="I1444" s="83">
        <f ca="1">IFERROR(__xludf.DUMMYFUNCTION("""COMPUTED_VALUE"""),18)</f>
        <v>18</v>
      </c>
    </row>
    <row r="1445" spans="1:9">
      <c r="A1445" s="79">
        <v>635</v>
      </c>
      <c r="B1445" s="79">
        <v>12</v>
      </c>
      <c r="C1445" s="79">
        <v>647</v>
      </c>
      <c r="D1445" s="80">
        <v>43328.854363425926</v>
      </c>
      <c r="E1445" s="81">
        <f t="shared" ca="1" si="10"/>
        <v>43313</v>
      </c>
      <c r="F1445" s="82">
        <f ca="1">IFERROR(__xludf.DUMMYFUNCTION("""COMPUTED_VALUE"""),0.854363425925926)</f>
        <v>0.85436342592592596</v>
      </c>
      <c r="G1445" s="83">
        <f t="shared" ca="1" si="11"/>
        <v>19</v>
      </c>
      <c r="H1445" s="83">
        <f ca="1">IFERROR(__xludf.DUMMYFUNCTION("""COMPUTED_VALUE"""),30)</f>
        <v>30</v>
      </c>
      <c r="I1445" s="83">
        <f ca="1">IFERROR(__xludf.DUMMYFUNCTION("""COMPUTED_VALUE"""),17)</f>
        <v>17</v>
      </c>
    </row>
    <row r="1446" spans="1:9">
      <c r="A1446" s="79">
        <v>662</v>
      </c>
      <c r="B1446" s="79">
        <v>10</v>
      </c>
      <c r="C1446" s="79">
        <v>672</v>
      </c>
      <c r="D1446" s="80">
        <v>43328.864791666667</v>
      </c>
      <c r="E1446" s="81">
        <f t="shared" ca="1" si="10"/>
        <v>43313</v>
      </c>
      <c r="F1446" s="82">
        <f ca="1">IFERROR(__xludf.DUMMYFUNCTION("""COMPUTED_VALUE"""),0.864791666666666)</f>
        <v>0.86479166666666596</v>
      </c>
      <c r="G1446" s="83">
        <f t="shared" ca="1" si="11"/>
        <v>19</v>
      </c>
      <c r="H1446" s="83">
        <f ca="1">IFERROR(__xludf.DUMMYFUNCTION("""COMPUTED_VALUE"""),45)</f>
        <v>45</v>
      </c>
      <c r="I1446" s="83">
        <f ca="1">IFERROR(__xludf.DUMMYFUNCTION("""COMPUTED_VALUE"""),18)</f>
        <v>18</v>
      </c>
    </row>
    <row r="1447" spans="1:9">
      <c r="A1447" s="79">
        <v>555</v>
      </c>
      <c r="B1447" s="79">
        <v>8</v>
      </c>
      <c r="C1447" s="79">
        <v>563</v>
      </c>
      <c r="D1447" s="80">
        <v>43328.875196759262</v>
      </c>
      <c r="E1447" s="81">
        <f t="shared" ca="1" si="10"/>
        <v>43313</v>
      </c>
      <c r="F1447" s="82">
        <f ca="1">IFERROR(__xludf.DUMMYFUNCTION("""COMPUTED_VALUE"""),0.875196759259259)</f>
        <v>0.87519675925925899</v>
      </c>
      <c r="G1447" s="83">
        <f t="shared" ca="1" si="11"/>
        <v>19</v>
      </c>
      <c r="H1447" s="83">
        <f ca="1">IFERROR(__xludf.DUMMYFUNCTION("""COMPUTED_VALUE"""),0)</f>
        <v>0</v>
      </c>
      <c r="I1447" s="83">
        <f ca="1">IFERROR(__xludf.DUMMYFUNCTION("""COMPUTED_VALUE"""),17)</f>
        <v>17</v>
      </c>
    </row>
    <row r="1448" spans="1:9">
      <c r="A1448" s="79">
        <v>638</v>
      </c>
      <c r="B1448" s="79">
        <v>7</v>
      </c>
      <c r="C1448" s="79">
        <v>642</v>
      </c>
      <c r="D1448" s="80">
        <v>43328.885613425926</v>
      </c>
      <c r="E1448" s="81">
        <f t="shared" ca="1" si="10"/>
        <v>43313</v>
      </c>
      <c r="F1448" s="82">
        <f ca="1">IFERROR(__xludf.DUMMYFUNCTION("""COMPUTED_VALUE"""),0.885613425925926)</f>
        <v>0.88561342592592596</v>
      </c>
      <c r="G1448" s="83">
        <f t="shared" ca="1" si="11"/>
        <v>19</v>
      </c>
      <c r="H1448" s="83">
        <f ca="1">IFERROR(__xludf.DUMMYFUNCTION("""COMPUTED_VALUE"""),15)</f>
        <v>15</v>
      </c>
      <c r="I1448" s="83">
        <f ca="1">IFERROR(__xludf.DUMMYFUNCTION("""COMPUTED_VALUE"""),17)</f>
        <v>17</v>
      </c>
    </row>
    <row r="1449" spans="1:9">
      <c r="A1449" s="79">
        <v>622</v>
      </c>
      <c r="B1449" s="79">
        <v>7</v>
      </c>
      <c r="C1449" s="79">
        <v>629</v>
      </c>
      <c r="D1449" s="80">
        <v>43328.89603009259</v>
      </c>
      <c r="E1449" s="81">
        <f t="shared" ca="1" si="10"/>
        <v>43313</v>
      </c>
      <c r="F1449" s="82">
        <f ca="1">IFERROR(__xludf.DUMMYFUNCTION("""COMPUTED_VALUE"""),0.896030092592592)</f>
        <v>0.89603009259259203</v>
      </c>
      <c r="G1449" s="83">
        <f t="shared" ca="1" si="11"/>
        <v>19</v>
      </c>
      <c r="H1449" s="83">
        <f ca="1">IFERROR(__xludf.DUMMYFUNCTION("""COMPUTED_VALUE"""),30)</f>
        <v>30</v>
      </c>
      <c r="I1449" s="83">
        <f ca="1">IFERROR(__xludf.DUMMYFUNCTION("""COMPUTED_VALUE"""),17)</f>
        <v>17</v>
      </c>
    </row>
    <row r="1450" spans="1:9">
      <c r="A1450" s="79">
        <v>634</v>
      </c>
      <c r="B1450" s="79">
        <v>6</v>
      </c>
      <c r="C1450" s="79">
        <v>640</v>
      </c>
      <c r="D1450" s="80">
        <v>43328.906446759262</v>
      </c>
      <c r="E1450" s="81">
        <f t="shared" ca="1" si="10"/>
        <v>43313</v>
      </c>
      <c r="F1450" s="82">
        <f ca="1">IFERROR(__xludf.DUMMYFUNCTION("""COMPUTED_VALUE"""),0.906446759259259)</f>
        <v>0.90644675925925899</v>
      </c>
      <c r="G1450" s="83">
        <f t="shared" ca="1" si="11"/>
        <v>19</v>
      </c>
      <c r="H1450" s="83">
        <f ca="1">IFERROR(__xludf.DUMMYFUNCTION("""COMPUTED_VALUE"""),45)</f>
        <v>45</v>
      </c>
      <c r="I1450" s="83">
        <f ca="1">IFERROR(__xludf.DUMMYFUNCTION("""COMPUTED_VALUE"""),17)</f>
        <v>17</v>
      </c>
    </row>
    <row r="1451" spans="1:9">
      <c r="A1451" s="79">
        <v>545</v>
      </c>
      <c r="B1451" s="79">
        <v>5</v>
      </c>
      <c r="C1451" s="79">
        <v>544</v>
      </c>
      <c r="D1451" s="80">
        <v>43328.916863425926</v>
      </c>
      <c r="E1451" s="81">
        <f t="shared" ca="1" si="10"/>
        <v>43313</v>
      </c>
      <c r="F1451" s="82">
        <f ca="1">IFERROR(__xludf.DUMMYFUNCTION("""COMPUTED_VALUE"""),0.916863425925926)</f>
        <v>0.91686342592592596</v>
      </c>
      <c r="G1451" s="83">
        <f t="shared" ca="1" si="11"/>
        <v>19</v>
      </c>
      <c r="H1451" s="83">
        <f ca="1">IFERROR(__xludf.DUMMYFUNCTION("""COMPUTED_VALUE"""),0)</f>
        <v>0</v>
      </c>
      <c r="I1451" s="83">
        <f ca="1">IFERROR(__xludf.DUMMYFUNCTION("""COMPUTED_VALUE"""),17)</f>
        <v>17</v>
      </c>
    </row>
    <row r="1452" spans="1:9">
      <c r="A1452" s="79">
        <v>586</v>
      </c>
      <c r="B1452" s="79">
        <v>6</v>
      </c>
      <c r="C1452" s="79">
        <v>592</v>
      </c>
      <c r="D1452" s="80">
        <v>43328.92728009259</v>
      </c>
      <c r="E1452" s="81">
        <f t="shared" ca="1" si="10"/>
        <v>43313</v>
      </c>
      <c r="F1452" s="82">
        <f ca="1">IFERROR(__xludf.DUMMYFUNCTION("""COMPUTED_VALUE"""),0.927280092592592)</f>
        <v>0.92728009259259203</v>
      </c>
      <c r="G1452" s="83">
        <f t="shared" ca="1" si="11"/>
        <v>19</v>
      </c>
      <c r="H1452" s="83">
        <f ca="1">IFERROR(__xludf.DUMMYFUNCTION("""COMPUTED_VALUE"""),15)</f>
        <v>15</v>
      </c>
      <c r="I1452" s="83">
        <f ca="1">IFERROR(__xludf.DUMMYFUNCTION("""COMPUTED_VALUE"""),17)</f>
        <v>17</v>
      </c>
    </row>
    <row r="1453" spans="1:9">
      <c r="A1453" s="79">
        <v>536</v>
      </c>
      <c r="B1453" s="79">
        <v>8</v>
      </c>
      <c r="C1453" s="79">
        <v>544</v>
      </c>
      <c r="D1453" s="80">
        <v>43328.937696759262</v>
      </c>
      <c r="E1453" s="81">
        <f t="shared" ca="1" si="10"/>
        <v>43313</v>
      </c>
      <c r="F1453" s="82">
        <f ca="1">IFERROR(__xludf.DUMMYFUNCTION("""COMPUTED_VALUE"""),0.937696759259259)</f>
        <v>0.93769675925925899</v>
      </c>
      <c r="G1453" s="83">
        <f t="shared" ca="1" si="11"/>
        <v>19</v>
      </c>
      <c r="H1453" s="83">
        <f ca="1">IFERROR(__xludf.DUMMYFUNCTION("""COMPUTED_VALUE"""),30)</f>
        <v>30</v>
      </c>
      <c r="I1453" s="83">
        <f ca="1">IFERROR(__xludf.DUMMYFUNCTION("""COMPUTED_VALUE"""),17)</f>
        <v>17</v>
      </c>
    </row>
    <row r="1454" spans="1:9">
      <c r="A1454" s="79">
        <v>492</v>
      </c>
      <c r="B1454" s="79">
        <v>6</v>
      </c>
      <c r="C1454" s="79">
        <v>498</v>
      </c>
      <c r="D1454" s="80">
        <v>43328.948113425926</v>
      </c>
      <c r="E1454" s="81">
        <f t="shared" ca="1" si="10"/>
        <v>43313</v>
      </c>
      <c r="F1454" s="82">
        <f ca="1">IFERROR(__xludf.DUMMYFUNCTION("""COMPUTED_VALUE"""),0.948113425925926)</f>
        <v>0.94811342592592596</v>
      </c>
      <c r="G1454" s="83">
        <f t="shared" ca="1" si="11"/>
        <v>19</v>
      </c>
      <c r="H1454" s="83">
        <f ca="1">IFERROR(__xludf.DUMMYFUNCTION("""COMPUTED_VALUE"""),45)</f>
        <v>45</v>
      </c>
      <c r="I1454" s="83">
        <f ca="1">IFERROR(__xludf.DUMMYFUNCTION("""COMPUTED_VALUE"""),17)</f>
        <v>17</v>
      </c>
    </row>
    <row r="1455" spans="1:9">
      <c r="A1455" s="79">
        <v>467</v>
      </c>
      <c r="B1455" s="79">
        <v>7</v>
      </c>
      <c r="C1455" s="79">
        <v>466</v>
      </c>
      <c r="D1455" s="80">
        <v>43328.95853009259</v>
      </c>
      <c r="E1455" s="81">
        <f t="shared" ca="1" si="10"/>
        <v>43313</v>
      </c>
      <c r="F1455" s="82">
        <f ca="1">IFERROR(__xludf.DUMMYFUNCTION("""COMPUTED_VALUE"""),0.958530092592592)</f>
        <v>0.95853009259259203</v>
      </c>
      <c r="G1455" s="83">
        <f t="shared" ca="1" si="11"/>
        <v>19</v>
      </c>
      <c r="H1455" s="83">
        <f ca="1">IFERROR(__xludf.DUMMYFUNCTION("""COMPUTED_VALUE"""),0)</f>
        <v>0</v>
      </c>
      <c r="I1455" s="83">
        <f ca="1">IFERROR(__xludf.DUMMYFUNCTION("""COMPUTED_VALUE"""),17)</f>
        <v>17</v>
      </c>
    </row>
    <row r="1456" spans="1:9">
      <c r="A1456" s="79">
        <v>501</v>
      </c>
      <c r="B1456" s="79">
        <v>6</v>
      </c>
      <c r="C1456" s="79">
        <v>507</v>
      </c>
      <c r="D1456" s="80">
        <v>43328.968946759262</v>
      </c>
      <c r="E1456" s="81">
        <f t="shared" ca="1" si="10"/>
        <v>43313</v>
      </c>
      <c r="F1456" s="82">
        <f ca="1">IFERROR(__xludf.DUMMYFUNCTION("""COMPUTED_VALUE"""),0.968946759259259)</f>
        <v>0.96894675925925899</v>
      </c>
      <c r="G1456" s="83">
        <f t="shared" ca="1" si="11"/>
        <v>19</v>
      </c>
      <c r="H1456" s="83">
        <f ca="1">IFERROR(__xludf.DUMMYFUNCTION("""COMPUTED_VALUE"""),15)</f>
        <v>15</v>
      </c>
      <c r="I1456" s="83">
        <f ca="1">IFERROR(__xludf.DUMMYFUNCTION("""COMPUTED_VALUE"""),17)</f>
        <v>17</v>
      </c>
    </row>
    <row r="1457" spans="1:9">
      <c r="A1457" s="79">
        <v>403</v>
      </c>
      <c r="B1457" s="79">
        <v>6</v>
      </c>
      <c r="C1457" s="79">
        <v>409</v>
      </c>
      <c r="D1457" s="80">
        <v>43328.979363425926</v>
      </c>
      <c r="E1457" s="81">
        <f t="shared" ca="1" si="10"/>
        <v>43313</v>
      </c>
      <c r="F1457" s="82">
        <f ca="1">IFERROR(__xludf.DUMMYFUNCTION("""COMPUTED_VALUE"""),0.979363425925926)</f>
        <v>0.97936342592592596</v>
      </c>
      <c r="G1457" s="83">
        <f t="shared" ca="1" si="11"/>
        <v>19</v>
      </c>
      <c r="H1457" s="83">
        <f ca="1">IFERROR(__xludf.DUMMYFUNCTION("""COMPUTED_VALUE"""),30)</f>
        <v>30</v>
      </c>
      <c r="I1457" s="83">
        <f ca="1">IFERROR(__xludf.DUMMYFUNCTION("""COMPUTED_VALUE"""),17)</f>
        <v>17</v>
      </c>
    </row>
    <row r="1458" spans="1:9">
      <c r="A1458" s="79">
        <v>400</v>
      </c>
      <c r="B1458" s="79">
        <v>6</v>
      </c>
      <c r="C1458" s="79">
        <v>406</v>
      </c>
      <c r="D1458" s="80">
        <v>43328.98978009259</v>
      </c>
      <c r="E1458" s="81">
        <f t="shared" ca="1" si="10"/>
        <v>43313</v>
      </c>
      <c r="F1458" s="82">
        <f ca="1">IFERROR(__xludf.DUMMYFUNCTION("""COMPUTED_VALUE"""),0.989780092592592)</f>
        <v>0.98978009259259203</v>
      </c>
      <c r="G1458" s="83">
        <f t="shared" ca="1" si="11"/>
        <v>19</v>
      </c>
      <c r="H1458" s="83">
        <f ca="1">IFERROR(__xludf.DUMMYFUNCTION("""COMPUTED_VALUE"""),45)</f>
        <v>45</v>
      </c>
      <c r="I1458" s="83">
        <f ca="1">IFERROR(__xludf.DUMMYFUNCTION("""COMPUTED_VALUE"""),17)</f>
        <v>17</v>
      </c>
    </row>
    <row r="1459" spans="1:9">
      <c r="A1459" s="79">
        <v>332</v>
      </c>
      <c r="B1459" s="79">
        <v>6</v>
      </c>
      <c r="C1459" s="79">
        <v>338</v>
      </c>
      <c r="D1459" s="80">
        <v>43329.000196759262</v>
      </c>
      <c r="E1459" s="81">
        <f t="shared" ca="1" si="10"/>
        <v>43313</v>
      </c>
      <c r="F1459" s="82">
        <f ca="1">IFERROR(__xludf.DUMMYFUNCTION("""COMPUTED_VALUE"""),0.000196759259259259)</f>
        <v>1.9675925925925899E-4</v>
      </c>
      <c r="G1459" s="83">
        <f t="shared" ca="1" si="11"/>
        <v>19</v>
      </c>
      <c r="H1459" s="83">
        <f ca="1">IFERROR(__xludf.DUMMYFUNCTION("""COMPUTED_VALUE"""),0)</f>
        <v>0</v>
      </c>
      <c r="I1459" s="83">
        <f ca="1">IFERROR(__xludf.DUMMYFUNCTION("""COMPUTED_VALUE"""),17)</f>
        <v>17</v>
      </c>
    </row>
    <row r="1460" spans="1:9">
      <c r="A1460" s="79">
        <v>372</v>
      </c>
      <c r="B1460" s="79">
        <v>9</v>
      </c>
      <c r="C1460" s="79">
        <v>381</v>
      </c>
      <c r="D1460" s="80">
        <v>43329.010613425926</v>
      </c>
      <c r="E1460" s="81">
        <f t="shared" ca="1" si="10"/>
        <v>43313</v>
      </c>
      <c r="F1460" s="82">
        <f ca="1">IFERROR(__xludf.DUMMYFUNCTION("""COMPUTED_VALUE"""),0.0106134259259259)</f>
        <v>1.0613425925925899E-2</v>
      </c>
      <c r="G1460" s="83">
        <f t="shared" ca="1" si="11"/>
        <v>19</v>
      </c>
      <c r="H1460" s="83">
        <f ca="1">IFERROR(__xludf.DUMMYFUNCTION("""COMPUTED_VALUE"""),15)</f>
        <v>15</v>
      </c>
      <c r="I1460" s="83">
        <f ca="1">IFERROR(__xludf.DUMMYFUNCTION("""COMPUTED_VALUE"""),17)</f>
        <v>17</v>
      </c>
    </row>
    <row r="1461" spans="1:9">
      <c r="A1461" s="79">
        <v>335</v>
      </c>
      <c r="B1461" s="79">
        <v>6</v>
      </c>
      <c r="C1461" s="79">
        <v>334</v>
      </c>
      <c r="D1461" s="80">
        <v>43329.02103009259</v>
      </c>
      <c r="E1461" s="81">
        <f t="shared" ca="1" si="10"/>
        <v>43313</v>
      </c>
      <c r="F1461" s="82">
        <f ca="1">IFERROR(__xludf.DUMMYFUNCTION("""COMPUTED_VALUE"""),0.0210300925925925)</f>
        <v>2.10300925925925E-2</v>
      </c>
      <c r="G1461" s="83">
        <f t="shared" ca="1" si="11"/>
        <v>19</v>
      </c>
      <c r="H1461" s="83">
        <f ca="1">IFERROR(__xludf.DUMMYFUNCTION("""COMPUTED_VALUE"""),30)</f>
        <v>30</v>
      </c>
      <c r="I1461" s="83">
        <f ca="1">IFERROR(__xludf.DUMMYFUNCTION("""COMPUTED_VALUE"""),17)</f>
        <v>17</v>
      </c>
    </row>
    <row r="1462" spans="1:9">
      <c r="A1462" s="79">
        <v>310</v>
      </c>
      <c r="B1462" s="79">
        <v>5</v>
      </c>
      <c r="C1462" s="79">
        <v>315</v>
      </c>
      <c r="D1462" s="80">
        <v>43329.031446759262</v>
      </c>
      <c r="E1462" s="81">
        <f t="shared" ca="1" si="10"/>
        <v>43313</v>
      </c>
      <c r="F1462" s="82">
        <f ca="1">IFERROR(__xludf.DUMMYFUNCTION("""COMPUTED_VALUE"""),0.0314467592592592)</f>
        <v>3.1446759259259202E-2</v>
      </c>
      <c r="G1462" s="83">
        <f t="shared" ca="1" si="11"/>
        <v>19</v>
      </c>
      <c r="H1462" s="83">
        <f ca="1">IFERROR(__xludf.DUMMYFUNCTION("""COMPUTED_VALUE"""),45)</f>
        <v>45</v>
      </c>
      <c r="I1462" s="83">
        <f ca="1">IFERROR(__xludf.DUMMYFUNCTION("""COMPUTED_VALUE"""),17)</f>
        <v>17</v>
      </c>
    </row>
    <row r="1463" spans="1:9">
      <c r="A1463" s="79">
        <v>284</v>
      </c>
      <c r="B1463" s="79">
        <v>5</v>
      </c>
      <c r="C1463" s="79">
        <v>289</v>
      </c>
      <c r="D1463" s="80">
        <v>43329.041863425926</v>
      </c>
      <c r="E1463" s="81">
        <f t="shared" ca="1" si="10"/>
        <v>43313</v>
      </c>
      <c r="F1463" s="82">
        <f ca="1">IFERROR(__xludf.DUMMYFUNCTION("""COMPUTED_VALUE"""),0.0418634259259259)</f>
        <v>4.1863425925925901E-2</v>
      </c>
      <c r="G1463" s="83">
        <f t="shared" ca="1" si="11"/>
        <v>19</v>
      </c>
      <c r="H1463" s="83">
        <f ca="1">IFERROR(__xludf.DUMMYFUNCTION("""COMPUTED_VALUE"""),0)</f>
        <v>0</v>
      </c>
      <c r="I1463" s="83">
        <f ca="1">IFERROR(__xludf.DUMMYFUNCTION("""COMPUTED_VALUE"""),17)</f>
        <v>17</v>
      </c>
    </row>
    <row r="1464" spans="1:9">
      <c r="A1464" s="79">
        <v>323</v>
      </c>
      <c r="B1464" s="79">
        <v>7</v>
      </c>
      <c r="C1464" s="79">
        <v>330</v>
      </c>
      <c r="D1464" s="80">
        <v>43329.05228009259</v>
      </c>
      <c r="E1464" s="81">
        <f t="shared" ca="1" si="10"/>
        <v>43313</v>
      </c>
      <c r="F1464" s="82">
        <f ca="1">IFERROR(__xludf.DUMMYFUNCTION("""COMPUTED_VALUE"""),0.0522800925925925)</f>
        <v>5.2280092592592503E-2</v>
      </c>
      <c r="G1464" s="83">
        <f t="shared" ca="1" si="11"/>
        <v>19</v>
      </c>
      <c r="H1464" s="83">
        <f ca="1">IFERROR(__xludf.DUMMYFUNCTION("""COMPUTED_VALUE"""),15)</f>
        <v>15</v>
      </c>
      <c r="I1464" s="83">
        <f ca="1">IFERROR(__xludf.DUMMYFUNCTION("""COMPUTED_VALUE"""),17)</f>
        <v>17</v>
      </c>
    </row>
    <row r="1465" spans="1:9">
      <c r="A1465" s="79">
        <v>312</v>
      </c>
      <c r="B1465" s="79">
        <v>6</v>
      </c>
      <c r="C1465" s="79">
        <v>316</v>
      </c>
      <c r="D1465" s="80">
        <v>43329.062696759262</v>
      </c>
      <c r="E1465" s="81">
        <f t="shared" ca="1" si="10"/>
        <v>43313</v>
      </c>
      <c r="F1465" s="82">
        <f ca="1">IFERROR(__xludf.DUMMYFUNCTION("""COMPUTED_VALUE"""),0.0626967592592592)</f>
        <v>6.2696759259259202E-2</v>
      </c>
      <c r="G1465" s="83">
        <f t="shared" ca="1" si="11"/>
        <v>19</v>
      </c>
      <c r="H1465" s="83">
        <f ca="1">IFERROR(__xludf.DUMMYFUNCTION("""COMPUTED_VALUE"""),30)</f>
        <v>30</v>
      </c>
      <c r="I1465" s="83">
        <f ca="1">IFERROR(__xludf.DUMMYFUNCTION("""COMPUTED_VALUE"""),17)</f>
        <v>17</v>
      </c>
    </row>
    <row r="1466" spans="1:9">
      <c r="A1466" s="79">
        <v>300</v>
      </c>
      <c r="B1466" s="79">
        <v>6</v>
      </c>
      <c r="C1466" s="79">
        <v>306</v>
      </c>
      <c r="D1466" s="80">
        <v>43329.073101851849</v>
      </c>
      <c r="E1466" s="81">
        <f t="shared" ca="1" si="10"/>
        <v>43313</v>
      </c>
      <c r="F1466" s="82">
        <f ca="1">IFERROR(__xludf.DUMMYFUNCTION("""COMPUTED_VALUE"""),0.0731018518518518)</f>
        <v>7.3101851851851807E-2</v>
      </c>
      <c r="G1466" s="83">
        <f t="shared" ca="1" si="11"/>
        <v>19</v>
      </c>
      <c r="H1466" s="83">
        <f ca="1">IFERROR(__xludf.DUMMYFUNCTION("""COMPUTED_VALUE"""),45)</f>
        <v>45</v>
      </c>
      <c r="I1466" s="83">
        <f ca="1">IFERROR(__xludf.DUMMYFUNCTION("""COMPUTED_VALUE"""),16)</f>
        <v>16</v>
      </c>
    </row>
    <row r="1467" spans="1:9">
      <c r="A1467" s="79">
        <v>292</v>
      </c>
      <c r="B1467" s="79">
        <v>8</v>
      </c>
      <c r="C1467" s="79">
        <v>300</v>
      </c>
      <c r="D1467" s="80">
        <v>43329.083541666667</v>
      </c>
      <c r="E1467" s="81">
        <f t="shared" ca="1" si="10"/>
        <v>43313</v>
      </c>
      <c r="F1467" s="82">
        <f ca="1">IFERROR(__xludf.DUMMYFUNCTION("""COMPUTED_VALUE"""),0.0835416666666666)</f>
        <v>8.3541666666666597E-2</v>
      </c>
      <c r="G1467" s="83">
        <f t="shared" ca="1" si="11"/>
        <v>19</v>
      </c>
      <c r="H1467" s="83">
        <f ca="1">IFERROR(__xludf.DUMMYFUNCTION("""COMPUTED_VALUE"""),0)</f>
        <v>0</v>
      </c>
      <c r="I1467" s="83">
        <f ca="1">IFERROR(__xludf.DUMMYFUNCTION("""COMPUTED_VALUE"""),18)</f>
        <v>18</v>
      </c>
    </row>
    <row r="1468" spans="1:9">
      <c r="A1468" s="79">
        <v>279</v>
      </c>
      <c r="B1468" s="79">
        <v>11</v>
      </c>
      <c r="C1468" s="79">
        <v>290</v>
      </c>
      <c r="D1468" s="80">
        <v>43329.093946759262</v>
      </c>
      <c r="E1468" s="81">
        <f t="shared" ca="1" si="10"/>
        <v>43313</v>
      </c>
      <c r="F1468" s="82">
        <f ca="1">IFERROR(__xludf.DUMMYFUNCTION("""COMPUTED_VALUE"""),0.0939467592592592)</f>
        <v>9.3946759259259202E-2</v>
      </c>
      <c r="G1468" s="83">
        <f t="shared" ca="1" si="11"/>
        <v>19</v>
      </c>
      <c r="H1468" s="83">
        <f ca="1">IFERROR(__xludf.DUMMYFUNCTION("""COMPUTED_VALUE"""),15)</f>
        <v>15</v>
      </c>
      <c r="I1468" s="83">
        <f ca="1">IFERROR(__xludf.DUMMYFUNCTION("""COMPUTED_VALUE"""),17)</f>
        <v>17</v>
      </c>
    </row>
    <row r="1469" spans="1:9">
      <c r="A1469" s="79">
        <v>282</v>
      </c>
      <c r="B1469" s="79">
        <v>13</v>
      </c>
      <c r="C1469" s="79">
        <v>295</v>
      </c>
      <c r="D1469" s="80">
        <v>43329.104363425926</v>
      </c>
      <c r="E1469" s="81">
        <f t="shared" ca="1" si="10"/>
        <v>43313</v>
      </c>
      <c r="F1469" s="82">
        <f ca="1">IFERROR(__xludf.DUMMYFUNCTION("""COMPUTED_VALUE"""),0.104363425925925)</f>
        <v>0.104363425925925</v>
      </c>
      <c r="G1469" s="83">
        <f t="shared" ca="1" si="11"/>
        <v>19</v>
      </c>
      <c r="H1469" s="83">
        <f ca="1">IFERROR(__xludf.DUMMYFUNCTION("""COMPUTED_VALUE"""),30)</f>
        <v>30</v>
      </c>
      <c r="I1469" s="83">
        <f ca="1">IFERROR(__xludf.DUMMYFUNCTION("""COMPUTED_VALUE"""),17)</f>
        <v>17</v>
      </c>
    </row>
    <row r="1470" spans="1:9">
      <c r="A1470" s="79">
        <v>251</v>
      </c>
      <c r="B1470" s="79">
        <v>6</v>
      </c>
      <c r="C1470" s="79">
        <v>257</v>
      </c>
      <c r="D1470" s="80">
        <v>43329.11478009259</v>
      </c>
      <c r="E1470" s="81">
        <f t="shared" ca="1" si="10"/>
        <v>43313</v>
      </c>
      <c r="F1470" s="82">
        <f ca="1">IFERROR(__xludf.DUMMYFUNCTION("""COMPUTED_VALUE"""),0.114780092592592)</f>
        <v>0.114780092592592</v>
      </c>
      <c r="G1470" s="83">
        <f t="shared" ca="1" si="11"/>
        <v>19</v>
      </c>
      <c r="H1470" s="83">
        <f ca="1">IFERROR(__xludf.DUMMYFUNCTION("""COMPUTED_VALUE"""),45)</f>
        <v>45</v>
      </c>
      <c r="I1470" s="83">
        <f ca="1">IFERROR(__xludf.DUMMYFUNCTION("""COMPUTED_VALUE"""),17)</f>
        <v>17</v>
      </c>
    </row>
    <row r="1471" spans="1:9">
      <c r="A1471" s="79">
        <v>186</v>
      </c>
      <c r="B1471" s="79">
        <v>6</v>
      </c>
      <c r="C1471" s="79">
        <v>192</v>
      </c>
      <c r="D1471" s="80">
        <v>43329.125185185185</v>
      </c>
      <c r="E1471" s="81">
        <f t="shared" ca="1" si="10"/>
        <v>43313</v>
      </c>
      <c r="F1471" s="82">
        <f ca="1">IFERROR(__xludf.DUMMYFUNCTION("""COMPUTED_VALUE"""),0.125185185185185)</f>
        <v>0.12518518518518501</v>
      </c>
      <c r="G1471" s="83">
        <f t="shared" ca="1" si="11"/>
        <v>19</v>
      </c>
      <c r="H1471" s="83">
        <f ca="1">IFERROR(__xludf.DUMMYFUNCTION("""COMPUTED_VALUE"""),0)</f>
        <v>0</v>
      </c>
      <c r="I1471" s="83">
        <f ca="1">IFERROR(__xludf.DUMMYFUNCTION("""COMPUTED_VALUE"""),16)</f>
        <v>16</v>
      </c>
    </row>
    <row r="1472" spans="1:9">
      <c r="A1472" s="79">
        <v>193</v>
      </c>
      <c r="B1472" s="79">
        <v>11</v>
      </c>
      <c r="C1472" s="79">
        <v>204</v>
      </c>
      <c r="D1472" s="80">
        <v>43329.135648148149</v>
      </c>
      <c r="E1472" s="81">
        <f t="shared" ca="1" si="10"/>
        <v>43313</v>
      </c>
      <c r="F1472" s="82">
        <f ca="1">IFERROR(__xludf.DUMMYFUNCTION("""COMPUTED_VALUE"""),0.135648148148148)</f>
        <v>0.13564814814814799</v>
      </c>
      <c r="G1472" s="83">
        <f t="shared" ca="1" si="11"/>
        <v>19</v>
      </c>
      <c r="H1472" s="83">
        <f ca="1">IFERROR(__xludf.DUMMYFUNCTION("""COMPUTED_VALUE"""),15)</f>
        <v>15</v>
      </c>
      <c r="I1472" s="83">
        <f ca="1">IFERROR(__xludf.DUMMYFUNCTION("""COMPUTED_VALUE"""),20)</f>
        <v>20</v>
      </c>
    </row>
    <row r="1473" spans="1:9">
      <c r="A1473" s="79">
        <v>175</v>
      </c>
      <c r="B1473" s="79">
        <v>11</v>
      </c>
      <c r="C1473" s="79">
        <v>186</v>
      </c>
      <c r="D1473" s="80">
        <v>43329.14603009259</v>
      </c>
      <c r="E1473" s="81">
        <f t="shared" ca="1" si="10"/>
        <v>43313</v>
      </c>
      <c r="F1473" s="82">
        <f ca="1">IFERROR(__xludf.DUMMYFUNCTION("""COMPUTED_VALUE"""),0.146030092592592)</f>
        <v>0.146030092592592</v>
      </c>
      <c r="G1473" s="83">
        <f t="shared" ca="1" si="11"/>
        <v>19</v>
      </c>
      <c r="H1473" s="83">
        <f ca="1">IFERROR(__xludf.DUMMYFUNCTION("""COMPUTED_VALUE"""),30)</f>
        <v>30</v>
      </c>
      <c r="I1473" s="83">
        <f ca="1">IFERROR(__xludf.DUMMYFUNCTION("""COMPUTED_VALUE"""),17)</f>
        <v>17</v>
      </c>
    </row>
    <row r="1474" spans="1:9">
      <c r="A1474" s="79">
        <v>151</v>
      </c>
      <c r="B1474" s="79">
        <v>6</v>
      </c>
      <c r="C1474" s="79">
        <v>157</v>
      </c>
      <c r="D1474" s="80">
        <v>43329.156435185185</v>
      </c>
      <c r="E1474" s="81">
        <f t="shared" ca="1" si="10"/>
        <v>43313</v>
      </c>
      <c r="F1474" s="82">
        <f ca="1">IFERROR(__xludf.DUMMYFUNCTION("""COMPUTED_VALUE"""),0.156435185185185)</f>
        <v>0.15643518518518501</v>
      </c>
      <c r="G1474" s="83">
        <f t="shared" ca="1" si="11"/>
        <v>19</v>
      </c>
      <c r="H1474" s="83">
        <f ca="1">IFERROR(__xludf.DUMMYFUNCTION("""COMPUTED_VALUE"""),45)</f>
        <v>45</v>
      </c>
      <c r="I1474" s="83">
        <f ca="1">IFERROR(__xludf.DUMMYFUNCTION("""COMPUTED_VALUE"""),16)</f>
        <v>16</v>
      </c>
    </row>
    <row r="1475" spans="1:9">
      <c r="A1475" s="79">
        <v>172</v>
      </c>
      <c r="B1475" s="79">
        <v>9</v>
      </c>
      <c r="C1475" s="79">
        <v>172</v>
      </c>
      <c r="D1475" s="80">
        <v>43329.166863425926</v>
      </c>
      <c r="E1475" s="81">
        <f t="shared" ca="1" si="10"/>
        <v>43313</v>
      </c>
      <c r="F1475" s="82">
        <f ca="1">IFERROR(__xludf.DUMMYFUNCTION("""COMPUTED_VALUE"""),0.166863425925925)</f>
        <v>0.16686342592592501</v>
      </c>
      <c r="G1475" s="83">
        <f t="shared" ca="1" si="11"/>
        <v>19</v>
      </c>
      <c r="H1475" s="83">
        <f ca="1">IFERROR(__xludf.DUMMYFUNCTION("""COMPUTED_VALUE"""),0)</f>
        <v>0</v>
      </c>
      <c r="I1475" s="83">
        <f ca="1">IFERROR(__xludf.DUMMYFUNCTION("""COMPUTED_VALUE"""),17)</f>
        <v>17</v>
      </c>
    </row>
    <row r="1476" spans="1:9">
      <c r="A1476" s="79">
        <v>120</v>
      </c>
      <c r="B1476" s="79">
        <v>8</v>
      </c>
      <c r="C1476" s="79">
        <v>128</v>
      </c>
      <c r="D1476" s="80">
        <v>43329.177268518521</v>
      </c>
      <c r="E1476" s="81">
        <f t="shared" ca="1" si="10"/>
        <v>43313</v>
      </c>
      <c r="F1476" s="82">
        <f ca="1">IFERROR(__xludf.DUMMYFUNCTION("""COMPUTED_VALUE"""),0.177268518518518)</f>
        <v>0.17726851851851799</v>
      </c>
      <c r="G1476" s="83">
        <f t="shared" ca="1" si="11"/>
        <v>19</v>
      </c>
      <c r="H1476" s="83">
        <f ca="1">IFERROR(__xludf.DUMMYFUNCTION("""COMPUTED_VALUE"""),15)</f>
        <v>15</v>
      </c>
      <c r="I1476" s="83">
        <f ca="1">IFERROR(__xludf.DUMMYFUNCTION("""COMPUTED_VALUE"""),16)</f>
        <v>16</v>
      </c>
    </row>
    <row r="1477" spans="1:9">
      <c r="A1477" s="79">
        <v>113</v>
      </c>
      <c r="B1477" s="79">
        <v>6</v>
      </c>
      <c r="C1477" s="79">
        <v>119</v>
      </c>
      <c r="D1477" s="80">
        <v>43329.187696759262</v>
      </c>
      <c r="E1477" s="81">
        <f t="shared" ca="1" si="10"/>
        <v>43313</v>
      </c>
      <c r="F1477" s="82">
        <f ca="1">IFERROR(__xludf.DUMMYFUNCTION("""COMPUTED_VALUE"""),0.187696759259259)</f>
        <v>0.18769675925925899</v>
      </c>
      <c r="G1477" s="83">
        <f t="shared" ca="1" si="11"/>
        <v>19</v>
      </c>
      <c r="H1477" s="83">
        <f ca="1">IFERROR(__xludf.DUMMYFUNCTION("""COMPUTED_VALUE"""),30)</f>
        <v>30</v>
      </c>
      <c r="I1477" s="83">
        <f ca="1">IFERROR(__xludf.DUMMYFUNCTION("""COMPUTED_VALUE"""),17)</f>
        <v>17</v>
      </c>
    </row>
    <row r="1478" spans="1:9">
      <c r="A1478" s="79">
        <v>98</v>
      </c>
      <c r="B1478" s="79">
        <v>7</v>
      </c>
      <c r="C1478" s="79">
        <v>105</v>
      </c>
      <c r="D1478" s="80">
        <v>43329.198136574072</v>
      </c>
      <c r="E1478" s="81">
        <f t="shared" ca="1" si="10"/>
        <v>43313</v>
      </c>
      <c r="F1478" s="82">
        <f ca="1">IFERROR(__xludf.DUMMYFUNCTION("""COMPUTED_VALUE"""),0.198136574074074)</f>
        <v>0.19813657407407401</v>
      </c>
      <c r="G1478" s="83">
        <f t="shared" ca="1" si="11"/>
        <v>19</v>
      </c>
      <c r="H1478" s="83">
        <f ca="1">IFERROR(__xludf.DUMMYFUNCTION("""COMPUTED_VALUE"""),45)</f>
        <v>45</v>
      </c>
      <c r="I1478" s="83">
        <f ca="1">IFERROR(__xludf.DUMMYFUNCTION("""COMPUTED_VALUE"""),19)</f>
        <v>19</v>
      </c>
    </row>
    <row r="1479" spans="1:9">
      <c r="A1479" s="79">
        <v>82</v>
      </c>
      <c r="B1479" s="79">
        <v>7</v>
      </c>
      <c r="C1479" s="79">
        <v>89</v>
      </c>
      <c r="D1479" s="80">
        <v>43329.20853009259</v>
      </c>
      <c r="E1479" s="81">
        <f t="shared" ca="1" si="10"/>
        <v>43313</v>
      </c>
      <c r="F1479" s="82">
        <f ca="1">IFERROR(__xludf.DUMMYFUNCTION("""COMPUTED_VALUE"""),0.208530092592592)</f>
        <v>0.208530092592592</v>
      </c>
      <c r="G1479" s="83">
        <f t="shared" ca="1" si="11"/>
        <v>19</v>
      </c>
      <c r="H1479" s="83">
        <f ca="1">IFERROR(__xludf.DUMMYFUNCTION("""COMPUTED_VALUE"""),0)</f>
        <v>0</v>
      </c>
      <c r="I1479" s="83">
        <f ca="1">IFERROR(__xludf.DUMMYFUNCTION("""COMPUTED_VALUE"""),17)</f>
        <v>17</v>
      </c>
    </row>
    <row r="1480" spans="1:9">
      <c r="A1480" s="79">
        <v>54</v>
      </c>
      <c r="B1480" s="79">
        <v>7</v>
      </c>
      <c r="C1480" s="79">
        <v>61</v>
      </c>
      <c r="D1480" s="80">
        <v>43329.218935185185</v>
      </c>
      <c r="E1480" s="81">
        <f t="shared" ca="1" si="10"/>
        <v>43313</v>
      </c>
      <c r="F1480" s="82">
        <f ca="1">IFERROR(__xludf.DUMMYFUNCTION("""COMPUTED_VALUE"""),0.218935185185185)</f>
        <v>0.21893518518518501</v>
      </c>
      <c r="G1480" s="83">
        <f t="shared" ca="1" si="11"/>
        <v>19</v>
      </c>
      <c r="H1480" s="83">
        <f ca="1">IFERROR(__xludf.DUMMYFUNCTION("""COMPUTED_VALUE"""),15)</f>
        <v>15</v>
      </c>
      <c r="I1480" s="83">
        <f ca="1">IFERROR(__xludf.DUMMYFUNCTION("""COMPUTED_VALUE"""),16)</f>
        <v>16</v>
      </c>
    </row>
    <row r="1481" spans="1:9">
      <c r="A1481" s="79">
        <v>49</v>
      </c>
      <c r="B1481" s="79">
        <v>7</v>
      </c>
      <c r="C1481" s="79">
        <v>56</v>
      </c>
      <c r="D1481" s="80">
        <v>43329.229351851849</v>
      </c>
      <c r="E1481" s="81">
        <f t="shared" ca="1" si="10"/>
        <v>43313</v>
      </c>
      <c r="F1481" s="82">
        <f ca="1">IFERROR(__xludf.DUMMYFUNCTION("""COMPUTED_VALUE"""),0.229351851851851)</f>
        <v>0.229351851851851</v>
      </c>
      <c r="G1481" s="83">
        <f t="shared" ca="1" si="11"/>
        <v>19</v>
      </c>
      <c r="H1481" s="83">
        <f ca="1">IFERROR(__xludf.DUMMYFUNCTION("""COMPUTED_VALUE"""),30)</f>
        <v>30</v>
      </c>
      <c r="I1481" s="83">
        <f ca="1">IFERROR(__xludf.DUMMYFUNCTION("""COMPUTED_VALUE"""),16)</f>
        <v>16</v>
      </c>
    </row>
    <row r="1482" spans="1:9">
      <c r="A1482" s="79">
        <v>45</v>
      </c>
      <c r="B1482" s="79">
        <v>7</v>
      </c>
      <c r="C1482" s="79">
        <v>52</v>
      </c>
      <c r="D1482" s="80">
        <v>43329.239768518521</v>
      </c>
      <c r="E1482" s="81">
        <f t="shared" ca="1" si="10"/>
        <v>43313</v>
      </c>
      <c r="F1482" s="82">
        <f ca="1">IFERROR(__xludf.DUMMYFUNCTION("""COMPUTED_VALUE"""),0.239768518518518)</f>
        <v>0.23976851851851799</v>
      </c>
      <c r="G1482" s="83">
        <f t="shared" ca="1" si="11"/>
        <v>19</v>
      </c>
      <c r="H1482" s="83">
        <f ca="1">IFERROR(__xludf.DUMMYFUNCTION("""COMPUTED_VALUE"""),45)</f>
        <v>45</v>
      </c>
      <c r="I1482" s="83">
        <f ca="1">IFERROR(__xludf.DUMMYFUNCTION("""COMPUTED_VALUE"""),16)</f>
        <v>16</v>
      </c>
    </row>
    <row r="1483" spans="1:9">
      <c r="A1483" s="79">
        <v>49</v>
      </c>
      <c r="B1483" s="79">
        <v>7</v>
      </c>
      <c r="C1483" s="79">
        <v>52</v>
      </c>
      <c r="D1483" s="80">
        <v>43329.250185185185</v>
      </c>
      <c r="E1483" s="81">
        <f t="shared" ca="1" si="10"/>
        <v>43313</v>
      </c>
      <c r="F1483" s="82">
        <f ca="1">IFERROR(__xludf.DUMMYFUNCTION("""COMPUTED_VALUE"""),0.250185185185185)</f>
        <v>0.25018518518518501</v>
      </c>
      <c r="G1483" s="83">
        <f t="shared" ca="1" si="11"/>
        <v>19</v>
      </c>
      <c r="H1483" s="83">
        <f ca="1">IFERROR(__xludf.DUMMYFUNCTION("""COMPUTED_VALUE"""),0)</f>
        <v>0</v>
      </c>
      <c r="I1483" s="83">
        <f ca="1">IFERROR(__xludf.DUMMYFUNCTION("""COMPUTED_VALUE"""),16)</f>
        <v>16</v>
      </c>
    </row>
    <row r="1484" spans="1:9">
      <c r="A1484" s="79">
        <v>43</v>
      </c>
      <c r="B1484" s="79">
        <v>7</v>
      </c>
      <c r="C1484" s="79">
        <v>50</v>
      </c>
      <c r="D1484" s="80">
        <v>43329.260613425926</v>
      </c>
      <c r="E1484" s="81">
        <f t="shared" ca="1" si="10"/>
        <v>43313</v>
      </c>
      <c r="F1484" s="82">
        <f ca="1">IFERROR(__xludf.DUMMYFUNCTION("""COMPUTED_VALUE"""),0.260613425925925)</f>
        <v>0.26061342592592501</v>
      </c>
      <c r="G1484" s="83">
        <f t="shared" ca="1" si="11"/>
        <v>19</v>
      </c>
      <c r="H1484" s="83">
        <f ca="1">IFERROR(__xludf.DUMMYFUNCTION("""COMPUTED_VALUE"""),15)</f>
        <v>15</v>
      </c>
      <c r="I1484" s="83">
        <f ca="1">IFERROR(__xludf.DUMMYFUNCTION("""COMPUTED_VALUE"""),17)</f>
        <v>17</v>
      </c>
    </row>
    <row r="1485" spans="1:9">
      <c r="A1485" s="79">
        <v>43</v>
      </c>
      <c r="B1485" s="79">
        <v>7</v>
      </c>
      <c r="C1485" s="79">
        <v>50</v>
      </c>
      <c r="D1485" s="80">
        <v>43329.273877314816</v>
      </c>
      <c r="E1485" s="81">
        <f t="shared" ca="1" si="10"/>
        <v>43313</v>
      </c>
      <c r="F1485" s="82">
        <f ca="1">IFERROR(__xludf.DUMMYFUNCTION("""COMPUTED_VALUE"""),0.273877314814814)</f>
        <v>0.27387731481481398</v>
      </c>
      <c r="G1485" s="83">
        <f t="shared" ca="1" si="11"/>
        <v>19</v>
      </c>
      <c r="H1485" s="83">
        <f ca="1">IFERROR(__xludf.DUMMYFUNCTION("""COMPUTED_VALUE"""),34)</f>
        <v>34</v>
      </c>
      <c r="I1485" s="83">
        <f ca="1">IFERROR(__xludf.DUMMYFUNCTION("""COMPUTED_VALUE"""),23)</f>
        <v>23</v>
      </c>
    </row>
    <row r="1486" spans="1:9">
      <c r="A1486" s="79">
        <v>43</v>
      </c>
      <c r="B1486" s="79">
        <v>6</v>
      </c>
      <c r="C1486" s="79">
        <v>49</v>
      </c>
      <c r="D1486" s="80">
        <v>43329.281446759262</v>
      </c>
      <c r="E1486" s="81">
        <f t="shared" ca="1" si="10"/>
        <v>43313</v>
      </c>
      <c r="F1486" s="82">
        <f ca="1">IFERROR(__xludf.DUMMYFUNCTION("""COMPUTED_VALUE"""),0.281446759259259)</f>
        <v>0.28144675925925899</v>
      </c>
      <c r="G1486" s="83">
        <f t="shared" ca="1" si="11"/>
        <v>19</v>
      </c>
      <c r="H1486" s="83">
        <f ca="1">IFERROR(__xludf.DUMMYFUNCTION("""COMPUTED_VALUE"""),45)</f>
        <v>45</v>
      </c>
      <c r="I1486" s="83">
        <f ca="1">IFERROR(__xludf.DUMMYFUNCTION("""COMPUTED_VALUE"""),17)</f>
        <v>17</v>
      </c>
    </row>
    <row r="1487" spans="1:9">
      <c r="A1487" s="79">
        <v>44</v>
      </c>
      <c r="B1487" s="79">
        <v>6</v>
      </c>
      <c r="C1487" s="79">
        <v>50</v>
      </c>
      <c r="D1487" s="80">
        <v>43329.291851851849</v>
      </c>
      <c r="E1487" s="81">
        <f t="shared" ca="1" si="10"/>
        <v>43313</v>
      </c>
      <c r="F1487" s="82">
        <f ca="1">IFERROR(__xludf.DUMMYFUNCTION("""COMPUTED_VALUE"""),0.291851851851851)</f>
        <v>0.29185185185185097</v>
      </c>
      <c r="G1487" s="83">
        <f t="shared" ca="1" si="11"/>
        <v>19</v>
      </c>
      <c r="H1487" s="83">
        <f ca="1">IFERROR(__xludf.DUMMYFUNCTION("""COMPUTED_VALUE"""),0)</f>
        <v>0</v>
      </c>
      <c r="I1487" s="83">
        <f ca="1">IFERROR(__xludf.DUMMYFUNCTION("""COMPUTED_VALUE"""),16)</f>
        <v>16</v>
      </c>
    </row>
    <row r="1488" spans="1:9">
      <c r="A1488" s="79">
        <v>76</v>
      </c>
      <c r="B1488" s="79">
        <v>7</v>
      </c>
      <c r="C1488" s="79">
        <v>83</v>
      </c>
      <c r="D1488" s="80">
        <v>43329.302291666667</v>
      </c>
      <c r="E1488" s="81">
        <f t="shared" ca="1" si="10"/>
        <v>43313</v>
      </c>
      <c r="F1488" s="82">
        <f ca="1">IFERROR(__xludf.DUMMYFUNCTION("""COMPUTED_VALUE"""),0.302291666666666)</f>
        <v>0.30229166666666601</v>
      </c>
      <c r="G1488" s="83">
        <f t="shared" ca="1" si="11"/>
        <v>19</v>
      </c>
      <c r="H1488" s="83">
        <f ca="1">IFERROR(__xludf.DUMMYFUNCTION("""COMPUTED_VALUE"""),15)</f>
        <v>15</v>
      </c>
      <c r="I1488" s="83">
        <f ca="1">IFERROR(__xludf.DUMMYFUNCTION("""COMPUTED_VALUE"""),18)</f>
        <v>18</v>
      </c>
    </row>
    <row r="1489" spans="1:9">
      <c r="A1489" s="79">
        <v>74</v>
      </c>
      <c r="B1489" s="79">
        <v>7</v>
      </c>
      <c r="C1489" s="79">
        <v>81</v>
      </c>
      <c r="D1489" s="80">
        <v>43329.312708333331</v>
      </c>
      <c r="E1489" s="81">
        <f t="shared" ca="1" si="10"/>
        <v>43313</v>
      </c>
      <c r="F1489" s="82">
        <f ca="1">IFERROR(__xludf.DUMMYFUNCTION("""COMPUTED_VALUE"""),0.312708333333333)</f>
        <v>0.31270833333333298</v>
      </c>
      <c r="G1489" s="83">
        <f t="shared" ca="1" si="11"/>
        <v>19</v>
      </c>
      <c r="H1489" s="83">
        <f ca="1">IFERROR(__xludf.DUMMYFUNCTION("""COMPUTED_VALUE"""),30)</f>
        <v>30</v>
      </c>
      <c r="I1489" s="83">
        <f ca="1">IFERROR(__xludf.DUMMYFUNCTION("""COMPUTED_VALUE"""),18)</f>
        <v>18</v>
      </c>
    </row>
    <row r="1490" spans="1:9">
      <c r="A1490" s="79">
        <v>94</v>
      </c>
      <c r="B1490" s="79">
        <v>7</v>
      </c>
      <c r="C1490" s="79">
        <v>101</v>
      </c>
      <c r="D1490" s="80">
        <v>43329.323136574072</v>
      </c>
      <c r="E1490" s="81">
        <f t="shared" ca="1" si="10"/>
        <v>43313</v>
      </c>
      <c r="F1490" s="82">
        <f ca="1">IFERROR(__xludf.DUMMYFUNCTION("""COMPUTED_VALUE"""),0.323136574074074)</f>
        <v>0.32313657407407398</v>
      </c>
      <c r="G1490" s="83">
        <f t="shared" ca="1" si="11"/>
        <v>19</v>
      </c>
      <c r="H1490" s="83">
        <f ca="1">IFERROR(__xludf.DUMMYFUNCTION("""COMPUTED_VALUE"""),45)</f>
        <v>45</v>
      </c>
      <c r="I1490" s="83">
        <f ca="1">IFERROR(__xludf.DUMMYFUNCTION("""COMPUTED_VALUE"""),19)</f>
        <v>19</v>
      </c>
    </row>
    <row r="1491" spans="1:9">
      <c r="A1491" s="79">
        <v>74</v>
      </c>
      <c r="B1491" s="79">
        <v>7</v>
      </c>
      <c r="C1491" s="79">
        <v>81</v>
      </c>
      <c r="D1491" s="80">
        <v>43329.333541666667</v>
      </c>
      <c r="E1491" s="81">
        <f t="shared" ca="1" si="10"/>
        <v>43313</v>
      </c>
      <c r="F1491" s="82">
        <f ca="1">IFERROR(__xludf.DUMMYFUNCTION("""COMPUTED_VALUE"""),0.333541666666666)</f>
        <v>0.33354166666666601</v>
      </c>
      <c r="G1491" s="83">
        <f t="shared" ca="1" si="11"/>
        <v>19</v>
      </c>
      <c r="H1491" s="83">
        <f ca="1">IFERROR(__xludf.DUMMYFUNCTION("""COMPUTED_VALUE"""),0)</f>
        <v>0</v>
      </c>
      <c r="I1491" s="83">
        <f ca="1">IFERROR(__xludf.DUMMYFUNCTION("""COMPUTED_VALUE"""),18)</f>
        <v>18</v>
      </c>
    </row>
    <row r="1492" spans="1:9">
      <c r="A1492" s="79">
        <v>87</v>
      </c>
      <c r="B1492" s="79">
        <v>7</v>
      </c>
      <c r="C1492" s="79">
        <v>94</v>
      </c>
      <c r="D1492" s="80">
        <v>43329.343946759262</v>
      </c>
      <c r="E1492" s="81">
        <f t="shared" ca="1" si="10"/>
        <v>43313</v>
      </c>
      <c r="F1492" s="82">
        <f ca="1">IFERROR(__xludf.DUMMYFUNCTION("""COMPUTED_VALUE"""),0.343946759259259)</f>
        <v>0.34394675925925899</v>
      </c>
      <c r="G1492" s="83">
        <f t="shared" ca="1" si="11"/>
        <v>19</v>
      </c>
      <c r="H1492" s="83">
        <f ca="1">IFERROR(__xludf.DUMMYFUNCTION("""COMPUTED_VALUE"""),15)</f>
        <v>15</v>
      </c>
      <c r="I1492" s="83">
        <f ca="1">IFERROR(__xludf.DUMMYFUNCTION("""COMPUTED_VALUE"""),17)</f>
        <v>17</v>
      </c>
    </row>
    <row r="1493" spans="1:9">
      <c r="A1493" s="79">
        <v>126</v>
      </c>
      <c r="B1493" s="79">
        <v>7</v>
      </c>
      <c r="C1493" s="79">
        <v>133</v>
      </c>
      <c r="D1493" s="80">
        <v>43329.354375000003</v>
      </c>
      <c r="E1493" s="81">
        <f t="shared" ca="1" si="10"/>
        <v>43313</v>
      </c>
      <c r="F1493" s="82">
        <f ca="1">IFERROR(__xludf.DUMMYFUNCTION("""COMPUTED_VALUE"""),0.354375)</f>
        <v>0.354375</v>
      </c>
      <c r="G1493" s="83">
        <f t="shared" ca="1" si="11"/>
        <v>19</v>
      </c>
      <c r="H1493" s="83">
        <f ca="1">IFERROR(__xludf.DUMMYFUNCTION("""COMPUTED_VALUE"""),30)</f>
        <v>30</v>
      </c>
      <c r="I1493" s="83">
        <f ca="1">IFERROR(__xludf.DUMMYFUNCTION("""COMPUTED_VALUE"""),18)</f>
        <v>18</v>
      </c>
    </row>
    <row r="1494" spans="1:9">
      <c r="A1494" s="79">
        <v>181</v>
      </c>
      <c r="B1494" s="79">
        <v>6</v>
      </c>
      <c r="C1494" s="79">
        <v>187</v>
      </c>
      <c r="D1494" s="80">
        <v>43329.364791666667</v>
      </c>
      <c r="E1494" s="81">
        <f t="shared" ca="1" si="10"/>
        <v>43313</v>
      </c>
      <c r="F1494" s="82">
        <f ca="1">IFERROR(__xludf.DUMMYFUNCTION("""COMPUTED_VALUE"""),0.364791666666666)</f>
        <v>0.36479166666666601</v>
      </c>
      <c r="G1494" s="83">
        <f t="shared" ca="1" si="11"/>
        <v>19</v>
      </c>
      <c r="H1494" s="83">
        <f ca="1">IFERROR(__xludf.DUMMYFUNCTION("""COMPUTED_VALUE"""),45)</f>
        <v>45</v>
      </c>
      <c r="I1494" s="83">
        <f ca="1">IFERROR(__xludf.DUMMYFUNCTION("""COMPUTED_VALUE"""),18)</f>
        <v>18</v>
      </c>
    </row>
    <row r="1495" spans="1:9">
      <c r="A1495" s="79">
        <v>152</v>
      </c>
      <c r="B1495" s="79">
        <v>6</v>
      </c>
      <c r="C1495" s="79">
        <v>158</v>
      </c>
      <c r="D1495" s="80">
        <v>43329.375219907408</v>
      </c>
      <c r="E1495" s="81">
        <f t="shared" ca="1" si="10"/>
        <v>43313</v>
      </c>
      <c r="F1495" s="82">
        <f ca="1">IFERROR(__xludf.DUMMYFUNCTION("""COMPUTED_VALUE"""),0.375219907407407)</f>
        <v>0.37521990740740702</v>
      </c>
      <c r="G1495" s="83">
        <f t="shared" ca="1" si="11"/>
        <v>19</v>
      </c>
      <c r="H1495" s="83">
        <f ca="1">IFERROR(__xludf.DUMMYFUNCTION("""COMPUTED_VALUE"""),0)</f>
        <v>0</v>
      </c>
      <c r="I1495" s="83">
        <f ca="1">IFERROR(__xludf.DUMMYFUNCTION("""COMPUTED_VALUE"""),19)</f>
        <v>19</v>
      </c>
    </row>
    <row r="1496" spans="1:9">
      <c r="A1496" s="79">
        <v>225</v>
      </c>
      <c r="B1496" s="79">
        <v>6</v>
      </c>
      <c r="C1496" s="79">
        <v>231</v>
      </c>
      <c r="D1496" s="80">
        <v>43329.385625000003</v>
      </c>
      <c r="E1496" s="81">
        <f t="shared" ca="1" si="10"/>
        <v>43313</v>
      </c>
      <c r="F1496" s="82">
        <f ca="1">IFERROR(__xludf.DUMMYFUNCTION("""COMPUTED_VALUE"""),0.385625)</f>
        <v>0.385625</v>
      </c>
      <c r="G1496" s="83">
        <f t="shared" ca="1" si="11"/>
        <v>19</v>
      </c>
      <c r="H1496" s="83">
        <f ca="1">IFERROR(__xludf.DUMMYFUNCTION("""COMPUTED_VALUE"""),15)</f>
        <v>15</v>
      </c>
      <c r="I1496" s="83">
        <f ca="1">IFERROR(__xludf.DUMMYFUNCTION("""COMPUTED_VALUE"""),18)</f>
        <v>18</v>
      </c>
    </row>
    <row r="1497" spans="1:9">
      <c r="A1497" s="79">
        <v>296</v>
      </c>
      <c r="B1497" s="79">
        <v>10</v>
      </c>
      <c r="C1497" s="79">
        <v>306</v>
      </c>
      <c r="D1497" s="80">
        <v>43329.39603009259</v>
      </c>
      <c r="E1497" s="81">
        <f t="shared" ca="1" si="10"/>
        <v>43313</v>
      </c>
      <c r="F1497" s="82">
        <f ca="1">IFERROR(__xludf.DUMMYFUNCTION("""COMPUTED_VALUE"""),0.396030092592592)</f>
        <v>0.39603009259259198</v>
      </c>
      <c r="G1497" s="83">
        <f t="shared" ca="1" si="11"/>
        <v>19</v>
      </c>
      <c r="H1497" s="83">
        <f ca="1">IFERROR(__xludf.DUMMYFUNCTION("""COMPUTED_VALUE"""),30)</f>
        <v>30</v>
      </c>
      <c r="I1497" s="83">
        <f ca="1">IFERROR(__xludf.DUMMYFUNCTION("""COMPUTED_VALUE"""),17)</f>
        <v>17</v>
      </c>
    </row>
    <row r="1498" spans="1:9">
      <c r="A1498" s="79">
        <v>474</v>
      </c>
      <c r="B1498" s="79">
        <v>12</v>
      </c>
      <c r="C1498" s="79">
        <v>486</v>
      </c>
      <c r="D1498" s="80">
        <v>43329.406458333331</v>
      </c>
      <c r="E1498" s="81">
        <f t="shared" ca="1" si="10"/>
        <v>43313</v>
      </c>
      <c r="F1498" s="82">
        <f ca="1">IFERROR(__xludf.DUMMYFUNCTION("""COMPUTED_VALUE"""),0.406458333333333)</f>
        <v>0.40645833333333298</v>
      </c>
      <c r="G1498" s="83">
        <f t="shared" ca="1" si="11"/>
        <v>19</v>
      </c>
      <c r="H1498" s="83">
        <f ca="1">IFERROR(__xludf.DUMMYFUNCTION("""COMPUTED_VALUE"""),45)</f>
        <v>45</v>
      </c>
      <c r="I1498" s="83">
        <f ca="1">IFERROR(__xludf.DUMMYFUNCTION("""COMPUTED_VALUE"""),18)</f>
        <v>18</v>
      </c>
    </row>
    <row r="1499" spans="1:9">
      <c r="A1499" s="79">
        <v>407</v>
      </c>
      <c r="B1499" s="79">
        <v>14</v>
      </c>
      <c r="C1499" s="79">
        <v>421</v>
      </c>
      <c r="D1499" s="80">
        <v>43329.416875000003</v>
      </c>
      <c r="E1499" s="81">
        <f t="shared" ca="1" si="10"/>
        <v>43313</v>
      </c>
      <c r="F1499" s="82">
        <f ca="1">IFERROR(__xludf.DUMMYFUNCTION("""COMPUTED_VALUE"""),0.416875)</f>
        <v>0.416875</v>
      </c>
      <c r="G1499" s="83">
        <f t="shared" ca="1" si="11"/>
        <v>19</v>
      </c>
      <c r="H1499" s="83">
        <f ca="1">IFERROR(__xludf.DUMMYFUNCTION("""COMPUTED_VALUE"""),0)</f>
        <v>0</v>
      </c>
      <c r="I1499" s="83">
        <f ca="1">IFERROR(__xludf.DUMMYFUNCTION("""COMPUTED_VALUE"""),18)</f>
        <v>18</v>
      </c>
    </row>
    <row r="1500" spans="1:9">
      <c r="A1500" s="79">
        <v>395</v>
      </c>
      <c r="B1500" s="79">
        <v>10</v>
      </c>
      <c r="C1500" s="79">
        <v>405</v>
      </c>
      <c r="D1500" s="80">
        <v>43329.427291666667</v>
      </c>
      <c r="E1500" s="81">
        <f t="shared" ca="1" si="10"/>
        <v>43313</v>
      </c>
      <c r="F1500" s="82">
        <f ca="1">IFERROR(__xludf.DUMMYFUNCTION("""COMPUTED_VALUE"""),0.427291666666666)</f>
        <v>0.42729166666666601</v>
      </c>
      <c r="G1500" s="83">
        <f t="shared" ca="1" si="11"/>
        <v>19</v>
      </c>
      <c r="H1500" s="83">
        <f ca="1">IFERROR(__xludf.DUMMYFUNCTION("""COMPUTED_VALUE"""),15)</f>
        <v>15</v>
      </c>
      <c r="I1500" s="83">
        <f ca="1">IFERROR(__xludf.DUMMYFUNCTION("""COMPUTED_VALUE"""),18)</f>
        <v>18</v>
      </c>
    </row>
    <row r="1501" spans="1:9">
      <c r="A1501" s="79">
        <v>462</v>
      </c>
      <c r="B1501" s="79">
        <v>14</v>
      </c>
      <c r="C1501" s="79">
        <v>476</v>
      </c>
      <c r="D1501" s="80">
        <v>43329.437708333331</v>
      </c>
      <c r="E1501" s="81">
        <f t="shared" ca="1" si="10"/>
        <v>43313</v>
      </c>
      <c r="F1501" s="82">
        <f ca="1">IFERROR(__xludf.DUMMYFUNCTION("""COMPUTED_VALUE"""),0.437708333333333)</f>
        <v>0.43770833333333298</v>
      </c>
      <c r="G1501" s="83">
        <f t="shared" ca="1" si="11"/>
        <v>19</v>
      </c>
      <c r="H1501" s="83">
        <f ca="1">IFERROR(__xludf.DUMMYFUNCTION("""COMPUTED_VALUE"""),30)</f>
        <v>30</v>
      </c>
      <c r="I1501" s="83">
        <f ca="1">IFERROR(__xludf.DUMMYFUNCTION("""COMPUTED_VALUE"""),18)</f>
        <v>18</v>
      </c>
    </row>
    <row r="1502" spans="1:9">
      <c r="A1502" s="79">
        <v>542</v>
      </c>
      <c r="B1502" s="79">
        <v>20</v>
      </c>
      <c r="C1502" s="79">
        <v>562</v>
      </c>
      <c r="D1502" s="80">
        <v>43329.448125000003</v>
      </c>
      <c r="E1502" s="81">
        <f t="shared" ca="1" si="10"/>
        <v>43313</v>
      </c>
      <c r="F1502" s="82">
        <f ca="1">IFERROR(__xludf.DUMMYFUNCTION("""COMPUTED_VALUE"""),0.448125)</f>
        <v>0.448125</v>
      </c>
      <c r="G1502" s="83">
        <f t="shared" ca="1" si="11"/>
        <v>19</v>
      </c>
      <c r="H1502" s="83">
        <f ca="1">IFERROR(__xludf.DUMMYFUNCTION("""COMPUTED_VALUE"""),45)</f>
        <v>45</v>
      </c>
      <c r="I1502" s="83">
        <f ca="1">IFERROR(__xludf.DUMMYFUNCTION("""COMPUTED_VALUE"""),18)</f>
        <v>18</v>
      </c>
    </row>
    <row r="1503" spans="1:9">
      <c r="A1503" s="79">
        <v>440</v>
      </c>
      <c r="B1503" s="79">
        <v>10</v>
      </c>
      <c r="C1503" s="79">
        <v>450</v>
      </c>
      <c r="D1503" s="80">
        <v>43329.45853009259</v>
      </c>
      <c r="E1503" s="81">
        <f t="shared" ca="1" si="10"/>
        <v>43313</v>
      </c>
      <c r="F1503" s="82">
        <f ca="1">IFERROR(__xludf.DUMMYFUNCTION("""COMPUTED_VALUE"""),0.458530092592592)</f>
        <v>0.45853009259259198</v>
      </c>
      <c r="G1503" s="83">
        <f t="shared" ca="1" si="11"/>
        <v>19</v>
      </c>
      <c r="H1503" s="83">
        <f ca="1">IFERROR(__xludf.DUMMYFUNCTION("""COMPUTED_VALUE"""),0)</f>
        <v>0</v>
      </c>
      <c r="I1503" s="83">
        <f ca="1">IFERROR(__xludf.DUMMYFUNCTION("""COMPUTED_VALUE"""),17)</f>
        <v>17</v>
      </c>
    </row>
    <row r="1504" spans="1:9">
      <c r="A1504" s="79">
        <v>381</v>
      </c>
      <c r="B1504" s="79">
        <v>11</v>
      </c>
      <c r="C1504" s="79">
        <v>392</v>
      </c>
      <c r="D1504" s="80">
        <v>43329.468958333331</v>
      </c>
      <c r="E1504" s="81">
        <f t="shared" ca="1" si="10"/>
        <v>43313</v>
      </c>
      <c r="F1504" s="82">
        <f ca="1">IFERROR(__xludf.DUMMYFUNCTION("""COMPUTED_VALUE"""),0.468958333333333)</f>
        <v>0.46895833333333298</v>
      </c>
      <c r="G1504" s="83">
        <f t="shared" ca="1" si="11"/>
        <v>19</v>
      </c>
      <c r="H1504" s="83">
        <f ca="1">IFERROR(__xludf.DUMMYFUNCTION("""COMPUTED_VALUE"""),15)</f>
        <v>15</v>
      </c>
      <c r="I1504" s="83">
        <f ca="1">IFERROR(__xludf.DUMMYFUNCTION("""COMPUTED_VALUE"""),18)</f>
        <v>18</v>
      </c>
    </row>
    <row r="1505" spans="1:9">
      <c r="A1505" s="79">
        <v>358</v>
      </c>
      <c r="B1505" s="79">
        <v>10</v>
      </c>
      <c r="C1505" s="79">
        <v>368</v>
      </c>
      <c r="D1505" s="80">
        <v>43329.479375000003</v>
      </c>
      <c r="E1505" s="81">
        <f t="shared" ca="1" si="10"/>
        <v>43313</v>
      </c>
      <c r="F1505" s="82">
        <f ca="1">IFERROR(__xludf.DUMMYFUNCTION("""COMPUTED_VALUE"""),0.479375)</f>
        <v>0.479375</v>
      </c>
      <c r="G1505" s="83">
        <f t="shared" ca="1" si="11"/>
        <v>19</v>
      </c>
      <c r="H1505" s="83">
        <f ca="1">IFERROR(__xludf.DUMMYFUNCTION("""COMPUTED_VALUE"""),30)</f>
        <v>30</v>
      </c>
      <c r="I1505" s="83">
        <f ca="1">IFERROR(__xludf.DUMMYFUNCTION("""COMPUTED_VALUE"""),18)</f>
        <v>18</v>
      </c>
    </row>
    <row r="1506" spans="1:9">
      <c r="A1506" s="79">
        <v>379</v>
      </c>
      <c r="B1506" s="79">
        <v>11</v>
      </c>
      <c r="C1506" s="79">
        <v>390</v>
      </c>
      <c r="D1506" s="80">
        <v>43329.489791666667</v>
      </c>
      <c r="E1506" s="81">
        <f t="shared" ca="1" si="10"/>
        <v>43313</v>
      </c>
      <c r="F1506" s="82">
        <f ca="1">IFERROR(__xludf.DUMMYFUNCTION("""COMPUTED_VALUE"""),0.489791666666666)</f>
        <v>0.48979166666666601</v>
      </c>
      <c r="G1506" s="83">
        <f t="shared" ca="1" si="11"/>
        <v>19</v>
      </c>
      <c r="H1506" s="83">
        <f ca="1">IFERROR(__xludf.DUMMYFUNCTION("""COMPUTED_VALUE"""),45)</f>
        <v>45</v>
      </c>
      <c r="I1506" s="83">
        <f ca="1">IFERROR(__xludf.DUMMYFUNCTION("""COMPUTED_VALUE"""),18)</f>
        <v>18</v>
      </c>
    </row>
    <row r="1507" spans="1:9">
      <c r="A1507" s="79">
        <v>321</v>
      </c>
      <c r="B1507" s="79">
        <v>11</v>
      </c>
      <c r="C1507" s="79">
        <v>332</v>
      </c>
      <c r="D1507" s="80">
        <v>43329.500208333331</v>
      </c>
      <c r="E1507" s="81">
        <f t="shared" ca="1" si="10"/>
        <v>43313</v>
      </c>
      <c r="F1507" s="82">
        <f ca="1">IFERROR(__xludf.DUMMYFUNCTION("""COMPUTED_VALUE"""),0.500208333333333)</f>
        <v>0.50020833333333303</v>
      </c>
      <c r="G1507" s="83">
        <f t="shared" ca="1" si="11"/>
        <v>19</v>
      </c>
      <c r="H1507" s="83">
        <f ca="1">IFERROR(__xludf.DUMMYFUNCTION("""COMPUTED_VALUE"""),0)</f>
        <v>0</v>
      </c>
      <c r="I1507" s="83">
        <f ca="1">IFERROR(__xludf.DUMMYFUNCTION("""COMPUTED_VALUE"""),18)</f>
        <v>18</v>
      </c>
    </row>
    <row r="1508" spans="1:9">
      <c r="A1508" s="79">
        <v>280</v>
      </c>
      <c r="B1508" s="79">
        <v>8</v>
      </c>
      <c r="C1508" s="79">
        <v>288</v>
      </c>
      <c r="D1508" s="80">
        <v>43329.510613425926</v>
      </c>
      <c r="E1508" s="81">
        <f t="shared" ca="1" si="10"/>
        <v>43313</v>
      </c>
      <c r="F1508" s="82">
        <f ca="1">IFERROR(__xludf.DUMMYFUNCTION("""COMPUTED_VALUE"""),0.510613425925926)</f>
        <v>0.51061342592592596</v>
      </c>
      <c r="G1508" s="83">
        <f t="shared" ca="1" si="11"/>
        <v>19</v>
      </c>
      <c r="H1508" s="83">
        <f ca="1">IFERROR(__xludf.DUMMYFUNCTION("""COMPUTED_VALUE"""),15)</f>
        <v>15</v>
      </c>
      <c r="I1508" s="83">
        <f ca="1">IFERROR(__xludf.DUMMYFUNCTION("""COMPUTED_VALUE"""),17)</f>
        <v>17</v>
      </c>
    </row>
    <row r="1509" spans="1:9">
      <c r="A1509" s="79">
        <v>281</v>
      </c>
      <c r="B1509" s="79">
        <v>8</v>
      </c>
      <c r="C1509" s="79">
        <v>289</v>
      </c>
      <c r="D1509" s="80">
        <v>43329.521041666667</v>
      </c>
      <c r="E1509" s="81">
        <f t="shared" ca="1" si="10"/>
        <v>43313</v>
      </c>
      <c r="F1509" s="82">
        <f ca="1">IFERROR(__xludf.DUMMYFUNCTION("""COMPUTED_VALUE"""),0.521041666666666)</f>
        <v>0.52104166666666596</v>
      </c>
      <c r="G1509" s="83">
        <f t="shared" ca="1" si="11"/>
        <v>19</v>
      </c>
      <c r="H1509" s="83">
        <f ca="1">IFERROR(__xludf.DUMMYFUNCTION("""COMPUTED_VALUE"""),30)</f>
        <v>30</v>
      </c>
      <c r="I1509" s="83">
        <f ca="1">IFERROR(__xludf.DUMMYFUNCTION("""COMPUTED_VALUE"""),18)</f>
        <v>18</v>
      </c>
    </row>
    <row r="1510" spans="1:9">
      <c r="A1510" s="79">
        <v>315</v>
      </c>
      <c r="B1510" s="79">
        <v>10</v>
      </c>
      <c r="C1510" s="79">
        <v>325</v>
      </c>
      <c r="D1510" s="80">
        <v>43329.531446759262</v>
      </c>
      <c r="E1510" s="81">
        <f t="shared" ca="1" si="10"/>
        <v>43313</v>
      </c>
      <c r="F1510" s="82">
        <f ca="1">IFERROR(__xludf.DUMMYFUNCTION("""COMPUTED_VALUE"""),0.531446759259259)</f>
        <v>0.53144675925925899</v>
      </c>
      <c r="G1510" s="83">
        <f t="shared" ca="1" si="11"/>
        <v>19</v>
      </c>
      <c r="H1510" s="83">
        <f ca="1">IFERROR(__xludf.DUMMYFUNCTION("""COMPUTED_VALUE"""),45)</f>
        <v>45</v>
      </c>
      <c r="I1510" s="83">
        <f ca="1">IFERROR(__xludf.DUMMYFUNCTION("""COMPUTED_VALUE"""),17)</f>
        <v>17</v>
      </c>
    </row>
    <row r="1511" spans="1:9">
      <c r="A1511" s="79">
        <v>253</v>
      </c>
      <c r="B1511" s="79">
        <v>10</v>
      </c>
      <c r="C1511" s="79">
        <v>263</v>
      </c>
      <c r="D1511" s="80">
        <v>43329.541875000003</v>
      </c>
      <c r="E1511" s="81">
        <f t="shared" ca="1" si="10"/>
        <v>43313</v>
      </c>
      <c r="F1511" s="82">
        <f ca="1">IFERROR(__xludf.DUMMYFUNCTION("""COMPUTED_VALUE"""),0.541875)</f>
        <v>0.541875</v>
      </c>
      <c r="G1511" s="83">
        <f t="shared" ca="1" si="11"/>
        <v>19</v>
      </c>
      <c r="H1511" s="83">
        <f ca="1">IFERROR(__xludf.DUMMYFUNCTION("""COMPUTED_VALUE"""),0)</f>
        <v>0</v>
      </c>
      <c r="I1511" s="83">
        <f ca="1">IFERROR(__xludf.DUMMYFUNCTION("""COMPUTED_VALUE"""),18)</f>
        <v>18</v>
      </c>
    </row>
    <row r="1512" spans="1:9">
      <c r="A1512" s="79">
        <v>292</v>
      </c>
      <c r="B1512" s="79">
        <v>8</v>
      </c>
      <c r="C1512" s="79">
        <v>300</v>
      </c>
      <c r="D1512" s="80">
        <v>43329.55228009259</v>
      </c>
      <c r="E1512" s="81">
        <f t="shared" ca="1" si="10"/>
        <v>43313</v>
      </c>
      <c r="F1512" s="82">
        <f ca="1">IFERROR(__xludf.DUMMYFUNCTION("""COMPUTED_VALUE"""),0.552280092592592)</f>
        <v>0.55228009259259203</v>
      </c>
      <c r="G1512" s="83">
        <f t="shared" ca="1" si="11"/>
        <v>19</v>
      </c>
      <c r="H1512" s="83">
        <f ca="1">IFERROR(__xludf.DUMMYFUNCTION("""COMPUTED_VALUE"""),15)</f>
        <v>15</v>
      </c>
      <c r="I1512" s="83">
        <f ca="1">IFERROR(__xludf.DUMMYFUNCTION("""COMPUTED_VALUE"""),17)</f>
        <v>17</v>
      </c>
    </row>
    <row r="1513" spans="1:9">
      <c r="A1513" s="79">
        <v>243</v>
      </c>
      <c r="B1513" s="79">
        <v>4</v>
      </c>
      <c r="C1513" s="79">
        <v>247</v>
      </c>
      <c r="D1513" s="80">
        <v>43329.562708333331</v>
      </c>
      <c r="E1513" s="81">
        <f t="shared" ca="1" si="10"/>
        <v>43313</v>
      </c>
      <c r="F1513" s="82">
        <f ca="1">IFERROR(__xludf.DUMMYFUNCTION("""COMPUTED_VALUE"""),0.562708333333333)</f>
        <v>0.56270833333333303</v>
      </c>
      <c r="G1513" s="83">
        <f t="shared" ca="1" si="11"/>
        <v>19</v>
      </c>
      <c r="H1513" s="83">
        <f ca="1">IFERROR(__xludf.DUMMYFUNCTION("""COMPUTED_VALUE"""),30)</f>
        <v>30</v>
      </c>
      <c r="I1513" s="83">
        <f ca="1">IFERROR(__xludf.DUMMYFUNCTION("""COMPUTED_VALUE"""),18)</f>
        <v>18</v>
      </c>
    </row>
    <row r="1514" spans="1:9">
      <c r="A1514" s="79">
        <v>269</v>
      </c>
      <c r="B1514" s="79">
        <v>6</v>
      </c>
      <c r="C1514" s="79">
        <v>275</v>
      </c>
      <c r="D1514" s="80">
        <v>43329.573125000003</v>
      </c>
      <c r="E1514" s="81">
        <f t="shared" ca="1" si="10"/>
        <v>43313</v>
      </c>
      <c r="F1514" s="82">
        <f ca="1">IFERROR(__xludf.DUMMYFUNCTION("""COMPUTED_VALUE"""),0.573125)</f>
        <v>0.573125</v>
      </c>
      <c r="G1514" s="83">
        <f t="shared" ca="1" si="11"/>
        <v>19</v>
      </c>
      <c r="H1514" s="83">
        <f ca="1">IFERROR(__xludf.DUMMYFUNCTION("""COMPUTED_VALUE"""),45)</f>
        <v>45</v>
      </c>
      <c r="I1514" s="83">
        <f ca="1">IFERROR(__xludf.DUMMYFUNCTION("""COMPUTED_VALUE"""),18)</f>
        <v>18</v>
      </c>
    </row>
    <row r="1515" spans="1:9">
      <c r="A1515" s="79">
        <v>268</v>
      </c>
      <c r="B1515" s="79">
        <v>5</v>
      </c>
      <c r="C1515" s="79">
        <v>273</v>
      </c>
      <c r="D1515" s="80">
        <v>43329.583541666667</v>
      </c>
      <c r="E1515" s="81">
        <f t="shared" ca="1" si="10"/>
        <v>43313</v>
      </c>
      <c r="F1515" s="82">
        <f ca="1">IFERROR(__xludf.DUMMYFUNCTION("""COMPUTED_VALUE"""),0.583541666666666)</f>
        <v>0.58354166666666596</v>
      </c>
      <c r="G1515" s="83">
        <f t="shared" ca="1" si="11"/>
        <v>19</v>
      </c>
      <c r="H1515" s="83">
        <f ca="1">IFERROR(__xludf.DUMMYFUNCTION("""COMPUTED_VALUE"""),0)</f>
        <v>0</v>
      </c>
      <c r="I1515" s="83">
        <f ca="1">IFERROR(__xludf.DUMMYFUNCTION("""COMPUTED_VALUE"""),18)</f>
        <v>18</v>
      </c>
    </row>
    <row r="1516" spans="1:9">
      <c r="A1516" s="79">
        <v>289</v>
      </c>
      <c r="B1516" s="79">
        <v>7</v>
      </c>
      <c r="C1516" s="79">
        <v>288</v>
      </c>
      <c r="D1516" s="80">
        <v>43329.593946759262</v>
      </c>
      <c r="E1516" s="81">
        <f t="shared" ca="1" si="10"/>
        <v>43313</v>
      </c>
      <c r="F1516" s="82">
        <f ca="1">IFERROR(__xludf.DUMMYFUNCTION("""COMPUTED_VALUE"""),0.593946759259259)</f>
        <v>0.59394675925925899</v>
      </c>
      <c r="G1516" s="83">
        <f t="shared" ca="1" si="11"/>
        <v>19</v>
      </c>
      <c r="H1516" s="83">
        <f ca="1">IFERROR(__xludf.DUMMYFUNCTION("""COMPUTED_VALUE"""),15)</f>
        <v>15</v>
      </c>
      <c r="I1516" s="83">
        <f ca="1">IFERROR(__xludf.DUMMYFUNCTION("""COMPUTED_VALUE"""),17)</f>
        <v>17</v>
      </c>
    </row>
    <row r="1517" spans="1:9">
      <c r="A1517" s="79">
        <v>311</v>
      </c>
      <c r="B1517" s="79">
        <v>8</v>
      </c>
      <c r="C1517" s="79">
        <v>319</v>
      </c>
      <c r="D1517" s="80">
        <v>43329.604363425926</v>
      </c>
      <c r="E1517" s="81">
        <f t="shared" ca="1" si="10"/>
        <v>43313</v>
      </c>
      <c r="F1517" s="82">
        <f ca="1">IFERROR(__xludf.DUMMYFUNCTION("""COMPUTED_VALUE"""),0.604363425925926)</f>
        <v>0.60436342592592596</v>
      </c>
      <c r="G1517" s="83">
        <f t="shared" ca="1" si="11"/>
        <v>19</v>
      </c>
      <c r="H1517" s="83">
        <f ca="1">IFERROR(__xludf.DUMMYFUNCTION("""COMPUTED_VALUE"""),30)</f>
        <v>30</v>
      </c>
      <c r="I1517" s="83">
        <f ca="1">IFERROR(__xludf.DUMMYFUNCTION("""COMPUTED_VALUE"""),17)</f>
        <v>17</v>
      </c>
    </row>
    <row r="1518" spans="1:9">
      <c r="A1518" s="79">
        <v>330</v>
      </c>
      <c r="B1518" s="79">
        <v>4</v>
      </c>
      <c r="C1518" s="79">
        <v>334</v>
      </c>
      <c r="D1518" s="80">
        <v>43329.61478009259</v>
      </c>
      <c r="E1518" s="81">
        <f t="shared" ca="1" si="10"/>
        <v>43313</v>
      </c>
      <c r="F1518" s="82">
        <f ca="1">IFERROR(__xludf.DUMMYFUNCTION("""COMPUTED_VALUE"""),0.614780092592592)</f>
        <v>0.61478009259259203</v>
      </c>
      <c r="G1518" s="83">
        <f t="shared" ca="1" si="11"/>
        <v>19</v>
      </c>
      <c r="H1518" s="83">
        <f ca="1">IFERROR(__xludf.DUMMYFUNCTION("""COMPUTED_VALUE"""),45)</f>
        <v>45</v>
      </c>
      <c r="I1518" s="83">
        <f ca="1">IFERROR(__xludf.DUMMYFUNCTION("""COMPUTED_VALUE"""),17)</f>
        <v>17</v>
      </c>
    </row>
    <row r="1519" spans="1:9">
      <c r="A1519" s="79">
        <v>301</v>
      </c>
      <c r="B1519" s="79">
        <v>7</v>
      </c>
      <c r="C1519" s="79">
        <v>308</v>
      </c>
      <c r="D1519" s="80">
        <v>43329.625196759262</v>
      </c>
      <c r="E1519" s="81">
        <f t="shared" ca="1" si="10"/>
        <v>43313</v>
      </c>
      <c r="F1519" s="82">
        <f ca="1">IFERROR(__xludf.DUMMYFUNCTION("""COMPUTED_VALUE"""),0.625196759259259)</f>
        <v>0.62519675925925899</v>
      </c>
      <c r="G1519" s="83">
        <f t="shared" ca="1" si="11"/>
        <v>19</v>
      </c>
      <c r="H1519" s="83">
        <f ca="1">IFERROR(__xludf.DUMMYFUNCTION("""COMPUTED_VALUE"""),0)</f>
        <v>0</v>
      </c>
      <c r="I1519" s="83">
        <f ca="1">IFERROR(__xludf.DUMMYFUNCTION("""COMPUTED_VALUE"""),17)</f>
        <v>17</v>
      </c>
    </row>
    <row r="1520" spans="1:9">
      <c r="A1520" s="79">
        <v>337</v>
      </c>
      <c r="B1520" s="79">
        <v>8</v>
      </c>
      <c r="C1520" s="79">
        <v>345</v>
      </c>
      <c r="D1520" s="80">
        <v>43329.635613425926</v>
      </c>
      <c r="E1520" s="81">
        <f t="shared" ca="1" si="10"/>
        <v>43313</v>
      </c>
      <c r="F1520" s="82">
        <f ca="1">IFERROR(__xludf.DUMMYFUNCTION("""COMPUTED_VALUE"""),0.635613425925926)</f>
        <v>0.63561342592592596</v>
      </c>
      <c r="G1520" s="83">
        <f t="shared" ca="1" si="11"/>
        <v>19</v>
      </c>
      <c r="H1520" s="83">
        <f ca="1">IFERROR(__xludf.DUMMYFUNCTION("""COMPUTED_VALUE"""),15)</f>
        <v>15</v>
      </c>
      <c r="I1520" s="83">
        <f ca="1">IFERROR(__xludf.DUMMYFUNCTION("""COMPUTED_VALUE"""),17)</f>
        <v>17</v>
      </c>
    </row>
    <row r="1521" spans="1:9">
      <c r="A1521" s="79">
        <v>351</v>
      </c>
      <c r="B1521" s="79">
        <v>7</v>
      </c>
      <c r="C1521" s="79">
        <v>358</v>
      </c>
      <c r="D1521" s="80">
        <v>43329.646041666667</v>
      </c>
      <c r="E1521" s="81">
        <f t="shared" ca="1" si="10"/>
        <v>43313</v>
      </c>
      <c r="F1521" s="82">
        <f ca="1">IFERROR(__xludf.DUMMYFUNCTION("""COMPUTED_VALUE"""),0.646041666666666)</f>
        <v>0.64604166666666596</v>
      </c>
      <c r="G1521" s="83">
        <f t="shared" ca="1" si="11"/>
        <v>19</v>
      </c>
      <c r="H1521" s="83">
        <f ca="1">IFERROR(__xludf.DUMMYFUNCTION("""COMPUTED_VALUE"""),30)</f>
        <v>30</v>
      </c>
      <c r="I1521" s="83">
        <f ca="1">IFERROR(__xludf.DUMMYFUNCTION("""COMPUTED_VALUE"""),18)</f>
        <v>18</v>
      </c>
    </row>
    <row r="1522" spans="1:9">
      <c r="A1522" s="79">
        <v>385</v>
      </c>
      <c r="B1522" s="79">
        <v>4</v>
      </c>
      <c r="C1522" s="79">
        <v>389</v>
      </c>
      <c r="D1522" s="80">
        <v>43329.656446759262</v>
      </c>
      <c r="E1522" s="81">
        <f t="shared" ca="1" si="10"/>
        <v>43313</v>
      </c>
      <c r="F1522" s="82">
        <f ca="1">IFERROR(__xludf.DUMMYFUNCTION("""COMPUTED_VALUE"""),0.656446759259259)</f>
        <v>0.65644675925925899</v>
      </c>
      <c r="G1522" s="83">
        <f t="shared" ca="1" si="11"/>
        <v>19</v>
      </c>
      <c r="H1522" s="83">
        <f ca="1">IFERROR(__xludf.DUMMYFUNCTION("""COMPUTED_VALUE"""),45)</f>
        <v>45</v>
      </c>
      <c r="I1522" s="83">
        <f ca="1">IFERROR(__xludf.DUMMYFUNCTION("""COMPUTED_VALUE"""),17)</f>
        <v>17</v>
      </c>
    </row>
    <row r="1523" spans="1:9">
      <c r="A1523" s="79">
        <v>332</v>
      </c>
      <c r="B1523" s="79">
        <v>5</v>
      </c>
      <c r="C1523" s="79">
        <v>337</v>
      </c>
      <c r="D1523" s="80">
        <v>43329.666863425926</v>
      </c>
      <c r="E1523" s="81">
        <f t="shared" ca="1" si="10"/>
        <v>43313</v>
      </c>
      <c r="F1523" s="82">
        <f ca="1">IFERROR(__xludf.DUMMYFUNCTION("""COMPUTED_VALUE"""),0.666863425925926)</f>
        <v>0.66686342592592596</v>
      </c>
      <c r="G1523" s="83">
        <f t="shared" ca="1" si="11"/>
        <v>19</v>
      </c>
      <c r="H1523" s="83">
        <f ca="1">IFERROR(__xludf.DUMMYFUNCTION("""COMPUTED_VALUE"""),0)</f>
        <v>0</v>
      </c>
      <c r="I1523" s="83">
        <f ca="1">IFERROR(__xludf.DUMMYFUNCTION("""COMPUTED_VALUE"""),17)</f>
        <v>17</v>
      </c>
    </row>
    <row r="1524" spans="1:9">
      <c r="A1524" s="79">
        <v>144</v>
      </c>
      <c r="B1524" s="79">
        <v>4</v>
      </c>
      <c r="C1524" s="79">
        <v>148</v>
      </c>
      <c r="D1524" s="80">
        <v>43329.67728009259</v>
      </c>
      <c r="E1524" s="81">
        <f t="shared" ca="1" si="10"/>
        <v>43313</v>
      </c>
      <c r="F1524" s="82">
        <f ca="1">IFERROR(__xludf.DUMMYFUNCTION("""COMPUTED_VALUE"""),0.677280092592592)</f>
        <v>0.67728009259259203</v>
      </c>
      <c r="G1524" s="83">
        <f t="shared" ca="1" si="11"/>
        <v>19</v>
      </c>
      <c r="H1524" s="83">
        <f ca="1">IFERROR(__xludf.DUMMYFUNCTION("""COMPUTED_VALUE"""),15)</f>
        <v>15</v>
      </c>
      <c r="I1524" s="83">
        <f ca="1">IFERROR(__xludf.DUMMYFUNCTION("""COMPUTED_VALUE"""),17)</f>
        <v>17</v>
      </c>
    </row>
    <row r="1525" spans="1:9">
      <c r="A1525" s="79">
        <v>97</v>
      </c>
      <c r="B1525" s="79">
        <v>4</v>
      </c>
      <c r="C1525" s="79">
        <v>101</v>
      </c>
      <c r="D1525" s="80">
        <v>43329.687696759262</v>
      </c>
      <c r="E1525" s="81">
        <f t="shared" ca="1" si="10"/>
        <v>43313</v>
      </c>
      <c r="F1525" s="82">
        <f ca="1">IFERROR(__xludf.DUMMYFUNCTION("""COMPUTED_VALUE"""),0.687696759259259)</f>
        <v>0.68769675925925899</v>
      </c>
      <c r="G1525" s="83">
        <f t="shared" ca="1" si="11"/>
        <v>19</v>
      </c>
      <c r="H1525" s="83">
        <f ca="1">IFERROR(__xludf.DUMMYFUNCTION("""COMPUTED_VALUE"""),30)</f>
        <v>30</v>
      </c>
      <c r="I1525" s="83">
        <f ca="1">IFERROR(__xludf.DUMMYFUNCTION("""COMPUTED_VALUE"""),17)</f>
        <v>17</v>
      </c>
    </row>
    <row r="1526" spans="1:9">
      <c r="A1526" s="79">
        <v>72</v>
      </c>
      <c r="B1526" s="79">
        <v>4</v>
      </c>
      <c r="C1526" s="79">
        <v>76</v>
      </c>
      <c r="D1526" s="80">
        <v>43329.698113425926</v>
      </c>
      <c r="E1526" s="81">
        <f t="shared" ca="1" si="10"/>
        <v>43313</v>
      </c>
      <c r="F1526" s="82">
        <f ca="1">IFERROR(__xludf.DUMMYFUNCTION("""COMPUTED_VALUE"""),0.698113425925926)</f>
        <v>0.69811342592592596</v>
      </c>
      <c r="G1526" s="83">
        <f t="shared" ca="1" si="11"/>
        <v>19</v>
      </c>
      <c r="H1526" s="83">
        <f ca="1">IFERROR(__xludf.DUMMYFUNCTION("""COMPUTED_VALUE"""),45)</f>
        <v>45</v>
      </c>
      <c r="I1526" s="83">
        <f ca="1">IFERROR(__xludf.DUMMYFUNCTION("""COMPUTED_VALUE"""),17)</f>
        <v>17</v>
      </c>
    </row>
    <row r="1527" spans="1:9">
      <c r="A1527" s="79">
        <v>57</v>
      </c>
      <c r="B1527" s="79">
        <v>4</v>
      </c>
      <c r="C1527" s="79">
        <v>61</v>
      </c>
      <c r="D1527" s="80">
        <v>43329.70853009259</v>
      </c>
      <c r="E1527" s="81">
        <f t="shared" ca="1" si="10"/>
        <v>43313</v>
      </c>
      <c r="F1527" s="82">
        <f ca="1">IFERROR(__xludf.DUMMYFUNCTION("""COMPUTED_VALUE"""),0.708530092592592)</f>
        <v>0.70853009259259203</v>
      </c>
      <c r="G1527" s="83">
        <f t="shared" ca="1" si="11"/>
        <v>19</v>
      </c>
      <c r="H1527" s="83">
        <f ca="1">IFERROR(__xludf.DUMMYFUNCTION("""COMPUTED_VALUE"""),0)</f>
        <v>0</v>
      </c>
      <c r="I1527" s="83">
        <f ca="1">IFERROR(__xludf.DUMMYFUNCTION("""COMPUTED_VALUE"""),17)</f>
        <v>17</v>
      </c>
    </row>
    <row r="1528" spans="1:9">
      <c r="A1528" s="79">
        <v>69</v>
      </c>
      <c r="B1528" s="79">
        <v>4</v>
      </c>
      <c r="C1528" s="79">
        <v>73</v>
      </c>
      <c r="D1528" s="80">
        <v>43329.718946759262</v>
      </c>
      <c r="E1528" s="81">
        <f t="shared" ca="1" si="10"/>
        <v>43313</v>
      </c>
      <c r="F1528" s="82">
        <f ca="1">IFERROR(__xludf.DUMMYFUNCTION("""COMPUTED_VALUE"""),0.718946759259259)</f>
        <v>0.71894675925925899</v>
      </c>
      <c r="G1528" s="83">
        <f t="shared" ca="1" si="11"/>
        <v>19</v>
      </c>
      <c r="H1528" s="83">
        <f ca="1">IFERROR(__xludf.DUMMYFUNCTION("""COMPUTED_VALUE"""),15)</f>
        <v>15</v>
      </c>
      <c r="I1528" s="83">
        <f ca="1">IFERROR(__xludf.DUMMYFUNCTION("""COMPUTED_VALUE"""),17)</f>
        <v>17</v>
      </c>
    </row>
    <row r="1529" spans="1:9">
      <c r="A1529" s="79">
        <v>88</v>
      </c>
      <c r="B1529" s="79">
        <v>4</v>
      </c>
      <c r="C1529" s="79">
        <v>92</v>
      </c>
      <c r="D1529" s="80">
        <v>43329.729363425926</v>
      </c>
      <c r="E1529" s="81">
        <f t="shared" ca="1" si="10"/>
        <v>43313</v>
      </c>
      <c r="F1529" s="82">
        <f ca="1">IFERROR(__xludf.DUMMYFUNCTION("""COMPUTED_VALUE"""),0.729363425925926)</f>
        <v>0.72936342592592596</v>
      </c>
      <c r="G1529" s="83">
        <f t="shared" ca="1" si="11"/>
        <v>19</v>
      </c>
      <c r="H1529" s="83">
        <f ca="1">IFERROR(__xludf.DUMMYFUNCTION("""COMPUTED_VALUE"""),30)</f>
        <v>30</v>
      </c>
      <c r="I1529" s="83">
        <f ca="1">IFERROR(__xludf.DUMMYFUNCTION("""COMPUTED_VALUE"""),17)</f>
        <v>17</v>
      </c>
    </row>
    <row r="1530" spans="1:9">
      <c r="A1530" s="79">
        <v>99</v>
      </c>
      <c r="B1530" s="79">
        <v>4</v>
      </c>
      <c r="C1530" s="79">
        <v>103</v>
      </c>
      <c r="D1530" s="80">
        <v>43329.73978009259</v>
      </c>
      <c r="E1530" s="81">
        <f t="shared" ca="1" si="10"/>
        <v>43313</v>
      </c>
      <c r="F1530" s="82">
        <f ca="1">IFERROR(__xludf.DUMMYFUNCTION("""COMPUTED_VALUE"""),0.739780092592592)</f>
        <v>0.73978009259259203</v>
      </c>
      <c r="G1530" s="83">
        <f t="shared" ca="1" si="11"/>
        <v>19</v>
      </c>
      <c r="H1530" s="83">
        <f ca="1">IFERROR(__xludf.DUMMYFUNCTION("""COMPUTED_VALUE"""),45)</f>
        <v>45</v>
      </c>
      <c r="I1530" s="83">
        <f ca="1">IFERROR(__xludf.DUMMYFUNCTION("""COMPUTED_VALUE"""),17)</f>
        <v>17</v>
      </c>
    </row>
    <row r="1531" spans="1:9">
      <c r="A1531" s="79">
        <v>63</v>
      </c>
      <c r="B1531" s="79">
        <v>4</v>
      </c>
      <c r="C1531" s="79">
        <v>67</v>
      </c>
      <c r="D1531" s="80">
        <v>43329.750208333331</v>
      </c>
      <c r="E1531" s="81">
        <f t="shared" ca="1" si="10"/>
        <v>43313</v>
      </c>
      <c r="F1531" s="82">
        <f ca="1">IFERROR(__xludf.DUMMYFUNCTION("""COMPUTED_VALUE"""),0.750208333333333)</f>
        <v>0.75020833333333303</v>
      </c>
      <c r="G1531" s="83">
        <f t="shared" ca="1" si="11"/>
        <v>19</v>
      </c>
      <c r="H1531" s="83">
        <f ca="1">IFERROR(__xludf.DUMMYFUNCTION("""COMPUTED_VALUE"""),0)</f>
        <v>0</v>
      </c>
      <c r="I1531" s="83">
        <f ca="1">IFERROR(__xludf.DUMMYFUNCTION("""COMPUTED_VALUE"""),18)</f>
        <v>18</v>
      </c>
    </row>
    <row r="1532" spans="1:9">
      <c r="A1532" s="79">
        <v>82</v>
      </c>
      <c r="B1532" s="79">
        <v>4</v>
      </c>
      <c r="C1532" s="79">
        <v>86</v>
      </c>
      <c r="D1532" s="80">
        <v>43329.760613425926</v>
      </c>
      <c r="E1532" s="81">
        <f t="shared" ref="E1532:E2834" ca="1" si="12">IFERROR(__xludf.DUMMYFUNCTION("SPLIT(D2, "" "")"),43313)</f>
        <v>43313</v>
      </c>
      <c r="F1532" s="82">
        <f ca="1">IFERROR(__xludf.DUMMYFUNCTION("""COMPUTED_VALUE"""),0.760613425925926)</f>
        <v>0.76061342592592596</v>
      </c>
      <c r="G1532" s="83">
        <f t="shared" ref="G1532:G2834" ca="1" si="13">IFERROR(__xludf.DUMMYFUNCTION("SPLIT(F2, "":"")"),19)</f>
        <v>19</v>
      </c>
      <c r="H1532" s="83">
        <f ca="1">IFERROR(__xludf.DUMMYFUNCTION("""COMPUTED_VALUE"""),15)</f>
        <v>15</v>
      </c>
      <c r="I1532" s="83">
        <f ca="1">IFERROR(__xludf.DUMMYFUNCTION("""COMPUTED_VALUE"""),17)</f>
        <v>17</v>
      </c>
    </row>
    <row r="1533" spans="1:9">
      <c r="A1533" s="79">
        <v>99</v>
      </c>
      <c r="B1533" s="79">
        <v>5</v>
      </c>
      <c r="C1533" s="79">
        <v>104</v>
      </c>
      <c r="D1533" s="80">
        <v>43329.771041666667</v>
      </c>
      <c r="E1533" s="81">
        <f t="shared" ca="1" si="12"/>
        <v>43313</v>
      </c>
      <c r="F1533" s="82">
        <f ca="1">IFERROR(__xludf.DUMMYFUNCTION("""COMPUTED_VALUE"""),0.771041666666666)</f>
        <v>0.77104166666666596</v>
      </c>
      <c r="G1533" s="83">
        <f t="shared" ca="1" si="13"/>
        <v>19</v>
      </c>
      <c r="H1533" s="83">
        <f ca="1">IFERROR(__xludf.DUMMYFUNCTION("""COMPUTED_VALUE"""),30)</f>
        <v>30</v>
      </c>
      <c r="I1533" s="83">
        <f ca="1">IFERROR(__xludf.DUMMYFUNCTION("""COMPUTED_VALUE"""),18)</f>
        <v>18</v>
      </c>
    </row>
    <row r="1534" spans="1:9">
      <c r="A1534" s="79">
        <v>180</v>
      </c>
      <c r="B1534" s="79">
        <v>8</v>
      </c>
      <c r="C1534" s="79">
        <v>178</v>
      </c>
      <c r="D1534" s="80">
        <v>43329.781446759262</v>
      </c>
      <c r="E1534" s="81">
        <f t="shared" ca="1" si="12"/>
        <v>43313</v>
      </c>
      <c r="F1534" s="82">
        <f ca="1">IFERROR(__xludf.DUMMYFUNCTION("""COMPUTED_VALUE"""),0.781446759259259)</f>
        <v>0.78144675925925899</v>
      </c>
      <c r="G1534" s="83">
        <f t="shared" ca="1" si="13"/>
        <v>19</v>
      </c>
      <c r="H1534" s="83">
        <f ca="1">IFERROR(__xludf.DUMMYFUNCTION("""COMPUTED_VALUE"""),45)</f>
        <v>45</v>
      </c>
      <c r="I1534" s="83">
        <f ca="1">IFERROR(__xludf.DUMMYFUNCTION("""COMPUTED_VALUE"""),17)</f>
        <v>17</v>
      </c>
    </row>
    <row r="1535" spans="1:9">
      <c r="A1535" s="79">
        <v>213</v>
      </c>
      <c r="B1535" s="79">
        <v>6</v>
      </c>
      <c r="C1535" s="79">
        <v>219</v>
      </c>
      <c r="D1535" s="80">
        <v>43329.791863425926</v>
      </c>
      <c r="E1535" s="81">
        <f t="shared" ca="1" si="12"/>
        <v>43313</v>
      </c>
      <c r="F1535" s="82">
        <f ca="1">IFERROR(__xludf.DUMMYFUNCTION("""COMPUTED_VALUE"""),0.791863425925926)</f>
        <v>0.79186342592592596</v>
      </c>
      <c r="G1535" s="83">
        <f t="shared" ca="1" si="13"/>
        <v>19</v>
      </c>
      <c r="H1535" s="83">
        <f ca="1">IFERROR(__xludf.DUMMYFUNCTION("""COMPUTED_VALUE"""),0)</f>
        <v>0</v>
      </c>
      <c r="I1535" s="83">
        <f ca="1">IFERROR(__xludf.DUMMYFUNCTION("""COMPUTED_VALUE"""),17)</f>
        <v>17</v>
      </c>
    </row>
    <row r="1536" spans="1:9">
      <c r="A1536" s="79">
        <v>331</v>
      </c>
      <c r="B1536" s="79">
        <v>3</v>
      </c>
      <c r="C1536" s="79">
        <v>334</v>
      </c>
      <c r="D1536" s="80">
        <v>43329.80228009259</v>
      </c>
      <c r="E1536" s="81">
        <f t="shared" ca="1" si="12"/>
        <v>43313</v>
      </c>
      <c r="F1536" s="82">
        <f ca="1">IFERROR(__xludf.DUMMYFUNCTION("""COMPUTED_VALUE"""),0.802280092592592)</f>
        <v>0.80228009259259203</v>
      </c>
      <c r="G1536" s="83">
        <f t="shared" ca="1" si="13"/>
        <v>19</v>
      </c>
      <c r="H1536" s="83">
        <f ca="1">IFERROR(__xludf.DUMMYFUNCTION("""COMPUTED_VALUE"""),15)</f>
        <v>15</v>
      </c>
      <c r="I1536" s="83">
        <f ca="1">IFERROR(__xludf.DUMMYFUNCTION("""COMPUTED_VALUE"""),17)</f>
        <v>17</v>
      </c>
    </row>
    <row r="1537" spans="1:9">
      <c r="A1537" s="79">
        <v>334</v>
      </c>
      <c r="B1537" s="79">
        <v>3</v>
      </c>
      <c r="C1537" s="79">
        <v>337</v>
      </c>
      <c r="D1537" s="80">
        <v>43329.812696759262</v>
      </c>
      <c r="E1537" s="81">
        <f t="shared" ca="1" si="12"/>
        <v>43313</v>
      </c>
      <c r="F1537" s="82">
        <f ca="1">IFERROR(__xludf.DUMMYFUNCTION("""COMPUTED_VALUE"""),0.812696759259259)</f>
        <v>0.81269675925925899</v>
      </c>
      <c r="G1537" s="83">
        <f t="shared" ca="1" si="13"/>
        <v>19</v>
      </c>
      <c r="H1537" s="83">
        <f ca="1">IFERROR(__xludf.DUMMYFUNCTION("""COMPUTED_VALUE"""),30)</f>
        <v>30</v>
      </c>
      <c r="I1537" s="83">
        <f ca="1">IFERROR(__xludf.DUMMYFUNCTION("""COMPUTED_VALUE"""),17)</f>
        <v>17</v>
      </c>
    </row>
    <row r="1538" spans="1:9">
      <c r="A1538" s="79">
        <v>325</v>
      </c>
      <c r="B1538" s="79">
        <v>2</v>
      </c>
      <c r="C1538" s="79">
        <v>327</v>
      </c>
      <c r="D1538" s="80">
        <v>43329.823113425926</v>
      </c>
      <c r="E1538" s="81">
        <f t="shared" ca="1" si="12"/>
        <v>43313</v>
      </c>
      <c r="F1538" s="82">
        <f ca="1">IFERROR(__xludf.DUMMYFUNCTION("""COMPUTED_VALUE"""),0.823113425925926)</f>
        <v>0.82311342592592596</v>
      </c>
      <c r="G1538" s="83">
        <f t="shared" ca="1" si="13"/>
        <v>19</v>
      </c>
      <c r="H1538" s="83">
        <f ca="1">IFERROR(__xludf.DUMMYFUNCTION("""COMPUTED_VALUE"""),45)</f>
        <v>45</v>
      </c>
      <c r="I1538" s="83">
        <f ca="1">IFERROR(__xludf.DUMMYFUNCTION("""COMPUTED_VALUE"""),17)</f>
        <v>17</v>
      </c>
    </row>
    <row r="1539" spans="1:9">
      <c r="A1539" s="79">
        <v>339</v>
      </c>
      <c r="B1539" s="79">
        <v>4</v>
      </c>
      <c r="C1539" s="79">
        <v>343</v>
      </c>
      <c r="D1539" s="80">
        <v>43329.833541666667</v>
      </c>
      <c r="E1539" s="81">
        <f t="shared" ca="1" si="12"/>
        <v>43313</v>
      </c>
      <c r="F1539" s="82">
        <f ca="1">IFERROR(__xludf.DUMMYFUNCTION("""COMPUTED_VALUE"""),0.833541666666666)</f>
        <v>0.83354166666666596</v>
      </c>
      <c r="G1539" s="83">
        <f t="shared" ca="1" si="13"/>
        <v>19</v>
      </c>
      <c r="H1539" s="83">
        <f ca="1">IFERROR(__xludf.DUMMYFUNCTION("""COMPUTED_VALUE"""),0)</f>
        <v>0</v>
      </c>
      <c r="I1539" s="83">
        <f ca="1">IFERROR(__xludf.DUMMYFUNCTION("""COMPUTED_VALUE"""),18)</f>
        <v>18</v>
      </c>
    </row>
    <row r="1540" spans="1:9">
      <c r="A1540" s="79">
        <v>439</v>
      </c>
      <c r="B1540" s="79">
        <v>6</v>
      </c>
      <c r="C1540" s="79">
        <v>445</v>
      </c>
      <c r="D1540" s="80">
        <v>43329.843946759262</v>
      </c>
      <c r="E1540" s="81">
        <f t="shared" ca="1" si="12"/>
        <v>43313</v>
      </c>
      <c r="F1540" s="82">
        <f ca="1">IFERROR(__xludf.DUMMYFUNCTION("""COMPUTED_VALUE"""),0.843946759259259)</f>
        <v>0.84394675925925899</v>
      </c>
      <c r="G1540" s="83">
        <f t="shared" ca="1" si="13"/>
        <v>19</v>
      </c>
      <c r="H1540" s="83">
        <f ca="1">IFERROR(__xludf.DUMMYFUNCTION("""COMPUTED_VALUE"""),15)</f>
        <v>15</v>
      </c>
      <c r="I1540" s="83">
        <f ca="1">IFERROR(__xludf.DUMMYFUNCTION("""COMPUTED_VALUE"""),17)</f>
        <v>17</v>
      </c>
    </row>
    <row r="1541" spans="1:9">
      <c r="A1541" s="79">
        <v>423</v>
      </c>
      <c r="B1541" s="79">
        <v>4</v>
      </c>
      <c r="C1541" s="79">
        <v>427</v>
      </c>
      <c r="D1541" s="80">
        <v>43329.854363425926</v>
      </c>
      <c r="E1541" s="81">
        <f t="shared" ca="1" si="12"/>
        <v>43313</v>
      </c>
      <c r="F1541" s="82">
        <f ca="1">IFERROR(__xludf.DUMMYFUNCTION("""COMPUTED_VALUE"""),0.854363425925926)</f>
        <v>0.85436342592592596</v>
      </c>
      <c r="G1541" s="83">
        <f t="shared" ca="1" si="13"/>
        <v>19</v>
      </c>
      <c r="H1541" s="83">
        <f ca="1">IFERROR(__xludf.DUMMYFUNCTION("""COMPUTED_VALUE"""),30)</f>
        <v>30</v>
      </c>
      <c r="I1541" s="83">
        <f ca="1">IFERROR(__xludf.DUMMYFUNCTION("""COMPUTED_VALUE"""),17)</f>
        <v>17</v>
      </c>
    </row>
    <row r="1542" spans="1:9">
      <c r="A1542" s="79">
        <v>419</v>
      </c>
      <c r="B1542" s="79">
        <v>3</v>
      </c>
      <c r="C1542" s="79">
        <v>422</v>
      </c>
      <c r="D1542" s="80">
        <v>43329.864768518521</v>
      </c>
      <c r="E1542" s="81">
        <f t="shared" ca="1" si="12"/>
        <v>43313</v>
      </c>
      <c r="F1542" s="82">
        <f ca="1">IFERROR(__xludf.DUMMYFUNCTION("""COMPUTED_VALUE"""),0.864768518518518)</f>
        <v>0.86476851851851799</v>
      </c>
      <c r="G1542" s="83">
        <f t="shared" ca="1" si="13"/>
        <v>19</v>
      </c>
      <c r="H1542" s="83">
        <f ca="1">IFERROR(__xludf.DUMMYFUNCTION("""COMPUTED_VALUE"""),45)</f>
        <v>45</v>
      </c>
      <c r="I1542" s="83">
        <f ca="1">IFERROR(__xludf.DUMMYFUNCTION("""COMPUTED_VALUE"""),16)</f>
        <v>16</v>
      </c>
    </row>
    <row r="1543" spans="1:9">
      <c r="A1543" s="79">
        <v>355</v>
      </c>
      <c r="B1543" s="79">
        <v>6</v>
      </c>
      <c r="C1543" s="79">
        <v>361</v>
      </c>
      <c r="D1543" s="80">
        <v>43329.875196759262</v>
      </c>
      <c r="E1543" s="81">
        <f t="shared" ca="1" si="12"/>
        <v>43313</v>
      </c>
      <c r="F1543" s="82">
        <f ca="1">IFERROR(__xludf.DUMMYFUNCTION("""COMPUTED_VALUE"""),0.875196759259259)</f>
        <v>0.87519675925925899</v>
      </c>
      <c r="G1543" s="83">
        <f t="shared" ca="1" si="13"/>
        <v>19</v>
      </c>
      <c r="H1543" s="83">
        <f ca="1">IFERROR(__xludf.DUMMYFUNCTION("""COMPUTED_VALUE"""),0)</f>
        <v>0</v>
      </c>
      <c r="I1543" s="83">
        <f ca="1">IFERROR(__xludf.DUMMYFUNCTION("""COMPUTED_VALUE"""),17)</f>
        <v>17</v>
      </c>
    </row>
    <row r="1544" spans="1:9">
      <c r="A1544" s="79">
        <v>409</v>
      </c>
      <c r="B1544" s="79">
        <v>4</v>
      </c>
      <c r="C1544" s="79">
        <v>413</v>
      </c>
      <c r="D1544" s="80">
        <v>43329.885601851849</v>
      </c>
      <c r="E1544" s="81">
        <f t="shared" ca="1" si="12"/>
        <v>43313</v>
      </c>
      <c r="F1544" s="82">
        <f ca="1">IFERROR(__xludf.DUMMYFUNCTION("""COMPUTED_VALUE"""),0.885601851851851)</f>
        <v>0.88560185185185103</v>
      </c>
      <c r="G1544" s="83">
        <f t="shared" ca="1" si="13"/>
        <v>19</v>
      </c>
      <c r="H1544" s="83">
        <f ca="1">IFERROR(__xludf.DUMMYFUNCTION("""COMPUTED_VALUE"""),15)</f>
        <v>15</v>
      </c>
      <c r="I1544" s="83">
        <f ca="1">IFERROR(__xludf.DUMMYFUNCTION("""COMPUTED_VALUE"""),16)</f>
        <v>16</v>
      </c>
    </row>
    <row r="1545" spans="1:9">
      <c r="A1545" s="79">
        <v>395</v>
      </c>
      <c r="B1545" s="79">
        <v>5</v>
      </c>
      <c r="C1545" s="79">
        <v>400</v>
      </c>
      <c r="D1545" s="80">
        <v>43329.89603009259</v>
      </c>
      <c r="E1545" s="81">
        <f t="shared" ca="1" si="12"/>
        <v>43313</v>
      </c>
      <c r="F1545" s="82">
        <f ca="1">IFERROR(__xludf.DUMMYFUNCTION("""COMPUTED_VALUE"""),0.896030092592592)</f>
        <v>0.89603009259259203</v>
      </c>
      <c r="G1545" s="83">
        <f t="shared" ca="1" si="13"/>
        <v>19</v>
      </c>
      <c r="H1545" s="83">
        <f ca="1">IFERROR(__xludf.DUMMYFUNCTION("""COMPUTED_VALUE"""),30)</f>
        <v>30</v>
      </c>
      <c r="I1545" s="83">
        <f ca="1">IFERROR(__xludf.DUMMYFUNCTION("""COMPUTED_VALUE"""),17)</f>
        <v>17</v>
      </c>
    </row>
    <row r="1546" spans="1:9">
      <c r="A1546" s="79">
        <v>444</v>
      </c>
      <c r="B1546" s="79">
        <v>1</v>
      </c>
      <c r="C1546" s="79">
        <v>445</v>
      </c>
      <c r="D1546" s="80">
        <v>43329.906446759262</v>
      </c>
      <c r="E1546" s="81">
        <f t="shared" ca="1" si="12"/>
        <v>43313</v>
      </c>
      <c r="F1546" s="82">
        <f ca="1">IFERROR(__xludf.DUMMYFUNCTION("""COMPUTED_VALUE"""),0.906446759259259)</f>
        <v>0.90644675925925899</v>
      </c>
      <c r="G1546" s="83">
        <f t="shared" ca="1" si="13"/>
        <v>19</v>
      </c>
      <c r="H1546" s="83">
        <f ca="1">IFERROR(__xludf.DUMMYFUNCTION("""COMPUTED_VALUE"""),45)</f>
        <v>45</v>
      </c>
      <c r="I1546" s="83">
        <f ca="1">IFERROR(__xludf.DUMMYFUNCTION("""COMPUTED_VALUE"""),17)</f>
        <v>17</v>
      </c>
    </row>
    <row r="1547" spans="1:9">
      <c r="A1547" s="79">
        <v>351</v>
      </c>
      <c r="B1547" s="79">
        <v>2</v>
      </c>
      <c r="C1547" s="79">
        <v>353</v>
      </c>
      <c r="D1547" s="80">
        <v>43329.916863425926</v>
      </c>
      <c r="E1547" s="81">
        <f t="shared" ca="1" si="12"/>
        <v>43313</v>
      </c>
      <c r="F1547" s="82">
        <f ca="1">IFERROR(__xludf.DUMMYFUNCTION("""COMPUTED_VALUE"""),0.916863425925926)</f>
        <v>0.91686342592592596</v>
      </c>
      <c r="G1547" s="83">
        <f t="shared" ca="1" si="13"/>
        <v>19</v>
      </c>
      <c r="H1547" s="83">
        <f ca="1">IFERROR(__xludf.DUMMYFUNCTION("""COMPUTED_VALUE"""),0)</f>
        <v>0</v>
      </c>
      <c r="I1547" s="83">
        <f ca="1">IFERROR(__xludf.DUMMYFUNCTION("""COMPUTED_VALUE"""),17)</f>
        <v>17</v>
      </c>
    </row>
    <row r="1548" spans="1:9">
      <c r="A1548" s="79">
        <v>342</v>
      </c>
      <c r="B1548" s="79">
        <v>2</v>
      </c>
      <c r="C1548" s="79">
        <v>344</v>
      </c>
      <c r="D1548" s="80">
        <v>43329.92728009259</v>
      </c>
      <c r="E1548" s="81">
        <f t="shared" ca="1" si="12"/>
        <v>43313</v>
      </c>
      <c r="F1548" s="82">
        <f ca="1">IFERROR(__xludf.DUMMYFUNCTION("""COMPUTED_VALUE"""),0.927280092592592)</f>
        <v>0.92728009259259203</v>
      </c>
      <c r="G1548" s="83">
        <f t="shared" ca="1" si="13"/>
        <v>19</v>
      </c>
      <c r="H1548" s="83">
        <f ca="1">IFERROR(__xludf.DUMMYFUNCTION("""COMPUTED_VALUE"""),15)</f>
        <v>15</v>
      </c>
      <c r="I1548" s="83">
        <f ca="1">IFERROR(__xludf.DUMMYFUNCTION("""COMPUTED_VALUE"""),17)</f>
        <v>17</v>
      </c>
    </row>
    <row r="1549" spans="1:9">
      <c r="A1549" s="79">
        <v>259</v>
      </c>
      <c r="B1549" s="79">
        <v>3</v>
      </c>
      <c r="C1549" s="79">
        <v>262</v>
      </c>
      <c r="D1549" s="80">
        <v>43329.937696759262</v>
      </c>
      <c r="E1549" s="81">
        <f t="shared" ca="1" si="12"/>
        <v>43313</v>
      </c>
      <c r="F1549" s="82">
        <f ca="1">IFERROR(__xludf.DUMMYFUNCTION("""COMPUTED_VALUE"""),0.937696759259259)</f>
        <v>0.93769675925925899</v>
      </c>
      <c r="G1549" s="83">
        <f t="shared" ca="1" si="13"/>
        <v>19</v>
      </c>
      <c r="H1549" s="83">
        <f ca="1">IFERROR(__xludf.DUMMYFUNCTION("""COMPUTED_VALUE"""),30)</f>
        <v>30</v>
      </c>
      <c r="I1549" s="83">
        <f ca="1">IFERROR(__xludf.DUMMYFUNCTION("""COMPUTED_VALUE"""),17)</f>
        <v>17</v>
      </c>
    </row>
    <row r="1550" spans="1:9">
      <c r="A1550" s="79">
        <v>273</v>
      </c>
      <c r="B1550" s="79">
        <v>2</v>
      </c>
      <c r="C1550" s="79">
        <v>275</v>
      </c>
      <c r="D1550" s="80">
        <v>43329.948113425926</v>
      </c>
      <c r="E1550" s="81">
        <f t="shared" ca="1" si="12"/>
        <v>43313</v>
      </c>
      <c r="F1550" s="82">
        <f ca="1">IFERROR(__xludf.DUMMYFUNCTION("""COMPUTED_VALUE"""),0.948113425925926)</f>
        <v>0.94811342592592596</v>
      </c>
      <c r="G1550" s="83">
        <f t="shared" ca="1" si="13"/>
        <v>19</v>
      </c>
      <c r="H1550" s="83">
        <f ca="1">IFERROR(__xludf.DUMMYFUNCTION("""COMPUTED_VALUE"""),45)</f>
        <v>45</v>
      </c>
      <c r="I1550" s="83">
        <f ca="1">IFERROR(__xludf.DUMMYFUNCTION("""COMPUTED_VALUE"""),17)</f>
        <v>17</v>
      </c>
    </row>
    <row r="1551" spans="1:9">
      <c r="A1551" s="79">
        <v>300</v>
      </c>
      <c r="B1551" s="79">
        <v>2</v>
      </c>
      <c r="C1551" s="79">
        <v>302</v>
      </c>
      <c r="D1551" s="80">
        <v>43329.95853009259</v>
      </c>
      <c r="E1551" s="81">
        <f t="shared" ca="1" si="12"/>
        <v>43313</v>
      </c>
      <c r="F1551" s="82">
        <f ca="1">IFERROR(__xludf.DUMMYFUNCTION("""COMPUTED_VALUE"""),0.958530092592592)</f>
        <v>0.95853009259259203</v>
      </c>
      <c r="G1551" s="83">
        <f t="shared" ca="1" si="13"/>
        <v>19</v>
      </c>
      <c r="H1551" s="83">
        <f ca="1">IFERROR(__xludf.DUMMYFUNCTION("""COMPUTED_VALUE"""),0)</f>
        <v>0</v>
      </c>
      <c r="I1551" s="83">
        <f ca="1">IFERROR(__xludf.DUMMYFUNCTION("""COMPUTED_VALUE"""),17)</f>
        <v>17</v>
      </c>
    </row>
    <row r="1552" spans="1:9">
      <c r="A1552" s="79">
        <v>322</v>
      </c>
      <c r="B1552" s="79">
        <v>2</v>
      </c>
      <c r="C1552" s="79">
        <v>324</v>
      </c>
      <c r="D1552" s="80">
        <v>43329.968946759262</v>
      </c>
      <c r="E1552" s="81">
        <f t="shared" ca="1" si="12"/>
        <v>43313</v>
      </c>
      <c r="F1552" s="82">
        <f ca="1">IFERROR(__xludf.DUMMYFUNCTION("""COMPUTED_VALUE"""),0.968946759259259)</f>
        <v>0.96894675925925899</v>
      </c>
      <c r="G1552" s="83">
        <f t="shared" ca="1" si="13"/>
        <v>19</v>
      </c>
      <c r="H1552" s="83">
        <f ca="1">IFERROR(__xludf.DUMMYFUNCTION("""COMPUTED_VALUE"""),15)</f>
        <v>15</v>
      </c>
      <c r="I1552" s="83">
        <f ca="1">IFERROR(__xludf.DUMMYFUNCTION("""COMPUTED_VALUE"""),17)</f>
        <v>17</v>
      </c>
    </row>
    <row r="1553" spans="1:9">
      <c r="A1553" s="79">
        <v>293</v>
      </c>
      <c r="B1553" s="79">
        <v>3</v>
      </c>
      <c r="C1553" s="79">
        <v>296</v>
      </c>
      <c r="D1553" s="80">
        <v>43329.979351851849</v>
      </c>
      <c r="E1553" s="81">
        <f t="shared" ca="1" si="12"/>
        <v>43313</v>
      </c>
      <c r="F1553" s="82">
        <f ca="1">IFERROR(__xludf.DUMMYFUNCTION("""COMPUTED_VALUE"""),0.979351851851851)</f>
        <v>0.97935185185185103</v>
      </c>
      <c r="G1553" s="83">
        <f t="shared" ca="1" si="13"/>
        <v>19</v>
      </c>
      <c r="H1553" s="83">
        <f ca="1">IFERROR(__xludf.DUMMYFUNCTION("""COMPUTED_VALUE"""),30)</f>
        <v>30</v>
      </c>
      <c r="I1553" s="83">
        <f ca="1">IFERROR(__xludf.DUMMYFUNCTION("""COMPUTED_VALUE"""),16)</f>
        <v>16</v>
      </c>
    </row>
    <row r="1554" spans="1:9">
      <c r="A1554" s="79">
        <v>255</v>
      </c>
      <c r="B1554" s="79">
        <v>4</v>
      </c>
      <c r="C1554" s="79">
        <v>259</v>
      </c>
      <c r="D1554" s="80">
        <v>43329.98978009259</v>
      </c>
      <c r="E1554" s="81">
        <f t="shared" ca="1" si="12"/>
        <v>43313</v>
      </c>
      <c r="F1554" s="82">
        <f ca="1">IFERROR(__xludf.DUMMYFUNCTION("""COMPUTED_VALUE"""),0.989780092592592)</f>
        <v>0.98978009259259203</v>
      </c>
      <c r="G1554" s="83">
        <f t="shared" ca="1" si="13"/>
        <v>19</v>
      </c>
      <c r="H1554" s="83">
        <f ca="1">IFERROR(__xludf.DUMMYFUNCTION("""COMPUTED_VALUE"""),45)</f>
        <v>45</v>
      </c>
      <c r="I1554" s="83">
        <f ca="1">IFERROR(__xludf.DUMMYFUNCTION("""COMPUTED_VALUE"""),17)</f>
        <v>17</v>
      </c>
    </row>
    <row r="1555" spans="1:9">
      <c r="A1555" s="79">
        <v>282</v>
      </c>
      <c r="B1555" s="79">
        <v>4</v>
      </c>
      <c r="C1555" s="79">
        <v>286</v>
      </c>
      <c r="D1555" s="80">
        <v>43330.000196759262</v>
      </c>
      <c r="E1555" s="81">
        <f t="shared" ca="1" si="12"/>
        <v>43313</v>
      </c>
      <c r="F1555" s="82">
        <f ca="1">IFERROR(__xludf.DUMMYFUNCTION("""COMPUTED_VALUE"""),0.000196759259259259)</f>
        <v>1.9675925925925899E-4</v>
      </c>
      <c r="G1555" s="83">
        <f t="shared" ca="1" si="13"/>
        <v>19</v>
      </c>
      <c r="H1555" s="83">
        <f ca="1">IFERROR(__xludf.DUMMYFUNCTION("""COMPUTED_VALUE"""),0)</f>
        <v>0</v>
      </c>
      <c r="I1555" s="83">
        <f ca="1">IFERROR(__xludf.DUMMYFUNCTION("""COMPUTED_VALUE"""),17)</f>
        <v>17</v>
      </c>
    </row>
    <row r="1556" spans="1:9">
      <c r="A1556" s="79">
        <v>316</v>
      </c>
      <c r="B1556" s="79">
        <v>0</v>
      </c>
      <c r="C1556" s="79">
        <v>316</v>
      </c>
      <c r="D1556" s="80">
        <v>43330.010613425926</v>
      </c>
      <c r="E1556" s="81">
        <f t="shared" ca="1" si="12"/>
        <v>43313</v>
      </c>
      <c r="F1556" s="82">
        <f ca="1">IFERROR(__xludf.DUMMYFUNCTION("""COMPUTED_VALUE"""),0.0106134259259259)</f>
        <v>1.0613425925925899E-2</v>
      </c>
      <c r="G1556" s="83">
        <f t="shared" ca="1" si="13"/>
        <v>19</v>
      </c>
      <c r="H1556" s="83">
        <f ca="1">IFERROR(__xludf.DUMMYFUNCTION("""COMPUTED_VALUE"""),15)</f>
        <v>15</v>
      </c>
      <c r="I1556" s="83">
        <f ca="1">IFERROR(__xludf.DUMMYFUNCTION("""COMPUTED_VALUE"""),17)</f>
        <v>17</v>
      </c>
    </row>
    <row r="1557" spans="1:9">
      <c r="A1557" s="79">
        <v>249</v>
      </c>
      <c r="B1557" s="79">
        <v>0</v>
      </c>
      <c r="C1557" s="79">
        <v>246</v>
      </c>
      <c r="D1557" s="80">
        <v>43330.021018518521</v>
      </c>
      <c r="E1557" s="81">
        <f t="shared" ca="1" si="12"/>
        <v>43313</v>
      </c>
      <c r="F1557" s="82">
        <f ca="1">IFERROR(__xludf.DUMMYFUNCTION("""COMPUTED_VALUE"""),0.0210185185185185)</f>
        <v>2.1018518518518499E-2</v>
      </c>
      <c r="G1557" s="83">
        <f t="shared" ca="1" si="13"/>
        <v>19</v>
      </c>
      <c r="H1557" s="83">
        <f ca="1">IFERROR(__xludf.DUMMYFUNCTION("""COMPUTED_VALUE"""),30)</f>
        <v>30</v>
      </c>
      <c r="I1557" s="83">
        <f ca="1">IFERROR(__xludf.DUMMYFUNCTION("""COMPUTED_VALUE"""),16)</f>
        <v>16</v>
      </c>
    </row>
    <row r="1558" spans="1:9">
      <c r="A1558" s="79">
        <v>231</v>
      </c>
      <c r="B1558" s="79">
        <v>1</v>
      </c>
      <c r="C1558" s="79">
        <v>232</v>
      </c>
      <c r="D1558" s="80">
        <v>43330.031435185185</v>
      </c>
      <c r="E1558" s="81">
        <f t="shared" ca="1" si="12"/>
        <v>43313</v>
      </c>
      <c r="F1558" s="82">
        <f ca="1">IFERROR(__xludf.DUMMYFUNCTION("""COMPUTED_VALUE"""),0.0314351851851851)</f>
        <v>3.1435185185185101E-2</v>
      </c>
      <c r="G1558" s="83">
        <f t="shared" ca="1" si="13"/>
        <v>19</v>
      </c>
      <c r="H1558" s="83">
        <f ca="1">IFERROR(__xludf.DUMMYFUNCTION("""COMPUTED_VALUE"""),45)</f>
        <v>45</v>
      </c>
      <c r="I1558" s="83">
        <f ca="1">IFERROR(__xludf.DUMMYFUNCTION("""COMPUTED_VALUE"""),16)</f>
        <v>16</v>
      </c>
    </row>
    <row r="1559" spans="1:9">
      <c r="A1559" s="79">
        <v>228</v>
      </c>
      <c r="B1559" s="79">
        <v>1</v>
      </c>
      <c r="C1559" s="79">
        <v>229</v>
      </c>
      <c r="D1559" s="80">
        <v>43330.041851851849</v>
      </c>
      <c r="E1559" s="81">
        <f t="shared" ca="1" si="12"/>
        <v>43313</v>
      </c>
      <c r="F1559" s="82">
        <f ca="1">IFERROR(__xludf.DUMMYFUNCTION("""COMPUTED_VALUE"""),0.0418518518518518)</f>
        <v>4.18518518518518E-2</v>
      </c>
      <c r="G1559" s="83">
        <f t="shared" ca="1" si="13"/>
        <v>19</v>
      </c>
      <c r="H1559" s="83">
        <f ca="1">IFERROR(__xludf.DUMMYFUNCTION("""COMPUTED_VALUE"""),0)</f>
        <v>0</v>
      </c>
      <c r="I1559" s="83">
        <f ca="1">IFERROR(__xludf.DUMMYFUNCTION("""COMPUTED_VALUE"""),16)</f>
        <v>16</v>
      </c>
    </row>
    <row r="1560" spans="1:9">
      <c r="A1560" s="79">
        <v>213</v>
      </c>
      <c r="B1560" s="79">
        <v>2</v>
      </c>
      <c r="C1560" s="79">
        <v>215</v>
      </c>
      <c r="D1560" s="80">
        <v>43330.05228009259</v>
      </c>
      <c r="E1560" s="81">
        <f t="shared" ca="1" si="12"/>
        <v>43313</v>
      </c>
      <c r="F1560" s="82">
        <f ca="1">IFERROR(__xludf.DUMMYFUNCTION("""COMPUTED_VALUE"""),0.0522800925925925)</f>
        <v>5.2280092592592503E-2</v>
      </c>
      <c r="G1560" s="83">
        <f t="shared" ca="1" si="13"/>
        <v>19</v>
      </c>
      <c r="H1560" s="83">
        <f ca="1">IFERROR(__xludf.DUMMYFUNCTION("""COMPUTED_VALUE"""),15)</f>
        <v>15</v>
      </c>
      <c r="I1560" s="83">
        <f ca="1">IFERROR(__xludf.DUMMYFUNCTION("""COMPUTED_VALUE"""),17)</f>
        <v>17</v>
      </c>
    </row>
    <row r="1561" spans="1:9">
      <c r="A1561" s="79">
        <v>234</v>
      </c>
      <c r="B1561" s="79">
        <v>1</v>
      </c>
      <c r="C1561" s="79">
        <v>235</v>
      </c>
      <c r="D1561" s="80">
        <v>43330.062696759262</v>
      </c>
      <c r="E1561" s="81">
        <f t="shared" ca="1" si="12"/>
        <v>43313</v>
      </c>
      <c r="F1561" s="82">
        <f ca="1">IFERROR(__xludf.DUMMYFUNCTION("""COMPUTED_VALUE"""),0.0626967592592592)</f>
        <v>6.2696759259259202E-2</v>
      </c>
      <c r="G1561" s="83">
        <f t="shared" ca="1" si="13"/>
        <v>19</v>
      </c>
      <c r="H1561" s="83">
        <f ca="1">IFERROR(__xludf.DUMMYFUNCTION("""COMPUTED_VALUE"""),30)</f>
        <v>30</v>
      </c>
      <c r="I1561" s="83">
        <f ca="1">IFERROR(__xludf.DUMMYFUNCTION("""COMPUTED_VALUE"""),17)</f>
        <v>17</v>
      </c>
    </row>
    <row r="1562" spans="1:9">
      <c r="A1562" s="79">
        <v>249</v>
      </c>
      <c r="B1562" s="79">
        <v>2</v>
      </c>
      <c r="C1562" s="79">
        <v>251</v>
      </c>
      <c r="D1562" s="80">
        <v>43330.073101851849</v>
      </c>
      <c r="E1562" s="81">
        <f t="shared" ca="1" si="12"/>
        <v>43313</v>
      </c>
      <c r="F1562" s="82">
        <f ca="1">IFERROR(__xludf.DUMMYFUNCTION("""COMPUTED_VALUE"""),0.0731018518518518)</f>
        <v>7.3101851851851807E-2</v>
      </c>
      <c r="G1562" s="83">
        <f t="shared" ca="1" si="13"/>
        <v>19</v>
      </c>
      <c r="H1562" s="83">
        <f ca="1">IFERROR(__xludf.DUMMYFUNCTION("""COMPUTED_VALUE"""),45)</f>
        <v>45</v>
      </c>
      <c r="I1562" s="83">
        <f ca="1">IFERROR(__xludf.DUMMYFUNCTION("""COMPUTED_VALUE"""),16)</f>
        <v>16</v>
      </c>
    </row>
    <row r="1563" spans="1:9">
      <c r="A1563" s="79">
        <v>233</v>
      </c>
      <c r="B1563" s="79">
        <v>2</v>
      </c>
      <c r="C1563" s="79">
        <v>235</v>
      </c>
      <c r="D1563" s="80">
        <v>43330.08353009259</v>
      </c>
      <c r="E1563" s="81">
        <f t="shared" ca="1" si="12"/>
        <v>43313</v>
      </c>
      <c r="F1563" s="82">
        <f ca="1">IFERROR(__xludf.DUMMYFUNCTION("""COMPUTED_VALUE"""),0.0835300925925925)</f>
        <v>8.3530092592592503E-2</v>
      </c>
      <c r="G1563" s="83">
        <f t="shared" ca="1" si="13"/>
        <v>19</v>
      </c>
      <c r="H1563" s="83">
        <f ca="1">IFERROR(__xludf.DUMMYFUNCTION("""COMPUTED_VALUE"""),0)</f>
        <v>0</v>
      </c>
      <c r="I1563" s="83">
        <f ca="1">IFERROR(__xludf.DUMMYFUNCTION("""COMPUTED_VALUE"""),17)</f>
        <v>17</v>
      </c>
    </row>
    <row r="1564" spans="1:9">
      <c r="A1564" s="79">
        <v>217</v>
      </c>
      <c r="B1564" s="79">
        <v>2</v>
      </c>
      <c r="C1564" s="79">
        <v>219</v>
      </c>
      <c r="D1564" s="80">
        <v>43330.093935185185</v>
      </c>
      <c r="E1564" s="81">
        <f t="shared" ca="1" si="12"/>
        <v>43313</v>
      </c>
      <c r="F1564" s="82">
        <f ca="1">IFERROR(__xludf.DUMMYFUNCTION("""COMPUTED_VALUE"""),0.0939351851851851)</f>
        <v>9.3935185185185094E-2</v>
      </c>
      <c r="G1564" s="83">
        <f t="shared" ca="1" si="13"/>
        <v>19</v>
      </c>
      <c r="H1564" s="83">
        <f ca="1">IFERROR(__xludf.DUMMYFUNCTION("""COMPUTED_VALUE"""),15)</f>
        <v>15</v>
      </c>
      <c r="I1564" s="83">
        <f ca="1">IFERROR(__xludf.DUMMYFUNCTION("""COMPUTED_VALUE"""),16)</f>
        <v>16</v>
      </c>
    </row>
    <row r="1565" spans="1:9">
      <c r="A1565" s="79">
        <v>224</v>
      </c>
      <c r="B1565" s="79">
        <v>5</v>
      </c>
      <c r="C1565" s="79">
        <v>229</v>
      </c>
      <c r="D1565" s="80">
        <v>43330.104351851849</v>
      </c>
      <c r="E1565" s="81">
        <f t="shared" ca="1" si="12"/>
        <v>43313</v>
      </c>
      <c r="F1565" s="82">
        <f ca="1">IFERROR(__xludf.DUMMYFUNCTION("""COMPUTED_VALUE"""),0.104351851851851)</f>
        <v>0.104351851851851</v>
      </c>
      <c r="G1565" s="83">
        <f t="shared" ca="1" si="13"/>
        <v>19</v>
      </c>
      <c r="H1565" s="83">
        <f ca="1">IFERROR(__xludf.DUMMYFUNCTION("""COMPUTED_VALUE"""),30)</f>
        <v>30</v>
      </c>
      <c r="I1565" s="83">
        <f ca="1">IFERROR(__xludf.DUMMYFUNCTION("""COMPUTED_VALUE"""),16)</f>
        <v>16</v>
      </c>
    </row>
    <row r="1566" spans="1:9">
      <c r="A1566" s="79">
        <v>202</v>
      </c>
      <c r="B1566" s="79">
        <v>3</v>
      </c>
      <c r="C1566" s="79">
        <v>205</v>
      </c>
      <c r="D1566" s="80">
        <v>43330.114768518521</v>
      </c>
      <c r="E1566" s="81">
        <f t="shared" ca="1" si="12"/>
        <v>43313</v>
      </c>
      <c r="F1566" s="82">
        <f ca="1">IFERROR(__xludf.DUMMYFUNCTION("""COMPUTED_VALUE"""),0.114768518518518)</f>
        <v>0.11476851851851801</v>
      </c>
      <c r="G1566" s="83">
        <f t="shared" ca="1" si="13"/>
        <v>19</v>
      </c>
      <c r="H1566" s="83">
        <f ca="1">IFERROR(__xludf.DUMMYFUNCTION("""COMPUTED_VALUE"""),45)</f>
        <v>45</v>
      </c>
      <c r="I1566" s="83">
        <f ca="1">IFERROR(__xludf.DUMMYFUNCTION("""COMPUTED_VALUE"""),16)</f>
        <v>16</v>
      </c>
    </row>
    <row r="1567" spans="1:9">
      <c r="A1567" s="79">
        <v>208</v>
      </c>
      <c r="B1567" s="79">
        <v>1</v>
      </c>
      <c r="C1567" s="79">
        <v>199</v>
      </c>
      <c r="D1567" s="80">
        <v>43330.125185185185</v>
      </c>
      <c r="E1567" s="81">
        <f t="shared" ca="1" si="12"/>
        <v>43313</v>
      </c>
      <c r="F1567" s="82">
        <f ca="1">IFERROR(__xludf.DUMMYFUNCTION("""COMPUTED_VALUE"""),0.125185185185185)</f>
        <v>0.12518518518518501</v>
      </c>
      <c r="G1567" s="83">
        <f t="shared" ca="1" si="13"/>
        <v>19</v>
      </c>
      <c r="H1567" s="83">
        <f ca="1">IFERROR(__xludf.DUMMYFUNCTION("""COMPUTED_VALUE"""),0)</f>
        <v>0</v>
      </c>
      <c r="I1567" s="83">
        <f ca="1">IFERROR(__xludf.DUMMYFUNCTION("""COMPUTED_VALUE"""),16)</f>
        <v>16</v>
      </c>
    </row>
    <row r="1568" spans="1:9">
      <c r="A1568" s="79">
        <v>166</v>
      </c>
      <c r="B1568" s="79">
        <v>1</v>
      </c>
      <c r="C1568" s="79">
        <v>167</v>
      </c>
      <c r="D1568" s="80">
        <v>43330.135613425926</v>
      </c>
      <c r="E1568" s="81">
        <f t="shared" ca="1" si="12"/>
        <v>43313</v>
      </c>
      <c r="F1568" s="82">
        <f ca="1">IFERROR(__xludf.DUMMYFUNCTION("""COMPUTED_VALUE"""),0.135613425925925)</f>
        <v>0.13561342592592501</v>
      </c>
      <c r="G1568" s="83">
        <f t="shared" ca="1" si="13"/>
        <v>19</v>
      </c>
      <c r="H1568" s="83">
        <f ca="1">IFERROR(__xludf.DUMMYFUNCTION("""COMPUTED_VALUE"""),15)</f>
        <v>15</v>
      </c>
      <c r="I1568" s="83">
        <f ca="1">IFERROR(__xludf.DUMMYFUNCTION("""COMPUTED_VALUE"""),17)</f>
        <v>17</v>
      </c>
    </row>
    <row r="1569" spans="1:9">
      <c r="A1569" s="79">
        <v>201</v>
      </c>
      <c r="B1569" s="79">
        <v>2</v>
      </c>
      <c r="C1569" s="79">
        <v>203</v>
      </c>
      <c r="D1569" s="80">
        <v>43330.146018518521</v>
      </c>
      <c r="E1569" s="81">
        <f t="shared" ca="1" si="12"/>
        <v>43313</v>
      </c>
      <c r="F1569" s="82">
        <f ca="1">IFERROR(__xludf.DUMMYFUNCTION("""COMPUTED_VALUE"""),0.146018518518518)</f>
        <v>0.14601851851851799</v>
      </c>
      <c r="G1569" s="83">
        <f t="shared" ca="1" si="13"/>
        <v>19</v>
      </c>
      <c r="H1569" s="83">
        <f ca="1">IFERROR(__xludf.DUMMYFUNCTION("""COMPUTED_VALUE"""),30)</f>
        <v>30</v>
      </c>
      <c r="I1569" s="83">
        <f ca="1">IFERROR(__xludf.DUMMYFUNCTION("""COMPUTED_VALUE"""),16)</f>
        <v>16</v>
      </c>
    </row>
    <row r="1570" spans="1:9">
      <c r="A1570" s="79">
        <v>159</v>
      </c>
      <c r="B1570" s="79">
        <v>0</v>
      </c>
      <c r="C1570" s="79">
        <v>159</v>
      </c>
      <c r="D1570" s="80">
        <v>43330.156446759262</v>
      </c>
      <c r="E1570" s="81">
        <f t="shared" ca="1" si="12"/>
        <v>43313</v>
      </c>
      <c r="F1570" s="82">
        <f ca="1">IFERROR(__xludf.DUMMYFUNCTION("""COMPUTED_VALUE"""),0.156446759259259)</f>
        <v>0.15644675925925899</v>
      </c>
      <c r="G1570" s="83">
        <f t="shared" ca="1" si="13"/>
        <v>19</v>
      </c>
      <c r="H1570" s="83">
        <f ca="1">IFERROR(__xludf.DUMMYFUNCTION("""COMPUTED_VALUE"""),45)</f>
        <v>45</v>
      </c>
      <c r="I1570" s="83">
        <f ca="1">IFERROR(__xludf.DUMMYFUNCTION("""COMPUTED_VALUE"""),17)</f>
        <v>17</v>
      </c>
    </row>
    <row r="1571" spans="1:9">
      <c r="A1571" s="79">
        <v>111</v>
      </c>
      <c r="B1571" s="79">
        <v>2</v>
      </c>
      <c r="C1571" s="79">
        <v>113</v>
      </c>
      <c r="D1571" s="80">
        <v>43330.166851851849</v>
      </c>
      <c r="E1571" s="81">
        <f t="shared" ca="1" si="12"/>
        <v>43313</v>
      </c>
      <c r="F1571" s="82">
        <f ca="1">IFERROR(__xludf.DUMMYFUNCTION("""COMPUTED_VALUE"""),0.166851851851851)</f>
        <v>0.166851851851851</v>
      </c>
      <c r="G1571" s="83">
        <f t="shared" ca="1" si="13"/>
        <v>19</v>
      </c>
      <c r="H1571" s="83">
        <f ca="1">IFERROR(__xludf.DUMMYFUNCTION("""COMPUTED_VALUE"""),0)</f>
        <v>0</v>
      </c>
      <c r="I1571" s="83">
        <f ca="1">IFERROR(__xludf.DUMMYFUNCTION("""COMPUTED_VALUE"""),16)</f>
        <v>16</v>
      </c>
    </row>
    <row r="1572" spans="1:9">
      <c r="A1572" s="79">
        <v>116</v>
      </c>
      <c r="B1572" s="79">
        <v>0</v>
      </c>
      <c r="C1572" s="79">
        <v>116</v>
      </c>
      <c r="D1572" s="80">
        <v>43330.17728009259</v>
      </c>
      <c r="E1572" s="81">
        <f t="shared" ca="1" si="12"/>
        <v>43313</v>
      </c>
      <c r="F1572" s="82">
        <f ca="1">IFERROR(__xludf.DUMMYFUNCTION("""COMPUTED_VALUE"""),0.177280092592592)</f>
        <v>0.177280092592592</v>
      </c>
      <c r="G1572" s="83">
        <f t="shared" ca="1" si="13"/>
        <v>19</v>
      </c>
      <c r="H1572" s="83">
        <f ca="1">IFERROR(__xludf.DUMMYFUNCTION("""COMPUTED_VALUE"""),15)</f>
        <v>15</v>
      </c>
      <c r="I1572" s="83">
        <f ca="1">IFERROR(__xludf.DUMMYFUNCTION("""COMPUTED_VALUE"""),17)</f>
        <v>17</v>
      </c>
    </row>
    <row r="1573" spans="1:9">
      <c r="A1573" s="79">
        <v>126</v>
      </c>
      <c r="B1573" s="79">
        <v>3</v>
      </c>
      <c r="C1573" s="79">
        <v>129</v>
      </c>
      <c r="D1573" s="80">
        <v>43330.187685185185</v>
      </c>
      <c r="E1573" s="81">
        <f t="shared" ca="1" si="12"/>
        <v>43313</v>
      </c>
      <c r="F1573" s="82">
        <f ca="1">IFERROR(__xludf.DUMMYFUNCTION("""COMPUTED_VALUE"""),0.187685185185185)</f>
        <v>0.18768518518518501</v>
      </c>
      <c r="G1573" s="83">
        <f t="shared" ca="1" si="13"/>
        <v>19</v>
      </c>
      <c r="H1573" s="83">
        <f ca="1">IFERROR(__xludf.DUMMYFUNCTION("""COMPUTED_VALUE"""),30)</f>
        <v>30</v>
      </c>
      <c r="I1573" s="83">
        <f ca="1">IFERROR(__xludf.DUMMYFUNCTION("""COMPUTED_VALUE"""),16)</f>
        <v>16</v>
      </c>
    </row>
    <row r="1574" spans="1:9">
      <c r="A1574" s="79">
        <v>128</v>
      </c>
      <c r="B1574" s="79">
        <v>0</v>
      </c>
      <c r="C1574" s="79">
        <v>128</v>
      </c>
      <c r="D1574" s="80">
        <v>43330.198101851849</v>
      </c>
      <c r="E1574" s="81">
        <f t="shared" ca="1" si="12"/>
        <v>43313</v>
      </c>
      <c r="F1574" s="82">
        <f ca="1">IFERROR(__xludf.DUMMYFUNCTION("""COMPUTED_VALUE"""),0.198101851851851)</f>
        <v>0.198101851851851</v>
      </c>
      <c r="G1574" s="83">
        <f t="shared" ca="1" si="13"/>
        <v>19</v>
      </c>
      <c r="H1574" s="83">
        <f ca="1">IFERROR(__xludf.DUMMYFUNCTION("""COMPUTED_VALUE"""),45)</f>
        <v>45</v>
      </c>
      <c r="I1574" s="83">
        <f ca="1">IFERROR(__xludf.DUMMYFUNCTION("""COMPUTED_VALUE"""),16)</f>
        <v>16</v>
      </c>
    </row>
    <row r="1575" spans="1:9">
      <c r="A1575" s="79">
        <v>113</v>
      </c>
      <c r="B1575" s="79">
        <v>0</v>
      </c>
      <c r="C1575" s="79">
        <v>113</v>
      </c>
      <c r="D1575" s="80">
        <v>43330.208518518521</v>
      </c>
      <c r="E1575" s="81">
        <f t="shared" ca="1" si="12"/>
        <v>43313</v>
      </c>
      <c r="F1575" s="82">
        <f ca="1">IFERROR(__xludf.DUMMYFUNCTION("""COMPUTED_VALUE"""),0.208518518518518)</f>
        <v>0.20851851851851799</v>
      </c>
      <c r="G1575" s="83">
        <f t="shared" ca="1" si="13"/>
        <v>19</v>
      </c>
      <c r="H1575" s="83">
        <f ca="1">IFERROR(__xludf.DUMMYFUNCTION("""COMPUTED_VALUE"""),0)</f>
        <v>0</v>
      </c>
      <c r="I1575" s="83">
        <f ca="1">IFERROR(__xludf.DUMMYFUNCTION("""COMPUTED_VALUE"""),16)</f>
        <v>16</v>
      </c>
    </row>
    <row r="1576" spans="1:9">
      <c r="A1576" s="79">
        <v>131</v>
      </c>
      <c r="B1576" s="79">
        <v>2</v>
      </c>
      <c r="C1576" s="79">
        <v>133</v>
      </c>
      <c r="D1576" s="80">
        <v>43330.218935185185</v>
      </c>
      <c r="E1576" s="81">
        <f t="shared" ca="1" si="12"/>
        <v>43313</v>
      </c>
      <c r="F1576" s="82">
        <f ca="1">IFERROR(__xludf.DUMMYFUNCTION("""COMPUTED_VALUE"""),0.218935185185185)</f>
        <v>0.21893518518518501</v>
      </c>
      <c r="G1576" s="83">
        <f t="shared" ca="1" si="13"/>
        <v>19</v>
      </c>
      <c r="H1576" s="83">
        <f ca="1">IFERROR(__xludf.DUMMYFUNCTION("""COMPUTED_VALUE"""),15)</f>
        <v>15</v>
      </c>
      <c r="I1576" s="83">
        <f ca="1">IFERROR(__xludf.DUMMYFUNCTION("""COMPUTED_VALUE"""),16)</f>
        <v>16</v>
      </c>
    </row>
    <row r="1577" spans="1:9">
      <c r="A1577" s="79">
        <v>138</v>
      </c>
      <c r="B1577" s="79">
        <v>1</v>
      </c>
      <c r="C1577" s="79">
        <v>139</v>
      </c>
      <c r="D1577" s="80">
        <v>43330.229351851849</v>
      </c>
      <c r="E1577" s="81">
        <f t="shared" ca="1" si="12"/>
        <v>43313</v>
      </c>
      <c r="F1577" s="82">
        <f ca="1">IFERROR(__xludf.DUMMYFUNCTION("""COMPUTED_VALUE"""),0.229351851851851)</f>
        <v>0.229351851851851</v>
      </c>
      <c r="G1577" s="83">
        <f t="shared" ca="1" si="13"/>
        <v>19</v>
      </c>
      <c r="H1577" s="83">
        <f ca="1">IFERROR(__xludf.DUMMYFUNCTION("""COMPUTED_VALUE"""),30)</f>
        <v>30</v>
      </c>
      <c r="I1577" s="83">
        <f ca="1">IFERROR(__xludf.DUMMYFUNCTION("""COMPUTED_VALUE"""),16)</f>
        <v>16</v>
      </c>
    </row>
    <row r="1578" spans="1:9">
      <c r="A1578" s="79">
        <v>121</v>
      </c>
      <c r="B1578" s="79">
        <v>1</v>
      </c>
      <c r="C1578" s="79">
        <v>122</v>
      </c>
      <c r="D1578" s="80">
        <v>43330.239768518521</v>
      </c>
      <c r="E1578" s="81">
        <f t="shared" ca="1" si="12"/>
        <v>43313</v>
      </c>
      <c r="F1578" s="82">
        <f ca="1">IFERROR(__xludf.DUMMYFUNCTION("""COMPUTED_VALUE"""),0.239768518518518)</f>
        <v>0.23976851851851799</v>
      </c>
      <c r="G1578" s="83">
        <f t="shared" ca="1" si="13"/>
        <v>19</v>
      </c>
      <c r="H1578" s="83">
        <f ca="1">IFERROR(__xludf.DUMMYFUNCTION("""COMPUTED_VALUE"""),45)</f>
        <v>45</v>
      </c>
      <c r="I1578" s="83">
        <f ca="1">IFERROR(__xludf.DUMMYFUNCTION("""COMPUTED_VALUE"""),16)</f>
        <v>16</v>
      </c>
    </row>
    <row r="1579" spans="1:9">
      <c r="A1579" s="79">
        <v>108</v>
      </c>
      <c r="B1579" s="79">
        <v>0</v>
      </c>
      <c r="C1579" s="79">
        <v>108</v>
      </c>
      <c r="D1579" s="80">
        <v>43330.250185185185</v>
      </c>
      <c r="E1579" s="81">
        <f t="shared" ca="1" si="12"/>
        <v>43313</v>
      </c>
      <c r="F1579" s="82">
        <f ca="1">IFERROR(__xludf.DUMMYFUNCTION("""COMPUTED_VALUE"""),0.250185185185185)</f>
        <v>0.25018518518518501</v>
      </c>
      <c r="G1579" s="83">
        <f t="shared" ca="1" si="13"/>
        <v>19</v>
      </c>
      <c r="H1579" s="83">
        <f ca="1">IFERROR(__xludf.DUMMYFUNCTION("""COMPUTED_VALUE"""),0)</f>
        <v>0</v>
      </c>
      <c r="I1579" s="83">
        <f ca="1">IFERROR(__xludf.DUMMYFUNCTION("""COMPUTED_VALUE"""),16)</f>
        <v>16</v>
      </c>
    </row>
    <row r="1580" spans="1:9">
      <c r="A1580" s="79">
        <v>131</v>
      </c>
      <c r="B1580" s="79">
        <v>0</v>
      </c>
      <c r="C1580" s="79">
        <v>131</v>
      </c>
      <c r="D1580" s="80">
        <v>43330.260601851849</v>
      </c>
      <c r="E1580" s="81">
        <f t="shared" ca="1" si="12"/>
        <v>43313</v>
      </c>
      <c r="F1580" s="82">
        <f ca="1">IFERROR(__xludf.DUMMYFUNCTION("""COMPUTED_VALUE"""),0.260601851851851)</f>
        <v>0.26060185185185097</v>
      </c>
      <c r="G1580" s="83">
        <f t="shared" ca="1" si="13"/>
        <v>19</v>
      </c>
      <c r="H1580" s="83">
        <f ca="1">IFERROR(__xludf.DUMMYFUNCTION("""COMPUTED_VALUE"""),15)</f>
        <v>15</v>
      </c>
      <c r="I1580" s="83">
        <f ca="1">IFERROR(__xludf.DUMMYFUNCTION("""COMPUTED_VALUE"""),16)</f>
        <v>16</v>
      </c>
    </row>
    <row r="1581" spans="1:9">
      <c r="A1581" s="79">
        <v>124</v>
      </c>
      <c r="B1581" s="79">
        <v>0</v>
      </c>
      <c r="C1581" s="79">
        <v>124</v>
      </c>
      <c r="D1581" s="80">
        <v>43330.273923611108</v>
      </c>
      <c r="E1581" s="81">
        <f t="shared" ca="1" si="12"/>
        <v>43313</v>
      </c>
      <c r="F1581" s="82">
        <f ca="1">IFERROR(__xludf.DUMMYFUNCTION("""COMPUTED_VALUE"""),0.273923611111111)</f>
        <v>0.27392361111111102</v>
      </c>
      <c r="G1581" s="83">
        <f t="shared" ca="1" si="13"/>
        <v>19</v>
      </c>
      <c r="H1581" s="83">
        <f ca="1">IFERROR(__xludf.DUMMYFUNCTION("""COMPUTED_VALUE"""),34)</f>
        <v>34</v>
      </c>
      <c r="I1581" s="83">
        <f ca="1">IFERROR(__xludf.DUMMYFUNCTION("""COMPUTED_VALUE"""),27)</f>
        <v>27</v>
      </c>
    </row>
    <row r="1582" spans="1:9">
      <c r="A1582" s="79">
        <v>107</v>
      </c>
      <c r="B1582" s="79">
        <v>0</v>
      </c>
      <c r="C1582" s="79">
        <v>107</v>
      </c>
      <c r="D1582" s="80">
        <v>43330.281435185185</v>
      </c>
      <c r="E1582" s="81">
        <f t="shared" ca="1" si="12"/>
        <v>43313</v>
      </c>
      <c r="F1582" s="82">
        <f ca="1">IFERROR(__xludf.DUMMYFUNCTION("""COMPUTED_VALUE"""),0.281435185185185)</f>
        <v>0.28143518518518501</v>
      </c>
      <c r="G1582" s="83">
        <f t="shared" ca="1" si="13"/>
        <v>19</v>
      </c>
      <c r="H1582" s="83">
        <f ca="1">IFERROR(__xludf.DUMMYFUNCTION("""COMPUTED_VALUE"""),45)</f>
        <v>45</v>
      </c>
      <c r="I1582" s="83">
        <f ca="1">IFERROR(__xludf.DUMMYFUNCTION("""COMPUTED_VALUE"""),16)</f>
        <v>16</v>
      </c>
    </row>
    <row r="1583" spans="1:9">
      <c r="A1583" s="79">
        <v>103</v>
      </c>
      <c r="B1583" s="79">
        <v>0</v>
      </c>
      <c r="C1583" s="79">
        <v>103</v>
      </c>
      <c r="D1583" s="80">
        <v>43330.291863425926</v>
      </c>
      <c r="E1583" s="81">
        <f t="shared" ca="1" si="12"/>
        <v>43313</v>
      </c>
      <c r="F1583" s="82">
        <f ca="1">IFERROR(__xludf.DUMMYFUNCTION("""COMPUTED_VALUE"""),0.291863425925925)</f>
        <v>0.29186342592592501</v>
      </c>
      <c r="G1583" s="83">
        <f t="shared" ca="1" si="13"/>
        <v>19</v>
      </c>
      <c r="H1583" s="83">
        <f ca="1">IFERROR(__xludf.DUMMYFUNCTION("""COMPUTED_VALUE"""),0)</f>
        <v>0</v>
      </c>
      <c r="I1583" s="83">
        <f ca="1">IFERROR(__xludf.DUMMYFUNCTION("""COMPUTED_VALUE"""),17)</f>
        <v>17</v>
      </c>
    </row>
    <row r="1584" spans="1:9">
      <c r="A1584" s="79">
        <v>90</v>
      </c>
      <c r="B1584" s="79">
        <v>1</v>
      </c>
      <c r="C1584" s="79">
        <v>91</v>
      </c>
      <c r="D1584" s="80">
        <v>43330.30228009259</v>
      </c>
      <c r="E1584" s="81">
        <f t="shared" ca="1" si="12"/>
        <v>43313</v>
      </c>
      <c r="F1584" s="82">
        <f ca="1">IFERROR(__xludf.DUMMYFUNCTION("""COMPUTED_VALUE"""),0.302280092592592)</f>
        <v>0.30228009259259198</v>
      </c>
      <c r="G1584" s="83">
        <f t="shared" ca="1" si="13"/>
        <v>19</v>
      </c>
      <c r="H1584" s="83">
        <f ca="1">IFERROR(__xludf.DUMMYFUNCTION("""COMPUTED_VALUE"""),15)</f>
        <v>15</v>
      </c>
      <c r="I1584" s="83">
        <f ca="1">IFERROR(__xludf.DUMMYFUNCTION("""COMPUTED_VALUE"""),17)</f>
        <v>17</v>
      </c>
    </row>
    <row r="1585" spans="1:9">
      <c r="A1585" s="79">
        <v>83</v>
      </c>
      <c r="B1585" s="79">
        <v>1</v>
      </c>
      <c r="C1585" s="79">
        <v>84</v>
      </c>
      <c r="D1585" s="80">
        <v>43330.312708333331</v>
      </c>
      <c r="E1585" s="81">
        <f t="shared" ca="1" si="12"/>
        <v>43313</v>
      </c>
      <c r="F1585" s="82">
        <f ca="1">IFERROR(__xludf.DUMMYFUNCTION("""COMPUTED_VALUE"""),0.312708333333333)</f>
        <v>0.31270833333333298</v>
      </c>
      <c r="G1585" s="83">
        <f t="shared" ca="1" si="13"/>
        <v>19</v>
      </c>
      <c r="H1585" s="83">
        <f ca="1">IFERROR(__xludf.DUMMYFUNCTION("""COMPUTED_VALUE"""),30)</f>
        <v>30</v>
      </c>
      <c r="I1585" s="83">
        <f ca="1">IFERROR(__xludf.DUMMYFUNCTION("""COMPUTED_VALUE"""),18)</f>
        <v>18</v>
      </c>
    </row>
    <row r="1586" spans="1:9">
      <c r="A1586" s="79">
        <v>102</v>
      </c>
      <c r="B1586" s="79">
        <v>1</v>
      </c>
      <c r="C1586" s="79">
        <v>103</v>
      </c>
      <c r="D1586" s="80">
        <v>43330.323125000003</v>
      </c>
      <c r="E1586" s="81">
        <f t="shared" ca="1" si="12"/>
        <v>43313</v>
      </c>
      <c r="F1586" s="82">
        <f ca="1">IFERROR(__xludf.DUMMYFUNCTION("""COMPUTED_VALUE"""),0.323125)</f>
        <v>0.323125</v>
      </c>
      <c r="G1586" s="83">
        <f t="shared" ca="1" si="13"/>
        <v>19</v>
      </c>
      <c r="H1586" s="83">
        <f ca="1">IFERROR(__xludf.DUMMYFUNCTION("""COMPUTED_VALUE"""),45)</f>
        <v>45</v>
      </c>
      <c r="I1586" s="83">
        <f ca="1">IFERROR(__xludf.DUMMYFUNCTION("""COMPUTED_VALUE"""),18)</f>
        <v>18</v>
      </c>
    </row>
    <row r="1587" spans="1:9">
      <c r="A1587" s="79">
        <v>87</v>
      </c>
      <c r="B1587" s="79">
        <v>0</v>
      </c>
      <c r="C1587" s="79">
        <v>85</v>
      </c>
      <c r="D1587" s="80">
        <v>43330.333541666667</v>
      </c>
      <c r="E1587" s="81">
        <f t="shared" ca="1" si="12"/>
        <v>43313</v>
      </c>
      <c r="F1587" s="82">
        <f ca="1">IFERROR(__xludf.DUMMYFUNCTION("""COMPUTED_VALUE"""),0.333541666666666)</f>
        <v>0.33354166666666601</v>
      </c>
      <c r="G1587" s="83">
        <f t="shared" ca="1" si="13"/>
        <v>19</v>
      </c>
      <c r="H1587" s="83">
        <f ca="1">IFERROR(__xludf.DUMMYFUNCTION("""COMPUTED_VALUE"""),0)</f>
        <v>0</v>
      </c>
      <c r="I1587" s="83">
        <f ca="1">IFERROR(__xludf.DUMMYFUNCTION("""COMPUTED_VALUE"""),18)</f>
        <v>18</v>
      </c>
    </row>
    <row r="1588" spans="1:9">
      <c r="A1588" s="79">
        <v>108</v>
      </c>
      <c r="B1588" s="79">
        <v>0</v>
      </c>
      <c r="C1588" s="79">
        <v>104</v>
      </c>
      <c r="D1588" s="80">
        <v>43330.343946759262</v>
      </c>
      <c r="E1588" s="81">
        <f t="shared" ca="1" si="12"/>
        <v>43313</v>
      </c>
      <c r="F1588" s="82">
        <f ca="1">IFERROR(__xludf.DUMMYFUNCTION("""COMPUTED_VALUE"""),0.343946759259259)</f>
        <v>0.34394675925925899</v>
      </c>
      <c r="G1588" s="83">
        <f t="shared" ca="1" si="13"/>
        <v>19</v>
      </c>
      <c r="H1588" s="83">
        <f ca="1">IFERROR(__xludf.DUMMYFUNCTION("""COMPUTED_VALUE"""),15)</f>
        <v>15</v>
      </c>
      <c r="I1588" s="83">
        <f ca="1">IFERROR(__xludf.DUMMYFUNCTION("""COMPUTED_VALUE"""),17)</f>
        <v>17</v>
      </c>
    </row>
    <row r="1589" spans="1:9">
      <c r="A1589" s="79">
        <v>113</v>
      </c>
      <c r="B1589" s="79">
        <v>1</v>
      </c>
      <c r="C1589" s="79">
        <v>114</v>
      </c>
      <c r="D1589" s="80">
        <v>43330.354363425926</v>
      </c>
      <c r="E1589" s="81">
        <f t="shared" ca="1" si="12"/>
        <v>43313</v>
      </c>
      <c r="F1589" s="82">
        <f ca="1">IFERROR(__xludf.DUMMYFUNCTION("""COMPUTED_VALUE"""),0.354363425925925)</f>
        <v>0.35436342592592501</v>
      </c>
      <c r="G1589" s="83">
        <f t="shared" ca="1" si="13"/>
        <v>19</v>
      </c>
      <c r="H1589" s="83">
        <f ca="1">IFERROR(__xludf.DUMMYFUNCTION("""COMPUTED_VALUE"""),30)</f>
        <v>30</v>
      </c>
      <c r="I1589" s="83">
        <f ca="1">IFERROR(__xludf.DUMMYFUNCTION("""COMPUTED_VALUE"""),17)</f>
        <v>17</v>
      </c>
    </row>
    <row r="1590" spans="1:9">
      <c r="A1590" s="79">
        <v>115</v>
      </c>
      <c r="B1590" s="79">
        <v>0</v>
      </c>
      <c r="C1590" s="79">
        <v>115</v>
      </c>
      <c r="D1590" s="80">
        <v>43330.364791666667</v>
      </c>
      <c r="E1590" s="81">
        <f t="shared" ca="1" si="12"/>
        <v>43313</v>
      </c>
      <c r="F1590" s="82">
        <f ca="1">IFERROR(__xludf.DUMMYFUNCTION("""COMPUTED_VALUE"""),0.364791666666666)</f>
        <v>0.36479166666666601</v>
      </c>
      <c r="G1590" s="83">
        <f t="shared" ca="1" si="13"/>
        <v>19</v>
      </c>
      <c r="H1590" s="83">
        <f ca="1">IFERROR(__xludf.DUMMYFUNCTION("""COMPUTED_VALUE"""),45)</f>
        <v>45</v>
      </c>
      <c r="I1590" s="83">
        <f ca="1">IFERROR(__xludf.DUMMYFUNCTION("""COMPUTED_VALUE"""),18)</f>
        <v>18</v>
      </c>
    </row>
    <row r="1591" spans="1:9">
      <c r="A1591" s="79">
        <v>91</v>
      </c>
      <c r="B1591" s="79">
        <v>0</v>
      </c>
      <c r="C1591" s="79">
        <v>91</v>
      </c>
      <c r="D1591" s="80">
        <v>43330.375196759262</v>
      </c>
      <c r="E1591" s="81">
        <f t="shared" ca="1" si="12"/>
        <v>43313</v>
      </c>
      <c r="F1591" s="82">
        <f ca="1">IFERROR(__xludf.DUMMYFUNCTION("""COMPUTED_VALUE"""),0.375196759259259)</f>
        <v>0.37519675925925899</v>
      </c>
      <c r="G1591" s="83">
        <f t="shared" ca="1" si="13"/>
        <v>19</v>
      </c>
      <c r="H1591" s="83">
        <f ca="1">IFERROR(__xludf.DUMMYFUNCTION("""COMPUTED_VALUE"""),0)</f>
        <v>0</v>
      </c>
      <c r="I1591" s="83">
        <f ca="1">IFERROR(__xludf.DUMMYFUNCTION("""COMPUTED_VALUE"""),17)</f>
        <v>17</v>
      </c>
    </row>
    <row r="1592" spans="1:9">
      <c r="A1592" s="79">
        <v>103</v>
      </c>
      <c r="B1592" s="79">
        <v>0</v>
      </c>
      <c r="C1592" s="79">
        <v>103</v>
      </c>
      <c r="D1592" s="80">
        <v>43330.385625000003</v>
      </c>
      <c r="E1592" s="81">
        <f t="shared" ca="1" si="12"/>
        <v>43313</v>
      </c>
      <c r="F1592" s="82">
        <f ca="1">IFERROR(__xludf.DUMMYFUNCTION("""COMPUTED_VALUE"""),0.385625)</f>
        <v>0.385625</v>
      </c>
      <c r="G1592" s="83">
        <f t="shared" ca="1" si="13"/>
        <v>19</v>
      </c>
      <c r="H1592" s="83">
        <f ca="1">IFERROR(__xludf.DUMMYFUNCTION("""COMPUTED_VALUE"""),15)</f>
        <v>15</v>
      </c>
      <c r="I1592" s="83">
        <f ca="1">IFERROR(__xludf.DUMMYFUNCTION("""COMPUTED_VALUE"""),18)</f>
        <v>18</v>
      </c>
    </row>
    <row r="1593" spans="1:9">
      <c r="A1593" s="79">
        <v>115</v>
      </c>
      <c r="B1593" s="79">
        <v>0</v>
      </c>
      <c r="C1593" s="79">
        <v>115</v>
      </c>
      <c r="D1593" s="80">
        <v>43330.39603009259</v>
      </c>
      <c r="E1593" s="81">
        <f t="shared" ca="1" si="12"/>
        <v>43313</v>
      </c>
      <c r="F1593" s="82">
        <f ca="1">IFERROR(__xludf.DUMMYFUNCTION("""COMPUTED_VALUE"""),0.396030092592592)</f>
        <v>0.39603009259259198</v>
      </c>
      <c r="G1593" s="83">
        <f t="shared" ca="1" si="13"/>
        <v>19</v>
      </c>
      <c r="H1593" s="83">
        <f ca="1">IFERROR(__xludf.DUMMYFUNCTION("""COMPUTED_VALUE"""),30)</f>
        <v>30</v>
      </c>
      <c r="I1593" s="83">
        <f ca="1">IFERROR(__xludf.DUMMYFUNCTION("""COMPUTED_VALUE"""),17)</f>
        <v>17</v>
      </c>
    </row>
    <row r="1594" spans="1:9">
      <c r="A1594" s="79">
        <v>147</v>
      </c>
      <c r="B1594" s="79">
        <v>0</v>
      </c>
      <c r="C1594" s="79">
        <v>147</v>
      </c>
      <c r="D1594" s="80">
        <v>43330.406458333331</v>
      </c>
      <c r="E1594" s="81">
        <f t="shared" ca="1" si="12"/>
        <v>43313</v>
      </c>
      <c r="F1594" s="82">
        <f ca="1">IFERROR(__xludf.DUMMYFUNCTION("""COMPUTED_VALUE"""),0.406458333333333)</f>
        <v>0.40645833333333298</v>
      </c>
      <c r="G1594" s="83">
        <f t="shared" ca="1" si="13"/>
        <v>19</v>
      </c>
      <c r="H1594" s="83">
        <f ca="1">IFERROR(__xludf.DUMMYFUNCTION("""COMPUTED_VALUE"""),45)</f>
        <v>45</v>
      </c>
      <c r="I1594" s="83">
        <f ca="1">IFERROR(__xludf.DUMMYFUNCTION("""COMPUTED_VALUE"""),18)</f>
        <v>18</v>
      </c>
    </row>
    <row r="1595" spans="1:9">
      <c r="A1595" s="79">
        <v>107</v>
      </c>
      <c r="B1595" s="79">
        <v>0</v>
      </c>
      <c r="C1595" s="79">
        <v>107</v>
      </c>
      <c r="D1595" s="80">
        <v>43330.416863425926</v>
      </c>
      <c r="E1595" s="81">
        <f t="shared" ca="1" si="12"/>
        <v>43313</v>
      </c>
      <c r="F1595" s="82">
        <f ca="1">IFERROR(__xludf.DUMMYFUNCTION("""COMPUTED_VALUE"""),0.416863425925925)</f>
        <v>0.41686342592592501</v>
      </c>
      <c r="G1595" s="83">
        <f t="shared" ca="1" si="13"/>
        <v>19</v>
      </c>
      <c r="H1595" s="83">
        <f ca="1">IFERROR(__xludf.DUMMYFUNCTION("""COMPUTED_VALUE"""),0)</f>
        <v>0</v>
      </c>
      <c r="I1595" s="83">
        <f ca="1">IFERROR(__xludf.DUMMYFUNCTION("""COMPUTED_VALUE"""),17)</f>
        <v>17</v>
      </c>
    </row>
    <row r="1596" spans="1:9">
      <c r="A1596" s="79">
        <v>121</v>
      </c>
      <c r="B1596" s="79">
        <v>1</v>
      </c>
      <c r="C1596" s="79">
        <v>122</v>
      </c>
      <c r="D1596" s="80">
        <v>43330.42728009259</v>
      </c>
      <c r="E1596" s="81">
        <f t="shared" ca="1" si="12"/>
        <v>43313</v>
      </c>
      <c r="F1596" s="82">
        <f ca="1">IFERROR(__xludf.DUMMYFUNCTION("""COMPUTED_VALUE"""),0.427280092592592)</f>
        <v>0.42728009259259198</v>
      </c>
      <c r="G1596" s="83">
        <f t="shared" ca="1" si="13"/>
        <v>19</v>
      </c>
      <c r="H1596" s="83">
        <f ca="1">IFERROR(__xludf.DUMMYFUNCTION("""COMPUTED_VALUE"""),15)</f>
        <v>15</v>
      </c>
      <c r="I1596" s="83">
        <f ca="1">IFERROR(__xludf.DUMMYFUNCTION("""COMPUTED_VALUE"""),17)</f>
        <v>17</v>
      </c>
    </row>
    <row r="1597" spans="1:9">
      <c r="A1597" s="79">
        <v>139</v>
      </c>
      <c r="B1597" s="79">
        <v>2</v>
      </c>
      <c r="C1597" s="79">
        <v>141</v>
      </c>
      <c r="D1597" s="80">
        <v>43330.437696759262</v>
      </c>
      <c r="E1597" s="81">
        <f t="shared" ca="1" si="12"/>
        <v>43313</v>
      </c>
      <c r="F1597" s="82">
        <f ca="1">IFERROR(__xludf.DUMMYFUNCTION("""COMPUTED_VALUE"""),0.437696759259259)</f>
        <v>0.43769675925925899</v>
      </c>
      <c r="G1597" s="83">
        <f t="shared" ca="1" si="13"/>
        <v>19</v>
      </c>
      <c r="H1597" s="83">
        <f ca="1">IFERROR(__xludf.DUMMYFUNCTION("""COMPUTED_VALUE"""),30)</f>
        <v>30</v>
      </c>
      <c r="I1597" s="83">
        <f ca="1">IFERROR(__xludf.DUMMYFUNCTION("""COMPUTED_VALUE"""),17)</f>
        <v>17</v>
      </c>
    </row>
    <row r="1598" spans="1:9">
      <c r="A1598" s="79">
        <v>160</v>
      </c>
      <c r="B1598" s="79">
        <v>2</v>
      </c>
      <c r="C1598" s="79">
        <v>162</v>
      </c>
      <c r="D1598" s="80">
        <v>43330.448113425926</v>
      </c>
      <c r="E1598" s="81">
        <f t="shared" ca="1" si="12"/>
        <v>43313</v>
      </c>
      <c r="F1598" s="82">
        <f ca="1">IFERROR(__xludf.DUMMYFUNCTION("""COMPUTED_VALUE"""),0.448113425925925)</f>
        <v>0.44811342592592501</v>
      </c>
      <c r="G1598" s="83">
        <f t="shared" ca="1" si="13"/>
        <v>19</v>
      </c>
      <c r="H1598" s="83">
        <f ca="1">IFERROR(__xludf.DUMMYFUNCTION("""COMPUTED_VALUE"""),45)</f>
        <v>45</v>
      </c>
      <c r="I1598" s="83">
        <f ca="1">IFERROR(__xludf.DUMMYFUNCTION("""COMPUTED_VALUE"""),17)</f>
        <v>17</v>
      </c>
    </row>
    <row r="1599" spans="1:9">
      <c r="A1599" s="79">
        <v>148</v>
      </c>
      <c r="B1599" s="79">
        <v>0</v>
      </c>
      <c r="C1599" s="79">
        <v>148</v>
      </c>
      <c r="D1599" s="80">
        <v>43330.458541666667</v>
      </c>
      <c r="E1599" s="81">
        <f t="shared" ca="1" si="12"/>
        <v>43313</v>
      </c>
      <c r="F1599" s="82">
        <f ca="1">IFERROR(__xludf.DUMMYFUNCTION("""COMPUTED_VALUE"""),0.458541666666666)</f>
        <v>0.45854166666666601</v>
      </c>
      <c r="G1599" s="83">
        <f t="shared" ca="1" si="13"/>
        <v>19</v>
      </c>
      <c r="H1599" s="83">
        <f ca="1">IFERROR(__xludf.DUMMYFUNCTION("""COMPUTED_VALUE"""),0)</f>
        <v>0</v>
      </c>
      <c r="I1599" s="83">
        <f ca="1">IFERROR(__xludf.DUMMYFUNCTION("""COMPUTED_VALUE"""),18)</f>
        <v>18</v>
      </c>
    </row>
    <row r="1600" spans="1:9">
      <c r="A1600" s="79">
        <v>177</v>
      </c>
      <c r="B1600" s="79">
        <v>1</v>
      </c>
      <c r="C1600" s="79">
        <v>178</v>
      </c>
      <c r="D1600" s="80">
        <v>43330.468946759262</v>
      </c>
      <c r="E1600" s="81">
        <f t="shared" ca="1" si="12"/>
        <v>43313</v>
      </c>
      <c r="F1600" s="82">
        <f ca="1">IFERROR(__xludf.DUMMYFUNCTION("""COMPUTED_VALUE"""),0.468946759259259)</f>
        <v>0.46894675925925899</v>
      </c>
      <c r="G1600" s="83">
        <f t="shared" ca="1" si="13"/>
        <v>19</v>
      </c>
      <c r="H1600" s="83">
        <f ca="1">IFERROR(__xludf.DUMMYFUNCTION("""COMPUTED_VALUE"""),15)</f>
        <v>15</v>
      </c>
      <c r="I1600" s="83">
        <f ca="1">IFERROR(__xludf.DUMMYFUNCTION("""COMPUTED_VALUE"""),17)</f>
        <v>17</v>
      </c>
    </row>
    <row r="1601" spans="1:9">
      <c r="A1601" s="79">
        <v>196</v>
      </c>
      <c r="B1601" s="79">
        <v>123</v>
      </c>
      <c r="C1601" s="79">
        <v>73</v>
      </c>
      <c r="D1601" s="80">
        <v>43330.479386574072</v>
      </c>
      <c r="E1601" s="81">
        <f t="shared" ca="1" si="12"/>
        <v>43313</v>
      </c>
      <c r="F1601" s="82">
        <f ca="1">IFERROR(__xludf.DUMMYFUNCTION("""COMPUTED_VALUE"""),0.479386574074074)</f>
        <v>0.47938657407407398</v>
      </c>
      <c r="G1601" s="83">
        <f t="shared" ca="1" si="13"/>
        <v>19</v>
      </c>
      <c r="H1601" s="83">
        <f ca="1">IFERROR(__xludf.DUMMYFUNCTION("""COMPUTED_VALUE"""),30)</f>
        <v>30</v>
      </c>
      <c r="I1601" s="83">
        <f ca="1">IFERROR(__xludf.DUMMYFUNCTION("""COMPUTED_VALUE"""),19)</f>
        <v>19</v>
      </c>
    </row>
    <row r="1602" spans="1:9">
      <c r="A1602" s="79">
        <v>256</v>
      </c>
      <c r="B1602" s="79">
        <v>126</v>
      </c>
      <c r="C1602" s="79">
        <v>130</v>
      </c>
      <c r="D1602" s="80">
        <v>43330.48978009259</v>
      </c>
      <c r="E1602" s="81">
        <f t="shared" ca="1" si="12"/>
        <v>43313</v>
      </c>
      <c r="F1602" s="82">
        <f ca="1">IFERROR(__xludf.DUMMYFUNCTION("""COMPUTED_VALUE"""),0.489780092592592)</f>
        <v>0.48978009259259198</v>
      </c>
      <c r="G1602" s="83">
        <f t="shared" ca="1" si="13"/>
        <v>19</v>
      </c>
      <c r="H1602" s="83">
        <f ca="1">IFERROR(__xludf.DUMMYFUNCTION("""COMPUTED_VALUE"""),45)</f>
        <v>45</v>
      </c>
      <c r="I1602" s="83">
        <f ca="1">IFERROR(__xludf.DUMMYFUNCTION("""COMPUTED_VALUE"""),17)</f>
        <v>17</v>
      </c>
    </row>
    <row r="1603" spans="1:9">
      <c r="A1603" s="79">
        <v>231</v>
      </c>
      <c r="B1603" s="79">
        <v>136</v>
      </c>
      <c r="C1603" s="79">
        <v>95</v>
      </c>
      <c r="D1603" s="80">
        <v>43330.500219907408</v>
      </c>
      <c r="E1603" s="81">
        <f t="shared" ca="1" si="12"/>
        <v>43313</v>
      </c>
      <c r="F1603" s="82">
        <f ca="1">IFERROR(__xludf.DUMMYFUNCTION("""COMPUTED_VALUE"""),0.500219907407407)</f>
        <v>0.50021990740740696</v>
      </c>
      <c r="G1603" s="83">
        <f t="shared" ca="1" si="13"/>
        <v>19</v>
      </c>
      <c r="H1603" s="83">
        <f ca="1">IFERROR(__xludf.DUMMYFUNCTION("""COMPUTED_VALUE"""),0)</f>
        <v>0</v>
      </c>
      <c r="I1603" s="83">
        <f ca="1">IFERROR(__xludf.DUMMYFUNCTION("""COMPUTED_VALUE"""),19)</f>
        <v>19</v>
      </c>
    </row>
    <row r="1604" spans="1:9">
      <c r="A1604" s="79">
        <v>213</v>
      </c>
      <c r="B1604" s="79">
        <v>131</v>
      </c>
      <c r="C1604" s="79">
        <v>82</v>
      </c>
      <c r="D1604" s="80">
        <v>43330.510613425926</v>
      </c>
      <c r="E1604" s="81">
        <f t="shared" ca="1" si="12"/>
        <v>43313</v>
      </c>
      <c r="F1604" s="82">
        <f ca="1">IFERROR(__xludf.DUMMYFUNCTION("""COMPUTED_VALUE"""),0.510613425925926)</f>
        <v>0.51061342592592596</v>
      </c>
      <c r="G1604" s="83">
        <f t="shared" ca="1" si="13"/>
        <v>19</v>
      </c>
      <c r="H1604" s="83">
        <f ca="1">IFERROR(__xludf.DUMMYFUNCTION("""COMPUTED_VALUE"""),15)</f>
        <v>15</v>
      </c>
      <c r="I1604" s="83">
        <f ca="1">IFERROR(__xludf.DUMMYFUNCTION("""COMPUTED_VALUE"""),17)</f>
        <v>17</v>
      </c>
    </row>
    <row r="1605" spans="1:9">
      <c r="A1605" s="79">
        <v>234</v>
      </c>
      <c r="B1605" s="79">
        <v>112</v>
      </c>
      <c r="C1605" s="79">
        <v>122</v>
      </c>
      <c r="D1605" s="80">
        <v>43330.52103009259</v>
      </c>
      <c r="E1605" s="81">
        <f t="shared" ca="1" si="12"/>
        <v>43313</v>
      </c>
      <c r="F1605" s="82">
        <f ca="1">IFERROR(__xludf.DUMMYFUNCTION("""COMPUTED_VALUE"""),0.521030092592592)</f>
        <v>0.52103009259259203</v>
      </c>
      <c r="G1605" s="83">
        <f t="shared" ca="1" si="13"/>
        <v>19</v>
      </c>
      <c r="H1605" s="83">
        <f ca="1">IFERROR(__xludf.DUMMYFUNCTION("""COMPUTED_VALUE"""),30)</f>
        <v>30</v>
      </c>
      <c r="I1605" s="83">
        <f ca="1">IFERROR(__xludf.DUMMYFUNCTION("""COMPUTED_VALUE"""),17)</f>
        <v>17</v>
      </c>
    </row>
    <row r="1606" spans="1:9">
      <c r="A1606" s="79">
        <v>270</v>
      </c>
      <c r="B1606" s="79">
        <v>117</v>
      </c>
      <c r="C1606" s="79">
        <v>153</v>
      </c>
      <c r="D1606" s="80">
        <v>43330.531446759262</v>
      </c>
      <c r="E1606" s="81">
        <f t="shared" ca="1" si="12"/>
        <v>43313</v>
      </c>
      <c r="F1606" s="82">
        <f ca="1">IFERROR(__xludf.DUMMYFUNCTION("""COMPUTED_VALUE"""),0.531446759259259)</f>
        <v>0.53144675925925899</v>
      </c>
      <c r="G1606" s="83">
        <f t="shared" ca="1" si="13"/>
        <v>19</v>
      </c>
      <c r="H1606" s="83">
        <f ca="1">IFERROR(__xludf.DUMMYFUNCTION("""COMPUTED_VALUE"""),45)</f>
        <v>45</v>
      </c>
      <c r="I1606" s="83">
        <f ca="1">IFERROR(__xludf.DUMMYFUNCTION("""COMPUTED_VALUE"""),17)</f>
        <v>17</v>
      </c>
    </row>
    <row r="1607" spans="1:9">
      <c r="A1607" s="79">
        <v>248</v>
      </c>
      <c r="B1607" s="79">
        <v>123</v>
      </c>
      <c r="C1607" s="79">
        <v>125</v>
      </c>
      <c r="D1607" s="80">
        <v>43330.541851851849</v>
      </c>
      <c r="E1607" s="81">
        <f t="shared" ca="1" si="12"/>
        <v>43313</v>
      </c>
      <c r="F1607" s="82">
        <f ca="1">IFERROR(__xludf.DUMMYFUNCTION("""COMPUTED_VALUE"""),0.541851851851851)</f>
        <v>0.54185185185185103</v>
      </c>
      <c r="G1607" s="83">
        <f t="shared" ca="1" si="13"/>
        <v>19</v>
      </c>
      <c r="H1607" s="83">
        <f ca="1">IFERROR(__xludf.DUMMYFUNCTION("""COMPUTED_VALUE"""),0)</f>
        <v>0</v>
      </c>
      <c r="I1607" s="83">
        <f ca="1">IFERROR(__xludf.DUMMYFUNCTION("""COMPUTED_VALUE"""),16)</f>
        <v>16</v>
      </c>
    </row>
    <row r="1608" spans="1:9">
      <c r="A1608" s="79">
        <v>263</v>
      </c>
      <c r="B1608" s="79">
        <v>134</v>
      </c>
      <c r="C1608" s="79">
        <v>129</v>
      </c>
      <c r="D1608" s="80">
        <v>43330.55228009259</v>
      </c>
      <c r="E1608" s="81">
        <f t="shared" ca="1" si="12"/>
        <v>43313</v>
      </c>
      <c r="F1608" s="82">
        <f ca="1">IFERROR(__xludf.DUMMYFUNCTION("""COMPUTED_VALUE"""),0.552280092592592)</f>
        <v>0.55228009259259203</v>
      </c>
      <c r="G1608" s="83">
        <f t="shared" ca="1" si="13"/>
        <v>19</v>
      </c>
      <c r="H1608" s="83">
        <f ca="1">IFERROR(__xludf.DUMMYFUNCTION("""COMPUTED_VALUE"""),15)</f>
        <v>15</v>
      </c>
      <c r="I1608" s="83">
        <f ca="1">IFERROR(__xludf.DUMMYFUNCTION("""COMPUTED_VALUE"""),17)</f>
        <v>17</v>
      </c>
    </row>
    <row r="1609" spans="1:9">
      <c r="A1609" s="79">
        <v>282</v>
      </c>
      <c r="B1609" s="79">
        <v>122</v>
      </c>
      <c r="C1609" s="79">
        <v>160</v>
      </c>
      <c r="D1609" s="80">
        <v>43330.562696759262</v>
      </c>
      <c r="E1609" s="81">
        <f t="shared" ca="1" si="12"/>
        <v>43313</v>
      </c>
      <c r="F1609" s="82">
        <f ca="1">IFERROR(__xludf.DUMMYFUNCTION("""COMPUTED_VALUE"""),0.562696759259259)</f>
        <v>0.56269675925925899</v>
      </c>
      <c r="G1609" s="83">
        <f t="shared" ca="1" si="13"/>
        <v>19</v>
      </c>
      <c r="H1609" s="83">
        <f ca="1">IFERROR(__xludf.DUMMYFUNCTION("""COMPUTED_VALUE"""),30)</f>
        <v>30</v>
      </c>
      <c r="I1609" s="83">
        <f ca="1">IFERROR(__xludf.DUMMYFUNCTION("""COMPUTED_VALUE"""),17)</f>
        <v>17</v>
      </c>
    </row>
    <row r="1610" spans="1:9">
      <c r="A1610" s="79">
        <v>327</v>
      </c>
      <c r="B1610" s="79">
        <v>117</v>
      </c>
      <c r="C1610" s="79">
        <v>210</v>
      </c>
      <c r="D1610" s="80">
        <v>43330.573113425926</v>
      </c>
      <c r="E1610" s="81">
        <f t="shared" ca="1" si="12"/>
        <v>43313</v>
      </c>
      <c r="F1610" s="82">
        <f ca="1">IFERROR(__xludf.DUMMYFUNCTION("""COMPUTED_VALUE"""),0.573113425925926)</f>
        <v>0.57311342592592596</v>
      </c>
      <c r="G1610" s="83">
        <f t="shared" ca="1" si="13"/>
        <v>19</v>
      </c>
      <c r="H1610" s="83">
        <f ca="1">IFERROR(__xludf.DUMMYFUNCTION("""COMPUTED_VALUE"""),45)</f>
        <v>45</v>
      </c>
      <c r="I1610" s="83">
        <f ca="1">IFERROR(__xludf.DUMMYFUNCTION("""COMPUTED_VALUE"""),17)</f>
        <v>17</v>
      </c>
    </row>
    <row r="1611" spans="1:9">
      <c r="A1611" s="79">
        <v>285</v>
      </c>
      <c r="B1611" s="79">
        <v>117</v>
      </c>
      <c r="C1611" s="79">
        <v>168</v>
      </c>
      <c r="D1611" s="80">
        <v>43330.58353009259</v>
      </c>
      <c r="E1611" s="81">
        <f t="shared" ca="1" si="12"/>
        <v>43313</v>
      </c>
      <c r="F1611" s="82">
        <f ca="1">IFERROR(__xludf.DUMMYFUNCTION("""COMPUTED_VALUE"""),0.583530092592592)</f>
        <v>0.58353009259259203</v>
      </c>
      <c r="G1611" s="83">
        <f t="shared" ca="1" si="13"/>
        <v>19</v>
      </c>
      <c r="H1611" s="83">
        <f ca="1">IFERROR(__xludf.DUMMYFUNCTION("""COMPUTED_VALUE"""),0)</f>
        <v>0</v>
      </c>
      <c r="I1611" s="83">
        <f ca="1">IFERROR(__xludf.DUMMYFUNCTION("""COMPUTED_VALUE"""),17)</f>
        <v>17</v>
      </c>
    </row>
    <row r="1612" spans="1:9">
      <c r="A1612" s="79">
        <v>317</v>
      </c>
      <c r="B1612" s="79">
        <v>134</v>
      </c>
      <c r="C1612" s="79">
        <v>183</v>
      </c>
      <c r="D1612" s="80">
        <v>43330.593946759262</v>
      </c>
      <c r="E1612" s="81">
        <f t="shared" ca="1" si="12"/>
        <v>43313</v>
      </c>
      <c r="F1612" s="82">
        <f ca="1">IFERROR(__xludf.DUMMYFUNCTION("""COMPUTED_VALUE"""),0.593946759259259)</f>
        <v>0.59394675925925899</v>
      </c>
      <c r="G1612" s="83">
        <f t="shared" ca="1" si="13"/>
        <v>19</v>
      </c>
      <c r="H1612" s="83">
        <f ca="1">IFERROR(__xludf.DUMMYFUNCTION("""COMPUTED_VALUE"""),15)</f>
        <v>15</v>
      </c>
      <c r="I1612" s="83">
        <f ca="1">IFERROR(__xludf.DUMMYFUNCTION("""COMPUTED_VALUE"""),17)</f>
        <v>17</v>
      </c>
    </row>
    <row r="1613" spans="1:9">
      <c r="A1613" s="79">
        <v>357</v>
      </c>
      <c r="B1613" s="79">
        <v>142</v>
      </c>
      <c r="C1613" s="79">
        <v>213</v>
      </c>
      <c r="D1613" s="80">
        <v>43330.604351851849</v>
      </c>
      <c r="E1613" s="81">
        <f t="shared" ca="1" si="12"/>
        <v>43313</v>
      </c>
      <c r="F1613" s="82">
        <f ca="1">IFERROR(__xludf.DUMMYFUNCTION("""COMPUTED_VALUE"""),0.604351851851851)</f>
        <v>0.60435185185185103</v>
      </c>
      <c r="G1613" s="83">
        <f t="shared" ca="1" si="13"/>
        <v>19</v>
      </c>
      <c r="H1613" s="83">
        <f ca="1">IFERROR(__xludf.DUMMYFUNCTION("""COMPUTED_VALUE"""),30)</f>
        <v>30</v>
      </c>
      <c r="I1613" s="83">
        <f ca="1">IFERROR(__xludf.DUMMYFUNCTION("""COMPUTED_VALUE"""),16)</f>
        <v>16</v>
      </c>
    </row>
    <row r="1614" spans="1:9">
      <c r="A1614" s="79">
        <v>331</v>
      </c>
      <c r="B1614" s="79">
        <v>135</v>
      </c>
      <c r="C1614" s="79">
        <v>196</v>
      </c>
      <c r="D1614" s="80">
        <v>43330.61478009259</v>
      </c>
      <c r="E1614" s="81">
        <f t="shared" ca="1" si="12"/>
        <v>43313</v>
      </c>
      <c r="F1614" s="82">
        <f ca="1">IFERROR(__xludf.DUMMYFUNCTION("""COMPUTED_VALUE"""),0.614780092592592)</f>
        <v>0.61478009259259203</v>
      </c>
      <c r="G1614" s="83">
        <f t="shared" ca="1" si="13"/>
        <v>19</v>
      </c>
      <c r="H1614" s="83">
        <f ca="1">IFERROR(__xludf.DUMMYFUNCTION("""COMPUTED_VALUE"""),45)</f>
        <v>45</v>
      </c>
      <c r="I1614" s="83">
        <f ca="1">IFERROR(__xludf.DUMMYFUNCTION("""COMPUTED_VALUE"""),17)</f>
        <v>17</v>
      </c>
    </row>
    <row r="1615" spans="1:9">
      <c r="A1615" s="79">
        <v>334</v>
      </c>
      <c r="B1615" s="79">
        <v>135</v>
      </c>
      <c r="C1615" s="79">
        <v>199</v>
      </c>
      <c r="D1615" s="80">
        <v>43330.625196759262</v>
      </c>
      <c r="E1615" s="81">
        <f t="shared" ca="1" si="12"/>
        <v>43313</v>
      </c>
      <c r="F1615" s="82">
        <f ca="1">IFERROR(__xludf.DUMMYFUNCTION("""COMPUTED_VALUE"""),0.625196759259259)</f>
        <v>0.62519675925925899</v>
      </c>
      <c r="G1615" s="83">
        <f t="shared" ca="1" si="13"/>
        <v>19</v>
      </c>
      <c r="H1615" s="83">
        <f ca="1">IFERROR(__xludf.DUMMYFUNCTION("""COMPUTED_VALUE"""),0)</f>
        <v>0</v>
      </c>
      <c r="I1615" s="83">
        <f ca="1">IFERROR(__xludf.DUMMYFUNCTION("""COMPUTED_VALUE"""),17)</f>
        <v>17</v>
      </c>
    </row>
    <row r="1616" spans="1:9">
      <c r="A1616" s="79">
        <v>368</v>
      </c>
      <c r="B1616" s="79">
        <v>139</v>
      </c>
      <c r="C1616" s="79">
        <v>229</v>
      </c>
      <c r="D1616" s="80">
        <v>43330.635613425926</v>
      </c>
      <c r="E1616" s="81">
        <f t="shared" ca="1" si="12"/>
        <v>43313</v>
      </c>
      <c r="F1616" s="82">
        <f ca="1">IFERROR(__xludf.DUMMYFUNCTION("""COMPUTED_VALUE"""),0.635613425925926)</f>
        <v>0.63561342592592596</v>
      </c>
      <c r="G1616" s="83">
        <f t="shared" ca="1" si="13"/>
        <v>19</v>
      </c>
      <c r="H1616" s="83">
        <f ca="1">IFERROR(__xludf.DUMMYFUNCTION("""COMPUTED_VALUE"""),15)</f>
        <v>15</v>
      </c>
      <c r="I1616" s="83">
        <f ca="1">IFERROR(__xludf.DUMMYFUNCTION("""COMPUTED_VALUE"""),17)</f>
        <v>17</v>
      </c>
    </row>
    <row r="1617" spans="1:9">
      <c r="A1617" s="79">
        <v>318</v>
      </c>
      <c r="B1617" s="79">
        <v>118</v>
      </c>
      <c r="C1617" s="79">
        <v>200</v>
      </c>
      <c r="D1617" s="80">
        <v>43330.646018518521</v>
      </c>
      <c r="E1617" s="81">
        <f t="shared" ca="1" si="12"/>
        <v>43313</v>
      </c>
      <c r="F1617" s="82">
        <f ca="1">IFERROR(__xludf.DUMMYFUNCTION("""COMPUTED_VALUE"""),0.646018518518518)</f>
        <v>0.64601851851851799</v>
      </c>
      <c r="G1617" s="83">
        <f t="shared" ca="1" si="13"/>
        <v>19</v>
      </c>
      <c r="H1617" s="83">
        <f ca="1">IFERROR(__xludf.DUMMYFUNCTION("""COMPUTED_VALUE"""),30)</f>
        <v>30</v>
      </c>
      <c r="I1617" s="83">
        <f ca="1">IFERROR(__xludf.DUMMYFUNCTION("""COMPUTED_VALUE"""),16)</f>
        <v>16</v>
      </c>
    </row>
    <row r="1618" spans="1:9">
      <c r="A1618" s="79">
        <v>360</v>
      </c>
      <c r="B1618" s="79">
        <v>2</v>
      </c>
      <c r="C1618" s="79">
        <v>362</v>
      </c>
      <c r="D1618" s="80">
        <v>43330.656446759262</v>
      </c>
      <c r="E1618" s="81">
        <f t="shared" ca="1" si="12"/>
        <v>43313</v>
      </c>
      <c r="F1618" s="82">
        <f ca="1">IFERROR(__xludf.DUMMYFUNCTION("""COMPUTED_VALUE"""),0.656446759259259)</f>
        <v>0.65644675925925899</v>
      </c>
      <c r="G1618" s="83">
        <f t="shared" ca="1" si="13"/>
        <v>19</v>
      </c>
      <c r="H1618" s="83">
        <f ca="1">IFERROR(__xludf.DUMMYFUNCTION("""COMPUTED_VALUE"""),45)</f>
        <v>45</v>
      </c>
      <c r="I1618" s="83">
        <f ca="1">IFERROR(__xludf.DUMMYFUNCTION("""COMPUTED_VALUE"""),17)</f>
        <v>17</v>
      </c>
    </row>
    <row r="1619" spans="1:9">
      <c r="A1619" s="79">
        <v>355</v>
      </c>
      <c r="B1619" s="79">
        <v>2</v>
      </c>
      <c r="C1619" s="79">
        <v>357</v>
      </c>
      <c r="D1619" s="80">
        <v>43330.666851851849</v>
      </c>
      <c r="E1619" s="81">
        <f t="shared" ca="1" si="12"/>
        <v>43313</v>
      </c>
      <c r="F1619" s="82">
        <f ca="1">IFERROR(__xludf.DUMMYFUNCTION("""COMPUTED_VALUE"""),0.666851851851851)</f>
        <v>0.66685185185185103</v>
      </c>
      <c r="G1619" s="83">
        <f t="shared" ca="1" si="13"/>
        <v>19</v>
      </c>
      <c r="H1619" s="83">
        <f ca="1">IFERROR(__xludf.DUMMYFUNCTION("""COMPUTED_VALUE"""),0)</f>
        <v>0</v>
      </c>
      <c r="I1619" s="83">
        <f ca="1">IFERROR(__xludf.DUMMYFUNCTION("""COMPUTED_VALUE"""),16)</f>
        <v>16</v>
      </c>
    </row>
    <row r="1620" spans="1:9">
      <c r="A1620" s="79">
        <v>345</v>
      </c>
      <c r="B1620" s="79">
        <v>2</v>
      </c>
      <c r="C1620" s="79">
        <v>347</v>
      </c>
      <c r="D1620" s="80">
        <v>43330.67728009259</v>
      </c>
      <c r="E1620" s="81">
        <f t="shared" ca="1" si="12"/>
        <v>43313</v>
      </c>
      <c r="F1620" s="82">
        <f ca="1">IFERROR(__xludf.DUMMYFUNCTION("""COMPUTED_VALUE"""),0.677280092592592)</f>
        <v>0.67728009259259203</v>
      </c>
      <c r="G1620" s="83">
        <f t="shared" ca="1" si="13"/>
        <v>19</v>
      </c>
      <c r="H1620" s="83">
        <f ca="1">IFERROR(__xludf.DUMMYFUNCTION("""COMPUTED_VALUE"""),15)</f>
        <v>15</v>
      </c>
      <c r="I1620" s="83">
        <f ca="1">IFERROR(__xludf.DUMMYFUNCTION("""COMPUTED_VALUE"""),17)</f>
        <v>17</v>
      </c>
    </row>
    <row r="1621" spans="1:9">
      <c r="A1621" s="79">
        <v>345</v>
      </c>
      <c r="B1621" s="79">
        <v>2</v>
      </c>
      <c r="C1621" s="79">
        <v>347</v>
      </c>
      <c r="D1621" s="80">
        <v>43330.687685185185</v>
      </c>
      <c r="E1621" s="81">
        <f t="shared" ca="1" si="12"/>
        <v>43313</v>
      </c>
      <c r="F1621" s="82">
        <f ca="1">IFERROR(__xludf.DUMMYFUNCTION("""COMPUTED_VALUE"""),0.687685185185185)</f>
        <v>0.68768518518518496</v>
      </c>
      <c r="G1621" s="83">
        <f t="shared" ca="1" si="13"/>
        <v>19</v>
      </c>
      <c r="H1621" s="83">
        <f ca="1">IFERROR(__xludf.DUMMYFUNCTION("""COMPUTED_VALUE"""),30)</f>
        <v>30</v>
      </c>
      <c r="I1621" s="83">
        <f ca="1">IFERROR(__xludf.DUMMYFUNCTION("""COMPUTED_VALUE"""),16)</f>
        <v>16</v>
      </c>
    </row>
    <row r="1622" spans="1:9">
      <c r="A1622" s="79">
        <v>330</v>
      </c>
      <c r="B1622" s="79">
        <v>3</v>
      </c>
      <c r="C1622" s="79">
        <v>333</v>
      </c>
      <c r="D1622" s="80">
        <v>43330.698113425926</v>
      </c>
      <c r="E1622" s="81">
        <f t="shared" ca="1" si="12"/>
        <v>43313</v>
      </c>
      <c r="F1622" s="82">
        <f ca="1">IFERROR(__xludf.DUMMYFUNCTION("""COMPUTED_VALUE"""),0.698113425925926)</f>
        <v>0.69811342592592596</v>
      </c>
      <c r="G1622" s="83">
        <f t="shared" ca="1" si="13"/>
        <v>19</v>
      </c>
      <c r="H1622" s="83">
        <f ca="1">IFERROR(__xludf.DUMMYFUNCTION("""COMPUTED_VALUE"""),45)</f>
        <v>45</v>
      </c>
      <c r="I1622" s="83">
        <f ca="1">IFERROR(__xludf.DUMMYFUNCTION("""COMPUTED_VALUE"""),17)</f>
        <v>17</v>
      </c>
    </row>
    <row r="1623" spans="1:9">
      <c r="A1623" s="79">
        <v>327</v>
      </c>
      <c r="B1623" s="79">
        <v>0</v>
      </c>
      <c r="C1623" s="79">
        <v>327</v>
      </c>
      <c r="D1623" s="80">
        <v>43330.70853009259</v>
      </c>
      <c r="E1623" s="81">
        <f t="shared" ca="1" si="12"/>
        <v>43313</v>
      </c>
      <c r="F1623" s="82">
        <f ca="1">IFERROR(__xludf.DUMMYFUNCTION("""COMPUTED_VALUE"""),0.708530092592592)</f>
        <v>0.70853009259259203</v>
      </c>
      <c r="G1623" s="83">
        <f t="shared" ca="1" si="13"/>
        <v>19</v>
      </c>
      <c r="H1623" s="83">
        <f ca="1">IFERROR(__xludf.DUMMYFUNCTION("""COMPUTED_VALUE"""),0)</f>
        <v>0</v>
      </c>
      <c r="I1623" s="83">
        <f ca="1">IFERROR(__xludf.DUMMYFUNCTION("""COMPUTED_VALUE"""),17)</f>
        <v>17</v>
      </c>
    </row>
    <row r="1624" spans="1:9">
      <c r="A1624" s="79">
        <v>314</v>
      </c>
      <c r="B1624" s="79">
        <v>0</v>
      </c>
      <c r="C1624" s="79">
        <v>314</v>
      </c>
      <c r="D1624" s="80">
        <v>43330.718935185185</v>
      </c>
      <c r="E1624" s="81">
        <f t="shared" ca="1" si="12"/>
        <v>43313</v>
      </c>
      <c r="F1624" s="82">
        <f ca="1">IFERROR(__xludf.DUMMYFUNCTION("""COMPUTED_VALUE"""),0.718935185185185)</f>
        <v>0.71893518518518496</v>
      </c>
      <c r="G1624" s="83">
        <f t="shared" ca="1" si="13"/>
        <v>19</v>
      </c>
      <c r="H1624" s="83">
        <f ca="1">IFERROR(__xludf.DUMMYFUNCTION("""COMPUTED_VALUE"""),15)</f>
        <v>15</v>
      </c>
      <c r="I1624" s="83">
        <f ca="1">IFERROR(__xludf.DUMMYFUNCTION("""COMPUTED_VALUE"""),16)</f>
        <v>16</v>
      </c>
    </row>
    <row r="1625" spans="1:9">
      <c r="A1625" s="79">
        <v>342</v>
      </c>
      <c r="B1625" s="79">
        <v>0</v>
      </c>
      <c r="C1625" s="79">
        <v>342</v>
      </c>
      <c r="D1625" s="80">
        <v>43330.729351851849</v>
      </c>
      <c r="E1625" s="81">
        <f t="shared" ca="1" si="12"/>
        <v>43313</v>
      </c>
      <c r="F1625" s="82">
        <f ca="1">IFERROR(__xludf.DUMMYFUNCTION("""COMPUTED_VALUE"""),0.729351851851851)</f>
        <v>0.72935185185185103</v>
      </c>
      <c r="G1625" s="83">
        <f t="shared" ca="1" si="13"/>
        <v>19</v>
      </c>
      <c r="H1625" s="83">
        <f ca="1">IFERROR(__xludf.DUMMYFUNCTION("""COMPUTED_VALUE"""),30)</f>
        <v>30</v>
      </c>
      <c r="I1625" s="83">
        <f ca="1">IFERROR(__xludf.DUMMYFUNCTION("""COMPUTED_VALUE"""),16)</f>
        <v>16</v>
      </c>
    </row>
    <row r="1626" spans="1:9">
      <c r="A1626" s="79">
        <v>338</v>
      </c>
      <c r="B1626" s="79">
        <v>0</v>
      </c>
      <c r="C1626" s="79">
        <v>338</v>
      </c>
      <c r="D1626" s="80">
        <v>43330.73978009259</v>
      </c>
      <c r="E1626" s="81">
        <f t="shared" ca="1" si="12"/>
        <v>43313</v>
      </c>
      <c r="F1626" s="82">
        <f ca="1">IFERROR(__xludf.DUMMYFUNCTION("""COMPUTED_VALUE"""),0.739780092592592)</f>
        <v>0.73978009259259203</v>
      </c>
      <c r="G1626" s="83">
        <f t="shared" ca="1" si="13"/>
        <v>19</v>
      </c>
      <c r="H1626" s="83">
        <f ca="1">IFERROR(__xludf.DUMMYFUNCTION("""COMPUTED_VALUE"""),45)</f>
        <v>45</v>
      </c>
      <c r="I1626" s="83">
        <f ca="1">IFERROR(__xludf.DUMMYFUNCTION("""COMPUTED_VALUE"""),17)</f>
        <v>17</v>
      </c>
    </row>
    <row r="1627" spans="1:9">
      <c r="A1627" s="79">
        <v>309</v>
      </c>
      <c r="B1627" s="79">
        <v>3</v>
      </c>
      <c r="C1627" s="79">
        <v>312</v>
      </c>
      <c r="D1627" s="80">
        <v>43330.750196759262</v>
      </c>
      <c r="E1627" s="81">
        <f t="shared" ca="1" si="12"/>
        <v>43313</v>
      </c>
      <c r="F1627" s="82">
        <f ca="1">IFERROR(__xludf.DUMMYFUNCTION("""COMPUTED_VALUE"""),0.750196759259259)</f>
        <v>0.75019675925925899</v>
      </c>
      <c r="G1627" s="83">
        <f t="shared" ca="1" si="13"/>
        <v>19</v>
      </c>
      <c r="H1627" s="83">
        <f ca="1">IFERROR(__xludf.DUMMYFUNCTION("""COMPUTED_VALUE"""),0)</f>
        <v>0</v>
      </c>
      <c r="I1627" s="83">
        <f ca="1">IFERROR(__xludf.DUMMYFUNCTION("""COMPUTED_VALUE"""),17)</f>
        <v>17</v>
      </c>
    </row>
    <row r="1628" spans="1:9">
      <c r="A1628" s="79">
        <v>384</v>
      </c>
      <c r="B1628" s="79">
        <v>4</v>
      </c>
      <c r="C1628" s="79">
        <v>388</v>
      </c>
      <c r="D1628" s="80">
        <v>43330.760601851849</v>
      </c>
      <c r="E1628" s="81">
        <f t="shared" ca="1" si="12"/>
        <v>43313</v>
      </c>
      <c r="F1628" s="82">
        <f ca="1">IFERROR(__xludf.DUMMYFUNCTION("""COMPUTED_VALUE"""),0.760601851851851)</f>
        <v>0.76060185185185103</v>
      </c>
      <c r="G1628" s="83">
        <f t="shared" ca="1" si="13"/>
        <v>19</v>
      </c>
      <c r="H1628" s="83">
        <f ca="1">IFERROR(__xludf.DUMMYFUNCTION("""COMPUTED_VALUE"""),15)</f>
        <v>15</v>
      </c>
      <c r="I1628" s="83">
        <f ca="1">IFERROR(__xludf.DUMMYFUNCTION("""COMPUTED_VALUE"""),16)</f>
        <v>16</v>
      </c>
    </row>
    <row r="1629" spans="1:9">
      <c r="A1629" s="79">
        <v>383</v>
      </c>
      <c r="B1629" s="79">
        <v>8</v>
      </c>
      <c r="C1629" s="79">
        <v>391</v>
      </c>
      <c r="D1629" s="80">
        <v>43330.771018518521</v>
      </c>
      <c r="E1629" s="81">
        <f t="shared" ca="1" si="12"/>
        <v>43313</v>
      </c>
      <c r="F1629" s="82">
        <f ca="1">IFERROR(__xludf.DUMMYFUNCTION("""COMPUTED_VALUE"""),0.771018518518518)</f>
        <v>0.77101851851851799</v>
      </c>
      <c r="G1629" s="83">
        <f t="shared" ca="1" si="13"/>
        <v>19</v>
      </c>
      <c r="H1629" s="83">
        <f ca="1">IFERROR(__xludf.DUMMYFUNCTION("""COMPUTED_VALUE"""),30)</f>
        <v>30</v>
      </c>
      <c r="I1629" s="83">
        <f ca="1">IFERROR(__xludf.DUMMYFUNCTION("""COMPUTED_VALUE"""),16)</f>
        <v>16</v>
      </c>
    </row>
    <row r="1630" spans="1:9">
      <c r="A1630" s="79">
        <v>365</v>
      </c>
      <c r="B1630" s="79">
        <v>4</v>
      </c>
      <c r="C1630" s="79">
        <v>369</v>
      </c>
      <c r="D1630" s="80">
        <v>43330.781435185185</v>
      </c>
      <c r="E1630" s="81">
        <f t="shared" ca="1" si="12"/>
        <v>43313</v>
      </c>
      <c r="F1630" s="82">
        <f ca="1">IFERROR(__xludf.DUMMYFUNCTION("""COMPUTED_VALUE"""),0.781435185185185)</f>
        <v>0.78143518518518496</v>
      </c>
      <c r="G1630" s="83">
        <f t="shared" ca="1" si="13"/>
        <v>19</v>
      </c>
      <c r="H1630" s="83">
        <f ca="1">IFERROR(__xludf.DUMMYFUNCTION("""COMPUTED_VALUE"""),45)</f>
        <v>45</v>
      </c>
      <c r="I1630" s="83">
        <f ca="1">IFERROR(__xludf.DUMMYFUNCTION("""COMPUTED_VALUE"""),16)</f>
        <v>16</v>
      </c>
    </row>
    <row r="1631" spans="1:9">
      <c r="A1631" s="79">
        <v>357</v>
      </c>
      <c r="B1631" s="79">
        <v>4</v>
      </c>
      <c r="C1631" s="79">
        <v>361</v>
      </c>
      <c r="D1631" s="80">
        <v>43330.791851851849</v>
      </c>
      <c r="E1631" s="81">
        <f t="shared" ca="1" si="12"/>
        <v>43313</v>
      </c>
      <c r="F1631" s="82">
        <f ca="1">IFERROR(__xludf.DUMMYFUNCTION("""COMPUTED_VALUE"""),0.791851851851851)</f>
        <v>0.79185185185185103</v>
      </c>
      <c r="G1631" s="83">
        <f t="shared" ca="1" si="13"/>
        <v>19</v>
      </c>
      <c r="H1631" s="83">
        <f ca="1">IFERROR(__xludf.DUMMYFUNCTION("""COMPUTED_VALUE"""),0)</f>
        <v>0</v>
      </c>
      <c r="I1631" s="83">
        <f ca="1">IFERROR(__xludf.DUMMYFUNCTION("""COMPUTED_VALUE"""),16)</f>
        <v>16</v>
      </c>
    </row>
    <row r="1632" spans="1:9">
      <c r="A1632" s="79">
        <v>398</v>
      </c>
      <c r="B1632" s="79">
        <v>6</v>
      </c>
      <c r="C1632" s="79">
        <v>404</v>
      </c>
      <c r="D1632" s="80">
        <v>43330.802268518521</v>
      </c>
      <c r="E1632" s="81">
        <f t="shared" ca="1" si="12"/>
        <v>43313</v>
      </c>
      <c r="F1632" s="82">
        <f ca="1">IFERROR(__xludf.DUMMYFUNCTION("""COMPUTED_VALUE"""),0.802268518518518)</f>
        <v>0.80226851851851799</v>
      </c>
      <c r="G1632" s="83">
        <f t="shared" ca="1" si="13"/>
        <v>19</v>
      </c>
      <c r="H1632" s="83">
        <f ca="1">IFERROR(__xludf.DUMMYFUNCTION("""COMPUTED_VALUE"""),15)</f>
        <v>15</v>
      </c>
      <c r="I1632" s="83">
        <f ca="1">IFERROR(__xludf.DUMMYFUNCTION("""COMPUTED_VALUE"""),16)</f>
        <v>16</v>
      </c>
    </row>
    <row r="1633" spans="1:9">
      <c r="A1633" s="79">
        <v>376</v>
      </c>
      <c r="B1633" s="79">
        <v>2</v>
      </c>
      <c r="C1633" s="79">
        <v>376</v>
      </c>
      <c r="D1633" s="80">
        <v>43330.812685185185</v>
      </c>
      <c r="E1633" s="81">
        <f t="shared" ca="1" si="12"/>
        <v>43313</v>
      </c>
      <c r="F1633" s="82">
        <f ca="1">IFERROR(__xludf.DUMMYFUNCTION("""COMPUTED_VALUE"""),0.812685185185185)</f>
        <v>0.81268518518518496</v>
      </c>
      <c r="G1633" s="83">
        <f t="shared" ca="1" si="13"/>
        <v>19</v>
      </c>
      <c r="H1633" s="83">
        <f ca="1">IFERROR(__xludf.DUMMYFUNCTION("""COMPUTED_VALUE"""),30)</f>
        <v>30</v>
      </c>
      <c r="I1633" s="83">
        <f ca="1">IFERROR(__xludf.DUMMYFUNCTION("""COMPUTED_VALUE"""),16)</f>
        <v>16</v>
      </c>
    </row>
    <row r="1634" spans="1:9">
      <c r="A1634" s="79">
        <v>419</v>
      </c>
      <c r="B1634" s="79">
        <v>4</v>
      </c>
      <c r="C1634" s="79">
        <v>423</v>
      </c>
      <c r="D1634" s="80">
        <v>43330.823113425926</v>
      </c>
      <c r="E1634" s="81">
        <f t="shared" ca="1" si="12"/>
        <v>43313</v>
      </c>
      <c r="F1634" s="82">
        <f ca="1">IFERROR(__xludf.DUMMYFUNCTION("""COMPUTED_VALUE"""),0.823113425925926)</f>
        <v>0.82311342592592596</v>
      </c>
      <c r="G1634" s="83">
        <f t="shared" ca="1" si="13"/>
        <v>19</v>
      </c>
      <c r="H1634" s="83">
        <f ca="1">IFERROR(__xludf.DUMMYFUNCTION("""COMPUTED_VALUE"""),45)</f>
        <v>45</v>
      </c>
      <c r="I1634" s="83">
        <f ca="1">IFERROR(__xludf.DUMMYFUNCTION("""COMPUTED_VALUE"""),17)</f>
        <v>17</v>
      </c>
    </row>
    <row r="1635" spans="1:9">
      <c r="A1635" s="79">
        <v>358</v>
      </c>
      <c r="B1635" s="79">
        <v>7</v>
      </c>
      <c r="C1635" s="79">
        <v>365</v>
      </c>
      <c r="D1635" s="80">
        <v>43330.833518518521</v>
      </c>
      <c r="E1635" s="81">
        <f t="shared" ca="1" si="12"/>
        <v>43313</v>
      </c>
      <c r="F1635" s="82">
        <f ca="1">IFERROR(__xludf.DUMMYFUNCTION("""COMPUTED_VALUE"""),0.833518518518518)</f>
        <v>0.83351851851851799</v>
      </c>
      <c r="G1635" s="83">
        <f t="shared" ca="1" si="13"/>
        <v>19</v>
      </c>
      <c r="H1635" s="83">
        <f ca="1">IFERROR(__xludf.DUMMYFUNCTION("""COMPUTED_VALUE"""),0)</f>
        <v>0</v>
      </c>
      <c r="I1635" s="83">
        <f ca="1">IFERROR(__xludf.DUMMYFUNCTION("""COMPUTED_VALUE"""),16)</f>
        <v>16</v>
      </c>
    </row>
    <row r="1636" spans="1:9">
      <c r="A1636" s="79">
        <v>374</v>
      </c>
      <c r="B1636" s="79">
        <v>6</v>
      </c>
      <c r="C1636" s="79">
        <v>380</v>
      </c>
      <c r="D1636" s="80">
        <v>43330.843946759262</v>
      </c>
      <c r="E1636" s="81">
        <f t="shared" ca="1" si="12"/>
        <v>43313</v>
      </c>
      <c r="F1636" s="82">
        <f ca="1">IFERROR(__xludf.DUMMYFUNCTION("""COMPUTED_VALUE"""),0.843946759259259)</f>
        <v>0.84394675925925899</v>
      </c>
      <c r="G1636" s="83">
        <f t="shared" ca="1" si="13"/>
        <v>19</v>
      </c>
      <c r="H1636" s="83">
        <f ca="1">IFERROR(__xludf.DUMMYFUNCTION("""COMPUTED_VALUE"""),15)</f>
        <v>15</v>
      </c>
      <c r="I1636" s="83">
        <f ca="1">IFERROR(__xludf.DUMMYFUNCTION("""COMPUTED_VALUE"""),17)</f>
        <v>17</v>
      </c>
    </row>
    <row r="1637" spans="1:9">
      <c r="A1637" s="79">
        <v>397</v>
      </c>
      <c r="B1637" s="79">
        <v>7</v>
      </c>
      <c r="C1637" s="79">
        <v>404</v>
      </c>
      <c r="D1637" s="80">
        <v>43330.854351851849</v>
      </c>
      <c r="E1637" s="81">
        <f t="shared" ca="1" si="12"/>
        <v>43313</v>
      </c>
      <c r="F1637" s="82">
        <f ca="1">IFERROR(__xludf.DUMMYFUNCTION("""COMPUTED_VALUE"""),0.854351851851851)</f>
        <v>0.85435185185185103</v>
      </c>
      <c r="G1637" s="83">
        <f t="shared" ca="1" si="13"/>
        <v>19</v>
      </c>
      <c r="H1637" s="83">
        <f ca="1">IFERROR(__xludf.DUMMYFUNCTION("""COMPUTED_VALUE"""),30)</f>
        <v>30</v>
      </c>
      <c r="I1637" s="83">
        <f ca="1">IFERROR(__xludf.DUMMYFUNCTION("""COMPUTED_VALUE"""),16)</f>
        <v>16</v>
      </c>
    </row>
    <row r="1638" spans="1:9">
      <c r="A1638" s="79">
        <v>397</v>
      </c>
      <c r="B1638" s="79">
        <v>7</v>
      </c>
      <c r="C1638" s="79">
        <v>404</v>
      </c>
      <c r="D1638" s="80">
        <v>43330.86478009259</v>
      </c>
      <c r="E1638" s="81">
        <f t="shared" ca="1" si="12"/>
        <v>43313</v>
      </c>
      <c r="F1638" s="82">
        <f ca="1">IFERROR(__xludf.DUMMYFUNCTION("""COMPUTED_VALUE"""),0.864780092592592)</f>
        <v>0.86478009259259203</v>
      </c>
      <c r="G1638" s="83">
        <f t="shared" ca="1" si="13"/>
        <v>19</v>
      </c>
      <c r="H1638" s="83">
        <f ca="1">IFERROR(__xludf.DUMMYFUNCTION("""COMPUTED_VALUE"""),45)</f>
        <v>45</v>
      </c>
      <c r="I1638" s="83">
        <f ca="1">IFERROR(__xludf.DUMMYFUNCTION("""COMPUTED_VALUE"""),17)</f>
        <v>17</v>
      </c>
    </row>
    <row r="1639" spans="1:9">
      <c r="A1639" s="79">
        <v>404</v>
      </c>
      <c r="B1639" s="79">
        <v>7</v>
      </c>
      <c r="C1639" s="79">
        <v>411</v>
      </c>
      <c r="D1639" s="80">
        <v>43330.875196759262</v>
      </c>
      <c r="E1639" s="81">
        <f t="shared" ca="1" si="12"/>
        <v>43313</v>
      </c>
      <c r="F1639" s="82">
        <f ca="1">IFERROR(__xludf.DUMMYFUNCTION("""COMPUTED_VALUE"""),0.875196759259259)</f>
        <v>0.87519675925925899</v>
      </c>
      <c r="G1639" s="83">
        <f t="shared" ca="1" si="13"/>
        <v>19</v>
      </c>
      <c r="H1639" s="83">
        <f ca="1">IFERROR(__xludf.DUMMYFUNCTION("""COMPUTED_VALUE"""),0)</f>
        <v>0</v>
      </c>
      <c r="I1639" s="83">
        <f ca="1">IFERROR(__xludf.DUMMYFUNCTION("""COMPUTED_VALUE"""),17)</f>
        <v>17</v>
      </c>
    </row>
    <row r="1640" spans="1:9">
      <c r="A1640" s="79">
        <v>415</v>
      </c>
      <c r="B1640" s="79">
        <v>6</v>
      </c>
      <c r="C1640" s="79">
        <v>421</v>
      </c>
      <c r="D1640" s="80">
        <v>43330.885601851849</v>
      </c>
      <c r="E1640" s="81">
        <f t="shared" ca="1" si="12"/>
        <v>43313</v>
      </c>
      <c r="F1640" s="82">
        <f ca="1">IFERROR(__xludf.DUMMYFUNCTION("""COMPUTED_VALUE"""),0.885601851851851)</f>
        <v>0.88560185185185103</v>
      </c>
      <c r="G1640" s="83">
        <f t="shared" ca="1" si="13"/>
        <v>19</v>
      </c>
      <c r="H1640" s="83">
        <f ca="1">IFERROR(__xludf.DUMMYFUNCTION("""COMPUTED_VALUE"""),15)</f>
        <v>15</v>
      </c>
      <c r="I1640" s="83">
        <f ca="1">IFERROR(__xludf.DUMMYFUNCTION("""COMPUTED_VALUE"""),16)</f>
        <v>16</v>
      </c>
    </row>
    <row r="1641" spans="1:9">
      <c r="A1641" s="79">
        <v>407</v>
      </c>
      <c r="B1641" s="79">
        <v>6</v>
      </c>
      <c r="C1641" s="79">
        <v>413</v>
      </c>
      <c r="D1641" s="80">
        <v>43330.896018518521</v>
      </c>
      <c r="E1641" s="81">
        <f t="shared" ca="1" si="12"/>
        <v>43313</v>
      </c>
      <c r="F1641" s="82">
        <f ca="1">IFERROR(__xludf.DUMMYFUNCTION("""COMPUTED_VALUE"""),0.896018518518518)</f>
        <v>0.89601851851851799</v>
      </c>
      <c r="G1641" s="83">
        <f t="shared" ca="1" si="13"/>
        <v>19</v>
      </c>
      <c r="H1641" s="83">
        <f ca="1">IFERROR(__xludf.DUMMYFUNCTION("""COMPUTED_VALUE"""),30)</f>
        <v>30</v>
      </c>
      <c r="I1641" s="83">
        <f ca="1">IFERROR(__xludf.DUMMYFUNCTION("""COMPUTED_VALUE"""),16)</f>
        <v>16</v>
      </c>
    </row>
    <row r="1642" spans="1:9">
      <c r="A1642" s="79">
        <v>401</v>
      </c>
      <c r="B1642" s="79">
        <v>6</v>
      </c>
      <c r="C1642" s="79">
        <v>407</v>
      </c>
      <c r="D1642" s="80">
        <v>43330.906435185185</v>
      </c>
      <c r="E1642" s="81">
        <f t="shared" ca="1" si="12"/>
        <v>43313</v>
      </c>
      <c r="F1642" s="82">
        <f ca="1">IFERROR(__xludf.DUMMYFUNCTION("""COMPUTED_VALUE"""),0.906435185185185)</f>
        <v>0.90643518518518496</v>
      </c>
      <c r="G1642" s="83">
        <f t="shared" ca="1" si="13"/>
        <v>19</v>
      </c>
      <c r="H1642" s="83">
        <f ca="1">IFERROR(__xludf.DUMMYFUNCTION("""COMPUTED_VALUE"""),45)</f>
        <v>45</v>
      </c>
      <c r="I1642" s="83">
        <f ca="1">IFERROR(__xludf.DUMMYFUNCTION("""COMPUTED_VALUE"""),16)</f>
        <v>16</v>
      </c>
    </row>
    <row r="1643" spans="1:9">
      <c r="A1643" s="79">
        <v>374</v>
      </c>
      <c r="B1643" s="79">
        <v>6</v>
      </c>
      <c r="C1643" s="79">
        <v>380</v>
      </c>
      <c r="D1643" s="80">
        <v>43330.916851851849</v>
      </c>
      <c r="E1643" s="81">
        <f t="shared" ca="1" si="12"/>
        <v>43313</v>
      </c>
      <c r="F1643" s="82">
        <f ca="1">IFERROR(__xludf.DUMMYFUNCTION("""COMPUTED_VALUE"""),0.916851851851851)</f>
        <v>0.91685185185185103</v>
      </c>
      <c r="G1643" s="83">
        <f t="shared" ca="1" si="13"/>
        <v>19</v>
      </c>
      <c r="H1643" s="83">
        <f ca="1">IFERROR(__xludf.DUMMYFUNCTION("""COMPUTED_VALUE"""),0)</f>
        <v>0</v>
      </c>
      <c r="I1643" s="83">
        <f ca="1">IFERROR(__xludf.DUMMYFUNCTION("""COMPUTED_VALUE"""),16)</f>
        <v>16</v>
      </c>
    </row>
    <row r="1644" spans="1:9">
      <c r="A1644" s="79">
        <v>421</v>
      </c>
      <c r="B1644" s="79">
        <v>6</v>
      </c>
      <c r="C1644" s="79">
        <v>427</v>
      </c>
      <c r="D1644" s="80">
        <v>43330.927268518521</v>
      </c>
      <c r="E1644" s="81">
        <f t="shared" ca="1" si="12"/>
        <v>43313</v>
      </c>
      <c r="F1644" s="82">
        <f ca="1">IFERROR(__xludf.DUMMYFUNCTION("""COMPUTED_VALUE"""),0.927268518518518)</f>
        <v>0.92726851851851799</v>
      </c>
      <c r="G1644" s="83">
        <f t="shared" ca="1" si="13"/>
        <v>19</v>
      </c>
      <c r="H1644" s="83">
        <f ca="1">IFERROR(__xludf.DUMMYFUNCTION("""COMPUTED_VALUE"""),15)</f>
        <v>15</v>
      </c>
      <c r="I1644" s="83">
        <f ca="1">IFERROR(__xludf.DUMMYFUNCTION("""COMPUTED_VALUE"""),16)</f>
        <v>16</v>
      </c>
    </row>
    <row r="1645" spans="1:9">
      <c r="A1645" s="79">
        <v>398</v>
      </c>
      <c r="B1645" s="79">
        <v>10</v>
      </c>
      <c r="C1645" s="79">
        <v>408</v>
      </c>
      <c r="D1645" s="80">
        <v>43330.937673611108</v>
      </c>
      <c r="E1645" s="81">
        <f t="shared" ca="1" si="12"/>
        <v>43313</v>
      </c>
      <c r="F1645" s="82">
        <f ca="1">IFERROR(__xludf.DUMMYFUNCTION("""COMPUTED_VALUE"""),0.937673611111111)</f>
        <v>0.93767361111111103</v>
      </c>
      <c r="G1645" s="83">
        <f t="shared" ca="1" si="13"/>
        <v>19</v>
      </c>
      <c r="H1645" s="83">
        <f ca="1">IFERROR(__xludf.DUMMYFUNCTION("""COMPUTED_VALUE"""),30)</f>
        <v>30</v>
      </c>
      <c r="I1645" s="83">
        <f ca="1">IFERROR(__xludf.DUMMYFUNCTION("""COMPUTED_VALUE"""),15)</f>
        <v>15</v>
      </c>
    </row>
    <row r="1646" spans="1:9">
      <c r="A1646" s="79">
        <v>381</v>
      </c>
      <c r="B1646" s="79">
        <v>6</v>
      </c>
      <c r="C1646" s="79">
        <v>387</v>
      </c>
      <c r="D1646" s="80">
        <v>43330.948101851849</v>
      </c>
      <c r="E1646" s="81">
        <f t="shared" ca="1" si="12"/>
        <v>43313</v>
      </c>
      <c r="F1646" s="82">
        <f ca="1">IFERROR(__xludf.DUMMYFUNCTION("""COMPUTED_VALUE"""),0.948101851851851)</f>
        <v>0.94810185185185103</v>
      </c>
      <c r="G1646" s="83">
        <f t="shared" ca="1" si="13"/>
        <v>19</v>
      </c>
      <c r="H1646" s="83">
        <f ca="1">IFERROR(__xludf.DUMMYFUNCTION("""COMPUTED_VALUE"""),45)</f>
        <v>45</v>
      </c>
      <c r="I1646" s="83">
        <f ca="1">IFERROR(__xludf.DUMMYFUNCTION("""COMPUTED_VALUE"""),16)</f>
        <v>16</v>
      </c>
    </row>
    <row r="1647" spans="1:9">
      <c r="A1647" s="79">
        <v>376</v>
      </c>
      <c r="B1647" s="79">
        <v>3</v>
      </c>
      <c r="C1647" s="79">
        <v>379</v>
      </c>
      <c r="D1647" s="80">
        <v>43330.958506944444</v>
      </c>
      <c r="E1647" s="81">
        <f t="shared" ca="1" si="12"/>
        <v>43313</v>
      </c>
      <c r="F1647" s="82">
        <f ca="1">IFERROR(__xludf.DUMMYFUNCTION("""COMPUTED_VALUE"""),0.958506944444444)</f>
        <v>0.95850694444444395</v>
      </c>
      <c r="G1647" s="83">
        <f t="shared" ca="1" si="13"/>
        <v>19</v>
      </c>
      <c r="H1647" s="83">
        <f ca="1">IFERROR(__xludf.DUMMYFUNCTION("""COMPUTED_VALUE"""),0)</f>
        <v>0</v>
      </c>
      <c r="I1647" s="83">
        <f ca="1">IFERROR(__xludf.DUMMYFUNCTION("""COMPUTED_VALUE"""),15)</f>
        <v>15</v>
      </c>
    </row>
    <row r="1648" spans="1:9">
      <c r="A1648" s="79">
        <v>440</v>
      </c>
      <c r="B1648" s="79">
        <v>8</v>
      </c>
      <c r="C1648" s="79">
        <v>448</v>
      </c>
      <c r="D1648" s="80">
        <v>43330.968935185185</v>
      </c>
      <c r="E1648" s="81">
        <f t="shared" ca="1" si="12"/>
        <v>43313</v>
      </c>
      <c r="F1648" s="82">
        <f ca="1">IFERROR(__xludf.DUMMYFUNCTION("""COMPUTED_VALUE"""),0.968935185185185)</f>
        <v>0.96893518518518496</v>
      </c>
      <c r="G1648" s="83">
        <f t="shared" ca="1" si="13"/>
        <v>19</v>
      </c>
      <c r="H1648" s="83">
        <f ca="1">IFERROR(__xludf.DUMMYFUNCTION("""COMPUTED_VALUE"""),15)</f>
        <v>15</v>
      </c>
      <c r="I1648" s="83">
        <f ca="1">IFERROR(__xludf.DUMMYFUNCTION("""COMPUTED_VALUE"""),16)</f>
        <v>16</v>
      </c>
    </row>
    <row r="1649" spans="1:9">
      <c r="A1649" s="79">
        <v>348</v>
      </c>
      <c r="B1649" s="79">
        <v>5</v>
      </c>
      <c r="C1649" s="79">
        <v>353</v>
      </c>
      <c r="D1649" s="80">
        <v>43330.97934027778</v>
      </c>
      <c r="E1649" s="81">
        <f t="shared" ca="1" si="12"/>
        <v>43313</v>
      </c>
      <c r="F1649" s="82">
        <f ca="1">IFERROR(__xludf.DUMMYFUNCTION("""COMPUTED_VALUE"""),0.979340277777777)</f>
        <v>0.97934027777777699</v>
      </c>
      <c r="G1649" s="83">
        <f t="shared" ca="1" si="13"/>
        <v>19</v>
      </c>
      <c r="H1649" s="83">
        <f ca="1">IFERROR(__xludf.DUMMYFUNCTION("""COMPUTED_VALUE"""),30)</f>
        <v>30</v>
      </c>
      <c r="I1649" s="83">
        <f ca="1">IFERROR(__xludf.DUMMYFUNCTION("""COMPUTED_VALUE"""),15)</f>
        <v>15</v>
      </c>
    </row>
    <row r="1650" spans="1:9">
      <c r="A1650" s="79">
        <v>323</v>
      </c>
      <c r="B1650" s="79">
        <v>3</v>
      </c>
      <c r="C1650" s="79">
        <v>326</v>
      </c>
      <c r="D1650" s="80">
        <v>43330.989768518521</v>
      </c>
      <c r="E1650" s="81">
        <f t="shared" ca="1" si="12"/>
        <v>43313</v>
      </c>
      <c r="F1650" s="82">
        <f ca="1">IFERROR(__xludf.DUMMYFUNCTION("""COMPUTED_VALUE"""),0.989768518518518)</f>
        <v>0.98976851851851799</v>
      </c>
      <c r="G1650" s="83">
        <f t="shared" ca="1" si="13"/>
        <v>19</v>
      </c>
      <c r="H1650" s="83">
        <f ca="1">IFERROR(__xludf.DUMMYFUNCTION("""COMPUTED_VALUE"""),45)</f>
        <v>45</v>
      </c>
      <c r="I1650" s="83">
        <f ca="1">IFERROR(__xludf.DUMMYFUNCTION("""COMPUTED_VALUE"""),16)</f>
        <v>16</v>
      </c>
    </row>
    <row r="1651" spans="1:9">
      <c r="A1651" s="79">
        <v>324</v>
      </c>
      <c r="B1651" s="79">
        <v>4</v>
      </c>
      <c r="C1651" s="79">
        <v>328</v>
      </c>
      <c r="D1651" s="80">
        <v>43331.000196759262</v>
      </c>
      <c r="E1651" s="81">
        <f t="shared" ca="1" si="12"/>
        <v>43313</v>
      </c>
      <c r="F1651" s="82">
        <f ca="1">IFERROR(__xludf.DUMMYFUNCTION("""COMPUTED_VALUE"""),0.000196759259259259)</f>
        <v>1.9675925925925899E-4</v>
      </c>
      <c r="G1651" s="83">
        <f t="shared" ca="1" si="13"/>
        <v>19</v>
      </c>
      <c r="H1651" s="83">
        <f ca="1">IFERROR(__xludf.DUMMYFUNCTION("""COMPUTED_VALUE"""),0)</f>
        <v>0</v>
      </c>
      <c r="I1651" s="83">
        <f ca="1">IFERROR(__xludf.DUMMYFUNCTION("""COMPUTED_VALUE"""),17)</f>
        <v>17</v>
      </c>
    </row>
    <row r="1652" spans="1:9">
      <c r="A1652" s="79">
        <v>337</v>
      </c>
      <c r="B1652" s="79">
        <v>9</v>
      </c>
      <c r="C1652" s="79">
        <v>346</v>
      </c>
      <c r="D1652" s="80">
        <v>43331.010601851849</v>
      </c>
      <c r="E1652" s="81">
        <f t="shared" ca="1" si="12"/>
        <v>43313</v>
      </c>
      <c r="F1652" s="82">
        <f ca="1">IFERROR(__xludf.DUMMYFUNCTION("""COMPUTED_VALUE"""),0.0106018518518518)</f>
        <v>1.06018518518518E-2</v>
      </c>
      <c r="G1652" s="83">
        <f t="shared" ca="1" si="13"/>
        <v>19</v>
      </c>
      <c r="H1652" s="83">
        <f ca="1">IFERROR(__xludf.DUMMYFUNCTION("""COMPUTED_VALUE"""),15)</f>
        <v>15</v>
      </c>
      <c r="I1652" s="83">
        <f ca="1">IFERROR(__xludf.DUMMYFUNCTION("""COMPUTED_VALUE"""),16)</f>
        <v>16</v>
      </c>
    </row>
    <row r="1653" spans="1:9">
      <c r="A1653" s="79">
        <v>271</v>
      </c>
      <c r="B1653" s="79">
        <v>6</v>
      </c>
      <c r="C1653" s="79">
        <v>276</v>
      </c>
      <c r="D1653" s="80">
        <v>43331.021018518521</v>
      </c>
      <c r="E1653" s="81">
        <f t="shared" ca="1" si="12"/>
        <v>43313</v>
      </c>
      <c r="F1653" s="82">
        <f ca="1">IFERROR(__xludf.DUMMYFUNCTION("""COMPUTED_VALUE"""),0.0210185185185185)</f>
        <v>2.1018518518518499E-2</v>
      </c>
      <c r="G1653" s="83">
        <f t="shared" ca="1" si="13"/>
        <v>19</v>
      </c>
      <c r="H1653" s="83">
        <f ca="1">IFERROR(__xludf.DUMMYFUNCTION("""COMPUTED_VALUE"""),30)</f>
        <v>30</v>
      </c>
      <c r="I1653" s="83">
        <f ca="1">IFERROR(__xludf.DUMMYFUNCTION("""COMPUTED_VALUE"""),16)</f>
        <v>16</v>
      </c>
    </row>
    <row r="1654" spans="1:9">
      <c r="A1654" s="79">
        <v>221</v>
      </c>
      <c r="B1654" s="79">
        <v>3</v>
      </c>
      <c r="C1654" s="79">
        <v>224</v>
      </c>
      <c r="D1654" s="80">
        <v>43331.031435185185</v>
      </c>
      <c r="E1654" s="81">
        <f t="shared" ca="1" si="12"/>
        <v>43313</v>
      </c>
      <c r="F1654" s="82">
        <f ca="1">IFERROR(__xludf.DUMMYFUNCTION("""COMPUTED_VALUE"""),0.0314351851851851)</f>
        <v>3.1435185185185101E-2</v>
      </c>
      <c r="G1654" s="83">
        <f t="shared" ca="1" si="13"/>
        <v>19</v>
      </c>
      <c r="H1654" s="83">
        <f ca="1">IFERROR(__xludf.DUMMYFUNCTION("""COMPUTED_VALUE"""),45)</f>
        <v>45</v>
      </c>
      <c r="I1654" s="83">
        <f ca="1">IFERROR(__xludf.DUMMYFUNCTION("""COMPUTED_VALUE"""),16)</f>
        <v>16</v>
      </c>
    </row>
    <row r="1655" spans="1:9">
      <c r="A1655" s="79">
        <v>217</v>
      </c>
      <c r="B1655" s="79">
        <v>3</v>
      </c>
      <c r="C1655" s="79">
        <v>220</v>
      </c>
      <c r="D1655" s="80">
        <v>43331.041851851849</v>
      </c>
      <c r="E1655" s="81">
        <f t="shared" ca="1" si="12"/>
        <v>43313</v>
      </c>
      <c r="F1655" s="82">
        <f ca="1">IFERROR(__xludf.DUMMYFUNCTION("""COMPUTED_VALUE"""),0.0418518518518518)</f>
        <v>4.18518518518518E-2</v>
      </c>
      <c r="G1655" s="83">
        <f t="shared" ca="1" si="13"/>
        <v>19</v>
      </c>
      <c r="H1655" s="83">
        <f ca="1">IFERROR(__xludf.DUMMYFUNCTION("""COMPUTED_VALUE"""),0)</f>
        <v>0</v>
      </c>
      <c r="I1655" s="83">
        <f ca="1">IFERROR(__xludf.DUMMYFUNCTION("""COMPUTED_VALUE"""),16)</f>
        <v>16</v>
      </c>
    </row>
    <row r="1656" spans="1:9">
      <c r="A1656" s="79">
        <v>238</v>
      </c>
      <c r="B1656" s="79">
        <v>4</v>
      </c>
      <c r="C1656" s="79">
        <v>242</v>
      </c>
      <c r="D1656" s="80">
        <v>43331.052268518521</v>
      </c>
      <c r="E1656" s="81">
        <f t="shared" ca="1" si="12"/>
        <v>43313</v>
      </c>
      <c r="F1656" s="82">
        <f ca="1">IFERROR(__xludf.DUMMYFUNCTION("""COMPUTED_VALUE"""),0.0522685185185185)</f>
        <v>5.2268518518518499E-2</v>
      </c>
      <c r="G1656" s="83">
        <f t="shared" ca="1" si="13"/>
        <v>19</v>
      </c>
      <c r="H1656" s="83">
        <f ca="1">IFERROR(__xludf.DUMMYFUNCTION("""COMPUTED_VALUE"""),15)</f>
        <v>15</v>
      </c>
      <c r="I1656" s="83">
        <f ca="1">IFERROR(__xludf.DUMMYFUNCTION("""COMPUTED_VALUE"""),16)</f>
        <v>16</v>
      </c>
    </row>
    <row r="1657" spans="1:9">
      <c r="A1657" s="79">
        <v>175</v>
      </c>
      <c r="B1657" s="79">
        <v>6</v>
      </c>
      <c r="C1657" s="79">
        <v>181</v>
      </c>
      <c r="D1657" s="80">
        <v>43331.062685185185</v>
      </c>
      <c r="E1657" s="81">
        <f t="shared" ca="1" si="12"/>
        <v>43313</v>
      </c>
      <c r="F1657" s="82">
        <f ca="1">IFERROR(__xludf.DUMMYFUNCTION("""COMPUTED_VALUE"""),0.0626851851851851)</f>
        <v>6.2685185185185094E-2</v>
      </c>
      <c r="G1657" s="83">
        <f t="shared" ca="1" si="13"/>
        <v>19</v>
      </c>
      <c r="H1657" s="83">
        <f ca="1">IFERROR(__xludf.DUMMYFUNCTION("""COMPUTED_VALUE"""),30)</f>
        <v>30</v>
      </c>
      <c r="I1657" s="83">
        <f ca="1">IFERROR(__xludf.DUMMYFUNCTION("""COMPUTED_VALUE"""),16)</f>
        <v>16</v>
      </c>
    </row>
    <row r="1658" spans="1:9">
      <c r="A1658" s="79">
        <v>210</v>
      </c>
      <c r="B1658" s="79">
        <v>5</v>
      </c>
      <c r="C1658" s="79">
        <v>215</v>
      </c>
      <c r="D1658" s="80">
        <v>43331.07309027778</v>
      </c>
      <c r="E1658" s="81">
        <f t="shared" ca="1" si="12"/>
        <v>43313</v>
      </c>
      <c r="F1658" s="82">
        <f ca="1">IFERROR(__xludf.DUMMYFUNCTION("""COMPUTED_VALUE"""),0.0730902777777777)</f>
        <v>7.3090277777777699E-2</v>
      </c>
      <c r="G1658" s="83">
        <f t="shared" ca="1" si="13"/>
        <v>19</v>
      </c>
      <c r="H1658" s="83">
        <f ca="1">IFERROR(__xludf.DUMMYFUNCTION("""COMPUTED_VALUE"""),45)</f>
        <v>45</v>
      </c>
      <c r="I1658" s="83">
        <f ca="1">IFERROR(__xludf.DUMMYFUNCTION("""COMPUTED_VALUE"""),15)</f>
        <v>15</v>
      </c>
    </row>
    <row r="1659" spans="1:9">
      <c r="A1659" s="79">
        <v>219</v>
      </c>
      <c r="B1659" s="79">
        <v>5</v>
      </c>
      <c r="C1659" s="79">
        <v>218</v>
      </c>
      <c r="D1659" s="80">
        <v>43331.08353009259</v>
      </c>
      <c r="E1659" s="81">
        <f t="shared" ca="1" si="12"/>
        <v>43313</v>
      </c>
      <c r="F1659" s="82">
        <f ca="1">IFERROR(__xludf.DUMMYFUNCTION("""COMPUTED_VALUE"""),0.0835300925925925)</f>
        <v>8.3530092592592503E-2</v>
      </c>
      <c r="G1659" s="83">
        <f t="shared" ca="1" si="13"/>
        <v>19</v>
      </c>
      <c r="H1659" s="83">
        <f ca="1">IFERROR(__xludf.DUMMYFUNCTION("""COMPUTED_VALUE"""),0)</f>
        <v>0</v>
      </c>
      <c r="I1659" s="83">
        <f ca="1">IFERROR(__xludf.DUMMYFUNCTION("""COMPUTED_VALUE"""),17)</f>
        <v>17</v>
      </c>
    </row>
    <row r="1660" spans="1:9">
      <c r="A1660" s="79">
        <v>260</v>
      </c>
      <c r="B1660" s="79">
        <v>3</v>
      </c>
      <c r="C1660" s="79">
        <v>263</v>
      </c>
      <c r="D1660" s="80">
        <v>43331.093935185185</v>
      </c>
      <c r="E1660" s="81">
        <f t="shared" ca="1" si="12"/>
        <v>43313</v>
      </c>
      <c r="F1660" s="82">
        <f ca="1">IFERROR(__xludf.DUMMYFUNCTION("""COMPUTED_VALUE"""),0.0939351851851851)</f>
        <v>9.3935185185185094E-2</v>
      </c>
      <c r="G1660" s="83">
        <f t="shared" ca="1" si="13"/>
        <v>19</v>
      </c>
      <c r="H1660" s="83">
        <f ca="1">IFERROR(__xludf.DUMMYFUNCTION("""COMPUTED_VALUE"""),15)</f>
        <v>15</v>
      </c>
      <c r="I1660" s="83">
        <f ca="1">IFERROR(__xludf.DUMMYFUNCTION("""COMPUTED_VALUE"""),16)</f>
        <v>16</v>
      </c>
    </row>
    <row r="1661" spans="1:9">
      <c r="A1661" s="79">
        <v>321</v>
      </c>
      <c r="B1661" s="79">
        <v>5</v>
      </c>
      <c r="C1661" s="79">
        <v>326</v>
      </c>
      <c r="D1661" s="80">
        <v>43331.104351851849</v>
      </c>
      <c r="E1661" s="81">
        <f t="shared" ca="1" si="12"/>
        <v>43313</v>
      </c>
      <c r="F1661" s="82">
        <f ca="1">IFERROR(__xludf.DUMMYFUNCTION("""COMPUTED_VALUE"""),0.104351851851851)</f>
        <v>0.104351851851851</v>
      </c>
      <c r="G1661" s="83">
        <f t="shared" ca="1" si="13"/>
        <v>19</v>
      </c>
      <c r="H1661" s="83">
        <f ca="1">IFERROR(__xludf.DUMMYFUNCTION("""COMPUTED_VALUE"""),30)</f>
        <v>30</v>
      </c>
      <c r="I1661" s="83">
        <f ca="1">IFERROR(__xludf.DUMMYFUNCTION("""COMPUTED_VALUE"""),16)</f>
        <v>16</v>
      </c>
    </row>
    <row r="1662" spans="1:9">
      <c r="A1662" s="79">
        <v>286</v>
      </c>
      <c r="B1662" s="79">
        <v>2</v>
      </c>
      <c r="C1662" s="79">
        <v>288</v>
      </c>
      <c r="D1662" s="80">
        <v>43331.114768518521</v>
      </c>
      <c r="E1662" s="81">
        <f t="shared" ca="1" si="12"/>
        <v>43313</v>
      </c>
      <c r="F1662" s="82">
        <f ca="1">IFERROR(__xludf.DUMMYFUNCTION("""COMPUTED_VALUE"""),0.114768518518518)</f>
        <v>0.11476851851851801</v>
      </c>
      <c r="G1662" s="83">
        <f t="shared" ca="1" si="13"/>
        <v>19</v>
      </c>
      <c r="H1662" s="83">
        <f ca="1">IFERROR(__xludf.DUMMYFUNCTION("""COMPUTED_VALUE"""),45)</f>
        <v>45</v>
      </c>
      <c r="I1662" s="83">
        <f ca="1">IFERROR(__xludf.DUMMYFUNCTION("""COMPUTED_VALUE"""),16)</f>
        <v>16</v>
      </c>
    </row>
    <row r="1663" spans="1:9">
      <c r="A1663" s="79">
        <v>235</v>
      </c>
      <c r="B1663" s="79">
        <v>2</v>
      </c>
      <c r="C1663" s="79">
        <v>237</v>
      </c>
      <c r="D1663" s="80">
        <v>43331.125185185185</v>
      </c>
      <c r="E1663" s="81">
        <f t="shared" ca="1" si="12"/>
        <v>43313</v>
      </c>
      <c r="F1663" s="82">
        <f ca="1">IFERROR(__xludf.DUMMYFUNCTION("""COMPUTED_VALUE"""),0.125185185185185)</f>
        <v>0.12518518518518501</v>
      </c>
      <c r="G1663" s="83">
        <f t="shared" ca="1" si="13"/>
        <v>19</v>
      </c>
      <c r="H1663" s="83">
        <f ca="1">IFERROR(__xludf.DUMMYFUNCTION("""COMPUTED_VALUE"""),0)</f>
        <v>0</v>
      </c>
      <c r="I1663" s="83">
        <f ca="1">IFERROR(__xludf.DUMMYFUNCTION("""COMPUTED_VALUE"""),16)</f>
        <v>16</v>
      </c>
    </row>
    <row r="1664" spans="1:9">
      <c r="A1664" s="79">
        <v>240</v>
      </c>
      <c r="B1664" s="79">
        <v>3</v>
      </c>
      <c r="C1664" s="79">
        <v>243</v>
      </c>
      <c r="D1664" s="80">
        <v>43331.13559027778</v>
      </c>
      <c r="E1664" s="81">
        <f t="shared" ca="1" si="12"/>
        <v>43313</v>
      </c>
      <c r="F1664" s="82">
        <f ca="1">IFERROR(__xludf.DUMMYFUNCTION("""COMPUTED_VALUE"""),0.135590277777777)</f>
        <v>0.13559027777777699</v>
      </c>
      <c r="G1664" s="83">
        <f t="shared" ca="1" si="13"/>
        <v>19</v>
      </c>
      <c r="H1664" s="83">
        <f ca="1">IFERROR(__xludf.DUMMYFUNCTION("""COMPUTED_VALUE"""),15)</f>
        <v>15</v>
      </c>
      <c r="I1664" s="83">
        <f ca="1">IFERROR(__xludf.DUMMYFUNCTION("""COMPUTED_VALUE"""),15)</f>
        <v>15</v>
      </c>
    </row>
    <row r="1665" spans="1:9">
      <c r="A1665" s="79">
        <v>239</v>
      </c>
      <c r="B1665" s="79">
        <v>4</v>
      </c>
      <c r="C1665" s="79">
        <v>243</v>
      </c>
      <c r="D1665" s="80">
        <v>43331.146018518521</v>
      </c>
      <c r="E1665" s="81">
        <f t="shared" ca="1" si="12"/>
        <v>43313</v>
      </c>
      <c r="F1665" s="82">
        <f ca="1">IFERROR(__xludf.DUMMYFUNCTION("""COMPUTED_VALUE"""),0.146018518518518)</f>
        <v>0.14601851851851799</v>
      </c>
      <c r="G1665" s="83">
        <f t="shared" ca="1" si="13"/>
        <v>19</v>
      </c>
      <c r="H1665" s="83">
        <f ca="1">IFERROR(__xludf.DUMMYFUNCTION("""COMPUTED_VALUE"""),30)</f>
        <v>30</v>
      </c>
      <c r="I1665" s="83">
        <f ca="1">IFERROR(__xludf.DUMMYFUNCTION("""COMPUTED_VALUE"""),16)</f>
        <v>16</v>
      </c>
    </row>
    <row r="1666" spans="1:9">
      <c r="A1666" s="79">
        <v>143</v>
      </c>
      <c r="B1666" s="79">
        <v>2</v>
      </c>
      <c r="C1666" s="79">
        <v>145</v>
      </c>
      <c r="D1666" s="80">
        <v>43331.156435185185</v>
      </c>
      <c r="E1666" s="81">
        <f t="shared" ca="1" si="12"/>
        <v>43313</v>
      </c>
      <c r="F1666" s="82">
        <f ca="1">IFERROR(__xludf.DUMMYFUNCTION("""COMPUTED_VALUE"""),0.156435185185185)</f>
        <v>0.15643518518518501</v>
      </c>
      <c r="G1666" s="83">
        <f t="shared" ca="1" si="13"/>
        <v>19</v>
      </c>
      <c r="H1666" s="83">
        <f ca="1">IFERROR(__xludf.DUMMYFUNCTION("""COMPUTED_VALUE"""),45)</f>
        <v>45</v>
      </c>
      <c r="I1666" s="83">
        <f ca="1">IFERROR(__xludf.DUMMYFUNCTION("""COMPUTED_VALUE"""),16)</f>
        <v>16</v>
      </c>
    </row>
    <row r="1667" spans="1:9">
      <c r="A1667" s="79">
        <v>145</v>
      </c>
      <c r="B1667" s="79">
        <v>3</v>
      </c>
      <c r="C1667" s="79">
        <v>148</v>
      </c>
      <c r="D1667" s="80">
        <v>43331.166851851849</v>
      </c>
      <c r="E1667" s="81">
        <f t="shared" ca="1" si="12"/>
        <v>43313</v>
      </c>
      <c r="F1667" s="82">
        <f ca="1">IFERROR(__xludf.DUMMYFUNCTION("""COMPUTED_VALUE"""),0.166851851851851)</f>
        <v>0.166851851851851</v>
      </c>
      <c r="G1667" s="83">
        <f t="shared" ca="1" si="13"/>
        <v>19</v>
      </c>
      <c r="H1667" s="83">
        <f ca="1">IFERROR(__xludf.DUMMYFUNCTION("""COMPUTED_VALUE"""),0)</f>
        <v>0</v>
      </c>
      <c r="I1667" s="83">
        <f ca="1">IFERROR(__xludf.DUMMYFUNCTION("""COMPUTED_VALUE"""),16)</f>
        <v>16</v>
      </c>
    </row>
    <row r="1668" spans="1:9">
      <c r="A1668" s="79">
        <v>152</v>
      </c>
      <c r="B1668" s="79">
        <v>3</v>
      </c>
      <c r="C1668" s="79">
        <v>155</v>
      </c>
      <c r="D1668" s="80">
        <v>43331.177256944444</v>
      </c>
      <c r="E1668" s="81">
        <f t="shared" ca="1" si="12"/>
        <v>43313</v>
      </c>
      <c r="F1668" s="82">
        <f ca="1">IFERROR(__xludf.DUMMYFUNCTION("""COMPUTED_VALUE"""),0.177256944444444)</f>
        <v>0.17725694444444401</v>
      </c>
      <c r="G1668" s="83">
        <f t="shared" ca="1" si="13"/>
        <v>19</v>
      </c>
      <c r="H1668" s="83">
        <f ca="1">IFERROR(__xludf.DUMMYFUNCTION("""COMPUTED_VALUE"""),15)</f>
        <v>15</v>
      </c>
      <c r="I1668" s="83">
        <f ca="1">IFERROR(__xludf.DUMMYFUNCTION("""COMPUTED_VALUE"""),15)</f>
        <v>15</v>
      </c>
    </row>
    <row r="1669" spans="1:9">
      <c r="A1669" s="79">
        <v>147</v>
      </c>
      <c r="B1669" s="79">
        <v>4</v>
      </c>
      <c r="C1669" s="79">
        <v>151</v>
      </c>
      <c r="D1669" s="80">
        <v>43331.187685185185</v>
      </c>
      <c r="E1669" s="81">
        <f t="shared" ca="1" si="12"/>
        <v>43313</v>
      </c>
      <c r="F1669" s="82">
        <f ca="1">IFERROR(__xludf.DUMMYFUNCTION("""COMPUTED_VALUE"""),0.187685185185185)</f>
        <v>0.18768518518518501</v>
      </c>
      <c r="G1669" s="83">
        <f t="shared" ca="1" si="13"/>
        <v>19</v>
      </c>
      <c r="H1669" s="83">
        <f ca="1">IFERROR(__xludf.DUMMYFUNCTION("""COMPUTED_VALUE"""),30)</f>
        <v>30</v>
      </c>
      <c r="I1669" s="83">
        <f ca="1">IFERROR(__xludf.DUMMYFUNCTION("""COMPUTED_VALUE"""),16)</f>
        <v>16</v>
      </c>
    </row>
    <row r="1670" spans="1:9">
      <c r="A1670" s="79">
        <v>120</v>
      </c>
      <c r="B1670" s="79">
        <v>3</v>
      </c>
      <c r="C1670" s="79">
        <v>115</v>
      </c>
      <c r="D1670" s="80">
        <v>43331.19809027778</v>
      </c>
      <c r="E1670" s="81">
        <f t="shared" ca="1" si="12"/>
        <v>43313</v>
      </c>
      <c r="F1670" s="82">
        <f ca="1">IFERROR(__xludf.DUMMYFUNCTION("""COMPUTED_VALUE"""),0.198090277777777)</f>
        <v>0.19809027777777699</v>
      </c>
      <c r="G1670" s="83">
        <f t="shared" ca="1" si="13"/>
        <v>19</v>
      </c>
      <c r="H1670" s="83">
        <f ca="1">IFERROR(__xludf.DUMMYFUNCTION("""COMPUTED_VALUE"""),45)</f>
        <v>45</v>
      </c>
      <c r="I1670" s="83">
        <f ca="1">IFERROR(__xludf.DUMMYFUNCTION("""COMPUTED_VALUE"""),15)</f>
        <v>15</v>
      </c>
    </row>
    <row r="1671" spans="1:9">
      <c r="A1671" s="79">
        <v>113</v>
      </c>
      <c r="B1671" s="79">
        <v>2</v>
      </c>
      <c r="C1671" s="79">
        <v>115</v>
      </c>
      <c r="D1671" s="80">
        <v>43331.208518518521</v>
      </c>
      <c r="E1671" s="81">
        <f t="shared" ca="1" si="12"/>
        <v>43313</v>
      </c>
      <c r="F1671" s="82">
        <f ca="1">IFERROR(__xludf.DUMMYFUNCTION("""COMPUTED_VALUE"""),0.208518518518518)</f>
        <v>0.20851851851851799</v>
      </c>
      <c r="G1671" s="83">
        <f t="shared" ca="1" si="13"/>
        <v>19</v>
      </c>
      <c r="H1671" s="83">
        <f ca="1">IFERROR(__xludf.DUMMYFUNCTION("""COMPUTED_VALUE"""),0)</f>
        <v>0</v>
      </c>
      <c r="I1671" s="83">
        <f ca="1">IFERROR(__xludf.DUMMYFUNCTION("""COMPUTED_VALUE"""),16)</f>
        <v>16</v>
      </c>
    </row>
    <row r="1672" spans="1:9">
      <c r="A1672" s="79">
        <v>110</v>
      </c>
      <c r="B1672" s="79">
        <v>3</v>
      </c>
      <c r="C1672" s="79">
        <v>113</v>
      </c>
      <c r="D1672" s="80">
        <v>43331.218923611108</v>
      </c>
      <c r="E1672" s="81">
        <f t="shared" ca="1" si="12"/>
        <v>43313</v>
      </c>
      <c r="F1672" s="82">
        <f ca="1">IFERROR(__xludf.DUMMYFUNCTION("""COMPUTED_VALUE"""),0.218923611111111)</f>
        <v>0.218923611111111</v>
      </c>
      <c r="G1672" s="83">
        <f t="shared" ca="1" si="13"/>
        <v>19</v>
      </c>
      <c r="H1672" s="83">
        <f ca="1">IFERROR(__xludf.DUMMYFUNCTION("""COMPUTED_VALUE"""),15)</f>
        <v>15</v>
      </c>
      <c r="I1672" s="83">
        <f ca="1">IFERROR(__xludf.DUMMYFUNCTION("""COMPUTED_VALUE"""),15)</f>
        <v>15</v>
      </c>
    </row>
    <row r="1673" spans="1:9">
      <c r="A1673" s="79">
        <v>106</v>
      </c>
      <c r="B1673" s="79">
        <v>3</v>
      </c>
      <c r="C1673" s="79">
        <v>109</v>
      </c>
      <c r="D1673" s="80">
        <v>43331.229351851849</v>
      </c>
      <c r="E1673" s="81">
        <f t="shared" ca="1" si="12"/>
        <v>43313</v>
      </c>
      <c r="F1673" s="82">
        <f ca="1">IFERROR(__xludf.DUMMYFUNCTION("""COMPUTED_VALUE"""),0.229351851851851)</f>
        <v>0.229351851851851</v>
      </c>
      <c r="G1673" s="83">
        <f t="shared" ca="1" si="13"/>
        <v>19</v>
      </c>
      <c r="H1673" s="83">
        <f ca="1">IFERROR(__xludf.DUMMYFUNCTION("""COMPUTED_VALUE"""),30)</f>
        <v>30</v>
      </c>
      <c r="I1673" s="83">
        <f ca="1">IFERROR(__xludf.DUMMYFUNCTION("""COMPUTED_VALUE"""),16)</f>
        <v>16</v>
      </c>
    </row>
    <row r="1674" spans="1:9">
      <c r="A1674" s="79">
        <v>82</v>
      </c>
      <c r="B1674" s="79">
        <v>4</v>
      </c>
      <c r="C1674" s="79">
        <v>86</v>
      </c>
      <c r="D1674" s="80">
        <v>43331.239756944444</v>
      </c>
      <c r="E1674" s="81">
        <f t="shared" ca="1" si="12"/>
        <v>43313</v>
      </c>
      <c r="F1674" s="82">
        <f ca="1">IFERROR(__xludf.DUMMYFUNCTION("""COMPUTED_VALUE"""),0.239756944444444)</f>
        <v>0.23975694444444401</v>
      </c>
      <c r="G1674" s="83">
        <f t="shared" ca="1" si="13"/>
        <v>19</v>
      </c>
      <c r="H1674" s="83">
        <f ca="1">IFERROR(__xludf.DUMMYFUNCTION("""COMPUTED_VALUE"""),45)</f>
        <v>45</v>
      </c>
      <c r="I1674" s="83">
        <f ca="1">IFERROR(__xludf.DUMMYFUNCTION("""COMPUTED_VALUE"""),15)</f>
        <v>15</v>
      </c>
    </row>
    <row r="1675" spans="1:9">
      <c r="A1675" s="79">
        <v>76</v>
      </c>
      <c r="B1675" s="79">
        <v>2</v>
      </c>
      <c r="C1675" s="79">
        <v>78</v>
      </c>
      <c r="D1675" s="80">
        <v>43331.250173611108</v>
      </c>
      <c r="E1675" s="81">
        <f t="shared" ca="1" si="12"/>
        <v>43313</v>
      </c>
      <c r="F1675" s="82">
        <f ca="1">IFERROR(__xludf.DUMMYFUNCTION("""COMPUTED_VALUE"""),0.250173611111111)</f>
        <v>0.25017361111111103</v>
      </c>
      <c r="G1675" s="83">
        <f t="shared" ca="1" si="13"/>
        <v>19</v>
      </c>
      <c r="H1675" s="83">
        <f ca="1">IFERROR(__xludf.DUMMYFUNCTION("""COMPUTED_VALUE"""),0)</f>
        <v>0</v>
      </c>
      <c r="I1675" s="83">
        <f ca="1">IFERROR(__xludf.DUMMYFUNCTION("""COMPUTED_VALUE"""),15)</f>
        <v>15</v>
      </c>
    </row>
    <row r="1676" spans="1:9">
      <c r="A1676" s="79">
        <v>74</v>
      </c>
      <c r="B1676" s="79">
        <v>2</v>
      </c>
      <c r="C1676" s="79">
        <v>76</v>
      </c>
      <c r="D1676" s="80">
        <v>43331.26059027778</v>
      </c>
      <c r="E1676" s="81">
        <f t="shared" ca="1" si="12"/>
        <v>43313</v>
      </c>
      <c r="F1676" s="82">
        <f ca="1">IFERROR(__xludf.DUMMYFUNCTION("""COMPUTED_VALUE"""),0.260590277777777)</f>
        <v>0.26059027777777699</v>
      </c>
      <c r="G1676" s="83">
        <f t="shared" ca="1" si="13"/>
        <v>19</v>
      </c>
      <c r="H1676" s="83">
        <f ca="1">IFERROR(__xludf.DUMMYFUNCTION("""COMPUTED_VALUE"""),15)</f>
        <v>15</v>
      </c>
      <c r="I1676" s="83">
        <f ca="1">IFERROR(__xludf.DUMMYFUNCTION("""COMPUTED_VALUE"""),15)</f>
        <v>15</v>
      </c>
    </row>
    <row r="1677" spans="1:9">
      <c r="A1677" s="79">
        <v>84</v>
      </c>
      <c r="B1677" s="79">
        <v>5</v>
      </c>
      <c r="C1677" s="79">
        <v>89</v>
      </c>
      <c r="D1677" s="80">
        <v>43331.273692129631</v>
      </c>
      <c r="E1677" s="81">
        <f t="shared" ca="1" si="12"/>
        <v>43313</v>
      </c>
      <c r="F1677" s="82">
        <f ca="1">IFERROR(__xludf.DUMMYFUNCTION("""COMPUTED_VALUE"""),0.273692129629629)</f>
        <v>0.27369212962962902</v>
      </c>
      <c r="G1677" s="83">
        <f t="shared" ca="1" si="13"/>
        <v>19</v>
      </c>
      <c r="H1677" s="83">
        <f ca="1">IFERROR(__xludf.DUMMYFUNCTION("""COMPUTED_VALUE"""),34)</f>
        <v>34</v>
      </c>
      <c r="I1677" s="83">
        <f ca="1">IFERROR(__xludf.DUMMYFUNCTION("""COMPUTED_VALUE"""),7)</f>
        <v>7</v>
      </c>
    </row>
    <row r="1678" spans="1:9">
      <c r="A1678" s="79">
        <v>68</v>
      </c>
      <c r="B1678" s="79">
        <v>3</v>
      </c>
      <c r="C1678" s="79">
        <v>71</v>
      </c>
      <c r="D1678" s="80">
        <v>43331.281423611108</v>
      </c>
      <c r="E1678" s="81">
        <f t="shared" ca="1" si="12"/>
        <v>43313</v>
      </c>
      <c r="F1678" s="82">
        <f ca="1">IFERROR(__xludf.DUMMYFUNCTION("""COMPUTED_VALUE"""),0.281423611111111)</f>
        <v>0.28142361111111103</v>
      </c>
      <c r="G1678" s="83">
        <f t="shared" ca="1" si="13"/>
        <v>19</v>
      </c>
      <c r="H1678" s="83">
        <f ca="1">IFERROR(__xludf.DUMMYFUNCTION("""COMPUTED_VALUE"""),45)</f>
        <v>45</v>
      </c>
      <c r="I1678" s="83">
        <f ca="1">IFERROR(__xludf.DUMMYFUNCTION("""COMPUTED_VALUE"""),15)</f>
        <v>15</v>
      </c>
    </row>
    <row r="1679" spans="1:9">
      <c r="A1679" s="79">
        <v>67</v>
      </c>
      <c r="B1679" s="79">
        <v>4</v>
      </c>
      <c r="C1679" s="79">
        <v>71</v>
      </c>
      <c r="D1679" s="80">
        <v>43331.291851851849</v>
      </c>
      <c r="E1679" s="81">
        <f t="shared" ca="1" si="12"/>
        <v>43313</v>
      </c>
      <c r="F1679" s="82">
        <f ca="1">IFERROR(__xludf.DUMMYFUNCTION("""COMPUTED_VALUE"""),0.291851851851851)</f>
        <v>0.29185185185185097</v>
      </c>
      <c r="G1679" s="83">
        <f t="shared" ca="1" si="13"/>
        <v>19</v>
      </c>
      <c r="H1679" s="83">
        <f ca="1">IFERROR(__xludf.DUMMYFUNCTION("""COMPUTED_VALUE"""),0)</f>
        <v>0</v>
      </c>
      <c r="I1679" s="83">
        <f ca="1">IFERROR(__xludf.DUMMYFUNCTION("""COMPUTED_VALUE"""),16)</f>
        <v>16</v>
      </c>
    </row>
    <row r="1680" spans="1:9">
      <c r="A1680" s="79">
        <v>70</v>
      </c>
      <c r="B1680" s="79">
        <v>4</v>
      </c>
      <c r="C1680" s="79">
        <v>69</v>
      </c>
      <c r="D1680" s="80">
        <v>43331.30228009259</v>
      </c>
      <c r="E1680" s="81">
        <f t="shared" ca="1" si="12"/>
        <v>43313</v>
      </c>
      <c r="F1680" s="82">
        <f ca="1">IFERROR(__xludf.DUMMYFUNCTION("""COMPUTED_VALUE"""),0.302280092592592)</f>
        <v>0.30228009259259198</v>
      </c>
      <c r="G1680" s="83">
        <f t="shared" ca="1" si="13"/>
        <v>19</v>
      </c>
      <c r="H1680" s="83">
        <f ca="1">IFERROR(__xludf.DUMMYFUNCTION("""COMPUTED_VALUE"""),15)</f>
        <v>15</v>
      </c>
      <c r="I1680" s="83">
        <f ca="1">IFERROR(__xludf.DUMMYFUNCTION("""COMPUTED_VALUE"""),17)</f>
        <v>17</v>
      </c>
    </row>
    <row r="1681" spans="1:9">
      <c r="A1681" s="79">
        <v>77</v>
      </c>
      <c r="B1681" s="79">
        <v>3</v>
      </c>
      <c r="C1681" s="79">
        <v>80</v>
      </c>
      <c r="D1681" s="80">
        <v>43331.312696759262</v>
      </c>
      <c r="E1681" s="81">
        <f t="shared" ca="1" si="12"/>
        <v>43313</v>
      </c>
      <c r="F1681" s="82">
        <f ca="1">IFERROR(__xludf.DUMMYFUNCTION("""COMPUTED_VALUE"""),0.312696759259259)</f>
        <v>0.31269675925925899</v>
      </c>
      <c r="G1681" s="83">
        <f t="shared" ca="1" si="13"/>
        <v>19</v>
      </c>
      <c r="H1681" s="83">
        <f ca="1">IFERROR(__xludf.DUMMYFUNCTION("""COMPUTED_VALUE"""),30)</f>
        <v>30</v>
      </c>
      <c r="I1681" s="83">
        <f ca="1">IFERROR(__xludf.DUMMYFUNCTION("""COMPUTED_VALUE"""),17)</f>
        <v>17</v>
      </c>
    </row>
    <row r="1682" spans="1:9">
      <c r="A1682" s="79">
        <v>66</v>
      </c>
      <c r="B1682" s="79">
        <v>3</v>
      </c>
      <c r="C1682" s="79">
        <v>69</v>
      </c>
      <c r="D1682" s="80">
        <v>43331.323113425926</v>
      </c>
      <c r="E1682" s="81">
        <f t="shared" ca="1" si="12"/>
        <v>43313</v>
      </c>
      <c r="F1682" s="82">
        <f ca="1">IFERROR(__xludf.DUMMYFUNCTION("""COMPUTED_VALUE"""),0.323113425925925)</f>
        <v>0.32311342592592501</v>
      </c>
      <c r="G1682" s="83">
        <f t="shared" ca="1" si="13"/>
        <v>19</v>
      </c>
      <c r="H1682" s="83">
        <f ca="1">IFERROR(__xludf.DUMMYFUNCTION("""COMPUTED_VALUE"""),45)</f>
        <v>45</v>
      </c>
      <c r="I1682" s="83">
        <f ca="1">IFERROR(__xludf.DUMMYFUNCTION("""COMPUTED_VALUE"""),17)</f>
        <v>17</v>
      </c>
    </row>
    <row r="1683" spans="1:9">
      <c r="A1683" s="79">
        <v>74</v>
      </c>
      <c r="B1683" s="79">
        <v>2</v>
      </c>
      <c r="C1683" s="79">
        <v>76</v>
      </c>
      <c r="D1683" s="80">
        <v>43331.33353009259</v>
      </c>
      <c r="E1683" s="81">
        <f t="shared" ca="1" si="12"/>
        <v>43313</v>
      </c>
      <c r="F1683" s="82">
        <f ca="1">IFERROR(__xludf.DUMMYFUNCTION("""COMPUTED_VALUE"""),0.333530092592592)</f>
        <v>0.33353009259259198</v>
      </c>
      <c r="G1683" s="83">
        <f t="shared" ca="1" si="13"/>
        <v>19</v>
      </c>
      <c r="H1683" s="83">
        <f ca="1">IFERROR(__xludf.DUMMYFUNCTION("""COMPUTED_VALUE"""),0)</f>
        <v>0</v>
      </c>
      <c r="I1683" s="83">
        <f ca="1">IFERROR(__xludf.DUMMYFUNCTION("""COMPUTED_VALUE"""),17)</f>
        <v>17</v>
      </c>
    </row>
    <row r="1684" spans="1:9">
      <c r="A1684" s="79">
        <v>84</v>
      </c>
      <c r="B1684" s="79">
        <v>3</v>
      </c>
      <c r="C1684" s="79">
        <v>86</v>
      </c>
      <c r="D1684" s="80">
        <v>43331.343946759262</v>
      </c>
      <c r="E1684" s="81">
        <f t="shared" ca="1" si="12"/>
        <v>43313</v>
      </c>
      <c r="F1684" s="82">
        <f ca="1">IFERROR(__xludf.DUMMYFUNCTION("""COMPUTED_VALUE"""),0.343946759259259)</f>
        <v>0.34394675925925899</v>
      </c>
      <c r="G1684" s="83">
        <f t="shared" ca="1" si="13"/>
        <v>19</v>
      </c>
      <c r="H1684" s="83">
        <f ca="1">IFERROR(__xludf.DUMMYFUNCTION("""COMPUTED_VALUE"""),15)</f>
        <v>15</v>
      </c>
      <c r="I1684" s="83">
        <f ca="1">IFERROR(__xludf.DUMMYFUNCTION("""COMPUTED_VALUE"""),17)</f>
        <v>17</v>
      </c>
    </row>
    <row r="1685" spans="1:9">
      <c r="A1685" s="79">
        <v>93</v>
      </c>
      <c r="B1685" s="79">
        <v>2</v>
      </c>
      <c r="C1685" s="79">
        <v>95</v>
      </c>
      <c r="D1685" s="80">
        <v>43331.354398148149</v>
      </c>
      <c r="E1685" s="81">
        <f t="shared" ca="1" si="12"/>
        <v>43313</v>
      </c>
      <c r="F1685" s="82">
        <f ca="1">IFERROR(__xludf.DUMMYFUNCTION("""COMPUTED_VALUE"""),0.354398148148148)</f>
        <v>0.35439814814814802</v>
      </c>
      <c r="G1685" s="83">
        <f t="shared" ca="1" si="13"/>
        <v>19</v>
      </c>
      <c r="H1685" s="83">
        <f ca="1">IFERROR(__xludf.DUMMYFUNCTION("""COMPUTED_VALUE"""),30)</f>
        <v>30</v>
      </c>
      <c r="I1685" s="83">
        <f ca="1">IFERROR(__xludf.DUMMYFUNCTION("""COMPUTED_VALUE"""),20)</f>
        <v>20</v>
      </c>
    </row>
    <row r="1686" spans="1:9">
      <c r="A1686" s="79">
        <v>94</v>
      </c>
      <c r="B1686" s="79">
        <v>3</v>
      </c>
      <c r="C1686" s="79">
        <v>97</v>
      </c>
      <c r="D1686" s="80">
        <v>43331.36478009259</v>
      </c>
      <c r="E1686" s="81">
        <f t="shared" ca="1" si="12"/>
        <v>43313</v>
      </c>
      <c r="F1686" s="82">
        <f ca="1">IFERROR(__xludf.DUMMYFUNCTION("""COMPUTED_VALUE"""),0.364780092592592)</f>
        <v>0.36478009259259198</v>
      </c>
      <c r="G1686" s="83">
        <f t="shared" ca="1" si="13"/>
        <v>19</v>
      </c>
      <c r="H1686" s="83">
        <f ca="1">IFERROR(__xludf.DUMMYFUNCTION("""COMPUTED_VALUE"""),45)</f>
        <v>45</v>
      </c>
      <c r="I1686" s="83">
        <f ca="1">IFERROR(__xludf.DUMMYFUNCTION("""COMPUTED_VALUE"""),17)</f>
        <v>17</v>
      </c>
    </row>
    <row r="1687" spans="1:9">
      <c r="A1687" s="79">
        <v>67</v>
      </c>
      <c r="B1687" s="79">
        <v>1</v>
      </c>
      <c r="C1687" s="79">
        <v>61</v>
      </c>
      <c r="D1687" s="80">
        <v>43331.375208333331</v>
      </c>
      <c r="E1687" s="81">
        <f t="shared" ca="1" si="12"/>
        <v>43313</v>
      </c>
      <c r="F1687" s="82">
        <f ca="1">IFERROR(__xludf.DUMMYFUNCTION("""COMPUTED_VALUE"""),0.375208333333333)</f>
        <v>0.37520833333333298</v>
      </c>
      <c r="G1687" s="83">
        <f t="shared" ca="1" si="13"/>
        <v>19</v>
      </c>
      <c r="H1687" s="83">
        <f ca="1">IFERROR(__xludf.DUMMYFUNCTION("""COMPUTED_VALUE"""),0)</f>
        <v>0</v>
      </c>
      <c r="I1687" s="83">
        <f ca="1">IFERROR(__xludf.DUMMYFUNCTION("""COMPUTED_VALUE"""),18)</f>
        <v>18</v>
      </c>
    </row>
    <row r="1688" spans="1:9">
      <c r="A1688" s="79">
        <v>83</v>
      </c>
      <c r="B1688" s="79">
        <v>1</v>
      </c>
      <c r="C1688" s="79">
        <v>84</v>
      </c>
      <c r="D1688" s="80">
        <v>43331.385613425926</v>
      </c>
      <c r="E1688" s="81">
        <f t="shared" ca="1" si="12"/>
        <v>43313</v>
      </c>
      <c r="F1688" s="82">
        <f ca="1">IFERROR(__xludf.DUMMYFUNCTION("""COMPUTED_VALUE"""),0.385613425925925)</f>
        <v>0.38561342592592501</v>
      </c>
      <c r="G1688" s="83">
        <f t="shared" ca="1" si="13"/>
        <v>19</v>
      </c>
      <c r="H1688" s="83">
        <f ca="1">IFERROR(__xludf.DUMMYFUNCTION("""COMPUTED_VALUE"""),15)</f>
        <v>15</v>
      </c>
      <c r="I1688" s="83">
        <f ca="1">IFERROR(__xludf.DUMMYFUNCTION("""COMPUTED_VALUE"""),17)</f>
        <v>17</v>
      </c>
    </row>
    <row r="1689" spans="1:9">
      <c r="A1689" s="79">
        <v>88</v>
      </c>
      <c r="B1689" s="79">
        <v>1</v>
      </c>
      <c r="C1689" s="79">
        <v>89</v>
      </c>
      <c r="D1689" s="80">
        <v>43331.39603009259</v>
      </c>
      <c r="E1689" s="81">
        <f t="shared" ca="1" si="12"/>
        <v>43313</v>
      </c>
      <c r="F1689" s="82">
        <f ca="1">IFERROR(__xludf.DUMMYFUNCTION("""COMPUTED_VALUE"""),0.396030092592592)</f>
        <v>0.39603009259259198</v>
      </c>
      <c r="G1689" s="83">
        <f t="shared" ca="1" si="13"/>
        <v>19</v>
      </c>
      <c r="H1689" s="83">
        <f ca="1">IFERROR(__xludf.DUMMYFUNCTION("""COMPUTED_VALUE"""),30)</f>
        <v>30</v>
      </c>
      <c r="I1689" s="83">
        <f ca="1">IFERROR(__xludf.DUMMYFUNCTION("""COMPUTED_VALUE"""),17)</f>
        <v>17</v>
      </c>
    </row>
    <row r="1690" spans="1:9">
      <c r="A1690" s="79">
        <v>118</v>
      </c>
      <c r="B1690" s="79">
        <v>1</v>
      </c>
      <c r="C1690" s="79">
        <v>119</v>
      </c>
      <c r="D1690" s="80">
        <v>43331.406435185185</v>
      </c>
      <c r="E1690" s="81">
        <f t="shared" ca="1" si="12"/>
        <v>43313</v>
      </c>
      <c r="F1690" s="82">
        <f ca="1">IFERROR(__xludf.DUMMYFUNCTION("""COMPUTED_VALUE"""),0.406435185185185)</f>
        <v>0.40643518518518501</v>
      </c>
      <c r="G1690" s="83">
        <f t="shared" ca="1" si="13"/>
        <v>19</v>
      </c>
      <c r="H1690" s="83">
        <f ca="1">IFERROR(__xludf.DUMMYFUNCTION("""COMPUTED_VALUE"""),45)</f>
        <v>45</v>
      </c>
      <c r="I1690" s="83">
        <f ca="1">IFERROR(__xludf.DUMMYFUNCTION("""COMPUTED_VALUE"""),16)</f>
        <v>16</v>
      </c>
    </row>
    <row r="1691" spans="1:9">
      <c r="A1691" s="79">
        <v>78</v>
      </c>
      <c r="B1691" s="79">
        <v>2</v>
      </c>
      <c r="C1691" s="79">
        <v>80</v>
      </c>
      <c r="D1691" s="80">
        <v>43331.416875000003</v>
      </c>
      <c r="E1691" s="81">
        <f t="shared" ca="1" si="12"/>
        <v>43313</v>
      </c>
      <c r="F1691" s="82">
        <f ca="1">IFERROR(__xludf.DUMMYFUNCTION("""COMPUTED_VALUE"""),0.416875)</f>
        <v>0.416875</v>
      </c>
      <c r="G1691" s="83">
        <f t="shared" ca="1" si="13"/>
        <v>19</v>
      </c>
      <c r="H1691" s="83">
        <f ca="1">IFERROR(__xludf.DUMMYFUNCTION("""COMPUTED_VALUE"""),0)</f>
        <v>0</v>
      </c>
      <c r="I1691" s="83">
        <f ca="1">IFERROR(__xludf.DUMMYFUNCTION("""COMPUTED_VALUE"""),18)</f>
        <v>18</v>
      </c>
    </row>
    <row r="1692" spans="1:9">
      <c r="A1692" s="79">
        <v>102</v>
      </c>
      <c r="B1692" s="79">
        <v>2</v>
      </c>
      <c r="C1692" s="79">
        <v>104</v>
      </c>
      <c r="D1692" s="80">
        <v>43331.427268518521</v>
      </c>
      <c r="E1692" s="81">
        <f t="shared" ca="1" si="12"/>
        <v>43313</v>
      </c>
      <c r="F1692" s="82">
        <f ca="1">IFERROR(__xludf.DUMMYFUNCTION("""COMPUTED_VALUE"""),0.427268518518518)</f>
        <v>0.42726851851851799</v>
      </c>
      <c r="G1692" s="83">
        <f t="shared" ca="1" si="13"/>
        <v>19</v>
      </c>
      <c r="H1692" s="83">
        <f ca="1">IFERROR(__xludf.DUMMYFUNCTION("""COMPUTED_VALUE"""),15)</f>
        <v>15</v>
      </c>
      <c r="I1692" s="83">
        <f ca="1">IFERROR(__xludf.DUMMYFUNCTION("""COMPUTED_VALUE"""),16)</f>
        <v>16</v>
      </c>
    </row>
    <row r="1693" spans="1:9">
      <c r="A1693" s="79">
        <v>103</v>
      </c>
      <c r="B1693" s="79">
        <v>4</v>
      </c>
      <c r="C1693" s="79">
        <v>107</v>
      </c>
      <c r="D1693" s="80">
        <v>43331.437696759262</v>
      </c>
      <c r="E1693" s="81">
        <f t="shared" ca="1" si="12"/>
        <v>43313</v>
      </c>
      <c r="F1693" s="82">
        <f ca="1">IFERROR(__xludf.DUMMYFUNCTION("""COMPUTED_VALUE"""),0.437696759259259)</f>
        <v>0.43769675925925899</v>
      </c>
      <c r="G1693" s="83">
        <f t="shared" ca="1" si="13"/>
        <v>19</v>
      </c>
      <c r="H1693" s="83">
        <f ca="1">IFERROR(__xludf.DUMMYFUNCTION("""COMPUTED_VALUE"""),30)</f>
        <v>30</v>
      </c>
      <c r="I1693" s="83">
        <f ca="1">IFERROR(__xludf.DUMMYFUNCTION("""COMPUTED_VALUE"""),17)</f>
        <v>17</v>
      </c>
    </row>
    <row r="1694" spans="1:9">
      <c r="A1694" s="79">
        <v>128</v>
      </c>
      <c r="B1694" s="79">
        <v>2</v>
      </c>
      <c r="C1694" s="79">
        <v>130</v>
      </c>
      <c r="D1694" s="80">
        <v>43331.448101851849</v>
      </c>
      <c r="E1694" s="81">
        <f t="shared" ca="1" si="12"/>
        <v>43313</v>
      </c>
      <c r="F1694" s="82">
        <f ca="1">IFERROR(__xludf.DUMMYFUNCTION("""COMPUTED_VALUE"""),0.448101851851851)</f>
        <v>0.44810185185185097</v>
      </c>
      <c r="G1694" s="83">
        <f t="shared" ca="1" si="13"/>
        <v>19</v>
      </c>
      <c r="H1694" s="83">
        <f ca="1">IFERROR(__xludf.DUMMYFUNCTION("""COMPUTED_VALUE"""),45)</f>
        <v>45</v>
      </c>
      <c r="I1694" s="83">
        <f ca="1">IFERROR(__xludf.DUMMYFUNCTION("""COMPUTED_VALUE"""),16)</f>
        <v>16</v>
      </c>
    </row>
    <row r="1695" spans="1:9">
      <c r="A1695" s="79">
        <v>110</v>
      </c>
      <c r="B1695" s="79">
        <v>2</v>
      </c>
      <c r="C1695" s="79">
        <v>112</v>
      </c>
      <c r="D1695" s="80">
        <v>43331.458541666667</v>
      </c>
      <c r="E1695" s="81">
        <f t="shared" ca="1" si="12"/>
        <v>43313</v>
      </c>
      <c r="F1695" s="82">
        <f ca="1">IFERROR(__xludf.DUMMYFUNCTION("""COMPUTED_VALUE"""),0.458541666666666)</f>
        <v>0.45854166666666601</v>
      </c>
      <c r="G1695" s="83">
        <f t="shared" ca="1" si="13"/>
        <v>19</v>
      </c>
      <c r="H1695" s="83">
        <f ca="1">IFERROR(__xludf.DUMMYFUNCTION("""COMPUTED_VALUE"""),0)</f>
        <v>0</v>
      </c>
      <c r="I1695" s="83">
        <f ca="1">IFERROR(__xludf.DUMMYFUNCTION("""COMPUTED_VALUE"""),18)</f>
        <v>18</v>
      </c>
    </row>
    <row r="1696" spans="1:9">
      <c r="A1696" s="79">
        <v>129</v>
      </c>
      <c r="B1696" s="79">
        <v>2</v>
      </c>
      <c r="C1696" s="79">
        <v>131</v>
      </c>
      <c r="D1696" s="80">
        <v>43331.468935185185</v>
      </c>
      <c r="E1696" s="81">
        <f t="shared" ca="1" si="12"/>
        <v>43313</v>
      </c>
      <c r="F1696" s="82">
        <f ca="1">IFERROR(__xludf.DUMMYFUNCTION("""COMPUTED_VALUE"""),0.468935185185185)</f>
        <v>0.46893518518518501</v>
      </c>
      <c r="G1696" s="83">
        <f t="shared" ca="1" si="13"/>
        <v>19</v>
      </c>
      <c r="H1696" s="83">
        <f ca="1">IFERROR(__xludf.DUMMYFUNCTION("""COMPUTED_VALUE"""),15)</f>
        <v>15</v>
      </c>
      <c r="I1696" s="83">
        <f ca="1">IFERROR(__xludf.DUMMYFUNCTION("""COMPUTED_VALUE"""),16)</f>
        <v>16</v>
      </c>
    </row>
    <row r="1697" spans="1:9">
      <c r="A1697" s="79">
        <v>163</v>
      </c>
      <c r="B1697" s="79">
        <v>2</v>
      </c>
      <c r="C1697" s="79">
        <v>165</v>
      </c>
      <c r="D1697" s="80">
        <v>43331.479363425926</v>
      </c>
      <c r="E1697" s="81">
        <f t="shared" ca="1" si="12"/>
        <v>43313</v>
      </c>
      <c r="F1697" s="82">
        <f ca="1">IFERROR(__xludf.DUMMYFUNCTION("""COMPUTED_VALUE"""),0.479363425925925)</f>
        <v>0.47936342592592501</v>
      </c>
      <c r="G1697" s="83">
        <f t="shared" ca="1" si="13"/>
        <v>19</v>
      </c>
      <c r="H1697" s="83">
        <f ca="1">IFERROR(__xludf.DUMMYFUNCTION("""COMPUTED_VALUE"""),30)</f>
        <v>30</v>
      </c>
      <c r="I1697" s="83">
        <f ca="1">IFERROR(__xludf.DUMMYFUNCTION("""COMPUTED_VALUE"""),17)</f>
        <v>17</v>
      </c>
    </row>
    <row r="1698" spans="1:9">
      <c r="A1698" s="79">
        <v>198</v>
      </c>
      <c r="B1698" s="79">
        <v>1</v>
      </c>
      <c r="C1698" s="79">
        <v>199</v>
      </c>
      <c r="D1698" s="80">
        <v>43331.489768518521</v>
      </c>
      <c r="E1698" s="81">
        <f t="shared" ca="1" si="12"/>
        <v>43313</v>
      </c>
      <c r="F1698" s="82">
        <f ca="1">IFERROR(__xludf.DUMMYFUNCTION("""COMPUTED_VALUE"""),0.489768518518518)</f>
        <v>0.48976851851851799</v>
      </c>
      <c r="G1698" s="83">
        <f t="shared" ca="1" si="13"/>
        <v>19</v>
      </c>
      <c r="H1698" s="83">
        <f ca="1">IFERROR(__xludf.DUMMYFUNCTION("""COMPUTED_VALUE"""),45)</f>
        <v>45</v>
      </c>
      <c r="I1698" s="83">
        <f ca="1">IFERROR(__xludf.DUMMYFUNCTION("""COMPUTED_VALUE"""),16)</f>
        <v>16</v>
      </c>
    </row>
    <row r="1699" spans="1:9">
      <c r="A1699" s="79">
        <v>163</v>
      </c>
      <c r="B1699" s="79">
        <v>2</v>
      </c>
      <c r="C1699" s="79">
        <v>165</v>
      </c>
      <c r="D1699" s="80">
        <v>43331.500196759262</v>
      </c>
      <c r="E1699" s="81">
        <f t="shared" ca="1" si="12"/>
        <v>43313</v>
      </c>
      <c r="F1699" s="82">
        <f ca="1">IFERROR(__xludf.DUMMYFUNCTION("""COMPUTED_VALUE"""),0.500196759259259)</f>
        <v>0.50019675925925899</v>
      </c>
      <c r="G1699" s="83">
        <f t="shared" ca="1" si="13"/>
        <v>19</v>
      </c>
      <c r="H1699" s="83">
        <f ca="1">IFERROR(__xludf.DUMMYFUNCTION("""COMPUTED_VALUE"""),0)</f>
        <v>0</v>
      </c>
      <c r="I1699" s="83">
        <f ca="1">IFERROR(__xludf.DUMMYFUNCTION("""COMPUTED_VALUE"""),17)</f>
        <v>17</v>
      </c>
    </row>
    <row r="1700" spans="1:9">
      <c r="A1700" s="79">
        <v>178</v>
      </c>
      <c r="B1700" s="79">
        <v>1</v>
      </c>
      <c r="C1700" s="79">
        <v>179</v>
      </c>
      <c r="D1700" s="80">
        <v>43331.510613425926</v>
      </c>
      <c r="E1700" s="81">
        <f t="shared" ca="1" si="12"/>
        <v>43313</v>
      </c>
      <c r="F1700" s="82">
        <f ca="1">IFERROR(__xludf.DUMMYFUNCTION("""COMPUTED_VALUE"""),0.510613425925926)</f>
        <v>0.51061342592592596</v>
      </c>
      <c r="G1700" s="83">
        <f t="shared" ca="1" si="13"/>
        <v>19</v>
      </c>
      <c r="H1700" s="83">
        <f ca="1">IFERROR(__xludf.DUMMYFUNCTION("""COMPUTED_VALUE"""),15)</f>
        <v>15</v>
      </c>
      <c r="I1700" s="83">
        <f ca="1">IFERROR(__xludf.DUMMYFUNCTION("""COMPUTED_VALUE"""),17)</f>
        <v>17</v>
      </c>
    </row>
    <row r="1701" spans="1:9">
      <c r="A1701" s="79">
        <v>178</v>
      </c>
      <c r="B1701" s="79">
        <v>1</v>
      </c>
      <c r="C1701" s="79">
        <v>179</v>
      </c>
      <c r="D1701" s="80">
        <v>43331.52103009259</v>
      </c>
      <c r="E1701" s="81">
        <f t="shared" ca="1" si="12"/>
        <v>43313</v>
      </c>
      <c r="F1701" s="82">
        <f ca="1">IFERROR(__xludf.DUMMYFUNCTION("""COMPUTED_VALUE"""),0.521030092592592)</f>
        <v>0.52103009259259203</v>
      </c>
      <c r="G1701" s="83">
        <f t="shared" ca="1" si="13"/>
        <v>19</v>
      </c>
      <c r="H1701" s="83">
        <f ca="1">IFERROR(__xludf.DUMMYFUNCTION("""COMPUTED_VALUE"""),30)</f>
        <v>30</v>
      </c>
      <c r="I1701" s="83">
        <f ca="1">IFERROR(__xludf.DUMMYFUNCTION("""COMPUTED_VALUE"""),17)</f>
        <v>17</v>
      </c>
    </row>
    <row r="1702" spans="1:9">
      <c r="A1702" s="79">
        <v>192</v>
      </c>
      <c r="B1702" s="79">
        <v>2</v>
      </c>
      <c r="C1702" s="79">
        <v>194</v>
      </c>
      <c r="D1702" s="80">
        <v>43331.531446759262</v>
      </c>
      <c r="E1702" s="81">
        <f t="shared" ca="1" si="12"/>
        <v>43313</v>
      </c>
      <c r="F1702" s="82">
        <f ca="1">IFERROR(__xludf.DUMMYFUNCTION("""COMPUTED_VALUE"""),0.531446759259259)</f>
        <v>0.53144675925925899</v>
      </c>
      <c r="G1702" s="83">
        <f t="shared" ca="1" si="13"/>
        <v>19</v>
      </c>
      <c r="H1702" s="83">
        <f ca="1">IFERROR(__xludf.DUMMYFUNCTION("""COMPUTED_VALUE"""),45)</f>
        <v>45</v>
      </c>
      <c r="I1702" s="83">
        <f ca="1">IFERROR(__xludf.DUMMYFUNCTION("""COMPUTED_VALUE"""),17)</f>
        <v>17</v>
      </c>
    </row>
    <row r="1703" spans="1:9">
      <c r="A1703" s="79">
        <v>201</v>
      </c>
      <c r="B1703" s="79">
        <v>1</v>
      </c>
      <c r="C1703" s="79">
        <v>200</v>
      </c>
      <c r="D1703" s="80">
        <v>43331.541863425926</v>
      </c>
      <c r="E1703" s="81">
        <f t="shared" ca="1" si="12"/>
        <v>43313</v>
      </c>
      <c r="F1703" s="82">
        <f ca="1">IFERROR(__xludf.DUMMYFUNCTION("""COMPUTED_VALUE"""),0.541863425925926)</f>
        <v>0.54186342592592596</v>
      </c>
      <c r="G1703" s="83">
        <f t="shared" ca="1" si="13"/>
        <v>19</v>
      </c>
      <c r="H1703" s="83">
        <f ca="1">IFERROR(__xludf.DUMMYFUNCTION("""COMPUTED_VALUE"""),0)</f>
        <v>0</v>
      </c>
      <c r="I1703" s="83">
        <f ca="1">IFERROR(__xludf.DUMMYFUNCTION("""COMPUTED_VALUE"""),17)</f>
        <v>17</v>
      </c>
    </row>
    <row r="1704" spans="1:9">
      <c r="A1704" s="79">
        <v>213</v>
      </c>
      <c r="B1704" s="79">
        <v>3</v>
      </c>
      <c r="C1704" s="79">
        <v>216</v>
      </c>
      <c r="D1704" s="80">
        <v>43331.552268518521</v>
      </c>
      <c r="E1704" s="81">
        <f t="shared" ca="1" si="12"/>
        <v>43313</v>
      </c>
      <c r="F1704" s="82">
        <f ca="1">IFERROR(__xludf.DUMMYFUNCTION("""COMPUTED_VALUE"""),0.552268518518518)</f>
        <v>0.55226851851851799</v>
      </c>
      <c r="G1704" s="83">
        <f t="shared" ca="1" si="13"/>
        <v>19</v>
      </c>
      <c r="H1704" s="83">
        <f ca="1">IFERROR(__xludf.DUMMYFUNCTION("""COMPUTED_VALUE"""),15)</f>
        <v>15</v>
      </c>
      <c r="I1704" s="83">
        <f ca="1">IFERROR(__xludf.DUMMYFUNCTION("""COMPUTED_VALUE"""),16)</f>
        <v>16</v>
      </c>
    </row>
    <row r="1705" spans="1:9">
      <c r="A1705" s="79">
        <v>207</v>
      </c>
      <c r="B1705" s="79">
        <v>3</v>
      </c>
      <c r="C1705" s="79">
        <v>210</v>
      </c>
      <c r="D1705" s="80">
        <v>43331.562696759262</v>
      </c>
      <c r="E1705" s="81">
        <f t="shared" ca="1" si="12"/>
        <v>43313</v>
      </c>
      <c r="F1705" s="82">
        <f ca="1">IFERROR(__xludf.DUMMYFUNCTION("""COMPUTED_VALUE"""),0.562696759259259)</f>
        <v>0.56269675925925899</v>
      </c>
      <c r="G1705" s="83">
        <f t="shared" ca="1" si="13"/>
        <v>19</v>
      </c>
      <c r="H1705" s="83">
        <f ca="1">IFERROR(__xludf.DUMMYFUNCTION("""COMPUTED_VALUE"""),30)</f>
        <v>30</v>
      </c>
      <c r="I1705" s="83">
        <f ca="1">IFERROR(__xludf.DUMMYFUNCTION("""COMPUTED_VALUE"""),17)</f>
        <v>17</v>
      </c>
    </row>
    <row r="1706" spans="1:9">
      <c r="A1706" s="79">
        <v>273</v>
      </c>
      <c r="B1706" s="79">
        <v>2</v>
      </c>
      <c r="C1706" s="79">
        <v>275</v>
      </c>
      <c r="D1706" s="80">
        <v>43331.573101851849</v>
      </c>
      <c r="E1706" s="81">
        <f t="shared" ca="1" si="12"/>
        <v>43313</v>
      </c>
      <c r="F1706" s="82">
        <f ca="1">IFERROR(__xludf.DUMMYFUNCTION("""COMPUTED_VALUE"""),0.573101851851851)</f>
        <v>0.57310185185185103</v>
      </c>
      <c r="G1706" s="83">
        <f t="shared" ca="1" si="13"/>
        <v>19</v>
      </c>
      <c r="H1706" s="83">
        <f ca="1">IFERROR(__xludf.DUMMYFUNCTION("""COMPUTED_VALUE"""),45)</f>
        <v>45</v>
      </c>
      <c r="I1706" s="83">
        <f ca="1">IFERROR(__xludf.DUMMYFUNCTION("""COMPUTED_VALUE"""),16)</f>
        <v>16</v>
      </c>
    </row>
    <row r="1707" spans="1:9">
      <c r="A1707" s="79">
        <v>253</v>
      </c>
      <c r="B1707" s="79">
        <v>2</v>
      </c>
      <c r="C1707" s="79">
        <v>255</v>
      </c>
      <c r="D1707" s="80">
        <v>43331.58353009259</v>
      </c>
      <c r="E1707" s="81">
        <f t="shared" ca="1" si="12"/>
        <v>43313</v>
      </c>
      <c r="F1707" s="82">
        <f ca="1">IFERROR(__xludf.DUMMYFUNCTION("""COMPUTED_VALUE"""),0.583530092592592)</f>
        <v>0.58353009259259203</v>
      </c>
      <c r="G1707" s="83">
        <f t="shared" ca="1" si="13"/>
        <v>19</v>
      </c>
      <c r="H1707" s="83">
        <f ca="1">IFERROR(__xludf.DUMMYFUNCTION("""COMPUTED_VALUE"""),0)</f>
        <v>0</v>
      </c>
      <c r="I1707" s="83">
        <f ca="1">IFERROR(__xludf.DUMMYFUNCTION("""COMPUTED_VALUE"""),17)</f>
        <v>17</v>
      </c>
    </row>
    <row r="1708" spans="1:9">
      <c r="A1708" s="79">
        <v>239</v>
      </c>
      <c r="B1708" s="79">
        <v>5</v>
      </c>
      <c r="C1708" s="79">
        <v>244</v>
      </c>
      <c r="D1708" s="80">
        <v>43331.593935185185</v>
      </c>
      <c r="E1708" s="81">
        <f t="shared" ca="1" si="12"/>
        <v>43313</v>
      </c>
      <c r="F1708" s="82">
        <f ca="1">IFERROR(__xludf.DUMMYFUNCTION("""COMPUTED_VALUE"""),0.593935185185185)</f>
        <v>0.59393518518518496</v>
      </c>
      <c r="G1708" s="83">
        <f t="shared" ca="1" si="13"/>
        <v>19</v>
      </c>
      <c r="H1708" s="83">
        <f ca="1">IFERROR(__xludf.DUMMYFUNCTION("""COMPUTED_VALUE"""),15)</f>
        <v>15</v>
      </c>
      <c r="I1708" s="83">
        <f ca="1">IFERROR(__xludf.DUMMYFUNCTION("""COMPUTED_VALUE"""),16)</f>
        <v>16</v>
      </c>
    </row>
    <row r="1709" spans="1:9">
      <c r="A1709" s="79">
        <v>253</v>
      </c>
      <c r="B1709" s="79">
        <v>5</v>
      </c>
      <c r="C1709" s="79">
        <v>258</v>
      </c>
      <c r="D1709" s="80">
        <v>43331.604363425926</v>
      </c>
      <c r="E1709" s="81">
        <f t="shared" ca="1" si="12"/>
        <v>43313</v>
      </c>
      <c r="F1709" s="82">
        <f ca="1">IFERROR(__xludf.DUMMYFUNCTION("""COMPUTED_VALUE"""),0.604363425925926)</f>
        <v>0.60436342592592596</v>
      </c>
      <c r="G1709" s="83">
        <f t="shared" ca="1" si="13"/>
        <v>19</v>
      </c>
      <c r="H1709" s="83">
        <f ca="1">IFERROR(__xludf.DUMMYFUNCTION("""COMPUTED_VALUE"""),30)</f>
        <v>30</v>
      </c>
      <c r="I1709" s="83">
        <f ca="1">IFERROR(__xludf.DUMMYFUNCTION("""COMPUTED_VALUE"""),17)</f>
        <v>17</v>
      </c>
    </row>
    <row r="1710" spans="1:9">
      <c r="A1710" s="79">
        <v>263</v>
      </c>
      <c r="B1710" s="79">
        <v>3</v>
      </c>
      <c r="C1710" s="79">
        <v>266</v>
      </c>
      <c r="D1710" s="80">
        <v>43331.614768518521</v>
      </c>
      <c r="E1710" s="81">
        <f t="shared" ca="1" si="12"/>
        <v>43313</v>
      </c>
      <c r="F1710" s="82">
        <f ca="1">IFERROR(__xludf.DUMMYFUNCTION("""COMPUTED_VALUE"""),0.614768518518518)</f>
        <v>0.61476851851851799</v>
      </c>
      <c r="G1710" s="83">
        <f t="shared" ca="1" si="13"/>
        <v>19</v>
      </c>
      <c r="H1710" s="83">
        <f ca="1">IFERROR(__xludf.DUMMYFUNCTION("""COMPUTED_VALUE"""),45)</f>
        <v>45</v>
      </c>
      <c r="I1710" s="83">
        <f ca="1">IFERROR(__xludf.DUMMYFUNCTION("""COMPUTED_VALUE"""),16)</f>
        <v>16</v>
      </c>
    </row>
    <row r="1711" spans="1:9">
      <c r="A1711" s="79">
        <v>254</v>
      </c>
      <c r="B1711" s="79">
        <v>2</v>
      </c>
      <c r="C1711" s="79">
        <v>256</v>
      </c>
      <c r="D1711" s="80">
        <v>43331.625196759262</v>
      </c>
      <c r="E1711" s="81">
        <f t="shared" ca="1" si="12"/>
        <v>43313</v>
      </c>
      <c r="F1711" s="82">
        <f ca="1">IFERROR(__xludf.DUMMYFUNCTION("""COMPUTED_VALUE"""),0.625196759259259)</f>
        <v>0.62519675925925899</v>
      </c>
      <c r="G1711" s="83">
        <f t="shared" ca="1" si="13"/>
        <v>19</v>
      </c>
      <c r="H1711" s="83">
        <f ca="1">IFERROR(__xludf.DUMMYFUNCTION("""COMPUTED_VALUE"""),0)</f>
        <v>0</v>
      </c>
      <c r="I1711" s="83">
        <f ca="1">IFERROR(__xludf.DUMMYFUNCTION("""COMPUTED_VALUE"""),17)</f>
        <v>17</v>
      </c>
    </row>
    <row r="1712" spans="1:9">
      <c r="A1712" s="79">
        <v>260</v>
      </c>
      <c r="B1712" s="79">
        <v>2</v>
      </c>
      <c r="C1712" s="79">
        <v>262</v>
      </c>
      <c r="D1712" s="80">
        <v>43331.635601851849</v>
      </c>
      <c r="E1712" s="81">
        <f t="shared" ca="1" si="12"/>
        <v>43313</v>
      </c>
      <c r="F1712" s="82">
        <f ca="1">IFERROR(__xludf.DUMMYFUNCTION("""COMPUTED_VALUE"""),0.635601851851851)</f>
        <v>0.63560185185185103</v>
      </c>
      <c r="G1712" s="83">
        <f t="shared" ca="1" si="13"/>
        <v>19</v>
      </c>
      <c r="H1712" s="83">
        <f ca="1">IFERROR(__xludf.DUMMYFUNCTION("""COMPUTED_VALUE"""),15)</f>
        <v>15</v>
      </c>
      <c r="I1712" s="83">
        <f ca="1">IFERROR(__xludf.DUMMYFUNCTION("""COMPUTED_VALUE"""),16)</f>
        <v>16</v>
      </c>
    </row>
    <row r="1713" spans="1:9">
      <c r="A1713" s="79">
        <v>259</v>
      </c>
      <c r="B1713" s="79">
        <v>2</v>
      </c>
      <c r="C1713" s="79">
        <v>261</v>
      </c>
      <c r="D1713" s="80">
        <v>43331.646018518521</v>
      </c>
      <c r="E1713" s="81">
        <f t="shared" ca="1" si="12"/>
        <v>43313</v>
      </c>
      <c r="F1713" s="82">
        <f ca="1">IFERROR(__xludf.DUMMYFUNCTION("""COMPUTED_VALUE"""),0.646018518518518)</f>
        <v>0.64601851851851799</v>
      </c>
      <c r="G1713" s="83">
        <f t="shared" ca="1" si="13"/>
        <v>19</v>
      </c>
      <c r="H1713" s="83">
        <f ca="1">IFERROR(__xludf.DUMMYFUNCTION("""COMPUTED_VALUE"""),30)</f>
        <v>30</v>
      </c>
      <c r="I1713" s="83">
        <f ca="1">IFERROR(__xludf.DUMMYFUNCTION("""COMPUTED_VALUE"""),16)</f>
        <v>16</v>
      </c>
    </row>
    <row r="1714" spans="1:9">
      <c r="A1714" s="79">
        <v>288</v>
      </c>
      <c r="B1714" s="79">
        <v>4</v>
      </c>
      <c r="C1714" s="79">
        <v>292</v>
      </c>
      <c r="D1714" s="80">
        <v>43331.656446759262</v>
      </c>
      <c r="E1714" s="81">
        <f t="shared" ca="1" si="12"/>
        <v>43313</v>
      </c>
      <c r="F1714" s="82">
        <f ca="1">IFERROR(__xludf.DUMMYFUNCTION("""COMPUTED_VALUE"""),0.656446759259259)</f>
        <v>0.65644675925925899</v>
      </c>
      <c r="G1714" s="83">
        <f t="shared" ca="1" si="13"/>
        <v>19</v>
      </c>
      <c r="H1714" s="83">
        <f ca="1">IFERROR(__xludf.DUMMYFUNCTION("""COMPUTED_VALUE"""),45)</f>
        <v>45</v>
      </c>
      <c r="I1714" s="83">
        <f ca="1">IFERROR(__xludf.DUMMYFUNCTION("""COMPUTED_VALUE"""),17)</f>
        <v>17</v>
      </c>
    </row>
    <row r="1715" spans="1:9">
      <c r="A1715" s="79">
        <v>295</v>
      </c>
      <c r="B1715" s="79">
        <v>6</v>
      </c>
      <c r="C1715" s="79">
        <v>301</v>
      </c>
      <c r="D1715" s="80">
        <v>43331.666851851849</v>
      </c>
      <c r="E1715" s="81">
        <f t="shared" ca="1" si="12"/>
        <v>43313</v>
      </c>
      <c r="F1715" s="82">
        <f ca="1">IFERROR(__xludf.DUMMYFUNCTION("""COMPUTED_VALUE"""),0.666851851851851)</f>
        <v>0.66685185185185103</v>
      </c>
      <c r="G1715" s="83">
        <f t="shared" ca="1" si="13"/>
        <v>19</v>
      </c>
      <c r="H1715" s="83">
        <f ca="1">IFERROR(__xludf.DUMMYFUNCTION("""COMPUTED_VALUE"""),0)</f>
        <v>0</v>
      </c>
      <c r="I1715" s="83">
        <f ca="1">IFERROR(__xludf.DUMMYFUNCTION("""COMPUTED_VALUE"""),16)</f>
        <v>16</v>
      </c>
    </row>
    <row r="1716" spans="1:9">
      <c r="A1716" s="79">
        <v>291</v>
      </c>
      <c r="B1716" s="79">
        <v>5</v>
      </c>
      <c r="C1716" s="79">
        <v>296</v>
      </c>
      <c r="D1716" s="80">
        <v>43331.67728009259</v>
      </c>
      <c r="E1716" s="81">
        <f t="shared" ca="1" si="12"/>
        <v>43313</v>
      </c>
      <c r="F1716" s="82">
        <f ca="1">IFERROR(__xludf.DUMMYFUNCTION("""COMPUTED_VALUE"""),0.677280092592592)</f>
        <v>0.67728009259259203</v>
      </c>
      <c r="G1716" s="83">
        <f t="shared" ca="1" si="13"/>
        <v>19</v>
      </c>
      <c r="H1716" s="83">
        <f ca="1">IFERROR(__xludf.DUMMYFUNCTION("""COMPUTED_VALUE"""),15)</f>
        <v>15</v>
      </c>
      <c r="I1716" s="83">
        <f ca="1">IFERROR(__xludf.DUMMYFUNCTION("""COMPUTED_VALUE"""),17)</f>
        <v>17</v>
      </c>
    </row>
    <row r="1717" spans="1:9">
      <c r="A1717" s="79">
        <v>303</v>
      </c>
      <c r="B1717" s="79">
        <v>4</v>
      </c>
      <c r="C1717" s="79">
        <v>307</v>
      </c>
      <c r="D1717" s="80">
        <v>43331.687685185185</v>
      </c>
      <c r="E1717" s="81">
        <f t="shared" ca="1" si="12"/>
        <v>43313</v>
      </c>
      <c r="F1717" s="82">
        <f ca="1">IFERROR(__xludf.DUMMYFUNCTION("""COMPUTED_VALUE"""),0.687685185185185)</f>
        <v>0.68768518518518496</v>
      </c>
      <c r="G1717" s="83">
        <f t="shared" ca="1" si="13"/>
        <v>19</v>
      </c>
      <c r="H1717" s="83">
        <f ca="1">IFERROR(__xludf.DUMMYFUNCTION("""COMPUTED_VALUE"""),30)</f>
        <v>30</v>
      </c>
      <c r="I1717" s="83">
        <f ca="1">IFERROR(__xludf.DUMMYFUNCTION("""COMPUTED_VALUE"""),16)</f>
        <v>16</v>
      </c>
    </row>
    <row r="1718" spans="1:9">
      <c r="A1718" s="79">
        <v>286</v>
      </c>
      <c r="B1718" s="79">
        <v>3</v>
      </c>
      <c r="C1718" s="79">
        <v>289</v>
      </c>
      <c r="D1718" s="80">
        <v>43331.698101851849</v>
      </c>
      <c r="E1718" s="81">
        <f t="shared" ca="1" si="12"/>
        <v>43313</v>
      </c>
      <c r="F1718" s="82">
        <f ca="1">IFERROR(__xludf.DUMMYFUNCTION("""COMPUTED_VALUE"""),0.698101851851851)</f>
        <v>0.69810185185185103</v>
      </c>
      <c r="G1718" s="83">
        <f t="shared" ca="1" si="13"/>
        <v>19</v>
      </c>
      <c r="H1718" s="83">
        <f ca="1">IFERROR(__xludf.DUMMYFUNCTION("""COMPUTED_VALUE"""),45)</f>
        <v>45</v>
      </c>
      <c r="I1718" s="83">
        <f ca="1">IFERROR(__xludf.DUMMYFUNCTION("""COMPUTED_VALUE"""),16)</f>
        <v>16</v>
      </c>
    </row>
    <row r="1719" spans="1:9">
      <c r="A1719" s="79">
        <v>265</v>
      </c>
      <c r="B1719" s="79">
        <v>2</v>
      </c>
      <c r="C1719" s="79">
        <v>267</v>
      </c>
      <c r="D1719" s="80">
        <v>43331.708518518521</v>
      </c>
      <c r="E1719" s="81">
        <f t="shared" ca="1" si="12"/>
        <v>43313</v>
      </c>
      <c r="F1719" s="82">
        <f ca="1">IFERROR(__xludf.DUMMYFUNCTION("""COMPUTED_VALUE"""),0.708518518518518)</f>
        <v>0.70851851851851799</v>
      </c>
      <c r="G1719" s="83">
        <f t="shared" ca="1" si="13"/>
        <v>19</v>
      </c>
      <c r="H1719" s="83">
        <f ca="1">IFERROR(__xludf.DUMMYFUNCTION("""COMPUTED_VALUE"""),0)</f>
        <v>0</v>
      </c>
      <c r="I1719" s="83">
        <f ca="1">IFERROR(__xludf.DUMMYFUNCTION("""COMPUTED_VALUE"""),16)</f>
        <v>16</v>
      </c>
    </row>
    <row r="1720" spans="1:9">
      <c r="A1720" s="79">
        <v>313</v>
      </c>
      <c r="B1720" s="79">
        <v>2</v>
      </c>
      <c r="C1720" s="79">
        <v>308</v>
      </c>
      <c r="D1720" s="80">
        <v>43331.718935185185</v>
      </c>
      <c r="E1720" s="81">
        <f t="shared" ca="1" si="12"/>
        <v>43313</v>
      </c>
      <c r="F1720" s="82">
        <f ca="1">IFERROR(__xludf.DUMMYFUNCTION("""COMPUTED_VALUE"""),0.718935185185185)</f>
        <v>0.71893518518518496</v>
      </c>
      <c r="G1720" s="83">
        <f t="shared" ca="1" si="13"/>
        <v>19</v>
      </c>
      <c r="H1720" s="83">
        <f ca="1">IFERROR(__xludf.DUMMYFUNCTION("""COMPUTED_VALUE"""),15)</f>
        <v>15</v>
      </c>
      <c r="I1720" s="83">
        <f ca="1">IFERROR(__xludf.DUMMYFUNCTION("""COMPUTED_VALUE"""),16)</f>
        <v>16</v>
      </c>
    </row>
    <row r="1721" spans="1:9">
      <c r="A1721" s="79">
        <v>289</v>
      </c>
      <c r="B1721" s="79">
        <v>2</v>
      </c>
      <c r="C1721" s="79">
        <v>291</v>
      </c>
      <c r="D1721" s="80">
        <v>43331.729351851849</v>
      </c>
      <c r="E1721" s="81">
        <f t="shared" ca="1" si="12"/>
        <v>43313</v>
      </c>
      <c r="F1721" s="82">
        <f ca="1">IFERROR(__xludf.DUMMYFUNCTION("""COMPUTED_VALUE"""),0.729351851851851)</f>
        <v>0.72935185185185103</v>
      </c>
      <c r="G1721" s="83">
        <f t="shared" ca="1" si="13"/>
        <v>19</v>
      </c>
      <c r="H1721" s="83">
        <f ca="1">IFERROR(__xludf.DUMMYFUNCTION("""COMPUTED_VALUE"""),30)</f>
        <v>30</v>
      </c>
      <c r="I1721" s="83">
        <f ca="1">IFERROR(__xludf.DUMMYFUNCTION("""COMPUTED_VALUE"""),16)</f>
        <v>16</v>
      </c>
    </row>
    <row r="1722" spans="1:9">
      <c r="A1722" s="79">
        <v>296</v>
      </c>
      <c r="B1722" s="79">
        <v>3</v>
      </c>
      <c r="C1722" s="79">
        <v>299</v>
      </c>
      <c r="D1722" s="80">
        <v>43331.73978009259</v>
      </c>
      <c r="E1722" s="81">
        <f t="shared" ca="1" si="12"/>
        <v>43313</v>
      </c>
      <c r="F1722" s="82">
        <f ca="1">IFERROR(__xludf.DUMMYFUNCTION("""COMPUTED_VALUE"""),0.739780092592592)</f>
        <v>0.73978009259259203</v>
      </c>
      <c r="G1722" s="83">
        <f t="shared" ca="1" si="13"/>
        <v>19</v>
      </c>
      <c r="H1722" s="83">
        <f ca="1">IFERROR(__xludf.DUMMYFUNCTION("""COMPUTED_VALUE"""),45)</f>
        <v>45</v>
      </c>
      <c r="I1722" s="83">
        <f ca="1">IFERROR(__xludf.DUMMYFUNCTION("""COMPUTED_VALUE"""),17)</f>
        <v>17</v>
      </c>
    </row>
    <row r="1723" spans="1:9">
      <c r="A1723" s="79">
        <v>283</v>
      </c>
      <c r="B1723" s="79">
        <v>1</v>
      </c>
      <c r="C1723" s="79">
        <v>284</v>
      </c>
      <c r="D1723" s="80">
        <v>43331.750185185185</v>
      </c>
      <c r="E1723" s="81">
        <f t="shared" ca="1" si="12"/>
        <v>43313</v>
      </c>
      <c r="F1723" s="82">
        <f ca="1">IFERROR(__xludf.DUMMYFUNCTION("""COMPUTED_VALUE"""),0.750185185185185)</f>
        <v>0.75018518518518496</v>
      </c>
      <c r="G1723" s="83">
        <f t="shared" ca="1" si="13"/>
        <v>19</v>
      </c>
      <c r="H1723" s="83">
        <f ca="1">IFERROR(__xludf.DUMMYFUNCTION("""COMPUTED_VALUE"""),0)</f>
        <v>0</v>
      </c>
      <c r="I1723" s="83">
        <f ca="1">IFERROR(__xludf.DUMMYFUNCTION("""COMPUTED_VALUE"""),16)</f>
        <v>16</v>
      </c>
    </row>
    <row r="1724" spans="1:9">
      <c r="A1724" s="79">
        <v>326</v>
      </c>
      <c r="B1724" s="79">
        <v>2</v>
      </c>
      <c r="C1724" s="79">
        <v>328</v>
      </c>
      <c r="D1724" s="80">
        <v>43331.760601851849</v>
      </c>
      <c r="E1724" s="81">
        <f t="shared" ca="1" si="12"/>
        <v>43313</v>
      </c>
      <c r="F1724" s="82">
        <f ca="1">IFERROR(__xludf.DUMMYFUNCTION("""COMPUTED_VALUE"""),0.760601851851851)</f>
        <v>0.76060185185185103</v>
      </c>
      <c r="G1724" s="83">
        <f t="shared" ca="1" si="13"/>
        <v>19</v>
      </c>
      <c r="H1724" s="83">
        <f ca="1">IFERROR(__xludf.DUMMYFUNCTION("""COMPUTED_VALUE"""),15)</f>
        <v>15</v>
      </c>
      <c r="I1724" s="83">
        <f ca="1">IFERROR(__xludf.DUMMYFUNCTION("""COMPUTED_VALUE"""),16)</f>
        <v>16</v>
      </c>
    </row>
    <row r="1725" spans="1:9">
      <c r="A1725" s="79">
        <v>313</v>
      </c>
      <c r="B1725" s="79">
        <v>1</v>
      </c>
      <c r="C1725" s="79">
        <v>310</v>
      </c>
      <c r="D1725" s="80">
        <v>43331.771018518521</v>
      </c>
      <c r="E1725" s="81">
        <f t="shared" ca="1" si="12"/>
        <v>43313</v>
      </c>
      <c r="F1725" s="82">
        <f ca="1">IFERROR(__xludf.DUMMYFUNCTION("""COMPUTED_VALUE"""),0.771018518518518)</f>
        <v>0.77101851851851799</v>
      </c>
      <c r="G1725" s="83">
        <f t="shared" ca="1" si="13"/>
        <v>19</v>
      </c>
      <c r="H1725" s="83">
        <f ca="1">IFERROR(__xludf.DUMMYFUNCTION("""COMPUTED_VALUE"""),30)</f>
        <v>30</v>
      </c>
      <c r="I1725" s="83">
        <f ca="1">IFERROR(__xludf.DUMMYFUNCTION("""COMPUTED_VALUE"""),16)</f>
        <v>16</v>
      </c>
    </row>
    <row r="1726" spans="1:9">
      <c r="A1726" s="79">
        <v>340</v>
      </c>
      <c r="B1726" s="79">
        <v>5</v>
      </c>
      <c r="C1726" s="79">
        <v>345</v>
      </c>
      <c r="D1726" s="80">
        <v>43331.781435185185</v>
      </c>
      <c r="E1726" s="81">
        <f t="shared" ca="1" si="12"/>
        <v>43313</v>
      </c>
      <c r="F1726" s="82">
        <f ca="1">IFERROR(__xludf.DUMMYFUNCTION("""COMPUTED_VALUE"""),0.781435185185185)</f>
        <v>0.78143518518518496</v>
      </c>
      <c r="G1726" s="83">
        <f t="shared" ca="1" si="13"/>
        <v>19</v>
      </c>
      <c r="H1726" s="83">
        <f ca="1">IFERROR(__xludf.DUMMYFUNCTION("""COMPUTED_VALUE"""),45)</f>
        <v>45</v>
      </c>
      <c r="I1726" s="83">
        <f ca="1">IFERROR(__xludf.DUMMYFUNCTION("""COMPUTED_VALUE"""),16)</f>
        <v>16</v>
      </c>
    </row>
    <row r="1727" spans="1:9">
      <c r="A1727" s="79">
        <v>332</v>
      </c>
      <c r="B1727" s="79">
        <v>5</v>
      </c>
      <c r="C1727" s="79">
        <v>337</v>
      </c>
      <c r="D1727" s="80">
        <v>43331.791851851849</v>
      </c>
      <c r="E1727" s="81">
        <f t="shared" ca="1" si="12"/>
        <v>43313</v>
      </c>
      <c r="F1727" s="82">
        <f ca="1">IFERROR(__xludf.DUMMYFUNCTION("""COMPUTED_VALUE"""),0.791851851851851)</f>
        <v>0.79185185185185103</v>
      </c>
      <c r="G1727" s="83">
        <f t="shared" ca="1" si="13"/>
        <v>19</v>
      </c>
      <c r="H1727" s="83">
        <f ca="1">IFERROR(__xludf.DUMMYFUNCTION("""COMPUTED_VALUE"""),0)</f>
        <v>0</v>
      </c>
      <c r="I1727" s="83">
        <f ca="1">IFERROR(__xludf.DUMMYFUNCTION("""COMPUTED_VALUE"""),16)</f>
        <v>16</v>
      </c>
    </row>
    <row r="1728" spans="1:9">
      <c r="A1728" s="79">
        <v>342</v>
      </c>
      <c r="B1728" s="79">
        <v>5</v>
      </c>
      <c r="C1728" s="79">
        <v>343</v>
      </c>
      <c r="D1728" s="80">
        <v>43331.80228009259</v>
      </c>
      <c r="E1728" s="81">
        <f t="shared" ca="1" si="12"/>
        <v>43313</v>
      </c>
      <c r="F1728" s="82">
        <f ca="1">IFERROR(__xludf.DUMMYFUNCTION("""COMPUTED_VALUE"""),0.802280092592592)</f>
        <v>0.80228009259259203</v>
      </c>
      <c r="G1728" s="83">
        <f t="shared" ca="1" si="13"/>
        <v>19</v>
      </c>
      <c r="H1728" s="83">
        <f ca="1">IFERROR(__xludf.DUMMYFUNCTION("""COMPUTED_VALUE"""),15)</f>
        <v>15</v>
      </c>
      <c r="I1728" s="83">
        <f ca="1">IFERROR(__xludf.DUMMYFUNCTION("""COMPUTED_VALUE"""),17)</f>
        <v>17</v>
      </c>
    </row>
    <row r="1729" spans="1:9">
      <c r="A1729" s="79">
        <v>330</v>
      </c>
      <c r="B1729" s="79">
        <v>4</v>
      </c>
      <c r="C1729" s="79">
        <v>334</v>
      </c>
      <c r="D1729" s="80">
        <v>43331.812685185185</v>
      </c>
      <c r="E1729" s="81">
        <f t="shared" ca="1" si="12"/>
        <v>43313</v>
      </c>
      <c r="F1729" s="82">
        <f ca="1">IFERROR(__xludf.DUMMYFUNCTION("""COMPUTED_VALUE"""),0.812685185185185)</f>
        <v>0.81268518518518496</v>
      </c>
      <c r="G1729" s="83">
        <f t="shared" ca="1" si="13"/>
        <v>19</v>
      </c>
      <c r="H1729" s="83">
        <f ca="1">IFERROR(__xludf.DUMMYFUNCTION("""COMPUTED_VALUE"""),30)</f>
        <v>30</v>
      </c>
      <c r="I1729" s="83">
        <f ca="1">IFERROR(__xludf.DUMMYFUNCTION("""COMPUTED_VALUE"""),16)</f>
        <v>16</v>
      </c>
    </row>
    <row r="1730" spans="1:9">
      <c r="A1730" s="79">
        <v>322</v>
      </c>
      <c r="B1730" s="79">
        <v>10</v>
      </c>
      <c r="C1730" s="79">
        <v>332</v>
      </c>
      <c r="D1730" s="80">
        <v>43331.823101851849</v>
      </c>
      <c r="E1730" s="81">
        <f t="shared" ca="1" si="12"/>
        <v>43313</v>
      </c>
      <c r="F1730" s="82">
        <f ca="1">IFERROR(__xludf.DUMMYFUNCTION("""COMPUTED_VALUE"""),0.823101851851851)</f>
        <v>0.82310185185185103</v>
      </c>
      <c r="G1730" s="83">
        <f t="shared" ca="1" si="13"/>
        <v>19</v>
      </c>
      <c r="H1730" s="83">
        <f ca="1">IFERROR(__xludf.DUMMYFUNCTION("""COMPUTED_VALUE"""),45)</f>
        <v>45</v>
      </c>
      <c r="I1730" s="83">
        <f ca="1">IFERROR(__xludf.DUMMYFUNCTION("""COMPUTED_VALUE"""),16)</f>
        <v>16</v>
      </c>
    </row>
    <row r="1731" spans="1:9">
      <c r="A1731" s="79">
        <v>315</v>
      </c>
      <c r="B1731" s="79">
        <v>5</v>
      </c>
      <c r="C1731" s="79">
        <v>320</v>
      </c>
      <c r="D1731" s="80">
        <v>43331.833518518521</v>
      </c>
      <c r="E1731" s="81">
        <f t="shared" ca="1" si="12"/>
        <v>43313</v>
      </c>
      <c r="F1731" s="82">
        <f ca="1">IFERROR(__xludf.DUMMYFUNCTION("""COMPUTED_VALUE"""),0.833518518518518)</f>
        <v>0.83351851851851799</v>
      </c>
      <c r="G1731" s="83">
        <f t="shared" ca="1" si="13"/>
        <v>19</v>
      </c>
      <c r="H1731" s="83">
        <f ca="1">IFERROR(__xludf.DUMMYFUNCTION("""COMPUTED_VALUE"""),0)</f>
        <v>0</v>
      </c>
      <c r="I1731" s="83">
        <f ca="1">IFERROR(__xludf.DUMMYFUNCTION("""COMPUTED_VALUE"""),16)</f>
        <v>16</v>
      </c>
    </row>
    <row r="1732" spans="1:9">
      <c r="A1732" s="79">
        <v>345</v>
      </c>
      <c r="B1732" s="79">
        <v>8</v>
      </c>
      <c r="C1732" s="79">
        <v>353</v>
      </c>
      <c r="D1732" s="80">
        <v>43331.843935185185</v>
      </c>
      <c r="E1732" s="81">
        <f t="shared" ca="1" si="12"/>
        <v>43313</v>
      </c>
      <c r="F1732" s="82">
        <f ca="1">IFERROR(__xludf.DUMMYFUNCTION("""COMPUTED_VALUE"""),0.843935185185185)</f>
        <v>0.84393518518518496</v>
      </c>
      <c r="G1732" s="83">
        <f t="shared" ca="1" si="13"/>
        <v>19</v>
      </c>
      <c r="H1732" s="83">
        <f ca="1">IFERROR(__xludf.DUMMYFUNCTION("""COMPUTED_VALUE"""),15)</f>
        <v>15</v>
      </c>
      <c r="I1732" s="83">
        <f ca="1">IFERROR(__xludf.DUMMYFUNCTION("""COMPUTED_VALUE"""),16)</f>
        <v>16</v>
      </c>
    </row>
    <row r="1733" spans="1:9">
      <c r="A1733" s="79">
        <v>345</v>
      </c>
      <c r="B1733" s="79">
        <v>10</v>
      </c>
      <c r="C1733" s="79">
        <v>355</v>
      </c>
      <c r="D1733" s="80">
        <v>43331.854351851849</v>
      </c>
      <c r="E1733" s="81">
        <f t="shared" ca="1" si="12"/>
        <v>43313</v>
      </c>
      <c r="F1733" s="82">
        <f ca="1">IFERROR(__xludf.DUMMYFUNCTION("""COMPUTED_VALUE"""),0.854351851851851)</f>
        <v>0.85435185185185103</v>
      </c>
      <c r="G1733" s="83">
        <f t="shared" ca="1" si="13"/>
        <v>19</v>
      </c>
      <c r="H1733" s="83">
        <f ca="1">IFERROR(__xludf.DUMMYFUNCTION("""COMPUTED_VALUE"""),30)</f>
        <v>30</v>
      </c>
      <c r="I1733" s="83">
        <f ca="1">IFERROR(__xludf.DUMMYFUNCTION("""COMPUTED_VALUE"""),16)</f>
        <v>16</v>
      </c>
    </row>
    <row r="1734" spans="1:9">
      <c r="A1734" s="79">
        <v>371</v>
      </c>
      <c r="B1734" s="79">
        <v>9</v>
      </c>
      <c r="C1734" s="79">
        <v>380</v>
      </c>
      <c r="D1734" s="80">
        <v>43331.864768518521</v>
      </c>
      <c r="E1734" s="81">
        <f t="shared" ca="1" si="12"/>
        <v>43313</v>
      </c>
      <c r="F1734" s="82">
        <f ca="1">IFERROR(__xludf.DUMMYFUNCTION("""COMPUTED_VALUE"""),0.864768518518518)</f>
        <v>0.86476851851851799</v>
      </c>
      <c r="G1734" s="83">
        <f t="shared" ca="1" si="13"/>
        <v>19</v>
      </c>
      <c r="H1734" s="83">
        <f ca="1">IFERROR(__xludf.DUMMYFUNCTION("""COMPUTED_VALUE"""),45)</f>
        <v>45</v>
      </c>
      <c r="I1734" s="83">
        <f ca="1">IFERROR(__xludf.DUMMYFUNCTION("""COMPUTED_VALUE"""),16)</f>
        <v>16</v>
      </c>
    </row>
    <row r="1735" spans="1:9">
      <c r="A1735" s="79">
        <v>347</v>
      </c>
      <c r="B1735" s="79">
        <v>2</v>
      </c>
      <c r="C1735" s="79">
        <v>349</v>
      </c>
      <c r="D1735" s="80">
        <v>43331.875173611108</v>
      </c>
      <c r="E1735" s="81">
        <f t="shared" ca="1" si="12"/>
        <v>43313</v>
      </c>
      <c r="F1735" s="82">
        <f ca="1">IFERROR(__xludf.DUMMYFUNCTION("""COMPUTED_VALUE"""),0.875173611111111)</f>
        <v>0.87517361111111103</v>
      </c>
      <c r="G1735" s="83">
        <f t="shared" ca="1" si="13"/>
        <v>19</v>
      </c>
      <c r="H1735" s="83">
        <f ca="1">IFERROR(__xludf.DUMMYFUNCTION("""COMPUTED_VALUE"""),0)</f>
        <v>0</v>
      </c>
      <c r="I1735" s="83">
        <f ca="1">IFERROR(__xludf.DUMMYFUNCTION("""COMPUTED_VALUE"""),15)</f>
        <v>15</v>
      </c>
    </row>
    <row r="1736" spans="1:9">
      <c r="A1736" s="79">
        <v>400</v>
      </c>
      <c r="B1736" s="79">
        <v>4</v>
      </c>
      <c r="C1736" s="79">
        <v>404</v>
      </c>
      <c r="D1736" s="80">
        <v>43331.885601851849</v>
      </c>
      <c r="E1736" s="81">
        <f t="shared" ca="1" si="12"/>
        <v>43313</v>
      </c>
      <c r="F1736" s="82">
        <f ca="1">IFERROR(__xludf.DUMMYFUNCTION("""COMPUTED_VALUE"""),0.885601851851851)</f>
        <v>0.88560185185185103</v>
      </c>
      <c r="G1736" s="83">
        <f t="shared" ca="1" si="13"/>
        <v>19</v>
      </c>
      <c r="H1736" s="83">
        <f ca="1">IFERROR(__xludf.DUMMYFUNCTION("""COMPUTED_VALUE"""),15)</f>
        <v>15</v>
      </c>
      <c r="I1736" s="83">
        <f ca="1">IFERROR(__xludf.DUMMYFUNCTION("""COMPUTED_VALUE"""),16)</f>
        <v>16</v>
      </c>
    </row>
    <row r="1737" spans="1:9">
      <c r="A1737" s="79">
        <v>407</v>
      </c>
      <c r="B1737" s="79">
        <v>4</v>
      </c>
      <c r="C1737" s="79">
        <v>411</v>
      </c>
      <c r="D1737" s="80">
        <v>43331.896006944444</v>
      </c>
      <c r="E1737" s="81">
        <f t="shared" ca="1" si="12"/>
        <v>43313</v>
      </c>
      <c r="F1737" s="82">
        <f ca="1">IFERROR(__xludf.DUMMYFUNCTION("""COMPUTED_VALUE"""),0.896006944444444)</f>
        <v>0.89600694444444395</v>
      </c>
      <c r="G1737" s="83">
        <f t="shared" ca="1" si="13"/>
        <v>19</v>
      </c>
      <c r="H1737" s="83">
        <f ca="1">IFERROR(__xludf.DUMMYFUNCTION("""COMPUTED_VALUE"""),30)</f>
        <v>30</v>
      </c>
      <c r="I1737" s="83">
        <f ca="1">IFERROR(__xludf.DUMMYFUNCTION("""COMPUTED_VALUE"""),15)</f>
        <v>15</v>
      </c>
    </row>
    <row r="1738" spans="1:9">
      <c r="A1738" s="79">
        <v>426</v>
      </c>
      <c r="B1738" s="79">
        <v>5</v>
      </c>
      <c r="C1738" s="79">
        <v>431</v>
      </c>
      <c r="D1738" s="80">
        <v>43331.906435185185</v>
      </c>
      <c r="E1738" s="81">
        <f t="shared" ca="1" si="12"/>
        <v>43313</v>
      </c>
      <c r="F1738" s="82">
        <f ca="1">IFERROR(__xludf.DUMMYFUNCTION("""COMPUTED_VALUE"""),0.906435185185185)</f>
        <v>0.90643518518518496</v>
      </c>
      <c r="G1738" s="83">
        <f t="shared" ca="1" si="13"/>
        <v>19</v>
      </c>
      <c r="H1738" s="83">
        <f ca="1">IFERROR(__xludf.DUMMYFUNCTION("""COMPUTED_VALUE"""),45)</f>
        <v>45</v>
      </c>
      <c r="I1738" s="83">
        <f ca="1">IFERROR(__xludf.DUMMYFUNCTION("""COMPUTED_VALUE"""),16)</f>
        <v>16</v>
      </c>
    </row>
    <row r="1739" spans="1:9">
      <c r="A1739" s="79">
        <v>396</v>
      </c>
      <c r="B1739" s="79">
        <v>3</v>
      </c>
      <c r="C1739" s="79">
        <v>399</v>
      </c>
      <c r="D1739" s="80">
        <v>43331.916863425926</v>
      </c>
      <c r="E1739" s="81">
        <f t="shared" ca="1" si="12"/>
        <v>43313</v>
      </c>
      <c r="F1739" s="82">
        <f ca="1">IFERROR(__xludf.DUMMYFUNCTION("""COMPUTED_VALUE"""),0.916863425925926)</f>
        <v>0.91686342592592596</v>
      </c>
      <c r="G1739" s="83">
        <f t="shared" ca="1" si="13"/>
        <v>19</v>
      </c>
      <c r="H1739" s="83">
        <f ca="1">IFERROR(__xludf.DUMMYFUNCTION("""COMPUTED_VALUE"""),0)</f>
        <v>0</v>
      </c>
      <c r="I1739" s="83">
        <f ca="1">IFERROR(__xludf.DUMMYFUNCTION("""COMPUTED_VALUE"""),17)</f>
        <v>17</v>
      </c>
    </row>
    <row r="1740" spans="1:9">
      <c r="A1740" s="79">
        <v>405</v>
      </c>
      <c r="B1740" s="79">
        <v>5</v>
      </c>
      <c r="C1740" s="79">
        <v>410</v>
      </c>
      <c r="D1740" s="80">
        <v>43331.927256944444</v>
      </c>
      <c r="E1740" s="81">
        <f t="shared" ca="1" si="12"/>
        <v>43313</v>
      </c>
      <c r="F1740" s="82">
        <f ca="1">IFERROR(__xludf.DUMMYFUNCTION("""COMPUTED_VALUE"""),0.927256944444444)</f>
        <v>0.92725694444444395</v>
      </c>
      <c r="G1740" s="83">
        <f t="shared" ca="1" si="13"/>
        <v>19</v>
      </c>
      <c r="H1740" s="83">
        <f ca="1">IFERROR(__xludf.DUMMYFUNCTION("""COMPUTED_VALUE"""),15)</f>
        <v>15</v>
      </c>
      <c r="I1740" s="83">
        <f ca="1">IFERROR(__xludf.DUMMYFUNCTION("""COMPUTED_VALUE"""),15)</f>
        <v>15</v>
      </c>
    </row>
    <row r="1741" spans="1:9">
      <c r="A1741" s="79">
        <v>412</v>
      </c>
      <c r="B1741" s="79">
        <v>6</v>
      </c>
      <c r="C1741" s="79">
        <v>418</v>
      </c>
      <c r="D1741" s="80">
        <v>43331.937685185185</v>
      </c>
      <c r="E1741" s="81">
        <f t="shared" ca="1" si="12"/>
        <v>43313</v>
      </c>
      <c r="F1741" s="82">
        <f ca="1">IFERROR(__xludf.DUMMYFUNCTION("""COMPUTED_VALUE"""),0.937685185185185)</f>
        <v>0.93768518518518496</v>
      </c>
      <c r="G1741" s="83">
        <f t="shared" ca="1" si="13"/>
        <v>19</v>
      </c>
      <c r="H1741" s="83">
        <f ca="1">IFERROR(__xludf.DUMMYFUNCTION("""COMPUTED_VALUE"""),30)</f>
        <v>30</v>
      </c>
      <c r="I1741" s="83">
        <f ca="1">IFERROR(__xludf.DUMMYFUNCTION("""COMPUTED_VALUE"""),16)</f>
        <v>16</v>
      </c>
    </row>
    <row r="1742" spans="1:9">
      <c r="A1742" s="79">
        <v>376</v>
      </c>
      <c r="B1742" s="79">
        <v>6</v>
      </c>
      <c r="C1742" s="79">
        <v>382</v>
      </c>
      <c r="D1742" s="80">
        <v>43331.948101851849</v>
      </c>
      <c r="E1742" s="81">
        <f t="shared" ca="1" si="12"/>
        <v>43313</v>
      </c>
      <c r="F1742" s="82">
        <f ca="1">IFERROR(__xludf.DUMMYFUNCTION("""COMPUTED_VALUE"""),0.948101851851851)</f>
        <v>0.94810185185185103</v>
      </c>
      <c r="G1742" s="83">
        <f t="shared" ca="1" si="13"/>
        <v>19</v>
      </c>
      <c r="H1742" s="83">
        <f ca="1">IFERROR(__xludf.DUMMYFUNCTION("""COMPUTED_VALUE"""),45)</f>
        <v>45</v>
      </c>
      <c r="I1742" s="83">
        <f ca="1">IFERROR(__xludf.DUMMYFUNCTION("""COMPUTED_VALUE"""),16)</f>
        <v>16</v>
      </c>
    </row>
    <row r="1743" spans="1:9">
      <c r="A1743" s="79">
        <v>337</v>
      </c>
      <c r="B1743" s="79">
        <v>5</v>
      </c>
      <c r="C1743" s="79">
        <v>342</v>
      </c>
      <c r="D1743" s="80">
        <v>43331.958518518521</v>
      </c>
      <c r="E1743" s="81">
        <f t="shared" ca="1" si="12"/>
        <v>43313</v>
      </c>
      <c r="F1743" s="82">
        <f ca="1">IFERROR(__xludf.DUMMYFUNCTION("""COMPUTED_VALUE"""),0.958518518518518)</f>
        <v>0.95851851851851799</v>
      </c>
      <c r="G1743" s="83">
        <f t="shared" ca="1" si="13"/>
        <v>19</v>
      </c>
      <c r="H1743" s="83">
        <f ca="1">IFERROR(__xludf.DUMMYFUNCTION("""COMPUTED_VALUE"""),0)</f>
        <v>0</v>
      </c>
      <c r="I1743" s="83">
        <f ca="1">IFERROR(__xludf.DUMMYFUNCTION("""COMPUTED_VALUE"""),16)</f>
        <v>16</v>
      </c>
    </row>
    <row r="1744" spans="1:9">
      <c r="A1744" s="79">
        <v>351</v>
      </c>
      <c r="B1744" s="79">
        <v>5</v>
      </c>
      <c r="C1744" s="79">
        <v>356</v>
      </c>
      <c r="D1744" s="80">
        <v>43331.968923611108</v>
      </c>
      <c r="E1744" s="81">
        <f t="shared" ca="1" si="12"/>
        <v>43313</v>
      </c>
      <c r="F1744" s="82">
        <f ca="1">IFERROR(__xludf.DUMMYFUNCTION("""COMPUTED_VALUE"""),0.968923611111111)</f>
        <v>0.96892361111111103</v>
      </c>
      <c r="G1744" s="83">
        <f t="shared" ca="1" si="13"/>
        <v>19</v>
      </c>
      <c r="H1744" s="83">
        <f ca="1">IFERROR(__xludf.DUMMYFUNCTION("""COMPUTED_VALUE"""),15)</f>
        <v>15</v>
      </c>
      <c r="I1744" s="83">
        <f ca="1">IFERROR(__xludf.DUMMYFUNCTION("""COMPUTED_VALUE"""),15)</f>
        <v>15</v>
      </c>
    </row>
    <row r="1745" spans="1:9">
      <c r="A1745" s="79">
        <v>331</v>
      </c>
      <c r="B1745" s="79">
        <v>3</v>
      </c>
      <c r="C1745" s="79">
        <v>334</v>
      </c>
      <c r="D1745" s="80">
        <v>43331.979351851849</v>
      </c>
      <c r="E1745" s="81">
        <f t="shared" ca="1" si="12"/>
        <v>43313</v>
      </c>
      <c r="F1745" s="82">
        <f ca="1">IFERROR(__xludf.DUMMYFUNCTION("""COMPUTED_VALUE"""),0.979351851851851)</f>
        <v>0.97935185185185103</v>
      </c>
      <c r="G1745" s="83">
        <f t="shared" ca="1" si="13"/>
        <v>19</v>
      </c>
      <c r="H1745" s="83">
        <f ca="1">IFERROR(__xludf.DUMMYFUNCTION("""COMPUTED_VALUE"""),30)</f>
        <v>30</v>
      </c>
      <c r="I1745" s="83">
        <f ca="1">IFERROR(__xludf.DUMMYFUNCTION("""COMPUTED_VALUE"""),16)</f>
        <v>16</v>
      </c>
    </row>
    <row r="1746" spans="1:9">
      <c r="A1746" s="79">
        <v>295</v>
      </c>
      <c r="B1746" s="79">
        <v>7</v>
      </c>
      <c r="C1746" s="79">
        <v>302</v>
      </c>
      <c r="D1746" s="80">
        <v>43331.989756944444</v>
      </c>
      <c r="E1746" s="81">
        <f t="shared" ca="1" si="12"/>
        <v>43313</v>
      </c>
      <c r="F1746" s="82">
        <f ca="1">IFERROR(__xludf.DUMMYFUNCTION("""COMPUTED_VALUE"""),0.989756944444444)</f>
        <v>0.98975694444444395</v>
      </c>
      <c r="G1746" s="83">
        <f t="shared" ca="1" si="13"/>
        <v>19</v>
      </c>
      <c r="H1746" s="83">
        <f ca="1">IFERROR(__xludf.DUMMYFUNCTION("""COMPUTED_VALUE"""),45)</f>
        <v>45</v>
      </c>
      <c r="I1746" s="83">
        <f ca="1">IFERROR(__xludf.DUMMYFUNCTION("""COMPUTED_VALUE"""),15)</f>
        <v>15</v>
      </c>
    </row>
    <row r="1747" spans="1:9">
      <c r="A1747" s="79">
        <v>265</v>
      </c>
      <c r="B1747" s="79">
        <v>4</v>
      </c>
      <c r="C1747" s="79">
        <v>269</v>
      </c>
      <c r="D1747" s="80">
        <v>43332.000196759262</v>
      </c>
      <c r="E1747" s="81">
        <f t="shared" ca="1" si="12"/>
        <v>43313</v>
      </c>
      <c r="F1747" s="82">
        <f ca="1">IFERROR(__xludf.DUMMYFUNCTION("""COMPUTED_VALUE"""),0.000196759259259259)</f>
        <v>1.9675925925925899E-4</v>
      </c>
      <c r="G1747" s="83">
        <f t="shared" ca="1" si="13"/>
        <v>19</v>
      </c>
      <c r="H1747" s="83">
        <f ca="1">IFERROR(__xludf.DUMMYFUNCTION("""COMPUTED_VALUE"""),0)</f>
        <v>0</v>
      </c>
      <c r="I1747" s="83">
        <f ca="1">IFERROR(__xludf.DUMMYFUNCTION("""COMPUTED_VALUE"""),17)</f>
        <v>17</v>
      </c>
    </row>
    <row r="1748" spans="1:9">
      <c r="A1748" s="79">
        <v>290</v>
      </c>
      <c r="B1748" s="79">
        <v>0</v>
      </c>
      <c r="C1748" s="79">
        <v>284</v>
      </c>
      <c r="D1748" s="80">
        <v>43332.01059027778</v>
      </c>
      <c r="E1748" s="81">
        <f t="shared" ca="1" si="12"/>
        <v>43313</v>
      </c>
      <c r="F1748" s="82">
        <f ca="1">IFERROR(__xludf.DUMMYFUNCTION("""COMPUTED_VALUE"""),0.0105902777777777)</f>
        <v>1.05902777777777E-2</v>
      </c>
      <c r="G1748" s="83">
        <f t="shared" ca="1" si="13"/>
        <v>19</v>
      </c>
      <c r="H1748" s="83">
        <f ca="1">IFERROR(__xludf.DUMMYFUNCTION("""COMPUTED_VALUE"""),15)</f>
        <v>15</v>
      </c>
      <c r="I1748" s="83">
        <f ca="1">IFERROR(__xludf.DUMMYFUNCTION("""COMPUTED_VALUE"""),15)</f>
        <v>15</v>
      </c>
    </row>
    <row r="1749" spans="1:9">
      <c r="A1749" s="79">
        <v>280</v>
      </c>
      <c r="B1749" s="79">
        <v>0</v>
      </c>
      <c r="C1749" s="79">
        <v>271</v>
      </c>
      <c r="D1749" s="80">
        <v>43332.021018518521</v>
      </c>
      <c r="E1749" s="81">
        <f t="shared" ca="1" si="12"/>
        <v>43313</v>
      </c>
      <c r="F1749" s="82">
        <f ca="1">IFERROR(__xludf.DUMMYFUNCTION("""COMPUTED_VALUE"""),0.0210185185185185)</f>
        <v>2.1018518518518499E-2</v>
      </c>
      <c r="G1749" s="83">
        <f t="shared" ca="1" si="13"/>
        <v>19</v>
      </c>
      <c r="H1749" s="83">
        <f ca="1">IFERROR(__xludf.DUMMYFUNCTION("""COMPUTED_VALUE"""),30)</f>
        <v>30</v>
      </c>
      <c r="I1749" s="83">
        <f ca="1">IFERROR(__xludf.DUMMYFUNCTION("""COMPUTED_VALUE"""),16)</f>
        <v>16</v>
      </c>
    </row>
    <row r="1750" spans="1:9">
      <c r="A1750" s="79">
        <v>226</v>
      </c>
      <c r="B1750" s="79">
        <v>3</v>
      </c>
      <c r="C1750" s="79">
        <v>229</v>
      </c>
      <c r="D1750" s="80">
        <v>43332.031435185185</v>
      </c>
      <c r="E1750" s="81">
        <f t="shared" ca="1" si="12"/>
        <v>43313</v>
      </c>
      <c r="F1750" s="82">
        <f ca="1">IFERROR(__xludf.DUMMYFUNCTION("""COMPUTED_VALUE"""),0.0314351851851851)</f>
        <v>3.1435185185185101E-2</v>
      </c>
      <c r="G1750" s="83">
        <f t="shared" ca="1" si="13"/>
        <v>19</v>
      </c>
      <c r="H1750" s="83">
        <f ca="1">IFERROR(__xludf.DUMMYFUNCTION("""COMPUTED_VALUE"""),45)</f>
        <v>45</v>
      </c>
      <c r="I1750" s="83">
        <f ca="1">IFERROR(__xludf.DUMMYFUNCTION("""COMPUTED_VALUE"""),16)</f>
        <v>16</v>
      </c>
    </row>
    <row r="1751" spans="1:9">
      <c r="A1751" s="79">
        <v>210</v>
      </c>
      <c r="B1751" s="79">
        <v>0</v>
      </c>
      <c r="C1751" s="79">
        <v>210</v>
      </c>
      <c r="D1751" s="80">
        <v>43332.041851851849</v>
      </c>
      <c r="E1751" s="81">
        <f t="shared" ca="1" si="12"/>
        <v>43313</v>
      </c>
      <c r="F1751" s="82">
        <f ca="1">IFERROR(__xludf.DUMMYFUNCTION("""COMPUTED_VALUE"""),0.0418518518518518)</f>
        <v>4.18518518518518E-2</v>
      </c>
      <c r="G1751" s="83">
        <f t="shared" ca="1" si="13"/>
        <v>19</v>
      </c>
      <c r="H1751" s="83">
        <f ca="1">IFERROR(__xludf.DUMMYFUNCTION("""COMPUTED_VALUE"""),0)</f>
        <v>0</v>
      </c>
      <c r="I1751" s="83">
        <f ca="1">IFERROR(__xludf.DUMMYFUNCTION("""COMPUTED_VALUE"""),16)</f>
        <v>16</v>
      </c>
    </row>
    <row r="1752" spans="1:9">
      <c r="A1752" s="79">
        <v>263</v>
      </c>
      <c r="B1752" s="79">
        <v>3</v>
      </c>
      <c r="C1752" s="79">
        <v>257</v>
      </c>
      <c r="D1752" s="80">
        <v>43332.052256944444</v>
      </c>
      <c r="E1752" s="81">
        <f t="shared" ca="1" si="12"/>
        <v>43313</v>
      </c>
      <c r="F1752" s="82">
        <f ca="1">IFERROR(__xludf.DUMMYFUNCTION("""COMPUTED_VALUE"""),0.0522569444444444)</f>
        <v>5.2256944444444398E-2</v>
      </c>
      <c r="G1752" s="83">
        <f t="shared" ca="1" si="13"/>
        <v>19</v>
      </c>
      <c r="H1752" s="83">
        <f ca="1">IFERROR(__xludf.DUMMYFUNCTION("""COMPUTED_VALUE"""),15)</f>
        <v>15</v>
      </c>
      <c r="I1752" s="83">
        <f ca="1">IFERROR(__xludf.DUMMYFUNCTION("""COMPUTED_VALUE"""),15)</f>
        <v>15</v>
      </c>
    </row>
    <row r="1753" spans="1:9">
      <c r="A1753" s="79">
        <v>217</v>
      </c>
      <c r="B1753" s="79">
        <v>3</v>
      </c>
      <c r="C1753" s="79">
        <v>218</v>
      </c>
      <c r="D1753" s="80">
        <v>43332.062673611108</v>
      </c>
      <c r="E1753" s="81">
        <f t="shared" ca="1" si="12"/>
        <v>43313</v>
      </c>
      <c r="F1753" s="82">
        <f ca="1">IFERROR(__xludf.DUMMYFUNCTION("""COMPUTED_VALUE"""),0.0626736111111111)</f>
        <v>6.2673611111111097E-2</v>
      </c>
      <c r="G1753" s="83">
        <f t="shared" ca="1" si="13"/>
        <v>19</v>
      </c>
      <c r="H1753" s="83">
        <f ca="1">IFERROR(__xludf.DUMMYFUNCTION("""COMPUTED_VALUE"""),30)</f>
        <v>30</v>
      </c>
      <c r="I1753" s="83">
        <f ca="1">IFERROR(__xludf.DUMMYFUNCTION("""COMPUTED_VALUE"""),15)</f>
        <v>15</v>
      </c>
    </row>
    <row r="1754" spans="1:9">
      <c r="A1754" s="79">
        <v>178</v>
      </c>
      <c r="B1754" s="79">
        <v>2</v>
      </c>
      <c r="C1754" s="79">
        <v>170</v>
      </c>
      <c r="D1754" s="80">
        <v>43332.073101851849</v>
      </c>
      <c r="E1754" s="81">
        <f t="shared" ca="1" si="12"/>
        <v>43313</v>
      </c>
      <c r="F1754" s="82">
        <f ca="1">IFERROR(__xludf.DUMMYFUNCTION("""COMPUTED_VALUE"""),0.0731018518518518)</f>
        <v>7.3101851851851807E-2</v>
      </c>
      <c r="G1754" s="83">
        <f t="shared" ca="1" si="13"/>
        <v>19</v>
      </c>
      <c r="H1754" s="83">
        <f ca="1">IFERROR(__xludf.DUMMYFUNCTION("""COMPUTED_VALUE"""),45)</f>
        <v>45</v>
      </c>
      <c r="I1754" s="83">
        <f ca="1">IFERROR(__xludf.DUMMYFUNCTION("""COMPUTED_VALUE"""),16)</f>
        <v>16</v>
      </c>
    </row>
    <row r="1755" spans="1:9">
      <c r="A1755" s="79">
        <v>203</v>
      </c>
      <c r="B1755" s="79">
        <v>0</v>
      </c>
      <c r="C1755" s="79">
        <v>203</v>
      </c>
      <c r="D1755" s="80">
        <v>43332.083506944444</v>
      </c>
      <c r="E1755" s="81">
        <f t="shared" ca="1" si="12"/>
        <v>43313</v>
      </c>
      <c r="F1755" s="82">
        <f ca="1">IFERROR(__xludf.DUMMYFUNCTION("""COMPUTED_VALUE"""),0.0835069444444444)</f>
        <v>8.3506944444444398E-2</v>
      </c>
      <c r="G1755" s="83">
        <f t="shared" ca="1" si="13"/>
        <v>19</v>
      </c>
      <c r="H1755" s="83">
        <f ca="1">IFERROR(__xludf.DUMMYFUNCTION("""COMPUTED_VALUE"""),0)</f>
        <v>0</v>
      </c>
      <c r="I1755" s="83">
        <f ca="1">IFERROR(__xludf.DUMMYFUNCTION("""COMPUTED_VALUE"""),15)</f>
        <v>15</v>
      </c>
    </row>
    <row r="1756" spans="1:9">
      <c r="A1756" s="79">
        <v>210</v>
      </c>
      <c r="B1756" s="79">
        <v>1</v>
      </c>
      <c r="C1756" s="79">
        <v>211</v>
      </c>
      <c r="D1756" s="80">
        <v>43332.093935185185</v>
      </c>
      <c r="E1756" s="81">
        <f t="shared" ca="1" si="12"/>
        <v>43313</v>
      </c>
      <c r="F1756" s="82">
        <f ca="1">IFERROR(__xludf.DUMMYFUNCTION("""COMPUTED_VALUE"""),0.0939351851851851)</f>
        <v>9.3935185185185094E-2</v>
      </c>
      <c r="G1756" s="83">
        <f t="shared" ca="1" si="13"/>
        <v>19</v>
      </c>
      <c r="H1756" s="83">
        <f ca="1">IFERROR(__xludf.DUMMYFUNCTION("""COMPUTED_VALUE"""),15)</f>
        <v>15</v>
      </c>
      <c r="I1756" s="83">
        <f ca="1">IFERROR(__xludf.DUMMYFUNCTION("""COMPUTED_VALUE"""),16)</f>
        <v>16</v>
      </c>
    </row>
    <row r="1757" spans="1:9">
      <c r="A1757" s="79">
        <v>178</v>
      </c>
      <c r="B1757" s="79">
        <v>2</v>
      </c>
      <c r="C1757" s="79">
        <v>180</v>
      </c>
      <c r="D1757" s="80">
        <v>43332.104351851849</v>
      </c>
      <c r="E1757" s="81">
        <f t="shared" ca="1" si="12"/>
        <v>43313</v>
      </c>
      <c r="F1757" s="82">
        <f ca="1">IFERROR(__xludf.DUMMYFUNCTION("""COMPUTED_VALUE"""),0.104351851851851)</f>
        <v>0.104351851851851</v>
      </c>
      <c r="G1757" s="83">
        <f t="shared" ca="1" si="13"/>
        <v>19</v>
      </c>
      <c r="H1757" s="83">
        <f ca="1">IFERROR(__xludf.DUMMYFUNCTION("""COMPUTED_VALUE"""),30)</f>
        <v>30</v>
      </c>
      <c r="I1757" s="83">
        <f ca="1">IFERROR(__xludf.DUMMYFUNCTION("""COMPUTED_VALUE"""),16)</f>
        <v>16</v>
      </c>
    </row>
    <row r="1758" spans="1:9">
      <c r="A1758" s="79">
        <v>166</v>
      </c>
      <c r="B1758" s="79">
        <v>2</v>
      </c>
      <c r="C1758" s="79">
        <v>168</v>
      </c>
      <c r="D1758" s="80">
        <v>43332.114756944444</v>
      </c>
      <c r="E1758" s="81">
        <f t="shared" ca="1" si="12"/>
        <v>43313</v>
      </c>
      <c r="F1758" s="82">
        <f ca="1">IFERROR(__xludf.DUMMYFUNCTION("""COMPUTED_VALUE"""),0.114756944444444)</f>
        <v>0.114756944444444</v>
      </c>
      <c r="G1758" s="83">
        <f t="shared" ca="1" si="13"/>
        <v>19</v>
      </c>
      <c r="H1758" s="83">
        <f ca="1">IFERROR(__xludf.DUMMYFUNCTION("""COMPUTED_VALUE"""),45)</f>
        <v>45</v>
      </c>
      <c r="I1758" s="83">
        <f ca="1">IFERROR(__xludf.DUMMYFUNCTION("""COMPUTED_VALUE"""),15)</f>
        <v>15</v>
      </c>
    </row>
    <row r="1759" spans="1:9">
      <c r="A1759" s="79">
        <v>146</v>
      </c>
      <c r="B1759" s="79">
        <v>3</v>
      </c>
      <c r="C1759" s="79">
        <v>149</v>
      </c>
      <c r="D1759" s="80">
        <v>43332.125185185185</v>
      </c>
      <c r="E1759" s="81">
        <f t="shared" ca="1" si="12"/>
        <v>43313</v>
      </c>
      <c r="F1759" s="82">
        <f ca="1">IFERROR(__xludf.DUMMYFUNCTION("""COMPUTED_VALUE"""),0.125185185185185)</f>
        <v>0.12518518518518501</v>
      </c>
      <c r="G1759" s="83">
        <f t="shared" ca="1" si="13"/>
        <v>19</v>
      </c>
      <c r="H1759" s="83">
        <f ca="1">IFERROR(__xludf.DUMMYFUNCTION("""COMPUTED_VALUE"""),0)</f>
        <v>0</v>
      </c>
      <c r="I1759" s="83">
        <f ca="1">IFERROR(__xludf.DUMMYFUNCTION("""COMPUTED_VALUE"""),16)</f>
        <v>16</v>
      </c>
    </row>
    <row r="1760" spans="1:9">
      <c r="A1760" s="79">
        <v>134</v>
      </c>
      <c r="B1760" s="79">
        <v>1</v>
      </c>
      <c r="C1760" s="79">
        <v>135</v>
      </c>
      <c r="D1760" s="80">
        <v>43332.13559027778</v>
      </c>
      <c r="E1760" s="81">
        <f t="shared" ca="1" si="12"/>
        <v>43313</v>
      </c>
      <c r="F1760" s="82">
        <f ca="1">IFERROR(__xludf.DUMMYFUNCTION("""COMPUTED_VALUE"""),0.135590277777777)</f>
        <v>0.13559027777777699</v>
      </c>
      <c r="G1760" s="83">
        <f t="shared" ca="1" si="13"/>
        <v>19</v>
      </c>
      <c r="H1760" s="83">
        <f ca="1">IFERROR(__xludf.DUMMYFUNCTION("""COMPUTED_VALUE"""),15)</f>
        <v>15</v>
      </c>
      <c r="I1760" s="83">
        <f ca="1">IFERROR(__xludf.DUMMYFUNCTION("""COMPUTED_VALUE"""),15)</f>
        <v>15</v>
      </c>
    </row>
    <row r="1761" spans="1:9">
      <c r="A1761" s="79">
        <v>123</v>
      </c>
      <c r="B1761" s="79">
        <v>1</v>
      </c>
      <c r="C1761" s="79">
        <v>124</v>
      </c>
      <c r="D1761" s="80">
        <v>43332.146018518521</v>
      </c>
      <c r="E1761" s="81">
        <f t="shared" ca="1" si="12"/>
        <v>43313</v>
      </c>
      <c r="F1761" s="82">
        <f ca="1">IFERROR(__xludf.DUMMYFUNCTION("""COMPUTED_VALUE"""),0.146018518518518)</f>
        <v>0.14601851851851799</v>
      </c>
      <c r="G1761" s="83">
        <f t="shared" ca="1" si="13"/>
        <v>19</v>
      </c>
      <c r="H1761" s="83">
        <f ca="1">IFERROR(__xludf.DUMMYFUNCTION("""COMPUTED_VALUE"""),30)</f>
        <v>30</v>
      </c>
      <c r="I1761" s="83">
        <f ca="1">IFERROR(__xludf.DUMMYFUNCTION("""COMPUTED_VALUE"""),16)</f>
        <v>16</v>
      </c>
    </row>
    <row r="1762" spans="1:9">
      <c r="A1762" s="79">
        <v>92</v>
      </c>
      <c r="B1762" s="79">
        <v>0</v>
      </c>
      <c r="C1762" s="79">
        <v>92</v>
      </c>
      <c r="D1762" s="80">
        <v>43332.156423611108</v>
      </c>
      <c r="E1762" s="81">
        <f t="shared" ca="1" si="12"/>
        <v>43313</v>
      </c>
      <c r="F1762" s="82">
        <f ca="1">IFERROR(__xludf.DUMMYFUNCTION("""COMPUTED_VALUE"""),0.156423611111111)</f>
        <v>0.156423611111111</v>
      </c>
      <c r="G1762" s="83">
        <f t="shared" ca="1" si="13"/>
        <v>19</v>
      </c>
      <c r="H1762" s="83">
        <f ca="1">IFERROR(__xludf.DUMMYFUNCTION("""COMPUTED_VALUE"""),45)</f>
        <v>45</v>
      </c>
      <c r="I1762" s="83">
        <f ca="1">IFERROR(__xludf.DUMMYFUNCTION("""COMPUTED_VALUE"""),15)</f>
        <v>15</v>
      </c>
    </row>
    <row r="1763" spans="1:9">
      <c r="A1763" s="79">
        <v>103</v>
      </c>
      <c r="B1763" s="79">
        <v>3</v>
      </c>
      <c r="C1763" s="79">
        <v>106</v>
      </c>
      <c r="D1763" s="80">
        <v>43332.166851851849</v>
      </c>
      <c r="E1763" s="81">
        <f t="shared" ca="1" si="12"/>
        <v>43313</v>
      </c>
      <c r="F1763" s="82">
        <f ca="1">IFERROR(__xludf.DUMMYFUNCTION("""COMPUTED_VALUE"""),0.166851851851851)</f>
        <v>0.166851851851851</v>
      </c>
      <c r="G1763" s="83">
        <f t="shared" ca="1" si="13"/>
        <v>19</v>
      </c>
      <c r="H1763" s="83">
        <f ca="1">IFERROR(__xludf.DUMMYFUNCTION("""COMPUTED_VALUE"""),0)</f>
        <v>0</v>
      </c>
      <c r="I1763" s="83">
        <f ca="1">IFERROR(__xludf.DUMMYFUNCTION("""COMPUTED_VALUE"""),16)</f>
        <v>16</v>
      </c>
    </row>
    <row r="1764" spans="1:9">
      <c r="A1764" s="79">
        <v>45</v>
      </c>
      <c r="B1764" s="79">
        <v>1</v>
      </c>
      <c r="C1764" s="79">
        <v>46</v>
      </c>
      <c r="D1764" s="80">
        <v>43332.177256944444</v>
      </c>
      <c r="E1764" s="81">
        <f t="shared" ca="1" si="12"/>
        <v>43313</v>
      </c>
      <c r="F1764" s="82">
        <f ca="1">IFERROR(__xludf.DUMMYFUNCTION("""COMPUTED_VALUE"""),0.177256944444444)</f>
        <v>0.17725694444444401</v>
      </c>
      <c r="G1764" s="83">
        <f t="shared" ca="1" si="13"/>
        <v>19</v>
      </c>
      <c r="H1764" s="83">
        <f ca="1">IFERROR(__xludf.DUMMYFUNCTION("""COMPUTED_VALUE"""),15)</f>
        <v>15</v>
      </c>
      <c r="I1764" s="83">
        <f ca="1">IFERROR(__xludf.DUMMYFUNCTION("""COMPUTED_VALUE"""),15)</f>
        <v>15</v>
      </c>
    </row>
    <row r="1765" spans="1:9">
      <c r="A1765" s="79">
        <v>29</v>
      </c>
      <c r="B1765" s="79">
        <v>0</v>
      </c>
      <c r="C1765" s="79">
        <v>29</v>
      </c>
      <c r="D1765" s="80">
        <v>43332.187685185185</v>
      </c>
      <c r="E1765" s="81">
        <f t="shared" ca="1" si="12"/>
        <v>43313</v>
      </c>
      <c r="F1765" s="82">
        <f ca="1">IFERROR(__xludf.DUMMYFUNCTION("""COMPUTED_VALUE"""),0.187685185185185)</f>
        <v>0.18768518518518501</v>
      </c>
      <c r="G1765" s="83">
        <f t="shared" ca="1" si="13"/>
        <v>19</v>
      </c>
      <c r="H1765" s="83">
        <f ca="1">IFERROR(__xludf.DUMMYFUNCTION("""COMPUTED_VALUE"""),30)</f>
        <v>30</v>
      </c>
      <c r="I1765" s="83">
        <f ca="1">IFERROR(__xludf.DUMMYFUNCTION("""COMPUTED_VALUE"""),16)</f>
        <v>16</v>
      </c>
    </row>
    <row r="1766" spans="1:9">
      <c r="A1766" s="79">
        <v>26</v>
      </c>
      <c r="B1766" s="79">
        <v>0</v>
      </c>
      <c r="C1766" s="79">
        <v>26</v>
      </c>
      <c r="D1766" s="80">
        <v>43332.19809027778</v>
      </c>
      <c r="E1766" s="81">
        <f t="shared" ca="1" si="12"/>
        <v>43313</v>
      </c>
      <c r="F1766" s="82">
        <f ca="1">IFERROR(__xludf.DUMMYFUNCTION("""COMPUTED_VALUE"""),0.198090277777777)</f>
        <v>0.19809027777777699</v>
      </c>
      <c r="G1766" s="83">
        <f t="shared" ca="1" si="13"/>
        <v>19</v>
      </c>
      <c r="H1766" s="83">
        <f ca="1">IFERROR(__xludf.DUMMYFUNCTION("""COMPUTED_VALUE"""),45)</f>
        <v>45</v>
      </c>
      <c r="I1766" s="83">
        <f ca="1">IFERROR(__xludf.DUMMYFUNCTION("""COMPUTED_VALUE"""),15)</f>
        <v>15</v>
      </c>
    </row>
    <row r="1767" spans="1:9">
      <c r="A1767" s="79">
        <v>21</v>
      </c>
      <c r="B1767" s="79">
        <v>0</v>
      </c>
      <c r="C1767" s="79">
        <v>21</v>
      </c>
      <c r="D1767" s="80">
        <v>43332.208506944444</v>
      </c>
      <c r="E1767" s="81">
        <f t="shared" ca="1" si="12"/>
        <v>43313</v>
      </c>
      <c r="F1767" s="82">
        <f ca="1">IFERROR(__xludf.DUMMYFUNCTION("""COMPUTED_VALUE"""),0.208506944444444)</f>
        <v>0.20850694444444401</v>
      </c>
      <c r="G1767" s="83">
        <f t="shared" ca="1" si="13"/>
        <v>19</v>
      </c>
      <c r="H1767" s="83">
        <f ca="1">IFERROR(__xludf.DUMMYFUNCTION("""COMPUTED_VALUE"""),0)</f>
        <v>0</v>
      </c>
      <c r="I1767" s="83">
        <f ca="1">IFERROR(__xludf.DUMMYFUNCTION("""COMPUTED_VALUE"""),15)</f>
        <v>15</v>
      </c>
    </row>
    <row r="1768" spans="1:9">
      <c r="A1768" s="79">
        <v>21</v>
      </c>
      <c r="B1768" s="79">
        <v>0</v>
      </c>
      <c r="C1768" s="79">
        <v>21</v>
      </c>
      <c r="D1768" s="80">
        <v>43332.218923611108</v>
      </c>
      <c r="E1768" s="81">
        <f t="shared" ca="1" si="12"/>
        <v>43313</v>
      </c>
      <c r="F1768" s="82">
        <f ca="1">IFERROR(__xludf.DUMMYFUNCTION("""COMPUTED_VALUE"""),0.218923611111111)</f>
        <v>0.218923611111111</v>
      </c>
      <c r="G1768" s="83">
        <f t="shared" ca="1" si="13"/>
        <v>19</v>
      </c>
      <c r="H1768" s="83">
        <f ca="1">IFERROR(__xludf.DUMMYFUNCTION("""COMPUTED_VALUE"""),15)</f>
        <v>15</v>
      </c>
      <c r="I1768" s="83">
        <f ca="1">IFERROR(__xludf.DUMMYFUNCTION("""COMPUTED_VALUE"""),15)</f>
        <v>15</v>
      </c>
    </row>
    <row r="1769" spans="1:9">
      <c r="A1769" s="79">
        <v>21</v>
      </c>
      <c r="B1769" s="79">
        <v>0</v>
      </c>
      <c r="C1769" s="79">
        <v>21</v>
      </c>
      <c r="D1769" s="80">
        <v>43332.22934027778</v>
      </c>
      <c r="E1769" s="81">
        <f t="shared" ca="1" si="12"/>
        <v>43313</v>
      </c>
      <c r="F1769" s="82">
        <f ca="1">IFERROR(__xludf.DUMMYFUNCTION("""COMPUTED_VALUE"""),0.229340277777777)</f>
        <v>0.22934027777777699</v>
      </c>
      <c r="G1769" s="83">
        <f t="shared" ca="1" si="13"/>
        <v>19</v>
      </c>
      <c r="H1769" s="83">
        <f ca="1">IFERROR(__xludf.DUMMYFUNCTION("""COMPUTED_VALUE"""),30)</f>
        <v>30</v>
      </c>
      <c r="I1769" s="83">
        <f ca="1">IFERROR(__xludf.DUMMYFUNCTION("""COMPUTED_VALUE"""),15)</f>
        <v>15</v>
      </c>
    </row>
    <row r="1770" spans="1:9">
      <c r="A1770" s="79">
        <v>20</v>
      </c>
      <c r="B1770" s="79">
        <v>0</v>
      </c>
      <c r="C1770" s="79">
        <v>20</v>
      </c>
      <c r="D1770" s="80">
        <v>43332.239756944444</v>
      </c>
      <c r="E1770" s="81">
        <f t="shared" ca="1" si="12"/>
        <v>43313</v>
      </c>
      <c r="F1770" s="82">
        <f ca="1">IFERROR(__xludf.DUMMYFUNCTION("""COMPUTED_VALUE"""),0.239756944444444)</f>
        <v>0.23975694444444401</v>
      </c>
      <c r="G1770" s="83">
        <f t="shared" ca="1" si="13"/>
        <v>19</v>
      </c>
      <c r="H1770" s="83">
        <f ca="1">IFERROR(__xludf.DUMMYFUNCTION("""COMPUTED_VALUE"""),45)</f>
        <v>45</v>
      </c>
      <c r="I1770" s="83">
        <f ca="1">IFERROR(__xludf.DUMMYFUNCTION("""COMPUTED_VALUE"""),15)</f>
        <v>15</v>
      </c>
    </row>
    <row r="1771" spans="1:9">
      <c r="A1771" s="79">
        <v>18</v>
      </c>
      <c r="B1771" s="79">
        <v>0</v>
      </c>
      <c r="C1771" s="79">
        <v>18</v>
      </c>
      <c r="D1771" s="80">
        <v>43332.250173611108</v>
      </c>
      <c r="E1771" s="81">
        <f t="shared" ca="1" si="12"/>
        <v>43313</v>
      </c>
      <c r="F1771" s="82">
        <f ca="1">IFERROR(__xludf.DUMMYFUNCTION("""COMPUTED_VALUE"""),0.250173611111111)</f>
        <v>0.25017361111111103</v>
      </c>
      <c r="G1771" s="83">
        <f t="shared" ca="1" si="13"/>
        <v>19</v>
      </c>
      <c r="H1771" s="83">
        <f ca="1">IFERROR(__xludf.DUMMYFUNCTION("""COMPUTED_VALUE"""),0)</f>
        <v>0</v>
      </c>
      <c r="I1771" s="83">
        <f ca="1">IFERROR(__xludf.DUMMYFUNCTION("""COMPUTED_VALUE"""),15)</f>
        <v>15</v>
      </c>
    </row>
    <row r="1772" spans="1:9">
      <c r="A1772" s="79">
        <v>16</v>
      </c>
      <c r="B1772" s="79">
        <v>0</v>
      </c>
      <c r="C1772" s="79">
        <v>16</v>
      </c>
      <c r="D1772" s="80">
        <v>43332.26059027778</v>
      </c>
      <c r="E1772" s="81">
        <f t="shared" ca="1" si="12"/>
        <v>43313</v>
      </c>
      <c r="F1772" s="82">
        <f ca="1">IFERROR(__xludf.DUMMYFUNCTION("""COMPUTED_VALUE"""),0.260590277777777)</f>
        <v>0.26059027777777699</v>
      </c>
      <c r="G1772" s="83">
        <f t="shared" ca="1" si="13"/>
        <v>19</v>
      </c>
      <c r="H1772" s="83">
        <f ca="1">IFERROR(__xludf.DUMMYFUNCTION("""COMPUTED_VALUE"""),15)</f>
        <v>15</v>
      </c>
      <c r="I1772" s="83">
        <f ca="1">IFERROR(__xludf.DUMMYFUNCTION("""COMPUTED_VALUE"""),15)</f>
        <v>15</v>
      </c>
    </row>
    <row r="1773" spans="1:9">
      <c r="A1773" s="79">
        <v>16</v>
      </c>
      <c r="B1773" s="79">
        <v>0</v>
      </c>
      <c r="C1773" s="79">
        <v>16</v>
      </c>
      <c r="D1773" s="80">
        <v>43332.273784722223</v>
      </c>
      <c r="E1773" s="81">
        <f t="shared" ca="1" si="12"/>
        <v>43313</v>
      </c>
      <c r="F1773" s="82">
        <f ca="1">IFERROR(__xludf.DUMMYFUNCTION("""COMPUTED_VALUE"""),0.273784722222222)</f>
        <v>0.273784722222222</v>
      </c>
      <c r="G1773" s="83">
        <f t="shared" ca="1" si="13"/>
        <v>19</v>
      </c>
      <c r="H1773" s="83">
        <f ca="1">IFERROR(__xludf.DUMMYFUNCTION("""COMPUTED_VALUE"""),34)</f>
        <v>34</v>
      </c>
      <c r="I1773" s="83">
        <f ca="1">IFERROR(__xludf.DUMMYFUNCTION("""COMPUTED_VALUE"""),15)</f>
        <v>15</v>
      </c>
    </row>
    <row r="1774" spans="1:9">
      <c r="A1774" s="79">
        <v>15</v>
      </c>
      <c r="B1774" s="79">
        <v>0</v>
      </c>
      <c r="C1774" s="79">
        <v>15</v>
      </c>
      <c r="D1774" s="80">
        <v>43332.281423611108</v>
      </c>
      <c r="E1774" s="81">
        <f t="shared" ca="1" si="12"/>
        <v>43313</v>
      </c>
      <c r="F1774" s="82">
        <f ca="1">IFERROR(__xludf.DUMMYFUNCTION("""COMPUTED_VALUE"""),0.281423611111111)</f>
        <v>0.28142361111111103</v>
      </c>
      <c r="G1774" s="83">
        <f t="shared" ca="1" si="13"/>
        <v>19</v>
      </c>
      <c r="H1774" s="83">
        <f ca="1">IFERROR(__xludf.DUMMYFUNCTION("""COMPUTED_VALUE"""),45)</f>
        <v>45</v>
      </c>
      <c r="I1774" s="83">
        <f ca="1">IFERROR(__xludf.DUMMYFUNCTION("""COMPUTED_VALUE"""),15)</f>
        <v>15</v>
      </c>
    </row>
    <row r="1775" spans="1:9">
      <c r="A1775" s="79">
        <v>21</v>
      </c>
      <c r="B1775" s="79">
        <v>0</v>
      </c>
      <c r="C1775" s="79">
        <v>21</v>
      </c>
      <c r="D1775" s="80">
        <v>43332.291851851849</v>
      </c>
      <c r="E1775" s="81">
        <f t="shared" ca="1" si="12"/>
        <v>43313</v>
      </c>
      <c r="F1775" s="82">
        <f ca="1">IFERROR(__xludf.DUMMYFUNCTION("""COMPUTED_VALUE"""),0.291851851851851)</f>
        <v>0.29185185185185097</v>
      </c>
      <c r="G1775" s="83">
        <f t="shared" ca="1" si="13"/>
        <v>19</v>
      </c>
      <c r="H1775" s="83">
        <f ca="1">IFERROR(__xludf.DUMMYFUNCTION("""COMPUTED_VALUE"""),0)</f>
        <v>0</v>
      </c>
      <c r="I1775" s="83">
        <f ca="1">IFERROR(__xludf.DUMMYFUNCTION("""COMPUTED_VALUE"""),16)</f>
        <v>16</v>
      </c>
    </row>
    <row r="1776" spans="1:9">
      <c r="A1776" s="79">
        <v>41</v>
      </c>
      <c r="B1776" s="79">
        <v>0</v>
      </c>
      <c r="C1776" s="79">
        <v>41</v>
      </c>
      <c r="D1776" s="80">
        <v>43332.302268518521</v>
      </c>
      <c r="E1776" s="81">
        <f t="shared" ca="1" si="12"/>
        <v>43313</v>
      </c>
      <c r="F1776" s="82">
        <f ca="1">IFERROR(__xludf.DUMMYFUNCTION("""COMPUTED_VALUE"""),0.302268518518518)</f>
        <v>0.30226851851851799</v>
      </c>
      <c r="G1776" s="83">
        <f t="shared" ca="1" si="13"/>
        <v>19</v>
      </c>
      <c r="H1776" s="83">
        <f ca="1">IFERROR(__xludf.DUMMYFUNCTION("""COMPUTED_VALUE"""),15)</f>
        <v>15</v>
      </c>
      <c r="I1776" s="83">
        <f ca="1">IFERROR(__xludf.DUMMYFUNCTION("""COMPUTED_VALUE"""),16)</f>
        <v>16</v>
      </c>
    </row>
    <row r="1777" spans="1:9">
      <c r="A1777" s="79">
        <v>52</v>
      </c>
      <c r="B1777" s="79">
        <v>0</v>
      </c>
      <c r="C1777" s="79">
        <v>52</v>
      </c>
      <c r="D1777" s="80">
        <v>43332.312696759262</v>
      </c>
      <c r="E1777" s="81">
        <f t="shared" ca="1" si="12"/>
        <v>43313</v>
      </c>
      <c r="F1777" s="82">
        <f ca="1">IFERROR(__xludf.DUMMYFUNCTION("""COMPUTED_VALUE"""),0.312696759259259)</f>
        <v>0.31269675925925899</v>
      </c>
      <c r="G1777" s="83">
        <f t="shared" ca="1" si="13"/>
        <v>19</v>
      </c>
      <c r="H1777" s="83">
        <f ca="1">IFERROR(__xludf.DUMMYFUNCTION("""COMPUTED_VALUE"""),30)</f>
        <v>30</v>
      </c>
      <c r="I1777" s="83">
        <f ca="1">IFERROR(__xludf.DUMMYFUNCTION("""COMPUTED_VALUE"""),17)</f>
        <v>17</v>
      </c>
    </row>
    <row r="1778" spans="1:9">
      <c r="A1778" s="79">
        <v>56</v>
      </c>
      <c r="B1778" s="79">
        <v>0</v>
      </c>
      <c r="C1778" s="79">
        <v>56</v>
      </c>
      <c r="D1778" s="80">
        <v>43332.323101851849</v>
      </c>
      <c r="E1778" s="81">
        <f t="shared" ca="1" si="12"/>
        <v>43313</v>
      </c>
      <c r="F1778" s="82">
        <f ca="1">IFERROR(__xludf.DUMMYFUNCTION("""COMPUTED_VALUE"""),0.323101851851851)</f>
        <v>0.32310185185185097</v>
      </c>
      <c r="G1778" s="83">
        <f t="shared" ca="1" si="13"/>
        <v>19</v>
      </c>
      <c r="H1778" s="83">
        <f ca="1">IFERROR(__xludf.DUMMYFUNCTION("""COMPUTED_VALUE"""),45)</f>
        <v>45</v>
      </c>
      <c r="I1778" s="83">
        <f ca="1">IFERROR(__xludf.DUMMYFUNCTION("""COMPUTED_VALUE"""),16)</f>
        <v>16</v>
      </c>
    </row>
    <row r="1779" spans="1:9">
      <c r="A1779" s="79">
        <v>43</v>
      </c>
      <c r="B1779" s="79">
        <v>0</v>
      </c>
      <c r="C1779" s="79">
        <v>43</v>
      </c>
      <c r="D1779" s="80">
        <v>43332.33353009259</v>
      </c>
      <c r="E1779" s="81">
        <f t="shared" ca="1" si="12"/>
        <v>43313</v>
      </c>
      <c r="F1779" s="82">
        <f ca="1">IFERROR(__xludf.DUMMYFUNCTION("""COMPUTED_VALUE"""),0.333530092592592)</f>
        <v>0.33353009259259198</v>
      </c>
      <c r="G1779" s="83">
        <f t="shared" ca="1" si="13"/>
        <v>19</v>
      </c>
      <c r="H1779" s="83">
        <f ca="1">IFERROR(__xludf.DUMMYFUNCTION("""COMPUTED_VALUE"""),0)</f>
        <v>0</v>
      </c>
      <c r="I1779" s="83">
        <f ca="1">IFERROR(__xludf.DUMMYFUNCTION("""COMPUTED_VALUE"""),17)</f>
        <v>17</v>
      </c>
    </row>
    <row r="1780" spans="1:9">
      <c r="A1780" s="79">
        <v>57</v>
      </c>
      <c r="B1780" s="79">
        <v>0</v>
      </c>
      <c r="C1780" s="79">
        <v>57</v>
      </c>
      <c r="D1780" s="80">
        <v>43332.343935185185</v>
      </c>
      <c r="E1780" s="81">
        <f t="shared" ca="1" si="12"/>
        <v>43313</v>
      </c>
      <c r="F1780" s="82">
        <f ca="1">IFERROR(__xludf.DUMMYFUNCTION("""COMPUTED_VALUE"""),0.343935185185185)</f>
        <v>0.34393518518518501</v>
      </c>
      <c r="G1780" s="83">
        <f t="shared" ca="1" si="13"/>
        <v>19</v>
      </c>
      <c r="H1780" s="83">
        <f ca="1">IFERROR(__xludf.DUMMYFUNCTION("""COMPUTED_VALUE"""),15)</f>
        <v>15</v>
      </c>
      <c r="I1780" s="83">
        <f ca="1">IFERROR(__xludf.DUMMYFUNCTION("""COMPUTED_VALUE"""),16)</f>
        <v>16</v>
      </c>
    </row>
    <row r="1781" spans="1:9">
      <c r="A1781" s="79">
        <v>115</v>
      </c>
      <c r="B1781" s="79">
        <v>1</v>
      </c>
      <c r="C1781" s="79">
        <v>116</v>
      </c>
      <c r="D1781" s="80">
        <v>43332.354363425926</v>
      </c>
      <c r="E1781" s="81">
        <f t="shared" ca="1" si="12"/>
        <v>43313</v>
      </c>
      <c r="F1781" s="82">
        <f ca="1">IFERROR(__xludf.DUMMYFUNCTION("""COMPUTED_VALUE"""),0.354363425925925)</f>
        <v>0.35436342592592501</v>
      </c>
      <c r="G1781" s="83">
        <f t="shared" ca="1" si="13"/>
        <v>19</v>
      </c>
      <c r="H1781" s="83">
        <f ca="1">IFERROR(__xludf.DUMMYFUNCTION("""COMPUTED_VALUE"""),30)</f>
        <v>30</v>
      </c>
      <c r="I1781" s="83">
        <f ca="1">IFERROR(__xludf.DUMMYFUNCTION("""COMPUTED_VALUE"""),17)</f>
        <v>17</v>
      </c>
    </row>
    <row r="1782" spans="1:9">
      <c r="A1782" s="79">
        <v>155</v>
      </c>
      <c r="B1782" s="79">
        <v>1</v>
      </c>
      <c r="C1782" s="79">
        <v>156</v>
      </c>
      <c r="D1782" s="80">
        <v>43332.364768518521</v>
      </c>
      <c r="E1782" s="81">
        <f t="shared" ca="1" si="12"/>
        <v>43313</v>
      </c>
      <c r="F1782" s="82">
        <f ca="1">IFERROR(__xludf.DUMMYFUNCTION("""COMPUTED_VALUE"""),0.364768518518518)</f>
        <v>0.36476851851851799</v>
      </c>
      <c r="G1782" s="83">
        <f t="shared" ca="1" si="13"/>
        <v>19</v>
      </c>
      <c r="H1782" s="83">
        <f ca="1">IFERROR(__xludf.DUMMYFUNCTION("""COMPUTED_VALUE"""),45)</f>
        <v>45</v>
      </c>
      <c r="I1782" s="83">
        <f ca="1">IFERROR(__xludf.DUMMYFUNCTION("""COMPUTED_VALUE"""),16)</f>
        <v>16</v>
      </c>
    </row>
    <row r="1783" spans="1:9">
      <c r="A1783" s="79">
        <v>121</v>
      </c>
      <c r="B1783" s="79">
        <v>1</v>
      </c>
      <c r="C1783" s="79">
        <v>122</v>
      </c>
      <c r="D1783" s="80">
        <v>43332.375208333331</v>
      </c>
      <c r="E1783" s="81">
        <f t="shared" ca="1" si="12"/>
        <v>43313</v>
      </c>
      <c r="F1783" s="82">
        <f ca="1">IFERROR(__xludf.DUMMYFUNCTION("""COMPUTED_VALUE"""),0.375208333333333)</f>
        <v>0.37520833333333298</v>
      </c>
      <c r="G1783" s="83">
        <f t="shared" ca="1" si="13"/>
        <v>19</v>
      </c>
      <c r="H1783" s="83">
        <f ca="1">IFERROR(__xludf.DUMMYFUNCTION("""COMPUTED_VALUE"""),0)</f>
        <v>0</v>
      </c>
      <c r="I1783" s="83">
        <f ca="1">IFERROR(__xludf.DUMMYFUNCTION("""COMPUTED_VALUE"""),18)</f>
        <v>18</v>
      </c>
    </row>
    <row r="1784" spans="1:9">
      <c r="A1784" s="79">
        <v>187</v>
      </c>
      <c r="B1784" s="79">
        <v>1</v>
      </c>
      <c r="C1784" s="79">
        <v>188</v>
      </c>
      <c r="D1784" s="80">
        <v>43332.385601851849</v>
      </c>
      <c r="E1784" s="81">
        <f t="shared" ca="1" si="12"/>
        <v>43313</v>
      </c>
      <c r="F1784" s="82">
        <f ca="1">IFERROR(__xludf.DUMMYFUNCTION("""COMPUTED_VALUE"""),0.385601851851851)</f>
        <v>0.38560185185185097</v>
      </c>
      <c r="G1784" s="83">
        <f t="shared" ca="1" si="13"/>
        <v>19</v>
      </c>
      <c r="H1784" s="83">
        <f ca="1">IFERROR(__xludf.DUMMYFUNCTION("""COMPUTED_VALUE"""),15)</f>
        <v>15</v>
      </c>
      <c r="I1784" s="83">
        <f ca="1">IFERROR(__xludf.DUMMYFUNCTION("""COMPUTED_VALUE"""),16)</f>
        <v>16</v>
      </c>
    </row>
    <row r="1785" spans="1:9">
      <c r="A1785" s="79">
        <v>299</v>
      </c>
      <c r="B1785" s="79">
        <v>5</v>
      </c>
      <c r="C1785" s="79">
        <v>304</v>
      </c>
      <c r="D1785" s="80">
        <v>43332.39603009259</v>
      </c>
      <c r="E1785" s="81">
        <f t="shared" ca="1" si="12"/>
        <v>43313</v>
      </c>
      <c r="F1785" s="82">
        <f ca="1">IFERROR(__xludf.DUMMYFUNCTION("""COMPUTED_VALUE"""),0.396030092592592)</f>
        <v>0.39603009259259198</v>
      </c>
      <c r="G1785" s="83">
        <f t="shared" ca="1" si="13"/>
        <v>19</v>
      </c>
      <c r="H1785" s="83">
        <f ca="1">IFERROR(__xludf.DUMMYFUNCTION("""COMPUTED_VALUE"""),30)</f>
        <v>30</v>
      </c>
      <c r="I1785" s="83">
        <f ca="1">IFERROR(__xludf.DUMMYFUNCTION("""COMPUTED_VALUE"""),17)</f>
        <v>17</v>
      </c>
    </row>
    <row r="1786" spans="1:9">
      <c r="A1786" s="79">
        <v>518</v>
      </c>
      <c r="B1786" s="79">
        <v>11</v>
      </c>
      <c r="C1786" s="79">
        <v>529</v>
      </c>
      <c r="D1786" s="80">
        <v>43332.406435185185</v>
      </c>
      <c r="E1786" s="81">
        <f t="shared" ca="1" si="12"/>
        <v>43313</v>
      </c>
      <c r="F1786" s="82">
        <f ca="1">IFERROR(__xludf.DUMMYFUNCTION("""COMPUTED_VALUE"""),0.406435185185185)</f>
        <v>0.40643518518518501</v>
      </c>
      <c r="G1786" s="83">
        <f t="shared" ca="1" si="13"/>
        <v>19</v>
      </c>
      <c r="H1786" s="83">
        <f ca="1">IFERROR(__xludf.DUMMYFUNCTION("""COMPUTED_VALUE"""),45)</f>
        <v>45</v>
      </c>
      <c r="I1786" s="83">
        <f ca="1">IFERROR(__xludf.DUMMYFUNCTION("""COMPUTED_VALUE"""),16)</f>
        <v>16</v>
      </c>
    </row>
    <row r="1787" spans="1:9">
      <c r="A1787" s="79">
        <v>420</v>
      </c>
      <c r="B1787" s="79">
        <v>4</v>
      </c>
      <c r="C1787" s="79">
        <v>424</v>
      </c>
      <c r="D1787" s="80">
        <v>43332.416851851849</v>
      </c>
      <c r="E1787" s="81">
        <f t="shared" ref="E1787:E2834" ca="1" si="14">IFERROR(__xludf.DUMMYFUNCTION("SPLIT(D2, "" "")"),43313)</f>
        <v>43313</v>
      </c>
      <c r="F1787" s="82">
        <f ca="1">IFERROR(__xludf.DUMMYFUNCTION("""COMPUTED_VALUE"""),0.416851851851851)</f>
        <v>0.41685185185185097</v>
      </c>
      <c r="G1787" s="83">
        <f t="shared" ref="G1787:G2834" ca="1" si="15">IFERROR(__xludf.DUMMYFUNCTION("SPLIT(F2, "":"")"),19)</f>
        <v>19</v>
      </c>
      <c r="H1787" s="83">
        <f ca="1">IFERROR(__xludf.DUMMYFUNCTION("""COMPUTED_VALUE"""),0)</f>
        <v>0</v>
      </c>
      <c r="I1787" s="83">
        <f ca="1">IFERROR(__xludf.DUMMYFUNCTION("""COMPUTED_VALUE"""),16)</f>
        <v>16</v>
      </c>
    </row>
    <row r="1788" spans="1:9">
      <c r="A1788" s="79">
        <v>409</v>
      </c>
      <c r="B1788" s="79">
        <v>7</v>
      </c>
      <c r="C1788" s="79">
        <v>416</v>
      </c>
      <c r="D1788" s="80">
        <v>43332.427268518521</v>
      </c>
      <c r="E1788" s="81">
        <f t="shared" ca="1" si="14"/>
        <v>43313</v>
      </c>
      <c r="F1788" s="82">
        <f ca="1">IFERROR(__xludf.DUMMYFUNCTION("""COMPUTED_VALUE"""),0.427268518518518)</f>
        <v>0.42726851851851799</v>
      </c>
      <c r="G1788" s="83">
        <f t="shared" ca="1" si="15"/>
        <v>19</v>
      </c>
      <c r="H1788" s="83">
        <f ca="1">IFERROR(__xludf.DUMMYFUNCTION("""COMPUTED_VALUE"""),15)</f>
        <v>15</v>
      </c>
      <c r="I1788" s="83">
        <f ca="1">IFERROR(__xludf.DUMMYFUNCTION("""COMPUTED_VALUE"""),16)</f>
        <v>16</v>
      </c>
    </row>
    <row r="1789" spans="1:9">
      <c r="A1789" s="79">
        <v>469</v>
      </c>
      <c r="B1789" s="79">
        <v>7</v>
      </c>
      <c r="C1789" s="79">
        <v>476</v>
      </c>
      <c r="D1789" s="80">
        <v>43332.437685185185</v>
      </c>
      <c r="E1789" s="81">
        <f t="shared" ca="1" si="14"/>
        <v>43313</v>
      </c>
      <c r="F1789" s="82">
        <f ca="1">IFERROR(__xludf.DUMMYFUNCTION("""COMPUTED_VALUE"""),0.437685185185185)</f>
        <v>0.43768518518518501</v>
      </c>
      <c r="G1789" s="83">
        <f t="shared" ca="1" si="15"/>
        <v>19</v>
      </c>
      <c r="H1789" s="83">
        <f ca="1">IFERROR(__xludf.DUMMYFUNCTION("""COMPUTED_VALUE"""),30)</f>
        <v>30</v>
      </c>
      <c r="I1789" s="83">
        <f ca="1">IFERROR(__xludf.DUMMYFUNCTION("""COMPUTED_VALUE"""),16)</f>
        <v>16</v>
      </c>
    </row>
    <row r="1790" spans="1:9">
      <c r="A1790" s="79">
        <v>594</v>
      </c>
      <c r="B1790" s="79">
        <v>15</v>
      </c>
      <c r="C1790" s="79">
        <v>609</v>
      </c>
      <c r="D1790" s="80">
        <v>43332.448113425926</v>
      </c>
      <c r="E1790" s="81">
        <f t="shared" ca="1" si="14"/>
        <v>43313</v>
      </c>
      <c r="F1790" s="82">
        <f ca="1">IFERROR(__xludf.DUMMYFUNCTION("""COMPUTED_VALUE"""),0.448113425925925)</f>
        <v>0.44811342592592501</v>
      </c>
      <c r="G1790" s="83">
        <f t="shared" ca="1" si="15"/>
        <v>19</v>
      </c>
      <c r="H1790" s="83">
        <f ca="1">IFERROR(__xludf.DUMMYFUNCTION("""COMPUTED_VALUE"""),45)</f>
        <v>45</v>
      </c>
      <c r="I1790" s="83">
        <f ca="1">IFERROR(__xludf.DUMMYFUNCTION("""COMPUTED_VALUE"""),17)</f>
        <v>17</v>
      </c>
    </row>
    <row r="1791" spans="1:9">
      <c r="A1791" s="79">
        <v>518</v>
      </c>
      <c r="B1791" s="79">
        <v>9</v>
      </c>
      <c r="C1791" s="79">
        <v>527</v>
      </c>
      <c r="D1791" s="80">
        <v>43332.45857638889</v>
      </c>
      <c r="E1791" s="81">
        <f t="shared" ca="1" si="14"/>
        <v>43313</v>
      </c>
      <c r="F1791" s="82">
        <f ca="1">IFERROR(__xludf.DUMMYFUNCTION("""COMPUTED_VALUE"""),0.458576388888888)</f>
        <v>0.45857638888888802</v>
      </c>
      <c r="G1791" s="83">
        <f t="shared" ca="1" si="15"/>
        <v>19</v>
      </c>
      <c r="H1791" s="83">
        <f ca="1">IFERROR(__xludf.DUMMYFUNCTION("""COMPUTED_VALUE"""),0)</f>
        <v>0</v>
      </c>
      <c r="I1791" s="83">
        <f ca="1">IFERROR(__xludf.DUMMYFUNCTION("""COMPUTED_VALUE"""),21)</f>
        <v>21</v>
      </c>
    </row>
    <row r="1792" spans="1:9">
      <c r="A1792" s="79">
        <v>421</v>
      </c>
      <c r="B1792" s="79">
        <v>4</v>
      </c>
      <c r="C1792" s="79">
        <v>416</v>
      </c>
      <c r="D1792" s="80">
        <v>43332.468946759262</v>
      </c>
      <c r="E1792" s="81">
        <f t="shared" ca="1" si="14"/>
        <v>43313</v>
      </c>
      <c r="F1792" s="82">
        <f ca="1">IFERROR(__xludf.DUMMYFUNCTION("""COMPUTED_VALUE"""),0.468946759259259)</f>
        <v>0.46894675925925899</v>
      </c>
      <c r="G1792" s="83">
        <f t="shared" ca="1" si="15"/>
        <v>19</v>
      </c>
      <c r="H1792" s="83">
        <f ca="1">IFERROR(__xludf.DUMMYFUNCTION("""COMPUTED_VALUE"""),15)</f>
        <v>15</v>
      </c>
      <c r="I1792" s="83">
        <f ca="1">IFERROR(__xludf.DUMMYFUNCTION("""COMPUTED_VALUE"""),17)</f>
        <v>17</v>
      </c>
    </row>
    <row r="1793" spans="1:9">
      <c r="A1793" s="79">
        <v>353</v>
      </c>
      <c r="B1793" s="79">
        <v>5</v>
      </c>
      <c r="C1793" s="79">
        <v>358</v>
      </c>
      <c r="D1793" s="80">
        <v>43332.479351851849</v>
      </c>
      <c r="E1793" s="81">
        <f t="shared" ca="1" si="14"/>
        <v>43313</v>
      </c>
      <c r="F1793" s="82">
        <f ca="1">IFERROR(__xludf.DUMMYFUNCTION("""COMPUTED_VALUE"""),0.479351851851851)</f>
        <v>0.47935185185185097</v>
      </c>
      <c r="G1793" s="83">
        <f t="shared" ca="1" si="15"/>
        <v>19</v>
      </c>
      <c r="H1793" s="83">
        <f ca="1">IFERROR(__xludf.DUMMYFUNCTION("""COMPUTED_VALUE"""),30)</f>
        <v>30</v>
      </c>
      <c r="I1793" s="83">
        <f ca="1">IFERROR(__xludf.DUMMYFUNCTION("""COMPUTED_VALUE"""),16)</f>
        <v>16</v>
      </c>
    </row>
    <row r="1794" spans="1:9">
      <c r="A1794" s="79">
        <v>358</v>
      </c>
      <c r="B1794" s="79">
        <v>6</v>
      </c>
      <c r="C1794" s="79">
        <v>364</v>
      </c>
      <c r="D1794" s="80">
        <v>43332.489768518521</v>
      </c>
      <c r="E1794" s="81">
        <f t="shared" ca="1" si="14"/>
        <v>43313</v>
      </c>
      <c r="F1794" s="82">
        <f ca="1">IFERROR(__xludf.DUMMYFUNCTION("""COMPUTED_VALUE"""),0.489768518518518)</f>
        <v>0.48976851851851799</v>
      </c>
      <c r="G1794" s="83">
        <f t="shared" ca="1" si="15"/>
        <v>19</v>
      </c>
      <c r="H1794" s="83">
        <f ca="1">IFERROR(__xludf.DUMMYFUNCTION("""COMPUTED_VALUE"""),45)</f>
        <v>45</v>
      </c>
      <c r="I1794" s="83">
        <f ca="1">IFERROR(__xludf.DUMMYFUNCTION("""COMPUTED_VALUE"""),16)</f>
        <v>16</v>
      </c>
    </row>
    <row r="1795" spans="1:9">
      <c r="A1795" s="79">
        <v>280</v>
      </c>
      <c r="B1795" s="79">
        <v>4</v>
      </c>
      <c r="C1795" s="79">
        <v>284</v>
      </c>
      <c r="D1795" s="80">
        <v>43332.500185185185</v>
      </c>
      <c r="E1795" s="81">
        <f t="shared" ca="1" si="14"/>
        <v>43313</v>
      </c>
      <c r="F1795" s="82">
        <f ca="1">IFERROR(__xludf.DUMMYFUNCTION("""COMPUTED_VALUE"""),0.500185185185185)</f>
        <v>0.50018518518518496</v>
      </c>
      <c r="G1795" s="83">
        <f t="shared" ca="1" si="15"/>
        <v>19</v>
      </c>
      <c r="H1795" s="83">
        <f ca="1">IFERROR(__xludf.DUMMYFUNCTION("""COMPUTED_VALUE"""),0)</f>
        <v>0</v>
      </c>
      <c r="I1795" s="83">
        <f ca="1">IFERROR(__xludf.DUMMYFUNCTION("""COMPUTED_VALUE"""),16)</f>
        <v>16</v>
      </c>
    </row>
    <row r="1796" spans="1:9">
      <c r="A1796" s="79">
        <v>251</v>
      </c>
      <c r="B1796" s="79">
        <v>2</v>
      </c>
      <c r="C1796" s="79">
        <v>253</v>
      </c>
      <c r="D1796" s="80">
        <v>43332.510601851849</v>
      </c>
      <c r="E1796" s="81">
        <f t="shared" ca="1" si="14"/>
        <v>43313</v>
      </c>
      <c r="F1796" s="82">
        <f ca="1">IFERROR(__xludf.DUMMYFUNCTION("""COMPUTED_VALUE"""),0.510601851851851)</f>
        <v>0.51060185185185103</v>
      </c>
      <c r="G1796" s="83">
        <f t="shared" ca="1" si="15"/>
        <v>19</v>
      </c>
      <c r="H1796" s="83">
        <f ca="1">IFERROR(__xludf.DUMMYFUNCTION("""COMPUTED_VALUE"""),15)</f>
        <v>15</v>
      </c>
      <c r="I1796" s="83">
        <f ca="1">IFERROR(__xludf.DUMMYFUNCTION("""COMPUTED_VALUE"""),16)</f>
        <v>16</v>
      </c>
    </row>
    <row r="1797" spans="1:9">
      <c r="A1797" s="79">
        <v>272</v>
      </c>
      <c r="B1797" s="79">
        <v>1</v>
      </c>
      <c r="C1797" s="79">
        <v>273</v>
      </c>
      <c r="D1797" s="80">
        <v>43332.521018518521</v>
      </c>
      <c r="E1797" s="81">
        <f t="shared" ca="1" si="14"/>
        <v>43313</v>
      </c>
      <c r="F1797" s="82">
        <f ca="1">IFERROR(__xludf.DUMMYFUNCTION("""COMPUTED_VALUE"""),0.521018518518518)</f>
        <v>0.52101851851851799</v>
      </c>
      <c r="G1797" s="83">
        <f t="shared" ca="1" si="15"/>
        <v>19</v>
      </c>
      <c r="H1797" s="83">
        <f ca="1">IFERROR(__xludf.DUMMYFUNCTION("""COMPUTED_VALUE"""),30)</f>
        <v>30</v>
      </c>
      <c r="I1797" s="83">
        <f ca="1">IFERROR(__xludf.DUMMYFUNCTION("""COMPUTED_VALUE"""),16)</f>
        <v>16</v>
      </c>
    </row>
    <row r="1798" spans="1:9">
      <c r="A1798" s="79">
        <v>262</v>
      </c>
      <c r="B1798" s="79">
        <v>2</v>
      </c>
      <c r="C1798" s="79">
        <v>264</v>
      </c>
      <c r="D1798" s="80">
        <v>43332.531435185185</v>
      </c>
      <c r="E1798" s="81">
        <f t="shared" ca="1" si="14"/>
        <v>43313</v>
      </c>
      <c r="F1798" s="82">
        <f ca="1">IFERROR(__xludf.DUMMYFUNCTION("""COMPUTED_VALUE"""),0.531435185185185)</f>
        <v>0.53143518518518496</v>
      </c>
      <c r="G1798" s="83">
        <f t="shared" ca="1" si="15"/>
        <v>19</v>
      </c>
      <c r="H1798" s="83">
        <f ca="1">IFERROR(__xludf.DUMMYFUNCTION("""COMPUTED_VALUE"""),45)</f>
        <v>45</v>
      </c>
      <c r="I1798" s="83">
        <f ca="1">IFERROR(__xludf.DUMMYFUNCTION("""COMPUTED_VALUE"""),16)</f>
        <v>16</v>
      </c>
    </row>
    <row r="1799" spans="1:9">
      <c r="A1799" s="79">
        <v>239</v>
      </c>
      <c r="B1799" s="79">
        <v>3</v>
      </c>
      <c r="C1799" s="79">
        <v>242</v>
      </c>
      <c r="D1799" s="80">
        <v>43332.541851851849</v>
      </c>
      <c r="E1799" s="81">
        <f t="shared" ca="1" si="14"/>
        <v>43313</v>
      </c>
      <c r="F1799" s="82">
        <f ca="1">IFERROR(__xludf.DUMMYFUNCTION("""COMPUTED_VALUE"""),0.541851851851851)</f>
        <v>0.54185185185185103</v>
      </c>
      <c r="G1799" s="83">
        <f t="shared" ca="1" si="15"/>
        <v>19</v>
      </c>
      <c r="H1799" s="83">
        <f ca="1">IFERROR(__xludf.DUMMYFUNCTION("""COMPUTED_VALUE"""),0)</f>
        <v>0</v>
      </c>
      <c r="I1799" s="83">
        <f ca="1">IFERROR(__xludf.DUMMYFUNCTION("""COMPUTED_VALUE"""),16)</f>
        <v>16</v>
      </c>
    </row>
    <row r="1800" spans="1:9">
      <c r="A1800" s="79">
        <v>241</v>
      </c>
      <c r="B1800" s="79">
        <v>3</v>
      </c>
      <c r="C1800" s="79">
        <v>244</v>
      </c>
      <c r="D1800" s="80">
        <v>43332.552268518521</v>
      </c>
      <c r="E1800" s="81">
        <f t="shared" ca="1" si="14"/>
        <v>43313</v>
      </c>
      <c r="F1800" s="82">
        <f ca="1">IFERROR(__xludf.DUMMYFUNCTION("""COMPUTED_VALUE"""),0.552268518518518)</f>
        <v>0.55226851851851799</v>
      </c>
      <c r="G1800" s="83">
        <f t="shared" ca="1" si="15"/>
        <v>19</v>
      </c>
      <c r="H1800" s="83">
        <f ca="1">IFERROR(__xludf.DUMMYFUNCTION("""COMPUTED_VALUE"""),15)</f>
        <v>15</v>
      </c>
      <c r="I1800" s="83">
        <f ca="1">IFERROR(__xludf.DUMMYFUNCTION("""COMPUTED_VALUE"""),16)</f>
        <v>16</v>
      </c>
    </row>
    <row r="1801" spans="1:9">
      <c r="A1801" s="79">
        <v>271</v>
      </c>
      <c r="B1801" s="79">
        <v>4</v>
      </c>
      <c r="C1801" s="79">
        <v>275</v>
      </c>
      <c r="D1801" s="80">
        <v>43332.562685185185</v>
      </c>
      <c r="E1801" s="81">
        <f t="shared" ca="1" si="14"/>
        <v>43313</v>
      </c>
      <c r="F1801" s="82">
        <f ca="1">IFERROR(__xludf.DUMMYFUNCTION("""COMPUTED_VALUE"""),0.562685185185185)</f>
        <v>0.56268518518518496</v>
      </c>
      <c r="G1801" s="83">
        <f t="shared" ca="1" si="15"/>
        <v>19</v>
      </c>
      <c r="H1801" s="83">
        <f ca="1">IFERROR(__xludf.DUMMYFUNCTION("""COMPUTED_VALUE"""),30)</f>
        <v>30</v>
      </c>
      <c r="I1801" s="83">
        <f ca="1">IFERROR(__xludf.DUMMYFUNCTION("""COMPUTED_VALUE"""),16)</f>
        <v>16</v>
      </c>
    </row>
    <row r="1802" spans="1:9">
      <c r="A1802" s="79">
        <v>278</v>
      </c>
      <c r="B1802" s="79">
        <v>2</v>
      </c>
      <c r="C1802" s="79">
        <v>280</v>
      </c>
      <c r="D1802" s="80">
        <v>43332.573101851849</v>
      </c>
      <c r="E1802" s="81">
        <f t="shared" ca="1" si="14"/>
        <v>43313</v>
      </c>
      <c r="F1802" s="82">
        <f ca="1">IFERROR(__xludf.DUMMYFUNCTION("""COMPUTED_VALUE"""),0.573101851851851)</f>
        <v>0.57310185185185103</v>
      </c>
      <c r="G1802" s="83">
        <f t="shared" ca="1" si="15"/>
        <v>19</v>
      </c>
      <c r="H1802" s="83">
        <f ca="1">IFERROR(__xludf.DUMMYFUNCTION("""COMPUTED_VALUE"""),45)</f>
        <v>45</v>
      </c>
      <c r="I1802" s="83">
        <f ca="1">IFERROR(__xludf.DUMMYFUNCTION("""COMPUTED_VALUE"""),16)</f>
        <v>16</v>
      </c>
    </row>
    <row r="1803" spans="1:9">
      <c r="A1803" s="79">
        <v>305</v>
      </c>
      <c r="B1803" s="79">
        <v>2</v>
      </c>
      <c r="C1803" s="79">
        <v>298</v>
      </c>
      <c r="D1803" s="80">
        <v>43332.583518518521</v>
      </c>
      <c r="E1803" s="81">
        <f t="shared" ca="1" si="14"/>
        <v>43313</v>
      </c>
      <c r="F1803" s="82">
        <f ca="1">IFERROR(__xludf.DUMMYFUNCTION("""COMPUTED_VALUE"""),0.583518518518518)</f>
        <v>0.58351851851851799</v>
      </c>
      <c r="G1803" s="83">
        <f t="shared" ca="1" si="15"/>
        <v>19</v>
      </c>
      <c r="H1803" s="83">
        <f ca="1">IFERROR(__xludf.DUMMYFUNCTION("""COMPUTED_VALUE"""),0)</f>
        <v>0</v>
      </c>
      <c r="I1803" s="83">
        <f ca="1">IFERROR(__xludf.DUMMYFUNCTION("""COMPUTED_VALUE"""),16)</f>
        <v>16</v>
      </c>
    </row>
    <row r="1804" spans="1:9">
      <c r="A1804" s="79">
        <v>294</v>
      </c>
      <c r="B1804" s="79">
        <v>4</v>
      </c>
      <c r="C1804" s="79">
        <v>298</v>
      </c>
      <c r="D1804" s="80">
        <v>43332.593935185185</v>
      </c>
      <c r="E1804" s="81">
        <f t="shared" ca="1" si="14"/>
        <v>43313</v>
      </c>
      <c r="F1804" s="82">
        <f ca="1">IFERROR(__xludf.DUMMYFUNCTION("""COMPUTED_VALUE"""),0.593935185185185)</f>
        <v>0.59393518518518496</v>
      </c>
      <c r="G1804" s="83">
        <f t="shared" ca="1" si="15"/>
        <v>19</v>
      </c>
      <c r="H1804" s="83">
        <f ca="1">IFERROR(__xludf.DUMMYFUNCTION("""COMPUTED_VALUE"""),15)</f>
        <v>15</v>
      </c>
      <c r="I1804" s="83">
        <f ca="1">IFERROR(__xludf.DUMMYFUNCTION("""COMPUTED_VALUE"""),16)</f>
        <v>16</v>
      </c>
    </row>
    <row r="1805" spans="1:9">
      <c r="A1805" s="79">
        <v>276</v>
      </c>
      <c r="B1805" s="79">
        <v>2</v>
      </c>
      <c r="C1805" s="79">
        <v>274</v>
      </c>
      <c r="D1805" s="80">
        <v>43332.604363425926</v>
      </c>
      <c r="E1805" s="81">
        <f t="shared" ca="1" si="14"/>
        <v>43313</v>
      </c>
      <c r="F1805" s="82">
        <f ca="1">IFERROR(__xludf.DUMMYFUNCTION("""COMPUTED_VALUE"""),0.604363425925926)</f>
        <v>0.60436342592592596</v>
      </c>
      <c r="G1805" s="83">
        <f t="shared" ca="1" si="15"/>
        <v>19</v>
      </c>
      <c r="H1805" s="83">
        <f ca="1">IFERROR(__xludf.DUMMYFUNCTION("""COMPUTED_VALUE"""),30)</f>
        <v>30</v>
      </c>
      <c r="I1805" s="83">
        <f ca="1">IFERROR(__xludf.DUMMYFUNCTION("""COMPUTED_VALUE"""),17)</f>
        <v>17</v>
      </c>
    </row>
    <row r="1806" spans="1:9">
      <c r="A1806" s="79">
        <v>292</v>
      </c>
      <c r="B1806" s="79">
        <v>1</v>
      </c>
      <c r="C1806" s="79">
        <v>293</v>
      </c>
      <c r="D1806" s="80">
        <v>43332.614768518521</v>
      </c>
      <c r="E1806" s="81">
        <f t="shared" ca="1" si="14"/>
        <v>43313</v>
      </c>
      <c r="F1806" s="82">
        <f ca="1">IFERROR(__xludf.DUMMYFUNCTION("""COMPUTED_VALUE"""),0.614768518518518)</f>
        <v>0.61476851851851799</v>
      </c>
      <c r="G1806" s="83">
        <f t="shared" ca="1" si="15"/>
        <v>19</v>
      </c>
      <c r="H1806" s="83">
        <f ca="1">IFERROR(__xludf.DUMMYFUNCTION("""COMPUTED_VALUE"""),45)</f>
        <v>45</v>
      </c>
      <c r="I1806" s="83">
        <f ca="1">IFERROR(__xludf.DUMMYFUNCTION("""COMPUTED_VALUE"""),16)</f>
        <v>16</v>
      </c>
    </row>
    <row r="1807" spans="1:9">
      <c r="A1807" s="79">
        <v>314</v>
      </c>
      <c r="B1807" s="79">
        <v>0</v>
      </c>
      <c r="C1807" s="79">
        <v>314</v>
      </c>
      <c r="D1807" s="80">
        <v>43332.625185185185</v>
      </c>
      <c r="E1807" s="81">
        <f t="shared" ca="1" si="14"/>
        <v>43313</v>
      </c>
      <c r="F1807" s="82">
        <f ca="1">IFERROR(__xludf.DUMMYFUNCTION("""COMPUTED_VALUE"""),0.625185185185185)</f>
        <v>0.62518518518518496</v>
      </c>
      <c r="G1807" s="83">
        <f t="shared" ca="1" si="15"/>
        <v>19</v>
      </c>
      <c r="H1807" s="83">
        <f ca="1">IFERROR(__xludf.DUMMYFUNCTION("""COMPUTED_VALUE"""),0)</f>
        <v>0</v>
      </c>
      <c r="I1807" s="83">
        <f ca="1">IFERROR(__xludf.DUMMYFUNCTION("""COMPUTED_VALUE"""),16)</f>
        <v>16</v>
      </c>
    </row>
    <row r="1808" spans="1:9">
      <c r="A1808" s="79">
        <v>309</v>
      </c>
      <c r="B1808" s="79">
        <v>4</v>
      </c>
      <c r="C1808" s="79">
        <v>313</v>
      </c>
      <c r="D1808" s="80">
        <v>43332.635601851849</v>
      </c>
      <c r="E1808" s="81">
        <f t="shared" ca="1" si="14"/>
        <v>43313</v>
      </c>
      <c r="F1808" s="82">
        <f ca="1">IFERROR(__xludf.DUMMYFUNCTION("""COMPUTED_VALUE"""),0.635601851851851)</f>
        <v>0.63560185185185103</v>
      </c>
      <c r="G1808" s="83">
        <f t="shared" ca="1" si="15"/>
        <v>19</v>
      </c>
      <c r="H1808" s="83">
        <f ca="1">IFERROR(__xludf.DUMMYFUNCTION("""COMPUTED_VALUE"""),15)</f>
        <v>15</v>
      </c>
      <c r="I1808" s="83">
        <f ca="1">IFERROR(__xludf.DUMMYFUNCTION("""COMPUTED_VALUE"""),16)</f>
        <v>16</v>
      </c>
    </row>
    <row r="1809" spans="1:9">
      <c r="A1809" s="79">
        <v>312</v>
      </c>
      <c r="B1809" s="79">
        <v>3</v>
      </c>
      <c r="C1809" s="79">
        <v>315</v>
      </c>
      <c r="D1809" s="80">
        <v>43332.646018518521</v>
      </c>
      <c r="E1809" s="81">
        <f t="shared" ca="1" si="14"/>
        <v>43313</v>
      </c>
      <c r="F1809" s="82">
        <f ca="1">IFERROR(__xludf.DUMMYFUNCTION("""COMPUTED_VALUE"""),0.646018518518518)</f>
        <v>0.64601851851851799</v>
      </c>
      <c r="G1809" s="83">
        <f t="shared" ca="1" si="15"/>
        <v>19</v>
      </c>
      <c r="H1809" s="83">
        <f ca="1">IFERROR(__xludf.DUMMYFUNCTION("""COMPUTED_VALUE"""),30)</f>
        <v>30</v>
      </c>
      <c r="I1809" s="83">
        <f ca="1">IFERROR(__xludf.DUMMYFUNCTION("""COMPUTED_VALUE"""),16)</f>
        <v>16</v>
      </c>
    </row>
    <row r="1810" spans="1:9">
      <c r="A1810" s="79">
        <v>384</v>
      </c>
      <c r="B1810" s="79">
        <v>0</v>
      </c>
      <c r="C1810" s="79">
        <v>384</v>
      </c>
      <c r="D1810" s="80">
        <v>43332.656435185185</v>
      </c>
      <c r="E1810" s="81">
        <f t="shared" ca="1" si="14"/>
        <v>43313</v>
      </c>
      <c r="F1810" s="82">
        <f ca="1">IFERROR(__xludf.DUMMYFUNCTION("""COMPUTED_VALUE"""),0.656435185185185)</f>
        <v>0.65643518518518496</v>
      </c>
      <c r="G1810" s="83">
        <f t="shared" ca="1" si="15"/>
        <v>19</v>
      </c>
      <c r="H1810" s="83">
        <f ca="1">IFERROR(__xludf.DUMMYFUNCTION("""COMPUTED_VALUE"""),45)</f>
        <v>45</v>
      </c>
      <c r="I1810" s="83">
        <f ca="1">IFERROR(__xludf.DUMMYFUNCTION("""COMPUTED_VALUE"""),16)</f>
        <v>16</v>
      </c>
    </row>
    <row r="1811" spans="1:9">
      <c r="A1811" s="79">
        <v>386</v>
      </c>
      <c r="B1811" s="79">
        <v>2</v>
      </c>
      <c r="C1811" s="79">
        <v>388</v>
      </c>
      <c r="D1811" s="80">
        <v>43332.666851851849</v>
      </c>
      <c r="E1811" s="81">
        <f t="shared" ca="1" si="14"/>
        <v>43313</v>
      </c>
      <c r="F1811" s="82">
        <f ca="1">IFERROR(__xludf.DUMMYFUNCTION("""COMPUTED_VALUE"""),0.666851851851851)</f>
        <v>0.66685185185185103</v>
      </c>
      <c r="G1811" s="83">
        <f t="shared" ca="1" si="15"/>
        <v>19</v>
      </c>
      <c r="H1811" s="83">
        <f ca="1">IFERROR(__xludf.DUMMYFUNCTION("""COMPUTED_VALUE"""),0)</f>
        <v>0</v>
      </c>
      <c r="I1811" s="83">
        <f ca="1">IFERROR(__xludf.DUMMYFUNCTION("""COMPUTED_VALUE"""),16)</f>
        <v>16</v>
      </c>
    </row>
    <row r="1812" spans="1:9">
      <c r="A1812" s="79">
        <v>406</v>
      </c>
      <c r="B1812" s="79">
        <v>4</v>
      </c>
      <c r="C1812" s="79">
        <v>410</v>
      </c>
      <c r="D1812" s="80">
        <v>43332.677569444444</v>
      </c>
      <c r="E1812" s="81">
        <f t="shared" ca="1" si="14"/>
        <v>43313</v>
      </c>
      <c r="F1812" s="82">
        <f ca="1">IFERROR(__xludf.DUMMYFUNCTION("""COMPUTED_VALUE"""),0.677569444444444)</f>
        <v>0.677569444444444</v>
      </c>
      <c r="G1812" s="83">
        <f t="shared" ca="1" si="15"/>
        <v>19</v>
      </c>
      <c r="H1812" s="83">
        <f ca="1">IFERROR(__xludf.DUMMYFUNCTION("""COMPUTED_VALUE"""),15)</f>
        <v>15</v>
      </c>
      <c r="I1812" s="83">
        <f ca="1">IFERROR(__xludf.DUMMYFUNCTION("""COMPUTED_VALUE"""),42)</f>
        <v>42</v>
      </c>
    </row>
    <row r="1813" spans="1:9">
      <c r="A1813" s="79">
        <v>380</v>
      </c>
      <c r="B1813" s="79">
        <v>7</v>
      </c>
      <c r="C1813" s="79">
        <v>387</v>
      </c>
      <c r="D1813" s="80">
        <v>43332.687974537039</v>
      </c>
      <c r="E1813" s="81">
        <f t="shared" ca="1" si="14"/>
        <v>43313</v>
      </c>
      <c r="F1813" s="82">
        <f ca="1">IFERROR(__xludf.DUMMYFUNCTION("""COMPUTED_VALUE"""),0.687974537037037)</f>
        <v>0.68797453703703704</v>
      </c>
      <c r="G1813" s="83">
        <f t="shared" ca="1" si="15"/>
        <v>19</v>
      </c>
      <c r="H1813" s="83">
        <f ca="1">IFERROR(__xludf.DUMMYFUNCTION("""COMPUTED_VALUE"""),30)</f>
        <v>30</v>
      </c>
      <c r="I1813" s="83">
        <f ca="1">IFERROR(__xludf.DUMMYFUNCTION("""COMPUTED_VALUE"""),41)</f>
        <v>41</v>
      </c>
    </row>
    <row r="1814" spans="1:9">
      <c r="A1814" s="79">
        <v>404</v>
      </c>
      <c r="B1814" s="79">
        <v>5</v>
      </c>
      <c r="C1814" s="79">
        <v>409</v>
      </c>
      <c r="D1814" s="80">
        <v>43332.698391203703</v>
      </c>
      <c r="E1814" s="81">
        <f t="shared" ca="1" si="14"/>
        <v>43313</v>
      </c>
      <c r="F1814" s="82">
        <f ca="1">IFERROR(__xludf.DUMMYFUNCTION("""COMPUTED_VALUE"""),0.698391203703703)</f>
        <v>0.698391203703703</v>
      </c>
      <c r="G1814" s="83">
        <f t="shared" ca="1" si="15"/>
        <v>19</v>
      </c>
      <c r="H1814" s="83">
        <f ca="1">IFERROR(__xludf.DUMMYFUNCTION("""COMPUTED_VALUE"""),45)</f>
        <v>45</v>
      </c>
      <c r="I1814" s="83">
        <f ca="1">IFERROR(__xludf.DUMMYFUNCTION("""COMPUTED_VALUE"""),41)</f>
        <v>41</v>
      </c>
    </row>
    <row r="1815" spans="1:9">
      <c r="A1815" s="79">
        <v>352</v>
      </c>
      <c r="B1815" s="79">
        <v>4</v>
      </c>
      <c r="C1815" s="79">
        <v>356</v>
      </c>
      <c r="D1815" s="80">
        <v>43332.708807870367</v>
      </c>
      <c r="E1815" s="81">
        <f t="shared" ca="1" si="14"/>
        <v>43313</v>
      </c>
      <c r="F1815" s="82">
        <f ca="1">IFERROR(__xludf.DUMMYFUNCTION("""COMPUTED_VALUE"""),0.70880787037037)</f>
        <v>0.70880787037036996</v>
      </c>
      <c r="G1815" s="83">
        <f t="shared" ca="1" si="15"/>
        <v>19</v>
      </c>
      <c r="H1815" s="83">
        <f ca="1">IFERROR(__xludf.DUMMYFUNCTION("""COMPUTED_VALUE"""),0)</f>
        <v>0</v>
      </c>
      <c r="I1815" s="83">
        <f ca="1">IFERROR(__xludf.DUMMYFUNCTION("""COMPUTED_VALUE"""),41)</f>
        <v>41</v>
      </c>
    </row>
    <row r="1816" spans="1:9">
      <c r="A1816" s="79">
        <v>547</v>
      </c>
      <c r="B1816" s="79">
        <v>5</v>
      </c>
      <c r="C1816" s="79">
        <v>552</v>
      </c>
      <c r="D1816" s="80">
        <v>43332.719212962962</v>
      </c>
      <c r="E1816" s="81">
        <f t="shared" ca="1" si="14"/>
        <v>43313</v>
      </c>
      <c r="F1816" s="82">
        <f ca="1">IFERROR(__xludf.DUMMYFUNCTION("""COMPUTED_VALUE"""),0.719212962962963)</f>
        <v>0.719212962962963</v>
      </c>
      <c r="G1816" s="83">
        <f t="shared" ca="1" si="15"/>
        <v>19</v>
      </c>
      <c r="H1816" s="83">
        <f ca="1">IFERROR(__xludf.DUMMYFUNCTION("""COMPUTED_VALUE"""),15)</f>
        <v>15</v>
      </c>
      <c r="I1816" s="83">
        <f ca="1">IFERROR(__xludf.DUMMYFUNCTION("""COMPUTED_VALUE"""),40)</f>
        <v>40</v>
      </c>
    </row>
    <row r="1817" spans="1:9">
      <c r="A1817" s="79">
        <v>409</v>
      </c>
      <c r="B1817" s="79">
        <v>7</v>
      </c>
      <c r="C1817" s="79">
        <v>416</v>
      </c>
      <c r="D1817" s="80">
        <v>43332.740057870367</v>
      </c>
      <c r="E1817" s="81">
        <f t="shared" ca="1" si="14"/>
        <v>43313</v>
      </c>
      <c r="F1817" s="82">
        <f ca="1">IFERROR(__xludf.DUMMYFUNCTION("""COMPUTED_VALUE"""),0.74005787037037)</f>
        <v>0.74005787037036996</v>
      </c>
      <c r="G1817" s="83">
        <f t="shared" ca="1" si="15"/>
        <v>19</v>
      </c>
      <c r="H1817" s="83">
        <f ca="1">IFERROR(__xludf.DUMMYFUNCTION("""COMPUTED_VALUE"""),45)</f>
        <v>45</v>
      </c>
      <c r="I1817" s="83">
        <f ca="1">IFERROR(__xludf.DUMMYFUNCTION("""COMPUTED_VALUE"""),41)</f>
        <v>41</v>
      </c>
    </row>
    <row r="1818" spans="1:9">
      <c r="A1818" s="79">
        <v>394</v>
      </c>
      <c r="B1818" s="79">
        <v>5</v>
      </c>
      <c r="C1818" s="79">
        <v>394</v>
      </c>
      <c r="D1818" s="80">
        <v>43332.750462962962</v>
      </c>
      <c r="E1818" s="81">
        <f t="shared" ca="1" si="14"/>
        <v>43313</v>
      </c>
      <c r="F1818" s="82">
        <f ca="1">IFERROR(__xludf.DUMMYFUNCTION("""COMPUTED_VALUE"""),0.750462962962963)</f>
        <v>0.750462962962963</v>
      </c>
      <c r="G1818" s="83">
        <f t="shared" ca="1" si="15"/>
        <v>19</v>
      </c>
      <c r="H1818" s="83">
        <f ca="1">IFERROR(__xludf.DUMMYFUNCTION("""COMPUTED_VALUE"""),0)</f>
        <v>0</v>
      </c>
      <c r="I1818" s="83">
        <f ca="1">IFERROR(__xludf.DUMMYFUNCTION("""COMPUTED_VALUE"""),40)</f>
        <v>40</v>
      </c>
    </row>
    <row r="1819" spans="1:9">
      <c r="A1819" s="79">
        <v>457</v>
      </c>
      <c r="B1819" s="79">
        <v>6</v>
      </c>
      <c r="C1819" s="79">
        <v>463</v>
      </c>
      <c r="D1819" s="80">
        <v>43332.760879629626</v>
      </c>
      <c r="E1819" s="81">
        <f t="shared" ca="1" si="14"/>
        <v>43313</v>
      </c>
      <c r="F1819" s="82">
        <f ca="1">IFERROR(__xludf.DUMMYFUNCTION("""COMPUTED_VALUE"""),0.760879629629629)</f>
        <v>0.76087962962962896</v>
      </c>
      <c r="G1819" s="83">
        <f t="shared" ca="1" si="15"/>
        <v>19</v>
      </c>
      <c r="H1819" s="83">
        <f ca="1">IFERROR(__xludf.DUMMYFUNCTION("""COMPUTED_VALUE"""),15)</f>
        <v>15</v>
      </c>
      <c r="I1819" s="83">
        <f ca="1">IFERROR(__xludf.DUMMYFUNCTION("""COMPUTED_VALUE"""),40)</f>
        <v>40</v>
      </c>
    </row>
    <row r="1820" spans="1:9">
      <c r="A1820" s="79">
        <v>413</v>
      </c>
      <c r="B1820" s="79">
        <v>7</v>
      </c>
      <c r="C1820" s="79">
        <v>420</v>
      </c>
      <c r="D1820" s="80">
        <v>43332.771284722221</v>
      </c>
      <c r="E1820" s="81">
        <f t="shared" ca="1" si="14"/>
        <v>43313</v>
      </c>
      <c r="F1820" s="82">
        <f ca="1">IFERROR(__xludf.DUMMYFUNCTION("""COMPUTED_VALUE"""),0.771284722222222)</f>
        <v>0.771284722222222</v>
      </c>
      <c r="G1820" s="83">
        <f t="shared" ca="1" si="15"/>
        <v>19</v>
      </c>
      <c r="H1820" s="83">
        <f ca="1">IFERROR(__xludf.DUMMYFUNCTION("""COMPUTED_VALUE"""),30)</f>
        <v>30</v>
      </c>
      <c r="I1820" s="83">
        <f ca="1">IFERROR(__xludf.DUMMYFUNCTION("""COMPUTED_VALUE"""),39)</f>
        <v>39</v>
      </c>
    </row>
    <row r="1821" spans="1:9">
      <c r="A1821" s="79">
        <v>451</v>
      </c>
      <c r="B1821" s="79">
        <v>7</v>
      </c>
      <c r="C1821" s="79">
        <v>458</v>
      </c>
      <c r="D1821" s="80">
        <v>43332.781701388885</v>
      </c>
      <c r="E1821" s="81">
        <f t="shared" ca="1" si="14"/>
        <v>43313</v>
      </c>
      <c r="F1821" s="82">
        <f ca="1">IFERROR(__xludf.DUMMYFUNCTION("""COMPUTED_VALUE"""),0.781701388888888)</f>
        <v>0.78170138888888796</v>
      </c>
      <c r="G1821" s="83">
        <f t="shared" ca="1" si="15"/>
        <v>19</v>
      </c>
      <c r="H1821" s="83">
        <f ca="1">IFERROR(__xludf.DUMMYFUNCTION("""COMPUTED_VALUE"""),45)</f>
        <v>45</v>
      </c>
      <c r="I1821" s="83">
        <f ca="1">IFERROR(__xludf.DUMMYFUNCTION("""COMPUTED_VALUE"""),39)</f>
        <v>39</v>
      </c>
    </row>
    <row r="1822" spans="1:9">
      <c r="A1822" s="79">
        <v>398</v>
      </c>
      <c r="B1822" s="79">
        <v>6</v>
      </c>
      <c r="C1822" s="79">
        <v>404</v>
      </c>
      <c r="D1822" s="80">
        <v>43332.792118055557</v>
      </c>
      <c r="E1822" s="81">
        <f t="shared" ca="1" si="14"/>
        <v>43313</v>
      </c>
      <c r="F1822" s="82">
        <f ca="1">IFERROR(__xludf.DUMMYFUNCTION("""COMPUTED_VALUE"""),0.792118055555555)</f>
        <v>0.79211805555555503</v>
      </c>
      <c r="G1822" s="83">
        <f t="shared" ca="1" si="15"/>
        <v>19</v>
      </c>
      <c r="H1822" s="83">
        <f ca="1">IFERROR(__xludf.DUMMYFUNCTION("""COMPUTED_VALUE"""),0)</f>
        <v>0</v>
      </c>
      <c r="I1822" s="83">
        <f ca="1">IFERROR(__xludf.DUMMYFUNCTION("""COMPUTED_VALUE"""),39)</f>
        <v>39</v>
      </c>
    </row>
    <row r="1823" spans="1:9">
      <c r="A1823" s="79">
        <v>507</v>
      </c>
      <c r="B1823" s="79">
        <v>5</v>
      </c>
      <c r="C1823" s="79">
        <v>512</v>
      </c>
      <c r="D1823" s="80">
        <v>43332.802546296298</v>
      </c>
      <c r="E1823" s="81">
        <f t="shared" ca="1" si="14"/>
        <v>43313</v>
      </c>
      <c r="F1823" s="82">
        <f ca="1">IFERROR(__xludf.DUMMYFUNCTION("""COMPUTED_VALUE"""),0.802546296296296)</f>
        <v>0.80254629629629604</v>
      </c>
      <c r="G1823" s="83">
        <f t="shared" ca="1" si="15"/>
        <v>19</v>
      </c>
      <c r="H1823" s="83">
        <f ca="1">IFERROR(__xludf.DUMMYFUNCTION("""COMPUTED_VALUE"""),15)</f>
        <v>15</v>
      </c>
      <c r="I1823" s="83">
        <f ca="1">IFERROR(__xludf.DUMMYFUNCTION("""COMPUTED_VALUE"""),40)</f>
        <v>40</v>
      </c>
    </row>
    <row r="1824" spans="1:9">
      <c r="A1824" s="79">
        <v>506</v>
      </c>
      <c r="B1824" s="79">
        <v>7</v>
      </c>
      <c r="C1824" s="79">
        <v>513</v>
      </c>
      <c r="D1824" s="80">
        <v>43332.812951388885</v>
      </c>
      <c r="E1824" s="81">
        <f t="shared" ca="1" si="14"/>
        <v>43313</v>
      </c>
      <c r="F1824" s="82">
        <f ca="1">IFERROR(__xludf.DUMMYFUNCTION("""COMPUTED_VALUE"""),0.812951388888888)</f>
        <v>0.81295138888888796</v>
      </c>
      <c r="G1824" s="83">
        <f t="shared" ca="1" si="15"/>
        <v>19</v>
      </c>
      <c r="H1824" s="83">
        <f ca="1">IFERROR(__xludf.DUMMYFUNCTION("""COMPUTED_VALUE"""),30)</f>
        <v>30</v>
      </c>
      <c r="I1824" s="83">
        <f ca="1">IFERROR(__xludf.DUMMYFUNCTION("""COMPUTED_VALUE"""),39)</f>
        <v>39</v>
      </c>
    </row>
    <row r="1825" spans="1:9">
      <c r="A1825" s="79">
        <v>571</v>
      </c>
      <c r="B1825" s="79">
        <v>1</v>
      </c>
      <c r="C1825" s="79">
        <v>572</v>
      </c>
      <c r="D1825" s="80">
        <v>43332.823379629626</v>
      </c>
      <c r="E1825" s="81">
        <f t="shared" ca="1" si="14"/>
        <v>43313</v>
      </c>
      <c r="F1825" s="82">
        <f ca="1">IFERROR(__xludf.DUMMYFUNCTION("""COMPUTED_VALUE"""),0.823379629629629)</f>
        <v>0.82337962962962896</v>
      </c>
      <c r="G1825" s="83">
        <f t="shared" ca="1" si="15"/>
        <v>19</v>
      </c>
      <c r="H1825" s="83">
        <f ca="1">IFERROR(__xludf.DUMMYFUNCTION("""COMPUTED_VALUE"""),45)</f>
        <v>45</v>
      </c>
      <c r="I1825" s="83">
        <f ca="1">IFERROR(__xludf.DUMMYFUNCTION("""COMPUTED_VALUE"""),40)</f>
        <v>40</v>
      </c>
    </row>
    <row r="1826" spans="1:9">
      <c r="A1826" s="79">
        <v>538</v>
      </c>
      <c r="B1826" s="79">
        <v>5</v>
      </c>
      <c r="C1826" s="79">
        <v>543</v>
      </c>
      <c r="D1826" s="80">
        <v>43332.833796296298</v>
      </c>
      <c r="E1826" s="81">
        <f t="shared" ca="1" si="14"/>
        <v>43313</v>
      </c>
      <c r="F1826" s="82">
        <f ca="1">IFERROR(__xludf.DUMMYFUNCTION("""COMPUTED_VALUE"""),0.833796296296296)</f>
        <v>0.83379629629629604</v>
      </c>
      <c r="G1826" s="83">
        <f t="shared" ca="1" si="15"/>
        <v>19</v>
      </c>
      <c r="H1826" s="83">
        <f ca="1">IFERROR(__xludf.DUMMYFUNCTION("""COMPUTED_VALUE"""),0)</f>
        <v>0</v>
      </c>
      <c r="I1826" s="83">
        <f ca="1">IFERROR(__xludf.DUMMYFUNCTION("""COMPUTED_VALUE"""),40)</f>
        <v>40</v>
      </c>
    </row>
    <row r="1827" spans="1:9">
      <c r="A1827" s="79">
        <v>734</v>
      </c>
      <c r="B1827" s="79">
        <v>10</v>
      </c>
      <c r="C1827" s="79">
        <v>744</v>
      </c>
      <c r="D1827" s="80">
        <v>43332.844212962962</v>
      </c>
      <c r="E1827" s="81">
        <f t="shared" ca="1" si="14"/>
        <v>43313</v>
      </c>
      <c r="F1827" s="82">
        <f ca="1">IFERROR(__xludf.DUMMYFUNCTION("""COMPUTED_VALUE"""),0.844212962962963)</f>
        <v>0.844212962962963</v>
      </c>
      <c r="G1827" s="83">
        <f t="shared" ca="1" si="15"/>
        <v>19</v>
      </c>
      <c r="H1827" s="83">
        <f ca="1">IFERROR(__xludf.DUMMYFUNCTION("""COMPUTED_VALUE"""),15)</f>
        <v>15</v>
      </c>
      <c r="I1827" s="83">
        <f ca="1">IFERROR(__xludf.DUMMYFUNCTION("""COMPUTED_VALUE"""),40)</f>
        <v>40</v>
      </c>
    </row>
    <row r="1828" spans="1:9">
      <c r="A1828" s="79">
        <v>666</v>
      </c>
      <c r="B1828" s="79">
        <v>9</v>
      </c>
      <c r="C1828" s="79">
        <v>675</v>
      </c>
      <c r="D1828" s="80">
        <v>43332.854629629626</v>
      </c>
      <c r="E1828" s="81">
        <f t="shared" ca="1" si="14"/>
        <v>43313</v>
      </c>
      <c r="F1828" s="82">
        <f ca="1">IFERROR(__xludf.DUMMYFUNCTION("""COMPUTED_VALUE"""),0.854629629629629)</f>
        <v>0.85462962962962896</v>
      </c>
      <c r="G1828" s="83">
        <f t="shared" ca="1" si="15"/>
        <v>19</v>
      </c>
      <c r="H1828" s="83">
        <f ca="1">IFERROR(__xludf.DUMMYFUNCTION("""COMPUTED_VALUE"""),30)</f>
        <v>30</v>
      </c>
      <c r="I1828" s="83">
        <f ca="1">IFERROR(__xludf.DUMMYFUNCTION("""COMPUTED_VALUE"""),40)</f>
        <v>40</v>
      </c>
    </row>
    <row r="1829" spans="1:9">
      <c r="A1829" s="79">
        <v>685</v>
      </c>
      <c r="B1829" s="79">
        <v>7</v>
      </c>
      <c r="C1829" s="79">
        <v>692</v>
      </c>
      <c r="D1829" s="80">
        <v>43332.865034722221</v>
      </c>
      <c r="E1829" s="81">
        <f t="shared" ca="1" si="14"/>
        <v>43313</v>
      </c>
      <c r="F1829" s="82">
        <f ca="1">IFERROR(__xludf.DUMMYFUNCTION("""COMPUTED_VALUE"""),0.865034722222222)</f>
        <v>0.865034722222222</v>
      </c>
      <c r="G1829" s="83">
        <f t="shared" ca="1" si="15"/>
        <v>19</v>
      </c>
      <c r="H1829" s="83">
        <f ca="1">IFERROR(__xludf.DUMMYFUNCTION("""COMPUTED_VALUE"""),45)</f>
        <v>45</v>
      </c>
      <c r="I1829" s="83">
        <f ca="1">IFERROR(__xludf.DUMMYFUNCTION("""COMPUTED_VALUE"""),39)</f>
        <v>39</v>
      </c>
    </row>
    <row r="1830" spans="1:9">
      <c r="A1830" s="79">
        <v>597</v>
      </c>
      <c r="B1830" s="79">
        <v>4</v>
      </c>
      <c r="C1830" s="79">
        <v>601</v>
      </c>
      <c r="D1830" s="80">
        <v>43332.875451388885</v>
      </c>
      <c r="E1830" s="81">
        <f t="shared" ca="1" si="14"/>
        <v>43313</v>
      </c>
      <c r="F1830" s="82">
        <f ca="1">IFERROR(__xludf.DUMMYFUNCTION("""COMPUTED_VALUE"""),0.875451388888888)</f>
        <v>0.87545138888888796</v>
      </c>
      <c r="G1830" s="83">
        <f t="shared" ca="1" si="15"/>
        <v>19</v>
      </c>
      <c r="H1830" s="83">
        <f ca="1">IFERROR(__xludf.DUMMYFUNCTION("""COMPUTED_VALUE"""),0)</f>
        <v>0</v>
      </c>
      <c r="I1830" s="83">
        <f ca="1">IFERROR(__xludf.DUMMYFUNCTION("""COMPUTED_VALUE"""),39)</f>
        <v>39</v>
      </c>
    </row>
    <row r="1831" spans="1:9">
      <c r="A1831" s="79">
        <v>622</v>
      </c>
      <c r="B1831" s="79">
        <v>6</v>
      </c>
      <c r="C1831" s="79">
        <v>628</v>
      </c>
      <c r="D1831" s="80">
        <v>43332.885879629626</v>
      </c>
      <c r="E1831" s="81">
        <f t="shared" ca="1" si="14"/>
        <v>43313</v>
      </c>
      <c r="F1831" s="82">
        <f ca="1">IFERROR(__xludf.DUMMYFUNCTION("""COMPUTED_VALUE"""),0.885879629629629)</f>
        <v>0.88587962962962896</v>
      </c>
      <c r="G1831" s="83">
        <f t="shared" ca="1" si="15"/>
        <v>19</v>
      </c>
      <c r="H1831" s="83">
        <f ca="1">IFERROR(__xludf.DUMMYFUNCTION("""COMPUTED_VALUE"""),15)</f>
        <v>15</v>
      </c>
      <c r="I1831" s="83">
        <f ca="1">IFERROR(__xludf.DUMMYFUNCTION("""COMPUTED_VALUE"""),40)</f>
        <v>40</v>
      </c>
    </row>
    <row r="1832" spans="1:9">
      <c r="A1832" s="79">
        <v>645</v>
      </c>
      <c r="B1832" s="79">
        <v>8</v>
      </c>
      <c r="C1832" s="79">
        <v>653</v>
      </c>
      <c r="D1832" s="80">
        <v>43332.896284722221</v>
      </c>
      <c r="E1832" s="81">
        <f t="shared" ca="1" si="14"/>
        <v>43313</v>
      </c>
      <c r="F1832" s="82">
        <f ca="1">IFERROR(__xludf.DUMMYFUNCTION("""COMPUTED_VALUE"""),0.896284722222222)</f>
        <v>0.896284722222222</v>
      </c>
      <c r="G1832" s="83">
        <f t="shared" ca="1" si="15"/>
        <v>19</v>
      </c>
      <c r="H1832" s="83">
        <f ca="1">IFERROR(__xludf.DUMMYFUNCTION("""COMPUTED_VALUE"""),30)</f>
        <v>30</v>
      </c>
      <c r="I1832" s="83">
        <f ca="1">IFERROR(__xludf.DUMMYFUNCTION("""COMPUTED_VALUE"""),39)</f>
        <v>39</v>
      </c>
    </row>
    <row r="1833" spans="1:9">
      <c r="A1833" s="79">
        <v>616</v>
      </c>
      <c r="B1833" s="79">
        <v>8</v>
      </c>
      <c r="C1833" s="79">
        <v>624</v>
      </c>
      <c r="D1833" s="80">
        <v>43332.906712962962</v>
      </c>
      <c r="E1833" s="81">
        <f t="shared" ca="1" si="14"/>
        <v>43313</v>
      </c>
      <c r="F1833" s="82">
        <f ca="1">IFERROR(__xludf.DUMMYFUNCTION("""COMPUTED_VALUE"""),0.906712962962963)</f>
        <v>0.906712962962963</v>
      </c>
      <c r="G1833" s="83">
        <f t="shared" ca="1" si="15"/>
        <v>19</v>
      </c>
      <c r="H1833" s="83">
        <f ca="1">IFERROR(__xludf.DUMMYFUNCTION("""COMPUTED_VALUE"""),45)</f>
        <v>45</v>
      </c>
      <c r="I1833" s="83">
        <f ca="1">IFERROR(__xludf.DUMMYFUNCTION("""COMPUTED_VALUE"""),40)</f>
        <v>40</v>
      </c>
    </row>
    <row r="1834" spans="1:9">
      <c r="A1834" s="79">
        <v>565</v>
      </c>
      <c r="B1834" s="79">
        <v>2</v>
      </c>
      <c r="C1834" s="79">
        <v>558</v>
      </c>
      <c r="D1834" s="80">
        <v>43332.917118055557</v>
      </c>
      <c r="E1834" s="81">
        <f t="shared" ca="1" si="14"/>
        <v>43313</v>
      </c>
      <c r="F1834" s="82">
        <f ca="1">IFERROR(__xludf.DUMMYFUNCTION("""COMPUTED_VALUE"""),0.917118055555555)</f>
        <v>0.91711805555555503</v>
      </c>
      <c r="G1834" s="83">
        <f t="shared" ca="1" si="15"/>
        <v>19</v>
      </c>
      <c r="H1834" s="83">
        <f ca="1">IFERROR(__xludf.DUMMYFUNCTION("""COMPUTED_VALUE"""),0)</f>
        <v>0</v>
      </c>
      <c r="I1834" s="83">
        <f ca="1">IFERROR(__xludf.DUMMYFUNCTION("""COMPUTED_VALUE"""),39)</f>
        <v>39</v>
      </c>
    </row>
    <row r="1835" spans="1:9">
      <c r="A1835" s="79">
        <v>598</v>
      </c>
      <c r="B1835" s="79">
        <v>1</v>
      </c>
      <c r="C1835" s="79">
        <v>599</v>
      </c>
      <c r="D1835" s="80">
        <v>43332.927546296298</v>
      </c>
      <c r="E1835" s="81">
        <f t="shared" ca="1" si="14"/>
        <v>43313</v>
      </c>
      <c r="F1835" s="82">
        <f ca="1">IFERROR(__xludf.DUMMYFUNCTION("""COMPUTED_VALUE"""),0.927546296296296)</f>
        <v>0.92754629629629604</v>
      </c>
      <c r="G1835" s="83">
        <f t="shared" ca="1" si="15"/>
        <v>19</v>
      </c>
      <c r="H1835" s="83">
        <f ca="1">IFERROR(__xludf.DUMMYFUNCTION("""COMPUTED_VALUE"""),15)</f>
        <v>15</v>
      </c>
      <c r="I1835" s="83">
        <f ca="1">IFERROR(__xludf.DUMMYFUNCTION("""COMPUTED_VALUE"""),40)</f>
        <v>40</v>
      </c>
    </row>
    <row r="1836" spans="1:9">
      <c r="A1836" s="79">
        <v>551</v>
      </c>
      <c r="B1836" s="79">
        <v>2</v>
      </c>
      <c r="C1836" s="79">
        <v>553</v>
      </c>
      <c r="D1836" s="80">
        <v>43332.937951388885</v>
      </c>
      <c r="E1836" s="81">
        <f t="shared" ca="1" si="14"/>
        <v>43313</v>
      </c>
      <c r="F1836" s="82">
        <f ca="1">IFERROR(__xludf.DUMMYFUNCTION("""COMPUTED_VALUE"""),0.937951388888888)</f>
        <v>0.93795138888888796</v>
      </c>
      <c r="G1836" s="83">
        <f t="shared" ca="1" si="15"/>
        <v>19</v>
      </c>
      <c r="H1836" s="83">
        <f ca="1">IFERROR(__xludf.DUMMYFUNCTION("""COMPUTED_VALUE"""),30)</f>
        <v>30</v>
      </c>
      <c r="I1836" s="83">
        <f ca="1">IFERROR(__xludf.DUMMYFUNCTION("""COMPUTED_VALUE"""),39)</f>
        <v>39</v>
      </c>
    </row>
    <row r="1837" spans="1:9">
      <c r="A1837" s="79">
        <v>459</v>
      </c>
      <c r="B1837" s="79">
        <v>1</v>
      </c>
      <c r="C1837" s="79">
        <v>460</v>
      </c>
      <c r="D1837" s="80">
        <v>43332.948368055557</v>
      </c>
      <c r="E1837" s="81">
        <f t="shared" ca="1" si="14"/>
        <v>43313</v>
      </c>
      <c r="F1837" s="82">
        <f ca="1">IFERROR(__xludf.DUMMYFUNCTION("""COMPUTED_VALUE"""),0.948368055555555)</f>
        <v>0.94836805555555503</v>
      </c>
      <c r="G1837" s="83">
        <f t="shared" ca="1" si="15"/>
        <v>19</v>
      </c>
      <c r="H1837" s="83">
        <f ca="1">IFERROR(__xludf.DUMMYFUNCTION("""COMPUTED_VALUE"""),45)</f>
        <v>45</v>
      </c>
      <c r="I1837" s="83">
        <f ca="1">IFERROR(__xludf.DUMMYFUNCTION("""COMPUTED_VALUE"""),39)</f>
        <v>39</v>
      </c>
    </row>
    <row r="1838" spans="1:9">
      <c r="A1838" s="79">
        <v>438</v>
      </c>
      <c r="B1838" s="79">
        <v>4</v>
      </c>
      <c r="C1838" s="79">
        <v>442</v>
      </c>
      <c r="D1838" s="80">
        <v>43332.958796296298</v>
      </c>
      <c r="E1838" s="81">
        <f t="shared" ca="1" si="14"/>
        <v>43313</v>
      </c>
      <c r="F1838" s="82">
        <f ca="1">IFERROR(__xludf.DUMMYFUNCTION("""COMPUTED_VALUE"""),0.958796296296296)</f>
        <v>0.95879629629629604</v>
      </c>
      <c r="G1838" s="83">
        <f t="shared" ca="1" si="15"/>
        <v>19</v>
      </c>
      <c r="H1838" s="83">
        <f ca="1">IFERROR(__xludf.DUMMYFUNCTION("""COMPUTED_VALUE"""),0)</f>
        <v>0</v>
      </c>
      <c r="I1838" s="83">
        <f ca="1">IFERROR(__xludf.DUMMYFUNCTION("""COMPUTED_VALUE"""),40)</f>
        <v>40</v>
      </c>
    </row>
    <row r="1839" spans="1:9">
      <c r="A1839" s="79">
        <v>478</v>
      </c>
      <c r="B1839" s="79">
        <v>4</v>
      </c>
      <c r="C1839" s="79">
        <v>482</v>
      </c>
      <c r="D1839" s="80">
        <v>43332.969201388885</v>
      </c>
      <c r="E1839" s="81">
        <f t="shared" ca="1" si="14"/>
        <v>43313</v>
      </c>
      <c r="F1839" s="82">
        <f ca="1">IFERROR(__xludf.DUMMYFUNCTION("""COMPUTED_VALUE"""),0.969201388888888)</f>
        <v>0.96920138888888796</v>
      </c>
      <c r="G1839" s="83">
        <f t="shared" ca="1" si="15"/>
        <v>19</v>
      </c>
      <c r="H1839" s="83">
        <f ca="1">IFERROR(__xludf.DUMMYFUNCTION("""COMPUTED_VALUE"""),15)</f>
        <v>15</v>
      </c>
      <c r="I1839" s="83">
        <f ca="1">IFERROR(__xludf.DUMMYFUNCTION("""COMPUTED_VALUE"""),39)</f>
        <v>39</v>
      </c>
    </row>
    <row r="1840" spans="1:9">
      <c r="A1840" s="79">
        <v>412</v>
      </c>
      <c r="B1840" s="79">
        <v>5</v>
      </c>
      <c r="C1840" s="79">
        <v>417</v>
      </c>
      <c r="D1840" s="80">
        <v>43332.979618055557</v>
      </c>
      <c r="E1840" s="81">
        <f t="shared" ca="1" si="14"/>
        <v>43313</v>
      </c>
      <c r="F1840" s="82">
        <f ca="1">IFERROR(__xludf.DUMMYFUNCTION("""COMPUTED_VALUE"""),0.979618055555555)</f>
        <v>0.97961805555555503</v>
      </c>
      <c r="G1840" s="83">
        <f t="shared" ca="1" si="15"/>
        <v>19</v>
      </c>
      <c r="H1840" s="83">
        <f ca="1">IFERROR(__xludf.DUMMYFUNCTION("""COMPUTED_VALUE"""),30)</f>
        <v>30</v>
      </c>
      <c r="I1840" s="83">
        <f ca="1">IFERROR(__xludf.DUMMYFUNCTION("""COMPUTED_VALUE"""),39)</f>
        <v>39</v>
      </c>
    </row>
    <row r="1841" spans="1:9">
      <c r="A1841" s="79">
        <v>377</v>
      </c>
      <c r="B1841" s="79">
        <v>1</v>
      </c>
      <c r="C1841" s="79">
        <v>378</v>
      </c>
      <c r="D1841" s="80">
        <v>43332.990034722221</v>
      </c>
      <c r="E1841" s="81">
        <f t="shared" ca="1" si="14"/>
        <v>43313</v>
      </c>
      <c r="F1841" s="82">
        <f ca="1">IFERROR(__xludf.DUMMYFUNCTION("""COMPUTED_VALUE"""),0.990034722222222)</f>
        <v>0.990034722222222</v>
      </c>
      <c r="G1841" s="83">
        <f t="shared" ca="1" si="15"/>
        <v>19</v>
      </c>
      <c r="H1841" s="83">
        <f ca="1">IFERROR(__xludf.DUMMYFUNCTION("""COMPUTED_VALUE"""),45)</f>
        <v>45</v>
      </c>
      <c r="I1841" s="83">
        <f ca="1">IFERROR(__xludf.DUMMYFUNCTION("""COMPUTED_VALUE"""),39)</f>
        <v>39</v>
      </c>
    </row>
    <row r="1842" spans="1:9">
      <c r="A1842" s="79">
        <v>325</v>
      </c>
      <c r="B1842" s="79">
        <v>1</v>
      </c>
      <c r="C1842" s="79">
        <v>324</v>
      </c>
      <c r="D1842" s="80">
        <v>43333.000451388885</v>
      </c>
      <c r="E1842" s="81">
        <f t="shared" ca="1" si="14"/>
        <v>43313</v>
      </c>
      <c r="F1842" s="82">
        <f ca="1">IFERROR(__xludf.DUMMYFUNCTION("""COMPUTED_VALUE"""),0.000451388888888888)</f>
        <v>4.51388888888888E-4</v>
      </c>
      <c r="G1842" s="83">
        <f t="shared" ca="1" si="15"/>
        <v>19</v>
      </c>
      <c r="H1842" s="83">
        <f ca="1">IFERROR(__xludf.DUMMYFUNCTION("""COMPUTED_VALUE"""),0)</f>
        <v>0</v>
      </c>
      <c r="I1842" s="83">
        <f ca="1">IFERROR(__xludf.DUMMYFUNCTION("""COMPUTED_VALUE"""),39)</f>
        <v>39</v>
      </c>
    </row>
    <row r="1843" spans="1:9">
      <c r="A1843" s="79">
        <v>329</v>
      </c>
      <c r="B1843" s="79">
        <v>0</v>
      </c>
      <c r="C1843" s="79">
        <v>329</v>
      </c>
      <c r="D1843" s="80">
        <v>43333.010868055557</v>
      </c>
      <c r="E1843" s="81">
        <f t="shared" ca="1" si="14"/>
        <v>43313</v>
      </c>
      <c r="F1843" s="82">
        <f ca="1">IFERROR(__xludf.DUMMYFUNCTION("""COMPUTED_VALUE"""),0.0108680555555555)</f>
        <v>1.0868055555555501E-2</v>
      </c>
      <c r="G1843" s="83">
        <f t="shared" ca="1" si="15"/>
        <v>19</v>
      </c>
      <c r="H1843" s="83">
        <f ca="1">IFERROR(__xludf.DUMMYFUNCTION("""COMPUTED_VALUE"""),15)</f>
        <v>15</v>
      </c>
      <c r="I1843" s="83">
        <f ca="1">IFERROR(__xludf.DUMMYFUNCTION("""COMPUTED_VALUE"""),39)</f>
        <v>39</v>
      </c>
    </row>
    <row r="1844" spans="1:9">
      <c r="A1844" s="79">
        <v>305</v>
      </c>
      <c r="B1844" s="79">
        <v>1</v>
      </c>
      <c r="C1844" s="79">
        <v>306</v>
      </c>
      <c r="D1844" s="80">
        <v>43333.021284722221</v>
      </c>
      <c r="E1844" s="81">
        <f t="shared" ca="1" si="14"/>
        <v>43313</v>
      </c>
      <c r="F1844" s="82">
        <f ca="1">IFERROR(__xludf.DUMMYFUNCTION("""COMPUTED_VALUE"""),0.0212847222222222)</f>
        <v>2.1284722222222201E-2</v>
      </c>
      <c r="G1844" s="83">
        <f t="shared" ca="1" si="15"/>
        <v>19</v>
      </c>
      <c r="H1844" s="83">
        <f ca="1">IFERROR(__xludf.DUMMYFUNCTION("""COMPUTED_VALUE"""),30)</f>
        <v>30</v>
      </c>
      <c r="I1844" s="83">
        <f ca="1">IFERROR(__xludf.DUMMYFUNCTION("""COMPUTED_VALUE"""),39)</f>
        <v>39</v>
      </c>
    </row>
    <row r="1845" spans="1:9">
      <c r="A1845" s="79">
        <v>270</v>
      </c>
      <c r="B1845" s="79">
        <v>3</v>
      </c>
      <c r="C1845" s="79">
        <v>273</v>
      </c>
      <c r="D1845" s="80">
        <v>43333.031712962962</v>
      </c>
      <c r="E1845" s="81">
        <f t="shared" ca="1" si="14"/>
        <v>43313</v>
      </c>
      <c r="F1845" s="82">
        <f ca="1">IFERROR(__xludf.DUMMYFUNCTION("""COMPUTED_VALUE"""),0.0317129629629629)</f>
        <v>3.1712962962962901E-2</v>
      </c>
      <c r="G1845" s="83">
        <f t="shared" ca="1" si="15"/>
        <v>19</v>
      </c>
      <c r="H1845" s="83">
        <f ca="1">IFERROR(__xludf.DUMMYFUNCTION("""COMPUTED_VALUE"""),45)</f>
        <v>45</v>
      </c>
      <c r="I1845" s="83">
        <f ca="1">IFERROR(__xludf.DUMMYFUNCTION("""COMPUTED_VALUE"""),40)</f>
        <v>40</v>
      </c>
    </row>
    <row r="1846" spans="1:9">
      <c r="A1846" s="79">
        <v>247</v>
      </c>
      <c r="B1846" s="79">
        <v>5</v>
      </c>
      <c r="C1846" s="79">
        <v>248</v>
      </c>
      <c r="D1846" s="80">
        <v>43333.042118055557</v>
      </c>
      <c r="E1846" s="81">
        <f t="shared" ca="1" si="14"/>
        <v>43313</v>
      </c>
      <c r="F1846" s="82">
        <f ca="1">IFERROR(__xludf.DUMMYFUNCTION("""COMPUTED_VALUE"""),0.0421180555555555)</f>
        <v>4.2118055555555499E-2</v>
      </c>
      <c r="G1846" s="83">
        <f t="shared" ca="1" si="15"/>
        <v>19</v>
      </c>
      <c r="H1846" s="83">
        <f ca="1">IFERROR(__xludf.DUMMYFUNCTION("""COMPUTED_VALUE"""),0)</f>
        <v>0</v>
      </c>
      <c r="I1846" s="83">
        <f ca="1">IFERROR(__xludf.DUMMYFUNCTION("""COMPUTED_VALUE"""),39)</f>
        <v>39</v>
      </c>
    </row>
    <row r="1847" spans="1:9">
      <c r="A1847" s="79">
        <v>260</v>
      </c>
      <c r="B1847" s="79">
        <v>5</v>
      </c>
      <c r="C1847" s="79">
        <v>259</v>
      </c>
      <c r="D1847" s="80">
        <v>43333.052534722221</v>
      </c>
      <c r="E1847" s="81">
        <f t="shared" ca="1" si="14"/>
        <v>43313</v>
      </c>
      <c r="F1847" s="82">
        <f ca="1">IFERROR(__xludf.DUMMYFUNCTION("""COMPUTED_VALUE"""),0.0525347222222222)</f>
        <v>5.2534722222222198E-2</v>
      </c>
      <c r="G1847" s="83">
        <f t="shared" ca="1" si="15"/>
        <v>19</v>
      </c>
      <c r="H1847" s="83">
        <f ca="1">IFERROR(__xludf.DUMMYFUNCTION("""COMPUTED_VALUE"""),15)</f>
        <v>15</v>
      </c>
      <c r="I1847" s="83">
        <f ca="1">IFERROR(__xludf.DUMMYFUNCTION("""COMPUTED_VALUE"""),39)</f>
        <v>39</v>
      </c>
    </row>
    <row r="1848" spans="1:9">
      <c r="A1848" s="79">
        <v>233</v>
      </c>
      <c r="B1848" s="79">
        <v>7</v>
      </c>
      <c r="C1848" s="79">
        <v>240</v>
      </c>
      <c r="D1848" s="80">
        <v>43333.062951388885</v>
      </c>
      <c r="E1848" s="81">
        <f t="shared" ca="1" si="14"/>
        <v>43313</v>
      </c>
      <c r="F1848" s="82">
        <f ca="1">IFERROR(__xludf.DUMMYFUNCTION("""COMPUTED_VALUE"""),0.0629513888888888)</f>
        <v>6.2951388888888807E-2</v>
      </c>
      <c r="G1848" s="83">
        <f t="shared" ca="1" si="15"/>
        <v>19</v>
      </c>
      <c r="H1848" s="83">
        <f ca="1">IFERROR(__xludf.DUMMYFUNCTION("""COMPUTED_VALUE"""),30)</f>
        <v>30</v>
      </c>
      <c r="I1848" s="83">
        <f ca="1">IFERROR(__xludf.DUMMYFUNCTION("""COMPUTED_VALUE"""),39)</f>
        <v>39</v>
      </c>
    </row>
    <row r="1849" spans="1:9">
      <c r="A1849" s="79">
        <v>247</v>
      </c>
      <c r="B1849" s="79">
        <v>3</v>
      </c>
      <c r="C1849" s="79">
        <v>250</v>
      </c>
      <c r="D1849" s="80">
        <v>43333.073368055557</v>
      </c>
      <c r="E1849" s="81">
        <f t="shared" ca="1" si="14"/>
        <v>43313</v>
      </c>
      <c r="F1849" s="82">
        <f ca="1">IFERROR(__xludf.DUMMYFUNCTION("""COMPUTED_VALUE"""),0.0733680555555555)</f>
        <v>7.3368055555555506E-2</v>
      </c>
      <c r="G1849" s="83">
        <f t="shared" ca="1" si="15"/>
        <v>19</v>
      </c>
      <c r="H1849" s="83">
        <f ca="1">IFERROR(__xludf.DUMMYFUNCTION("""COMPUTED_VALUE"""),45)</f>
        <v>45</v>
      </c>
      <c r="I1849" s="83">
        <f ca="1">IFERROR(__xludf.DUMMYFUNCTION("""COMPUTED_VALUE"""),39)</f>
        <v>39</v>
      </c>
    </row>
    <row r="1850" spans="1:9">
      <c r="A1850" s="79">
        <v>216</v>
      </c>
      <c r="B1850" s="79">
        <v>2</v>
      </c>
      <c r="C1850" s="79">
        <v>218</v>
      </c>
      <c r="D1850" s="80">
        <v>43333.083796296298</v>
      </c>
      <c r="E1850" s="81">
        <f t="shared" ca="1" si="14"/>
        <v>43313</v>
      </c>
      <c r="F1850" s="82">
        <f ca="1">IFERROR(__xludf.DUMMYFUNCTION("""COMPUTED_VALUE"""),0.0837962962962963)</f>
        <v>8.3796296296296299E-2</v>
      </c>
      <c r="G1850" s="83">
        <f t="shared" ca="1" si="15"/>
        <v>19</v>
      </c>
      <c r="H1850" s="83">
        <f ca="1">IFERROR(__xludf.DUMMYFUNCTION("""COMPUTED_VALUE"""),0)</f>
        <v>0</v>
      </c>
      <c r="I1850" s="83">
        <f ca="1">IFERROR(__xludf.DUMMYFUNCTION("""COMPUTED_VALUE"""),40)</f>
        <v>40</v>
      </c>
    </row>
    <row r="1851" spans="1:9">
      <c r="A1851" s="79">
        <v>249</v>
      </c>
      <c r="B1851" s="79">
        <v>2</v>
      </c>
      <c r="C1851" s="79">
        <v>251</v>
      </c>
      <c r="D1851" s="80">
        <v>43333.094212962962</v>
      </c>
      <c r="E1851" s="81">
        <f t="shared" ca="1" si="14"/>
        <v>43313</v>
      </c>
      <c r="F1851" s="82">
        <f ca="1">IFERROR(__xludf.DUMMYFUNCTION("""COMPUTED_VALUE"""),0.0942129629629629)</f>
        <v>9.4212962962962901E-2</v>
      </c>
      <c r="G1851" s="83">
        <f t="shared" ca="1" si="15"/>
        <v>19</v>
      </c>
      <c r="H1851" s="83">
        <f ca="1">IFERROR(__xludf.DUMMYFUNCTION("""COMPUTED_VALUE"""),15)</f>
        <v>15</v>
      </c>
      <c r="I1851" s="83">
        <f ca="1">IFERROR(__xludf.DUMMYFUNCTION("""COMPUTED_VALUE"""),40)</f>
        <v>40</v>
      </c>
    </row>
    <row r="1852" spans="1:9">
      <c r="A1852" s="79">
        <v>219</v>
      </c>
      <c r="B1852" s="79">
        <v>3</v>
      </c>
      <c r="C1852" s="79">
        <v>222</v>
      </c>
      <c r="D1852" s="80">
        <v>43333.104618055557</v>
      </c>
      <c r="E1852" s="81">
        <f t="shared" ca="1" si="14"/>
        <v>43313</v>
      </c>
      <c r="F1852" s="82">
        <f ca="1">IFERROR(__xludf.DUMMYFUNCTION("""COMPUTED_VALUE"""),0.104618055555555)</f>
        <v>0.10461805555555501</v>
      </c>
      <c r="G1852" s="83">
        <f t="shared" ca="1" si="15"/>
        <v>19</v>
      </c>
      <c r="H1852" s="83">
        <f ca="1">IFERROR(__xludf.DUMMYFUNCTION("""COMPUTED_VALUE"""),30)</f>
        <v>30</v>
      </c>
      <c r="I1852" s="83">
        <f ca="1">IFERROR(__xludf.DUMMYFUNCTION("""COMPUTED_VALUE"""),39)</f>
        <v>39</v>
      </c>
    </row>
    <row r="1853" spans="1:9">
      <c r="A1853" s="79">
        <v>198</v>
      </c>
      <c r="B1853" s="79">
        <v>1</v>
      </c>
      <c r="C1853" s="79">
        <v>199</v>
      </c>
      <c r="D1853" s="80">
        <v>43333.115046296298</v>
      </c>
      <c r="E1853" s="81">
        <f t="shared" ca="1" si="14"/>
        <v>43313</v>
      </c>
      <c r="F1853" s="82">
        <f ca="1">IFERROR(__xludf.DUMMYFUNCTION("""COMPUTED_VALUE"""),0.115046296296296)</f>
        <v>0.11504629629629599</v>
      </c>
      <c r="G1853" s="83">
        <f t="shared" ca="1" si="15"/>
        <v>19</v>
      </c>
      <c r="H1853" s="83">
        <f ca="1">IFERROR(__xludf.DUMMYFUNCTION("""COMPUTED_VALUE"""),45)</f>
        <v>45</v>
      </c>
      <c r="I1853" s="83">
        <f ca="1">IFERROR(__xludf.DUMMYFUNCTION("""COMPUTED_VALUE"""),40)</f>
        <v>40</v>
      </c>
    </row>
    <row r="1854" spans="1:9">
      <c r="A1854" s="79">
        <v>162</v>
      </c>
      <c r="B1854" s="79">
        <v>3</v>
      </c>
      <c r="C1854" s="79">
        <v>165</v>
      </c>
      <c r="D1854" s="80">
        <v>43333.125451388885</v>
      </c>
      <c r="E1854" s="81">
        <f t="shared" ca="1" si="14"/>
        <v>43313</v>
      </c>
      <c r="F1854" s="82">
        <f ca="1">IFERROR(__xludf.DUMMYFUNCTION("""COMPUTED_VALUE"""),0.125451388888888)</f>
        <v>0.12545138888888799</v>
      </c>
      <c r="G1854" s="83">
        <f t="shared" ca="1" si="15"/>
        <v>19</v>
      </c>
      <c r="H1854" s="83">
        <f ca="1">IFERROR(__xludf.DUMMYFUNCTION("""COMPUTED_VALUE"""),0)</f>
        <v>0</v>
      </c>
      <c r="I1854" s="83">
        <f ca="1">IFERROR(__xludf.DUMMYFUNCTION("""COMPUTED_VALUE"""),39)</f>
        <v>39</v>
      </c>
    </row>
    <row r="1855" spans="1:9">
      <c r="A1855" s="79">
        <v>159</v>
      </c>
      <c r="B1855" s="79">
        <v>2</v>
      </c>
      <c r="C1855" s="79">
        <v>161</v>
      </c>
      <c r="D1855" s="80">
        <v>43333.135868055557</v>
      </c>
      <c r="E1855" s="81">
        <f t="shared" ca="1" si="14"/>
        <v>43313</v>
      </c>
      <c r="F1855" s="82">
        <f ca="1">IFERROR(__xludf.DUMMYFUNCTION("""COMPUTED_VALUE"""),0.135868055555555)</f>
        <v>0.13586805555555501</v>
      </c>
      <c r="G1855" s="83">
        <f t="shared" ca="1" si="15"/>
        <v>19</v>
      </c>
      <c r="H1855" s="83">
        <f ca="1">IFERROR(__xludf.DUMMYFUNCTION("""COMPUTED_VALUE"""),15)</f>
        <v>15</v>
      </c>
      <c r="I1855" s="83">
        <f ca="1">IFERROR(__xludf.DUMMYFUNCTION("""COMPUTED_VALUE"""),39)</f>
        <v>39</v>
      </c>
    </row>
    <row r="1856" spans="1:9">
      <c r="A1856" s="79">
        <v>144</v>
      </c>
      <c r="B1856" s="79">
        <v>1</v>
      </c>
      <c r="C1856" s="79">
        <v>145</v>
      </c>
      <c r="D1856" s="80">
        <v>43333.146273148152</v>
      </c>
      <c r="E1856" s="81">
        <f t="shared" ca="1" si="14"/>
        <v>43313</v>
      </c>
      <c r="F1856" s="82">
        <f ca="1">IFERROR(__xludf.DUMMYFUNCTION("""COMPUTED_VALUE"""),0.146273148148148)</f>
        <v>0.14627314814814801</v>
      </c>
      <c r="G1856" s="83">
        <f t="shared" ca="1" si="15"/>
        <v>19</v>
      </c>
      <c r="H1856" s="83">
        <f ca="1">IFERROR(__xludf.DUMMYFUNCTION("""COMPUTED_VALUE"""),30)</f>
        <v>30</v>
      </c>
      <c r="I1856" s="83">
        <f ca="1">IFERROR(__xludf.DUMMYFUNCTION("""COMPUTED_VALUE"""),38)</f>
        <v>38</v>
      </c>
    </row>
    <row r="1857" spans="1:9">
      <c r="A1857" s="79">
        <v>122</v>
      </c>
      <c r="B1857" s="79">
        <v>3</v>
      </c>
      <c r="C1857" s="79">
        <v>125</v>
      </c>
      <c r="D1857" s="80">
        <v>43333.156701388885</v>
      </c>
      <c r="E1857" s="81">
        <f t="shared" ca="1" si="14"/>
        <v>43313</v>
      </c>
      <c r="F1857" s="82">
        <f ca="1">IFERROR(__xludf.DUMMYFUNCTION("""COMPUTED_VALUE"""),0.156701388888888)</f>
        <v>0.15670138888888799</v>
      </c>
      <c r="G1857" s="83">
        <f t="shared" ca="1" si="15"/>
        <v>19</v>
      </c>
      <c r="H1857" s="83">
        <f ca="1">IFERROR(__xludf.DUMMYFUNCTION("""COMPUTED_VALUE"""),45)</f>
        <v>45</v>
      </c>
      <c r="I1857" s="83">
        <f ca="1">IFERROR(__xludf.DUMMYFUNCTION("""COMPUTED_VALUE"""),39)</f>
        <v>39</v>
      </c>
    </row>
    <row r="1858" spans="1:9">
      <c r="A1858" s="79">
        <v>108</v>
      </c>
      <c r="B1858" s="79">
        <v>3</v>
      </c>
      <c r="C1858" s="79">
        <v>111</v>
      </c>
      <c r="D1858" s="80">
        <v>43333.16710648148</v>
      </c>
      <c r="E1858" s="81">
        <f t="shared" ca="1" si="14"/>
        <v>43313</v>
      </c>
      <c r="F1858" s="82">
        <f ca="1">IFERROR(__xludf.DUMMYFUNCTION("""COMPUTED_VALUE"""),0.167106481481481)</f>
        <v>0.167106481481481</v>
      </c>
      <c r="G1858" s="83">
        <f t="shared" ca="1" si="15"/>
        <v>19</v>
      </c>
      <c r="H1858" s="83">
        <f ca="1">IFERROR(__xludf.DUMMYFUNCTION("""COMPUTED_VALUE"""),0)</f>
        <v>0</v>
      </c>
      <c r="I1858" s="83">
        <f ca="1">IFERROR(__xludf.DUMMYFUNCTION("""COMPUTED_VALUE"""),38)</f>
        <v>38</v>
      </c>
    </row>
    <row r="1859" spans="1:9">
      <c r="A1859" s="79">
        <v>41</v>
      </c>
      <c r="B1859" s="79">
        <v>1</v>
      </c>
      <c r="C1859" s="79">
        <v>42</v>
      </c>
      <c r="D1859" s="80">
        <v>43333.177534722221</v>
      </c>
      <c r="E1859" s="81">
        <f t="shared" ca="1" si="14"/>
        <v>43313</v>
      </c>
      <c r="F1859" s="82">
        <f ca="1">IFERROR(__xludf.DUMMYFUNCTION("""COMPUTED_VALUE"""),0.177534722222222)</f>
        <v>0.177534722222222</v>
      </c>
      <c r="G1859" s="83">
        <f t="shared" ca="1" si="15"/>
        <v>19</v>
      </c>
      <c r="H1859" s="83">
        <f ca="1">IFERROR(__xludf.DUMMYFUNCTION("""COMPUTED_VALUE"""),15)</f>
        <v>15</v>
      </c>
      <c r="I1859" s="83">
        <f ca="1">IFERROR(__xludf.DUMMYFUNCTION("""COMPUTED_VALUE"""),39)</f>
        <v>39</v>
      </c>
    </row>
    <row r="1860" spans="1:9">
      <c r="A1860" s="79">
        <v>22</v>
      </c>
      <c r="B1860" s="79">
        <v>0</v>
      </c>
      <c r="C1860" s="79">
        <v>22</v>
      </c>
      <c r="D1860" s="80">
        <v>43333.187951388885</v>
      </c>
      <c r="E1860" s="81">
        <f t="shared" ca="1" si="14"/>
        <v>43313</v>
      </c>
      <c r="F1860" s="82">
        <f ca="1">IFERROR(__xludf.DUMMYFUNCTION("""COMPUTED_VALUE"""),0.187951388888888)</f>
        <v>0.18795138888888799</v>
      </c>
      <c r="G1860" s="83">
        <f t="shared" ca="1" si="15"/>
        <v>19</v>
      </c>
      <c r="H1860" s="83">
        <f ca="1">IFERROR(__xludf.DUMMYFUNCTION("""COMPUTED_VALUE"""),30)</f>
        <v>30</v>
      </c>
      <c r="I1860" s="83">
        <f ca="1">IFERROR(__xludf.DUMMYFUNCTION("""COMPUTED_VALUE"""),39)</f>
        <v>39</v>
      </c>
    </row>
    <row r="1861" spans="1:9">
      <c r="A1861" s="79">
        <v>20</v>
      </c>
      <c r="B1861" s="79">
        <v>0</v>
      </c>
      <c r="C1861" s="79">
        <v>20</v>
      </c>
      <c r="D1861" s="80">
        <v>43333.198368055557</v>
      </c>
      <c r="E1861" s="81">
        <f t="shared" ca="1" si="14"/>
        <v>43313</v>
      </c>
      <c r="F1861" s="82">
        <f ca="1">IFERROR(__xludf.DUMMYFUNCTION("""COMPUTED_VALUE"""),0.198368055555555)</f>
        <v>0.19836805555555501</v>
      </c>
      <c r="G1861" s="83">
        <f t="shared" ca="1" si="15"/>
        <v>19</v>
      </c>
      <c r="H1861" s="83">
        <f ca="1">IFERROR(__xludf.DUMMYFUNCTION("""COMPUTED_VALUE"""),45)</f>
        <v>45</v>
      </c>
      <c r="I1861" s="83">
        <f ca="1">IFERROR(__xludf.DUMMYFUNCTION("""COMPUTED_VALUE"""),39)</f>
        <v>39</v>
      </c>
    </row>
    <row r="1862" spans="1:9">
      <c r="A1862" s="79">
        <v>19</v>
      </c>
      <c r="B1862" s="79">
        <v>0</v>
      </c>
      <c r="C1862" s="79">
        <v>19</v>
      </c>
      <c r="D1862" s="80">
        <v>43333.208773148152</v>
      </c>
      <c r="E1862" s="81">
        <f t="shared" ca="1" si="14"/>
        <v>43313</v>
      </c>
      <c r="F1862" s="82">
        <f ca="1">IFERROR(__xludf.DUMMYFUNCTION("""COMPUTED_VALUE"""),0.208773148148148)</f>
        <v>0.20877314814814801</v>
      </c>
      <c r="G1862" s="83">
        <f t="shared" ca="1" si="15"/>
        <v>19</v>
      </c>
      <c r="H1862" s="83">
        <f ca="1">IFERROR(__xludf.DUMMYFUNCTION("""COMPUTED_VALUE"""),0)</f>
        <v>0</v>
      </c>
      <c r="I1862" s="83">
        <f ca="1">IFERROR(__xludf.DUMMYFUNCTION("""COMPUTED_VALUE"""),38)</f>
        <v>38</v>
      </c>
    </row>
    <row r="1863" spans="1:9">
      <c r="A1863" s="79">
        <v>19</v>
      </c>
      <c r="B1863" s="79">
        <v>0</v>
      </c>
      <c r="C1863" s="79">
        <v>19</v>
      </c>
      <c r="D1863" s="80">
        <v>43333.219201388885</v>
      </c>
      <c r="E1863" s="81">
        <f t="shared" ca="1" si="14"/>
        <v>43313</v>
      </c>
      <c r="F1863" s="82">
        <f ca="1">IFERROR(__xludf.DUMMYFUNCTION("""COMPUTED_VALUE"""),0.219201388888888)</f>
        <v>0.21920138888888799</v>
      </c>
      <c r="G1863" s="83">
        <f t="shared" ca="1" si="15"/>
        <v>19</v>
      </c>
      <c r="H1863" s="83">
        <f ca="1">IFERROR(__xludf.DUMMYFUNCTION("""COMPUTED_VALUE"""),15)</f>
        <v>15</v>
      </c>
      <c r="I1863" s="83">
        <f ca="1">IFERROR(__xludf.DUMMYFUNCTION("""COMPUTED_VALUE"""),39)</f>
        <v>39</v>
      </c>
    </row>
    <row r="1864" spans="1:9">
      <c r="A1864" s="79">
        <v>19</v>
      </c>
      <c r="B1864" s="79">
        <v>0</v>
      </c>
      <c r="C1864" s="79">
        <v>19</v>
      </c>
      <c r="D1864" s="80">
        <v>43333.22960648148</v>
      </c>
      <c r="E1864" s="81">
        <f t="shared" ca="1" si="14"/>
        <v>43313</v>
      </c>
      <c r="F1864" s="82">
        <f ca="1">IFERROR(__xludf.DUMMYFUNCTION("""COMPUTED_VALUE"""),0.229606481481481)</f>
        <v>0.229606481481481</v>
      </c>
      <c r="G1864" s="83">
        <f t="shared" ca="1" si="15"/>
        <v>19</v>
      </c>
      <c r="H1864" s="83">
        <f ca="1">IFERROR(__xludf.DUMMYFUNCTION("""COMPUTED_VALUE"""),30)</f>
        <v>30</v>
      </c>
      <c r="I1864" s="83">
        <f ca="1">IFERROR(__xludf.DUMMYFUNCTION("""COMPUTED_VALUE"""),38)</f>
        <v>38</v>
      </c>
    </row>
    <row r="1865" spans="1:9">
      <c r="A1865" s="79">
        <v>18</v>
      </c>
      <c r="B1865" s="79">
        <v>0</v>
      </c>
      <c r="C1865" s="79">
        <v>18</v>
      </c>
      <c r="D1865" s="80">
        <v>43333.240046296298</v>
      </c>
      <c r="E1865" s="81">
        <f t="shared" ca="1" si="14"/>
        <v>43313</v>
      </c>
      <c r="F1865" s="82">
        <f ca="1">IFERROR(__xludf.DUMMYFUNCTION("""COMPUTED_VALUE"""),0.240046296296296)</f>
        <v>0.24004629629629601</v>
      </c>
      <c r="G1865" s="83">
        <f t="shared" ca="1" si="15"/>
        <v>19</v>
      </c>
      <c r="H1865" s="83">
        <f ca="1">IFERROR(__xludf.DUMMYFUNCTION("""COMPUTED_VALUE"""),45)</f>
        <v>45</v>
      </c>
      <c r="I1865" s="83">
        <f ca="1">IFERROR(__xludf.DUMMYFUNCTION("""COMPUTED_VALUE"""),40)</f>
        <v>40</v>
      </c>
    </row>
    <row r="1866" spans="1:9">
      <c r="A1866" s="79">
        <v>18</v>
      </c>
      <c r="B1866" s="79">
        <v>0</v>
      </c>
      <c r="C1866" s="79">
        <v>18</v>
      </c>
      <c r="D1866" s="80">
        <v>43333.250439814816</v>
      </c>
      <c r="E1866" s="81">
        <f t="shared" ca="1" si="14"/>
        <v>43313</v>
      </c>
      <c r="F1866" s="82">
        <f ca="1">IFERROR(__xludf.DUMMYFUNCTION("""COMPUTED_VALUE"""),0.250439814814814)</f>
        <v>0.25043981481481398</v>
      </c>
      <c r="G1866" s="83">
        <f t="shared" ca="1" si="15"/>
        <v>19</v>
      </c>
      <c r="H1866" s="83">
        <f ca="1">IFERROR(__xludf.DUMMYFUNCTION("""COMPUTED_VALUE"""),0)</f>
        <v>0</v>
      </c>
      <c r="I1866" s="83">
        <f ca="1">IFERROR(__xludf.DUMMYFUNCTION("""COMPUTED_VALUE"""),38)</f>
        <v>38</v>
      </c>
    </row>
    <row r="1867" spans="1:9">
      <c r="A1867" s="79">
        <v>18</v>
      </c>
      <c r="B1867" s="79">
        <v>0</v>
      </c>
      <c r="C1867" s="79">
        <v>18</v>
      </c>
      <c r="D1867" s="80">
        <v>43333.260879629626</v>
      </c>
      <c r="E1867" s="81">
        <f t="shared" ca="1" si="14"/>
        <v>43313</v>
      </c>
      <c r="F1867" s="82">
        <f ca="1">IFERROR(__xludf.DUMMYFUNCTION("""COMPUTED_VALUE"""),0.260879629629629)</f>
        <v>0.26087962962962902</v>
      </c>
      <c r="G1867" s="83">
        <f t="shared" ca="1" si="15"/>
        <v>19</v>
      </c>
      <c r="H1867" s="83">
        <f ca="1">IFERROR(__xludf.DUMMYFUNCTION("""COMPUTED_VALUE"""),15)</f>
        <v>15</v>
      </c>
      <c r="I1867" s="83">
        <f ca="1">IFERROR(__xludf.DUMMYFUNCTION("""COMPUTED_VALUE"""),40)</f>
        <v>40</v>
      </c>
    </row>
    <row r="1868" spans="1:9">
      <c r="A1868" s="79">
        <v>17</v>
      </c>
      <c r="B1868" s="79">
        <v>0</v>
      </c>
      <c r="C1868" s="79">
        <v>17</v>
      </c>
      <c r="D1868" s="80">
        <v>43333.273773148147</v>
      </c>
      <c r="E1868" s="81">
        <f t="shared" ca="1" si="14"/>
        <v>43313</v>
      </c>
      <c r="F1868" s="82">
        <f ca="1">IFERROR(__xludf.DUMMYFUNCTION("""COMPUTED_VALUE"""),0.273773148148148)</f>
        <v>0.27377314814814802</v>
      </c>
      <c r="G1868" s="83">
        <f t="shared" ca="1" si="15"/>
        <v>19</v>
      </c>
      <c r="H1868" s="83">
        <f ca="1">IFERROR(__xludf.DUMMYFUNCTION("""COMPUTED_VALUE"""),34)</f>
        <v>34</v>
      </c>
      <c r="I1868" s="83">
        <f ca="1">IFERROR(__xludf.DUMMYFUNCTION("""COMPUTED_VALUE"""),14)</f>
        <v>14</v>
      </c>
    </row>
    <row r="1869" spans="1:9">
      <c r="A1869" s="79">
        <v>16</v>
      </c>
      <c r="B1869" s="79">
        <v>0</v>
      </c>
      <c r="C1869" s="79">
        <v>16</v>
      </c>
      <c r="D1869" s="80">
        <v>43333.281701388885</v>
      </c>
      <c r="E1869" s="81">
        <f t="shared" ca="1" si="14"/>
        <v>43313</v>
      </c>
      <c r="F1869" s="82">
        <f ca="1">IFERROR(__xludf.DUMMYFUNCTION("""COMPUTED_VALUE"""),0.281701388888888)</f>
        <v>0.28170138888888802</v>
      </c>
      <c r="G1869" s="83">
        <f t="shared" ca="1" si="15"/>
        <v>19</v>
      </c>
      <c r="H1869" s="83">
        <f ca="1">IFERROR(__xludf.DUMMYFUNCTION("""COMPUTED_VALUE"""),45)</f>
        <v>45</v>
      </c>
      <c r="I1869" s="83">
        <f ca="1">IFERROR(__xludf.DUMMYFUNCTION("""COMPUTED_VALUE"""),39)</f>
        <v>39</v>
      </c>
    </row>
    <row r="1870" spans="1:9">
      <c r="A1870" s="79">
        <v>27</v>
      </c>
      <c r="B1870" s="79">
        <v>0</v>
      </c>
      <c r="C1870" s="79">
        <v>27</v>
      </c>
      <c r="D1870" s="80">
        <v>43333.292118055557</v>
      </c>
      <c r="E1870" s="81">
        <f t="shared" ca="1" si="14"/>
        <v>43313</v>
      </c>
      <c r="F1870" s="82">
        <f ca="1">IFERROR(__xludf.DUMMYFUNCTION("""COMPUTED_VALUE"""),0.292118055555555)</f>
        <v>0.29211805555555498</v>
      </c>
      <c r="G1870" s="83">
        <f t="shared" ca="1" si="15"/>
        <v>19</v>
      </c>
      <c r="H1870" s="83">
        <f ca="1">IFERROR(__xludf.DUMMYFUNCTION("""COMPUTED_VALUE"""),0)</f>
        <v>0</v>
      </c>
      <c r="I1870" s="83">
        <f ca="1">IFERROR(__xludf.DUMMYFUNCTION("""COMPUTED_VALUE"""),39)</f>
        <v>39</v>
      </c>
    </row>
    <row r="1871" spans="1:9">
      <c r="A1871" s="79">
        <v>42</v>
      </c>
      <c r="B1871" s="79">
        <v>1</v>
      </c>
      <c r="C1871" s="79">
        <v>43</v>
      </c>
      <c r="D1871" s="80">
        <v>43333.302546296298</v>
      </c>
      <c r="E1871" s="81">
        <f t="shared" ca="1" si="14"/>
        <v>43313</v>
      </c>
      <c r="F1871" s="82">
        <f ca="1">IFERROR(__xludf.DUMMYFUNCTION("""COMPUTED_VALUE"""),0.302546296296296)</f>
        <v>0.30254629629629598</v>
      </c>
      <c r="G1871" s="83">
        <f t="shared" ca="1" si="15"/>
        <v>19</v>
      </c>
      <c r="H1871" s="83">
        <f ca="1">IFERROR(__xludf.DUMMYFUNCTION("""COMPUTED_VALUE"""),15)</f>
        <v>15</v>
      </c>
      <c r="I1871" s="83">
        <f ca="1">IFERROR(__xludf.DUMMYFUNCTION("""COMPUTED_VALUE"""),40)</f>
        <v>40</v>
      </c>
    </row>
    <row r="1872" spans="1:9">
      <c r="A1872" s="79">
        <v>45</v>
      </c>
      <c r="B1872" s="79">
        <v>0</v>
      </c>
      <c r="C1872" s="79">
        <v>45</v>
      </c>
      <c r="D1872" s="80">
        <v>43333.312962962962</v>
      </c>
      <c r="E1872" s="81">
        <f t="shared" ca="1" si="14"/>
        <v>43313</v>
      </c>
      <c r="F1872" s="82">
        <f ca="1">IFERROR(__xludf.DUMMYFUNCTION("""COMPUTED_VALUE"""),0.312962962962962)</f>
        <v>0.312962962962962</v>
      </c>
      <c r="G1872" s="83">
        <f t="shared" ca="1" si="15"/>
        <v>19</v>
      </c>
      <c r="H1872" s="83">
        <f ca="1">IFERROR(__xludf.DUMMYFUNCTION("""COMPUTED_VALUE"""),30)</f>
        <v>30</v>
      </c>
      <c r="I1872" s="83">
        <f ca="1">IFERROR(__xludf.DUMMYFUNCTION("""COMPUTED_VALUE"""),40)</f>
        <v>40</v>
      </c>
    </row>
    <row r="1873" spans="1:9">
      <c r="A1873" s="79">
        <v>65</v>
      </c>
      <c r="B1873" s="79">
        <v>0</v>
      </c>
      <c r="C1873" s="79">
        <v>65</v>
      </c>
      <c r="D1873" s="80">
        <v>43333.323379629626</v>
      </c>
      <c r="E1873" s="81">
        <f t="shared" ca="1" si="14"/>
        <v>43313</v>
      </c>
      <c r="F1873" s="82">
        <f ca="1">IFERROR(__xludf.DUMMYFUNCTION("""COMPUTED_VALUE"""),0.323379629629629)</f>
        <v>0.32337962962962902</v>
      </c>
      <c r="G1873" s="83">
        <f t="shared" ca="1" si="15"/>
        <v>19</v>
      </c>
      <c r="H1873" s="83">
        <f ca="1">IFERROR(__xludf.DUMMYFUNCTION("""COMPUTED_VALUE"""),45)</f>
        <v>45</v>
      </c>
      <c r="I1873" s="83">
        <f ca="1">IFERROR(__xludf.DUMMYFUNCTION("""COMPUTED_VALUE"""),40)</f>
        <v>40</v>
      </c>
    </row>
    <row r="1874" spans="1:9">
      <c r="A1874" s="79">
        <v>52</v>
      </c>
      <c r="B1874" s="79">
        <v>0</v>
      </c>
      <c r="C1874" s="79">
        <v>52</v>
      </c>
      <c r="D1874" s="80">
        <v>43333.333796296298</v>
      </c>
      <c r="E1874" s="81">
        <f t="shared" ca="1" si="14"/>
        <v>43313</v>
      </c>
      <c r="F1874" s="82">
        <f ca="1">IFERROR(__xludf.DUMMYFUNCTION("""COMPUTED_VALUE"""),0.333796296296296)</f>
        <v>0.33379629629629598</v>
      </c>
      <c r="G1874" s="83">
        <f t="shared" ca="1" si="15"/>
        <v>19</v>
      </c>
      <c r="H1874" s="83">
        <f ca="1">IFERROR(__xludf.DUMMYFUNCTION("""COMPUTED_VALUE"""),0)</f>
        <v>0</v>
      </c>
      <c r="I1874" s="83">
        <f ca="1">IFERROR(__xludf.DUMMYFUNCTION("""COMPUTED_VALUE"""),40)</f>
        <v>40</v>
      </c>
    </row>
    <row r="1875" spans="1:9">
      <c r="A1875" s="79">
        <v>71</v>
      </c>
      <c r="B1875" s="79">
        <v>0</v>
      </c>
      <c r="C1875" s="79">
        <v>71</v>
      </c>
      <c r="D1875" s="80">
        <v>43333.344212962962</v>
      </c>
      <c r="E1875" s="81">
        <f t="shared" ca="1" si="14"/>
        <v>43313</v>
      </c>
      <c r="F1875" s="82">
        <f ca="1">IFERROR(__xludf.DUMMYFUNCTION("""COMPUTED_VALUE"""),0.344212962962962)</f>
        <v>0.344212962962962</v>
      </c>
      <c r="G1875" s="83">
        <f t="shared" ca="1" si="15"/>
        <v>19</v>
      </c>
      <c r="H1875" s="83">
        <f ca="1">IFERROR(__xludf.DUMMYFUNCTION("""COMPUTED_VALUE"""),15)</f>
        <v>15</v>
      </c>
      <c r="I1875" s="83">
        <f ca="1">IFERROR(__xludf.DUMMYFUNCTION("""COMPUTED_VALUE"""),40)</f>
        <v>40</v>
      </c>
    </row>
    <row r="1876" spans="1:9">
      <c r="A1876" s="79">
        <v>118</v>
      </c>
      <c r="B1876" s="79">
        <v>0</v>
      </c>
      <c r="C1876" s="79">
        <v>118</v>
      </c>
      <c r="D1876" s="80">
        <v>43333.354629629626</v>
      </c>
      <c r="E1876" s="81">
        <f t="shared" ca="1" si="14"/>
        <v>43313</v>
      </c>
      <c r="F1876" s="82">
        <f ca="1">IFERROR(__xludf.DUMMYFUNCTION("""COMPUTED_VALUE"""),0.354629629629629)</f>
        <v>0.35462962962962902</v>
      </c>
      <c r="G1876" s="83">
        <f t="shared" ca="1" si="15"/>
        <v>19</v>
      </c>
      <c r="H1876" s="83">
        <f ca="1">IFERROR(__xludf.DUMMYFUNCTION("""COMPUTED_VALUE"""),30)</f>
        <v>30</v>
      </c>
      <c r="I1876" s="83">
        <f ca="1">IFERROR(__xludf.DUMMYFUNCTION("""COMPUTED_VALUE"""),40)</f>
        <v>40</v>
      </c>
    </row>
    <row r="1877" spans="1:9">
      <c r="A1877" s="79">
        <v>178</v>
      </c>
      <c r="B1877" s="79">
        <v>1</v>
      </c>
      <c r="C1877" s="79">
        <v>179</v>
      </c>
      <c r="D1877" s="80">
        <v>43333.365046296298</v>
      </c>
      <c r="E1877" s="81">
        <f t="shared" ca="1" si="14"/>
        <v>43313</v>
      </c>
      <c r="F1877" s="82">
        <f ca="1">IFERROR(__xludf.DUMMYFUNCTION("""COMPUTED_VALUE"""),0.365046296296296)</f>
        <v>0.36504629629629598</v>
      </c>
      <c r="G1877" s="83">
        <f t="shared" ca="1" si="15"/>
        <v>19</v>
      </c>
      <c r="H1877" s="83">
        <f ca="1">IFERROR(__xludf.DUMMYFUNCTION("""COMPUTED_VALUE"""),45)</f>
        <v>45</v>
      </c>
      <c r="I1877" s="83">
        <f ca="1">IFERROR(__xludf.DUMMYFUNCTION("""COMPUTED_VALUE"""),40)</f>
        <v>40</v>
      </c>
    </row>
    <row r="1878" spans="1:9">
      <c r="A1878" s="79">
        <v>140</v>
      </c>
      <c r="B1878" s="79">
        <v>0</v>
      </c>
      <c r="C1878" s="79">
        <v>138</v>
      </c>
      <c r="D1878" s="80">
        <v>43333.375462962962</v>
      </c>
      <c r="E1878" s="81">
        <f t="shared" ca="1" si="14"/>
        <v>43313</v>
      </c>
      <c r="F1878" s="82">
        <f ca="1">IFERROR(__xludf.DUMMYFUNCTION("""COMPUTED_VALUE"""),0.375462962962962)</f>
        <v>0.375462962962962</v>
      </c>
      <c r="G1878" s="83">
        <f t="shared" ca="1" si="15"/>
        <v>19</v>
      </c>
      <c r="H1878" s="83">
        <f ca="1">IFERROR(__xludf.DUMMYFUNCTION("""COMPUTED_VALUE"""),0)</f>
        <v>0</v>
      </c>
      <c r="I1878" s="83">
        <f ca="1">IFERROR(__xludf.DUMMYFUNCTION("""COMPUTED_VALUE"""),40)</f>
        <v>40</v>
      </c>
    </row>
    <row r="1879" spans="1:9">
      <c r="A1879" s="79">
        <v>192</v>
      </c>
      <c r="B1879" s="79">
        <v>3</v>
      </c>
      <c r="C1879" s="79">
        <v>195</v>
      </c>
      <c r="D1879" s="80">
        <v>43333.385879629626</v>
      </c>
      <c r="E1879" s="81">
        <f t="shared" ca="1" si="14"/>
        <v>43313</v>
      </c>
      <c r="F1879" s="82">
        <f ca="1">IFERROR(__xludf.DUMMYFUNCTION("""COMPUTED_VALUE"""),0.385879629629629)</f>
        <v>0.38587962962962902</v>
      </c>
      <c r="G1879" s="83">
        <f t="shared" ca="1" si="15"/>
        <v>19</v>
      </c>
      <c r="H1879" s="83">
        <f ca="1">IFERROR(__xludf.DUMMYFUNCTION("""COMPUTED_VALUE"""),15)</f>
        <v>15</v>
      </c>
      <c r="I1879" s="83">
        <f ca="1">IFERROR(__xludf.DUMMYFUNCTION("""COMPUTED_VALUE"""),40)</f>
        <v>40</v>
      </c>
    </row>
    <row r="1880" spans="1:9">
      <c r="A1880" s="79">
        <v>309</v>
      </c>
      <c r="B1880" s="79">
        <v>6</v>
      </c>
      <c r="C1880" s="79">
        <v>315</v>
      </c>
      <c r="D1880" s="80">
        <v>43333.396296296298</v>
      </c>
      <c r="E1880" s="81">
        <f t="shared" ca="1" si="14"/>
        <v>43313</v>
      </c>
      <c r="F1880" s="82">
        <f ca="1">IFERROR(__xludf.DUMMYFUNCTION("""COMPUTED_VALUE"""),0.396296296296296)</f>
        <v>0.39629629629629598</v>
      </c>
      <c r="G1880" s="83">
        <f t="shared" ca="1" si="15"/>
        <v>19</v>
      </c>
      <c r="H1880" s="83">
        <f ca="1">IFERROR(__xludf.DUMMYFUNCTION("""COMPUTED_VALUE"""),30)</f>
        <v>30</v>
      </c>
      <c r="I1880" s="83">
        <f ca="1">IFERROR(__xludf.DUMMYFUNCTION("""COMPUTED_VALUE"""),40)</f>
        <v>40</v>
      </c>
    </row>
    <row r="1881" spans="1:9">
      <c r="A1881" s="79">
        <v>546</v>
      </c>
      <c r="B1881" s="79">
        <v>6</v>
      </c>
      <c r="C1881" s="79">
        <v>552</v>
      </c>
      <c r="D1881" s="80">
        <v>43333.406712962962</v>
      </c>
      <c r="E1881" s="81">
        <f t="shared" ca="1" si="14"/>
        <v>43313</v>
      </c>
      <c r="F1881" s="82">
        <f ca="1">IFERROR(__xludf.DUMMYFUNCTION("""COMPUTED_VALUE"""),0.406712962962962)</f>
        <v>0.406712962962962</v>
      </c>
      <c r="G1881" s="83">
        <f t="shared" ca="1" si="15"/>
        <v>19</v>
      </c>
      <c r="H1881" s="83">
        <f ca="1">IFERROR(__xludf.DUMMYFUNCTION("""COMPUTED_VALUE"""),45)</f>
        <v>45</v>
      </c>
      <c r="I1881" s="83">
        <f ca="1">IFERROR(__xludf.DUMMYFUNCTION("""COMPUTED_VALUE"""),40)</f>
        <v>40</v>
      </c>
    </row>
    <row r="1882" spans="1:9">
      <c r="A1882" s="79">
        <v>471</v>
      </c>
      <c r="B1882" s="79">
        <v>6</v>
      </c>
      <c r="C1882" s="79">
        <v>477</v>
      </c>
      <c r="D1882" s="80">
        <v>43333.417141203703</v>
      </c>
      <c r="E1882" s="81">
        <f t="shared" ca="1" si="14"/>
        <v>43313</v>
      </c>
      <c r="F1882" s="82">
        <f ca="1">IFERROR(__xludf.DUMMYFUNCTION("""COMPUTED_VALUE"""),0.417141203703703)</f>
        <v>0.417141203703703</v>
      </c>
      <c r="G1882" s="83">
        <f t="shared" ca="1" si="15"/>
        <v>19</v>
      </c>
      <c r="H1882" s="83">
        <f ca="1">IFERROR(__xludf.DUMMYFUNCTION("""COMPUTED_VALUE"""),0)</f>
        <v>0</v>
      </c>
      <c r="I1882" s="83">
        <f ca="1">IFERROR(__xludf.DUMMYFUNCTION("""COMPUTED_VALUE"""),41)</f>
        <v>41</v>
      </c>
    </row>
    <row r="1883" spans="1:9">
      <c r="A1883" s="79">
        <v>477</v>
      </c>
      <c r="B1883" s="79">
        <v>12</v>
      </c>
      <c r="C1883" s="79">
        <v>489</v>
      </c>
      <c r="D1883" s="80">
        <v>43333.427534722221</v>
      </c>
      <c r="E1883" s="81">
        <f t="shared" ca="1" si="14"/>
        <v>43313</v>
      </c>
      <c r="F1883" s="82">
        <f ca="1">IFERROR(__xludf.DUMMYFUNCTION("""COMPUTED_VALUE"""),0.427534722222222)</f>
        <v>0.427534722222222</v>
      </c>
      <c r="G1883" s="83">
        <f t="shared" ca="1" si="15"/>
        <v>19</v>
      </c>
      <c r="H1883" s="83">
        <f ca="1">IFERROR(__xludf.DUMMYFUNCTION("""COMPUTED_VALUE"""),15)</f>
        <v>15</v>
      </c>
      <c r="I1883" s="83">
        <f ca="1">IFERROR(__xludf.DUMMYFUNCTION("""COMPUTED_VALUE"""),39)</f>
        <v>39</v>
      </c>
    </row>
    <row r="1884" spans="1:9">
      <c r="A1884" s="79">
        <v>523</v>
      </c>
      <c r="B1884" s="79">
        <v>7</v>
      </c>
      <c r="C1884" s="79">
        <v>530</v>
      </c>
      <c r="D1884" s="80">
        <v>43333.437962962962</v>
      </c>
      <c r="E1884" s="81">
        <f t="shared" ca="1" si="14"/>
        <v>43313</v>
      </c>
      <c r="F1884" s="82">
        <f ca="1">IFERROR(__xludf.DUMMYFUNCTION("""COMPUTED_VALUE"""),0.437962962962962)</f>
        <v>0.437962962962962</v>
      </c>
      <c r="G1884" s="83">
        <f t="shared" ca="1" si="15"/>
        <v>19</v>
      </c>
      <c r="H1884" s="83">
        <f ca="1">IFERROR(__xludf.DUMMYFUNCTION("""COMPUTED_VALUE"""),30)</f>
        <v>30</v>
      </c>
      <c r="I1884" s="83">
        <f ca="1">IFERROR(__xludf.DUMMYFUNCTION("""COMPUTED_VALUE"""),40)</f>
        <v>40</v>
      </c>
    </row>
    <row r="1885" spans="1:9">
      <c r="A1885" s="79">
        <v>698</v>
      </c>
      <c r="B1885" s="79">
        <v>13</v>
      </c>
      <c r="C1885" s="79">
        <v>711</v>
      </c>
      <c r="D1885" s="80">
        <v>43333.448379629626</v>
      </c>
      <c r="E1885" s="81">
        <f t="shared" ca="1" si="14"/>
        <v>43313</v>
      </c>
      <c r="F1885" s="82">
        <f ca="1">IFERROR(__xludf.DUMMYFUNCTION("""COMPUTED_VALUE"""),0.448379629629629)</f>
        <v>0.44837962962962902</v>
      </c>
      <c r="G1885" s="83">
        <f t="shared" ca="1" si="15"/>
        <v>19</v>
      </c>
      <c r="H1885" s="83">
        <f ca="1">IFERROR(__xludf.DUMMYFUNCTION("""COMPUTED_VALUE"""),45)</f>
        <v>45</v>
      </c>
      <c r="I1885" s="83">
        <f ca="1">IFERROR(__xludf.DUMMYFUNCTION("""COMPUTED_VALUE"""),40)</f>
        <v>40</v>
      </c>
    </row>
    <row r="1886" spans="1:9">
      <c r="A1886" s="79">
        <v>574</v>
      </c>
      <c r="B1886" s="79">
        <v>8</v>
      </c>
      <c r="C1886" s="79">
        <v>573</v>
      </c>
      <c r="D1886" s="80">
        <v>43333.458807870367</v>
      </c>
      <c r="E1886" s="81">
        <f t="shared" ca="1" si="14"/>
        <v>43313</v>
      </c>
      <c r="F1886" s="82">
        <f ca="1">IFERROR(__xludf.DUMMYFUNCTION("""COMPUTED_VALUE"""),0.45880787037037)</f>
        <v>0.45880787037037002</v>
      </c>
      <c r="G1886" s="83">
        <f t="shared" ca="1" si="15"/>
        <v>19</v>
      </c>
      <c r="H1886" s="83">
        <f ca="1">IFERROR(__xludf.DUMMYFUNCTION("""COMPUTED_VALUE"""),0)</f>
        <v>0</v>
      </c>
      <c r="I1886" s="83">
        <f ca="1">IFERROR(__xludf.DUMMYFUNCTION("""COMPUTED_VALUE"""),41)</f>
        <v>41</v>
      </c>
    </row>
    <row r="1887" spans="1:9">
      <c r="A1887" s="79">
        <v>430</v>
      </c>
      <c r="B1887" s="79">
        <v>5</v>
      </c>
      <c r="C1887" s="79">
        <v>435</v>
      </c>
      <c r="D1887" s="80">
        <v>43333.469212962962</v>
      </c>
      <c r="E1887" s="81">
        <f t="shared" ca="1" si="14"/>
        <v>43313</v>
      </c>
      <c r="F1887" s="82">
        <f ca="1">IFERROR(__xludf.DUMMYFUNCTION("""COMPUTED_VALUE"""),0.469212962962962)</f>
        <v>0.469212962962962</v>
      </c>
      <c r="G1887" s="83">
        <f t="shared" ca="1" si="15"/>
        <v>19</v>
      </c>
      <c r="H1887" s="83">
        <f ca="1">IFERROR(__xludf.DUMMYFUNCTION("""COMPUTED_VALUE"""),15)</f>
        <v>15</v>
      </c>
      <c r="I1887" s="83">
        <f ca="1">IFERROR(__xludf.DUMMYFUNCTION("""COMPUTED_VALUE"""),40)</f>
        <v>40</v>
      </c>
    </row>
    <row r="1888" spans="1:9">
      <c r="A1888" s="79">
        <v>408</v>
      </c>
      <c r="B1888" s="79">
        <v>3</v>
      </c>
      <c r="C1888" s="79">
        <v>411</v>
      </c>
      <c r="D1888" s="80">
        <v>43333.479629629626</v>
      </c>
      <c r="E1888" s="81">
        <f t="shared" ca="1" si="14"/>
        <v>43313</v>
      </c>
      <c r="F1888" s="82">
        <f ca="1">IFERROR(__xludf.DUMMYFUNCTION("""COMPUTED_VALUE"""),0.479629629629629)</f>
        <v>0.47962962962962902</v>
      </c>
      <c r="G1888" s="83">
        <f t="shared" ca="1" si="15"/>
        <v>19</v>
      </c>
      <c r="H1888" s="83">
        <f ca="1">IFERROR(__xludf.DUMMYFUNCTION("""COMPUTED_VALUE"""),30)</f>
        <v>30</v>
      </c>
      <c r="I1888" s="83">
        <f ca="1">IFERROR(__xludf.DUMMYFUNCTION("""COMPUTED_VALUE"""),40)</f>
        <v>40</v>
      </c>
    </row>
    <row r="1889" spans="1:9">
      <c r="A1889" s="79">
        <v>402</v>
      </c>
      <c r="B1889" s="79">
        <v>2</v>
      </c>
      <c r="C1889" s="79">
        <v>404</v>
      </c>
      <c r="D1889" s="80">
        <v>43333.490046296298</v>
      </c>
      <c r="E1889" s="81">
        <f t="shared" ca="1" si="14"/>
        <v>43313</v>
      </c>
      <c r="F1889" s="82">
        <f ca="1">IFERROR(__xludf.DUMMYFUNCTION("""COMPUTED_VALUE"""),0.490046296296296)</f>
        <v>0.49004629629629598</v>
      </c>
      <c r="G1889" s="83">
        <f t="shared" ca="1" si="15"/>
        <v>19</v>
      </c>
      <c r="H1889" s="83">
        <f ca="1">IFERROR(__xludf.DUMMYFUNCTION("""COMPUTED_VALUE"""),45)</f>
        <v>45</v>
      </c>
      <c r="I1889" s="83">
        <f ca="1">IFERROR(__xludf.DUMMYFUNCTION("""COMPUTED_VALUE"""),40)</f>
        <v>40</v>
      </c>
    </row>
    <row r="1890" spans="1:9">
      <c r="A1890" s="79">
        <v>316</v>
      </c>
      <c r="B1890" s="79">
        <v>5</v>
      </c>
      <c r="C1890" s="79">
        <v>321</v>
      </c>
      <c r="D1890" s="80">
        <v>43333.500462962962</v>
      </c>
      <c r="E1890" s="81">
        <f t="shared" ca="1" si="14"/>
        <v>43313</v>
      </c>
      <c r="F1890" s="82">
        <f ca="1">IFERROR(__xludf.DUMMYFUNCTION("""COMPUTED_VALUE"""),0.500462962962963)</f>
        <v>0.500462962962963</v>
      </c>
      <c r="G1890" s="83">
        <f t="shared" ca="1" si="15"/>
        <v>19</v>
      </c>
      <c r="H1890" s="83">
        <f ca="1">IFERROR(__xludf.DUMMYFUNCTION("""COMPUTED_VALUE"""),0)</f>
        <v>0</v>
      </c>
      <c r="I1890" s="83">
        <f ca="1">IFERROR(__xludf.DUMMYFUNCTION("""COMPUTED_VALUE"""),40)</f>
        <v>40</v>
      </c>
    </row>
    <row r="1891" spans="1:9">
      <c r="A1891" s="79">
        <v>293</v>
      </c>
      <c r="B1891" s="79">
        <v>0</v>
      </c>
      <c r="C1891" s="79">
        <v>293</v>
      </c>
      <c r="D1891" s="80">
        <v>43333.510879629626</v>
      </c>
      <c r="E1891" s="81">
        <f t="shared" ca="1" si="14"/>
        <v>43313</v>
      </c>
      <c r="F1891" s="82">
        <f ca="1">IFERROR(__xludf.DUMMYFUNCTION("""COMPUTED_VALUE"""),0.510879629629629)</f>
        <v>0.51087962962962896</v>
      </c>
      <c r="G1891" s="83">
        <f t="shared" ca="1" si="15"/>
        <v>19</v>
      </c>
      <c r="H1891" s="83">
        <f ca="1">IFERROR(__xludf.DUMMYFUNCTION("""COMPUTED_VALUE"""),15)</f>
        <v>15</v>
      </c>
      <c r="I1891" s="83">
        <f ca="1">IFERROR(__xludf.DUMMYFUNCTION("""COMPUTED_VALUE"""),40)</f>
        <v>40</v>
      </c>
    </row>
    <row r="1892" spans="1:9">
      <c r="A1892" s="79">
        <v>275</v>
      </c>
      <c r="B1892" s="79">
        <v>2</v>
      </c>
      <c r="C1892" s="79">
        <v>277</v>
      </c>
      <c r="D1892" s="80">
        <v>43333.521296296298</v>
      </c>
      <c r="E1892" s="81">
        <f t="shared" ca="1" si="14"/>
        <v>43313</v>
      </c>
      <c r="F1892" s="82">
        <f ca="1">IFERROR(__xludf.DUMMYFUNCTION("""COMPUTED_VALUE"""),0.521296296296296)</f>
        <v>0.52129629629629604</v>
      </c>
      <c r="G1892" s="83">
        <f t="shared" ca="1" si="15"/>
        <v>19</v>
      </c>
      <c r="H1892" s="83">
        <f ca="1">IFERROR(__xludf.DUMMYFUNCTION("""COMPUTED_VALUE"""),30)</f>
        <v>30</v>
      </c>
      <c r="I1892" s="83">
        <f ca="1">IFERROR(__xludf.DUMMYFUNCTION("""COMPUTED_VALUE"""),40)</f>
        <v>40</v>
      </c>
    </row>
    <row r="1893" spans="1:9">
      <c r="A1893" s="79">
        <v>298</v>
      </c>
      <c r="B1893" s="79">
        <v>4</v>
      </c>
      <c r="C1893" s="79">
        <v>302</v>
      </c>
      <c r="D1893" s="80">
        <v>43333.531701388885</v>
      </c>
      <c r="E1893" s="81">
        <f t="shared" ca="1" si="14"/>
        <v>43313</v>
      </c>
      <c r="F1893" s="82">
        <f ca="1">IFERROR(__xludf.DUMMYFUNCTION("""COMPUTED_VALUE"""),0.531701388888888)</f>
        <v>0.53170138888888796</v>
      </c>
      <c r="G1893" s="83">
        <f t="shared" ca="1" si="15"/>
        <v>19</v>
      </c>
      <c r="H1893" s="83">
        <f ca="1">IFERROR(__xludf.DUMMYFUNCTION("""COMPUTED_VALUE"""),45)</f>
        <v>45</v>
      </c>
      <c r="I1893" s="83">
        <f ca="1">IFERROR(__xludf.DUMMYFUNCTION("""COMPUTED_VALUE"""),39)</f>
        <v>39</v>
      </c>
    </row>
    <row r="1894" spans="1:9">
      <c r="A1894" s="79">
        <v>269</v>
      </c>
      <c r="B1894" s="79">
        <v>1</v>
      </c>
      <c r="C1894" s="79">
        <v>268</v>
      </c>
      <c r="D1894" s="80">
        <v>43333.542141203703</v>
      </c>
      <c r="E1894" s="81">
        <f t="shared" ca="1" si="14"/>
        <v>43313</v>
      </c>
      <c r="F1894" s="82">
        <f ca="1">IFERROR(__xludf.DUMMYFUNCTION("""COMPUTED_VALUE"""),0.542141203703703)</f>
        <v>0.542141203703703</v>
      </c>
      <c r="G1894" s="83">
        <f t="shared" ca="1" si="15"/>
        <v>19</v>
      </c>
      <c r="H1894" s="83">
        <f ca="1">IFERROR(__xludf.DUMMYFUNCTION("""COMPUTED_VALUE"""),0)</f>
        <v>0</v>
      </c>
      <c r="I1894" s="83">
        <f ca="1">IFERROR(__xludf.DUMMYFUNCTION("""COMPUTED_VALUE"""),41)</f>
        <v>41</v>
      </c>
    </row>
    <row r="1895" spans="1:9">
      <c r="A1895" s="79">
        <v>290</v>
      </c>
      <c r="B1895" s="79">
        <v>1</v>
      </c>
      <c r="C1895" s="79">
        <v>291</v>
      </c>
      <c r="D1895" s="80">
        <v>43333.552534722221</v>
      </c>
      <c r="E1895" s="81">
        <f t="shared" ca="1" si="14"/>
        <v>43313</v>
      </c>
      <c r="F1895" s="82">
        <f ca="1">IFERROR(__xludf.DUMMYFUNCTION("""COMPUTED_VALUE"""),0.552534722222222)</f>
        <v>0.552534722222222</v>
      </c>
      <c r="G1895" s="83">
        <f t="shared" ca="1" si="15"/>
        <v>19</v>
      </c>
      <c r="H1895" s="83">
        <f ca="1">IFERROR(__xludf.DUMMYFUNCTION("""COMPUTED_VALUE"""),15)</f>
        <v>15</v>
      </c>
      <c r="I1895" s="83">
        <f ca="1">IFERROR(__xludf.DUMMYFUNCTION("""COMPUTED_VALUE"""),39)</f>
        <v>39</v>
      </c>
    </row>
    <row r="1896" spans="1:9">
      <c r="A1896" s="79">
        <v>306</v>
      </c>
      <c r="B1896" s="79">
        <v>2</v>
      </c>
      <c r="C1896" s="79">
        <v>308</v>
      </c>
      <c r="D1896" s="80">
        <v>43333.562962962962</v>
      </c>
      <c r="E1896" s="81">
        <f t="shared" ca="1" si="14"/>
        <v>43313</v>
      </c>
      <c r="F1896" s="82">
        <f ca="1">IFERROR(__xludf.DUMMYFUNCTION("""COMPUTED_VALUE"""),0.562962962962963)</f>
        <v>0.562962962962963</v>
      </c>
      <c r="G1896" s="83">
        <f t="shared" ca="1" si="15"/>
        <v>19</v>
      </c>
      <c r="H1896" s="83">
        <f ca="1">IFERROR(__xludf.DUMMYFUNCTION("""COMPUTED_VALUE"""),30)</f>
        <v>30</v>
      </c>
      <c r="I1896" s="83">
        <f ca="1">IFERROR(__xludf.DUMMYFUNCTION("""COMPUTED_VALUE"""),40)</f>
        <v>40</v>
      </c>
    </row>
    <row r="1897" spans="1:9">
      <c r="A1897" s="79">
        <v>302</v>
      </c>
      <c r="B1897" s="79">
        <v>2</v>
      </c>
      <c r="C1897" s="79">
        <v>304</v>
      </c>
      <c r="D1897" s="80">
        <v>43333.573379629626</v>
      </c>
      <c r="E1897" s="81">
        <f t="shared" ca="1" si="14"/>
        <v>43313</v>
      </c>
      <c r="F1897" s="82">
        <f ca="1">IFERROR(__xludf.DUMMYFUNCTION("""COMPUTED_VALUE"""),0.573379629629629)</f>
        <v>0.57337962962962896</v>
      </c>
      <c r="G1897" s="83">
        <f t="shared" ca="1" si="15"/>
        <v>19</v>
      </c>
      <c r="H1897" s="83">
        <f ca="1">IFERROR(__xludf.DUMMYFUNCTION("""COMPUTED_VALUE"""),45)</f>
        <v>45</v>
      </c>
      <c r="I1897" s="83">
        <f ca="1">IFERROR(__xludf.DUMMYFUNCTION("""COMPUTED_VALUE"""),40)</f>
        <v>40</v>
      </c>
    </row>
    <row r="1898" spans="1:9">
      <c r="A1898" s="79">
        <v>304</v>
      </c>
      <c r="B1898" s="79">
        <v>0</v>
      </c>
      <c r="C1898" s="79">
        <v>304</v>
      </c>
      <c r="D1898" s="80">
        <v>43333.583784722221</v>
      </c>
      <c r="E1898" s="81">
        <f t="shared" ca="1" si="14"/>
        <v>43313</v>
      </c>
      <c r="F1898" s="82">
        <f ca="1">IFERROR(__xludf.DUMMYFUNCTION("""COMPUTED_VALUE"""),0.583784722222222)</f>
        <v>0.583784722222222</v>
      </c>
      <c r="G1898" s="83">
        <f t="shared" ca="1" si="15"/>
        <v>19</v>
      </c>
      <c r="H1898" s="83">
        <f ca="1">IFERROR(__xludf.DUMMYFUNCTION("""COMPUTED_VALUE"""),0)</f>
        <v>0</v>
      </c>
      <c r="I1898" s="83">
        <f ca="1">IFERROR(__xludf.DUMMYFUNCTION("""COMPUTED_VALUE"""),39)</f>
        <v>39</v>
      </c>
    </row>
    <row r="1899" spans="1:9">
      <c r="A1899" s="79">
        <v>323</v>
      </c>
      <c r="B1899" s="79">
        <v>2</v>
      </c>
      <c r="C1899" s="79">
        <v>325</v>
      </c>
      <c r="D1899" s="80">
        <v>43333.594212962962</v>
      </c>
      <c r="E1899" s="81">
        <f t="shared" ca="1" si="14"/>
        <v>43313</v>
      </c>
      <c r="F1899" s="82">
        <f ca="1">IFERROR(__xludf.DUMMYFUNCTION("""COMPUTED_VALUE"""),0.594212962962963)</f>
        <v>0.594212962962963</v>
      </c>
      <c r="G1899" s="83">
        <f t="shared" ca="1" si="15"/>
        <v>19</v>
      </c>
      <c r="H1899" s="83">
        <f ca="1">IFERROR(__xludf.DUMMYFUNCTION("""COMPUTED_VALUE"""),15)</f>
        <v>15</v>
      </c>
      <c r="I1899" s="83">
        <f ca="1">IFERROR(__xludf.DUMMYFUNCTION("""COMPUTED_VALUE"""),40)</f>
        <v>40</v>
      </c>
    </row>
    <row r="1900" spans="1:9">
      <c r="A1900" s="79">
        <v>315</v>
      </c>
      <c r="B1900" s="79">
        <v>3</v>
      </c>
      <c r="C1900" s="79">
        <v>318</v>
      </c>
      <c r="D1900" s="80">
        <v>43333.604618055557</v>
      </c>
      <c r="E1900" s="81">
        <f t="shared" ca="1" si="14"/>
        <v>43313</v>
      </c>
      <c r="F1900" s="82">
        <f ca="1">IFERROR(__xludf.DUMMYFUNCTION("""COMPUTED_VALUE"""),0.604618055555555)</f>
        <v>0.60461805555555503</v>
      </c>
      <c r="G1900" s="83">
        <f t="shared" ca="1" si="15"/>
        <v>19</v>
      </c>
      <c r="H1900" s="83">
        <f ca="1">IFERROR(__xludf.DUMMYFUNCTION("""COMPUTED_VALUE"""),30)</f>
        <v>30</v>
      </c>
      <c r="I1900" s="83">
        <f ca="1">IFERROR(__xludf.DUMMYFUNCTION("""COMPUTED_VALUE"""),39)</f>
        <v>39</v>
      </c>
    </row>
    <row r="1901" spans="1:9">
      <c r="A1901" s="79">
        <v>325</v>
      </c>
      <c r="B1901" s="79">
        <v>3</v>
      </c>
      <c r="C1901" s="79">
        <v>328</v>
      </c>
      <c r="D1901" s="80">
        <v>43333.615034722221</v>
      </c>
      <c r="E1901" s="81">
        <f t="shared" ca="1" si="14"/>
        <v>43313</v>
      </c>
      <c r="F1901" s="82">
        <f ca="1">IFERROR(__xludf.DUMMYFUNCTION("""COMPUTED_VALUE"""),0.615034722222222)</f>
        <v>0.615034722222222</v>
      </c>
      <c r="G1901" s="83">
        <f t="shared" ca="1" si="15"/>
        <v>19</v>
      </c>
      <c r="H1901" s="83">
        <f ca="1">IFERROR(__xludf.DUMMYFUNCTION("""COMPUTED_VALUE"""),45)</f>
        <v>45</v>
      </c>
      <c r="I1901" s="83">
        <f ca="1">IFERROR(__xludf.DUMMYFUNCTION("""COMPUTED_VALUE"""),39)</f>
        <v>39</v>
      </c>
    </row>
    <row r="1902" spans="1:9">
      <c r="A1902" s="79">
        <v>320</v>
      </c>
      <c r="B1902" s="79">
        <v>2</v>
      </c>
      <c r="C1902" s="79">
        <v>322</v>
      </c>
      <c r="D1902" s="80">
        <v>43333.625462962962</v>
      </c>
      <c r="E1902" s="81">
        <f t="shared" ca="1" si="14"/>
        <v>43313</v>
      </c>
      <c r="F1902" s="82">
        <f ca="1">IFERROR(__xludf.DUMMYFUNCTION("""COMPUTED_VALUE"""),0.625462962962963)</f>
        <v>0.625462962962963</v>
      </c>
      <c r="G1902" s="83">
        <f t="shared" ca="1" si="15"/>
        <v>19</v>
      </c>
      <c r="H1902" s="83">
        <f ca="1">IFERROR(__xludf.DUMMYFUNCTION("""COMPUTED_VALUE"""),0)</f>
        <v>0</v>
      </c>
      <c r="I1902" s="83">
        <f ca="1">IFERROR(__xludf.DUMMYFUNCTION("""COMPUTED_VALUE"""),40)</f>
        <v>40</v>
      </c>
    </row>
    <row r="1903" spans="1:9">
      <c r="A1903" s="79">
        <v>387</v>
      </c>
      <c r="B1903" s="79">
        <v>1</v>
      </c>
      <c r="C1903" s="79">
        <v>388</v>
      </c>
      <c r="D1903" s="80">
        <v>43333.635868055557</v>
      </c>
      <c r="E1903" s="81">
        <f t="shared" ca="1" si="14"/>
        <v>43313</v>
      </c>
      <c r="F1903" s="82">
        <f ca="1">IFERROR(__xludf.DUMMYFUNCTION("""COMPUTED_VALUE"""),0.635868055555555)</f>
        <v>0.63586805555555503</v>
      </c>
      <c r="G1903" s="83">
        <f t="shared" ca="1" si="15"/>
        <v>19</v>
      </c>
      <c r="H1903" s="83">
        <f ca="1">IFERROR(__xludf.DUMMYFUNCTION("""COMPUTED_VALUE"""),15)</f>
        <v>15</v>
      </c>
      <c r="I1903" s="83">
        <f ca="1">IFERROR(__xludf.DUMMYFUNCTION("""COMPUTED_VALUE"""),39)</f>
        <v>39</v>
      </c>
    </row>
    <row r="1904" spans="1:9">
      <c r="A1904" s="79">
        <v>356</v>
      </c>
      <c r="B1904" s="79">
        <v>3</v>
      </c>
      <c r="C1904" s="79">
        <v>359</v>
      </c>
      <c r="D1904" s="80">
        <v>43333.646284722221</v>
      </c>
      <c r="E1904" s="81">
        <f t="shared" ca="1" si="14"/>
        <v>43313</v>
      </c>
      <c r="F1904" s="82">
        <f ca="1">IFERROR(__xludf.DUMMYFUNCTION("""COMPUTED_VALUE"""),0.646284722222222)</f>
        <v>0.646284722222222</v>
      </c>
      <c r="G1904" s="83">
        <f t="shared" ca="1" si="15"/>
        <v>19</v>
      </c>
      <c r="H1904" s="83">
        <f ca="1">IFERROR(__xludf.DUMMYFUNCTION("""COMPUTED_VALUE"""),30)</f>
        <v>30</v>
      </c>
      <c r="I1904" s="83">
        <f ca="1">IFERROR(__xludf.DUMMYFUNCTION("""COMPUTED_VALUE"""),39)</f>
        <v>39</v>
      </c>
    </row>
    <row r="1905" spans="1:9">
      <c r="A1905" s="79">
        <v>359</v>
      </c>
      <c r="B1905" s="79">
        <v>1</v>
      </c>
      <c r="C1905" s="79">
        <v>360</v>
      </c>
      <c r="D1905" s="80">
        <v>43333.656701388885</v>
      </c>
      <c r="E1905" s="81">
        <f t="shared" ca="1" si="14"/>
        <v>43313</v>
      </c>
      <c r="F1905" s="82">
        <f ca="1">IFERROR(__xludf.DUMMYFUNCTION("""COMPUTED_VALUE"""),0.656701388888888)</f>
        <v>0.65670138888888796</v>
      </c>
      <c r="G1905" s="83">
        <f t="shared" ca="1" si="15"/>
        <v>19</v>
      </c>
      <c r="H1905" s="83">
        <f ca="1">IFERROR(__xludf.DUMMYFUNCTION("""COMPUTED_VALUE"""),45)</f>
        <v>45</v>
      </c>
      <c r="I1905" s="83">
        <f ca="1">IFERROR(__xludf.DUMMYFUNCTION("""COMPUTED_VALUE"""),39)</f>
        <v>39</v>
      </c>
    </row>
    <row r="1906" spans="1:9">
      <c r="A1906" s="79">
        <v>330</v>
      </c>
      <c r="B1906" s="79">
        <v>2</v>
      </c>
      <c r="C1906" s="79">
        <v>332</v>
      </c>
      <c r="D1906" s="80">
        <v>43333.667118055557</v>
      </c>
      <c r="E1906" s="81">
        <f t="shared" ca="1" si="14"/>
        <v>43313</v>
      </c>
      <c r="F1906" s="82">
        <f ca="1">IFERROR(__xludf.DUMMYFUNCTION("""COMPUTED_VALUE"""),0.667118055555555)</f>
        <v>0.66711805555555503</v>
      </c>
      <c r="G1906" s="83">
        <f t="shared" ca="1" si="15"/>
        <v>19</v>
      </c>
      <c r="H1906" s="83">
        <f ca="1">IFERROR(__xludf.DUMMYFUNCTION("""COMPUTED_VALUE"""),0)</f>
        <v>0</v>
      </c>
      <c r="I1906" s="83">
        <f ca="1">IFERROR(__xludf.DUMMYFUNCTION("""COMPUTED_VALUE"""),39)</f>
        <v>39</v>
      </c>
    </row>
    <row r="1907" spans="1:9">
      <c r="A1907" s="79">
        <v>403</v>
      </c>
      <c r="B1907" s="79">
        <v>10</v>
      </c>
      <c r="C1907" s="79">
        <v>411</v>
      </c>
      <c r="D1907" s="80">
        <v>43333.677546296298</v>
      </c>
      <c r="E1907" s="81">
        <f t="shared" ca="1" si="14"/>
        <v>43313</v>
      </c>
      <c r="F1907" s="82">
        <f ca="1">IFERROR(__xludf.DUMMYFUNCTION("""COMPUTED_VALUE"""),0.677546296296296)</f>
        <v>0.67754629629629604</v>
      </c>
      <c r="G1907" s="83">
        <f t="shared" ca="1" si="15"/>
        <v>19</v>
      </c>
      <c r="H1907" s="83">
        <f ca="1">IFERROR(__xludf.DUMMYFUNCTION("""COMPUTED_VALUE"""),15)</f>
        <v>15</v>
      </c>
      <c r="I1907" s="83">
        <f ca="1">IFERROR(__xludf.DUMMYFUNCTION("""COMPUTED_VALUE"""),40)</f>
        <v>40</v>
      </c>
    </row>
    <row r="1908" spans="1:9">
      <c r="A1908" s="79">
        <v>381</v>
      </c>
      <c r="B1908" s="79">
        <v>11</v>
      </c>
      <c r="C1908" s="79">
        <v>392</v>
      </c>
      <c r="D1908" s="80">
        <v>43333.687951388885</v>
      </c>
      <c r="E1908" s="81">
        <f t="shared" ca="1" si="14"/>
        <v>43313</v>
      </c>
      <c r="F1908" s="82">
        <f ca="1">IFERROR(__xludf.DUMMYFUNCTION("""COMPUTED_VALUE"""),0.687951388888888)</f>
        <v>0.68795138888888796</v>
      </c>
      <c r="G1908" s="83">
        <f t="shared" ca="1" si="15"/>
        <v>19</v>
      </c>
      <c r="H1908" s="83">
        <f ca="1">IFERROR(__xludf.DUMMYFUNCTION("""COMPUTED_VALUE"""),30)</f>
        <v>30</v>
      </c>
      <c r="I1908" s="83">
        <f ca="1">IFERROR(__xludf.DUMMYFUNCTION("""COMPUTED_VALUE"""),39)</f>
        <v>39</v>
      </c>
    </row>
    <row r="1909" spans="1:9">
      <c r="A1909" s="79">
        <v>399</v>
      </c>
      <c r="B1909" s="79">
        <v>6</v>
      </c>
      <c r="C1909" s="79">
        <v>405</v>
      </c>
      <c r="D1909" s="80">
        <v>43333.698379629626</v>
      </c>
      <c r="E1909" s="81">
        <f t="shared" ca="1" si="14"/>
        <v>43313</v>
      </c>
      <c r="F1909" s="82">
        <f ca="1">IFERROR(__xludf.DUMMYFUNCTION("""COMPUTED_VALUE"""),0.698379629629629)</f>
        <v>0.69837962962962896</v>
      </c>
      <c r="G1909" s="83">
        <f t="shared" ca="1" si="15"/>
        <v>19</v>
      </c>
      <c r="H1909" s="83">
        <f ca="1">IFERROR(__xludf.DUMMYFUNCTION("""COMPUTED_VALUE"""),45)</f>
        <v>45</v>
      </c>
      <c r="I1909" s="83">
        <f ca="1">IFERROR(__xludf.DUMMYFUNCTION("""COMPUTED_VALUE"""),40)</f>
        <v>40</v>
      </c>
    </row>
    <row r="1910" spans="1:9">
      <c r="A1910" s="79">
        <v>375</v>
      </c>
      <c r="B1910" s="79">
        <v>0</v>
      </c>
      <c r="C1910" s="79">
        <v>375</v>
      </c>
      <c r="D1910" s="80">
        <v>43333.708784722221</v>
      </c>
      <c r="E1910" s="81">
        <f t="shared" ca="1" si="14"/>
        <v>43313</v>
      </c>
      <c r="F1910" s="82">
        <f ca="1">IFERROR(__xludf.DUMMYFUNCTION("""COMPUTED_VALUE"""),0.708784722222222)</f>
        <v>0.708784722222222</v>
      </c>
      <c r="G1910" s="83">
        <f t="shared" ca="1" si="15"/>
        <v>19</v>
      </c>
      <c r="H1910" s="83">
        <f ca="1">IFERROR(__xludf.DUMMYFUNCTION("""COMPUTED_VALUE"""),0)</f>
        <v>0</v>
      </c>
      <c r="I1910" s="83">
        <f ca="1">IFERROR(__xludf.DUMMYFUNCTION("""COMPUTED_VALUE"""),39)</f>
        <v>39</v>
      </c>
    </row>
    <row r="1911" spans="1:9">
      <c r="A1911" s="79">
        <v>577</v>
      </c>
      <c r="B1911" s="79">
        <v>5</v>
      </c>
      <c r="C1911" s="79">
        <v>582</v>
      </c>
      <c r="D1911" s="80">
        <v>43333.719201388885</v>
      </c>
      <c r="E1911" s="81">
        <f t="shared" ca="1" si="14"/>
        <v>43313</v>
      </c>
      <c r="F1911" s="82">
        <f ca="1">IFERROR(__xludf.DUMMYFUNCTION("""COMPUTED_VALUE"""),0.719201388888888)</f>
        <v>0.71920138888888796</v>
      </c>
      <c r="G1911" s="83">
        <f t="shared" ca="1" si="15"/>
        <v>19</v>
      </c>
      <c r="H1911" s="83">
        <f ca="1">IFERROR(__xludf.DUMMYFUNCTION("""COMPUTED_VALUE"""),15)</f>
        <v>15</v>
      </c>
      <c r="I1911" s="83">
        <f ca="1">IFERROR(__xludf.DUMMYFUNCTION("""COMPUTED_VALUE"""),39)</f>
        <v>39</v>
      </c>
    </row>
    <row r="1912" spans="1:9">
      <c r="A1912" s="79">
        <v>468</v>
      </c>
      <c r="B1912" s="79">
        <v>5</v>
      </c>
      <c r="C1912" s="79">
        <v>473</v>
      </c>
      <c r="D1912" s="80">
        <v>43333.729618055557</v>
      </c>
      <c r="E1912" s="81">
        <f t="shared" ca="1" si="14"/>
        <v>43313</v>
      </c>
      <c r="F1912" s="82">
        <f ca="1">IFERROR(__xludf.DUMMYFUNCTION("""COMPUTED_VALUE"""),0.729618055555555)</f>
        <v>0.72961805555555503</v>
      </c>
      <c r="G1912" s="83">
        <f t="shared" ca="1" si="15"/>
        <v>19</v>
      </c>
      <c r="H1912" s="83">
        <f ca="1">IFERROR(__xludf.DUMMYFUNCTION("""COMPUTED_VALUE"""),30)</f>
        <v>30</v>
      </c>
      <c r="I1912" s="83">
        <f ca="1">IFERROR(__xludf.DUMMYFUNCTION("""COMPUTED_VALUE"""),39)</f>
        <v>39</v>
      </c>
    </row>
    <row r="1913" spans="1:9">
      <c r="A1913" s="79">
        <v>466</v>
      </c>
      <c r="B1913" s="79">
        <v>4</v>
      </c>
      <c r="C1913" s="79">
        <v>470</v>
      </c>
      <c r="D1913" s="80">
        <v>43333.740046296298</v>
      </c>
      <c r="E1913" s="81">
        <f t="shared" ca="1" si="14"/>
        <v>43313</v>
      </c>
      <c r="F1913" s="82">
        <f ca="1">IFERROR(__xludf.DUMMYFUNCTION("""COMPUTED_VALUE"""),0.740046296296296)</f>
        <v>0.74004629629629604</v>
      </c>
      <c r="G1913" s="83">
        <f t="shared" ca="1" si="15"/>
        <v>19</v>
      </c>
      <c r="H1913" s="83">
        <f ca="1">IFERROR(__xludf.DUMMYFUNCTION("""COMPUTED_VALUE"""),45)</f>
        <v>45</v>
      </c>
      <c r="I1913" s="83">
        <f ca="1">IFERROR(__xludf.DUMMYFUNCTION("""COMPUTED_VALUE"""),40)</f>
        <v>40</v>
      </c>
    </row>
    <row r="1914" spans="1:9">
      <c r="A1914" s="79">
        <v>390</v>
      </c>
      <c r="B1914" s="79">
        <v>3</v>
      </c>
      <c r="C1914" s="79">
        <v>393</v>
      </c>
      <c r="D1914" s="80">
        <v>43333.750451388885</v>
      </c>
      <c r="E1914" s="81">
        <f t="shared" ca="1" si="14"/>
        <v>43313</v>
      </c>
      <c r="F1914" s="82">
        <f ca="1">IFERROR(__xludf.DUMMYFUNCTION("""COMPUTED_VALUE"""),0.750451388888888)</f>
        <v>0.75045138888888796</v>
      </c>
      <c r="G1914" s="83">
        <f t="shared" ca="1" si="15"/>
        <v>19</v>
      </c>
      <c r="H1914" s="83">
        <f ca="1">IFERROR(__xludf.DUMMYFUNCTION("""COMPUTED_VALUE"""),0)</f>
        <v>0</v>
      </c>
      <c r="I1914" s="83">
        <f ca="1">IFERROR(__xludf.DUMMYFUNCTION("""COMPUTED_VALUE"""),39)</f>
        <v>39</v>
      </c>
    </row>
    <row r="1915" spans="1:9">
      <c r="A1915" s="79">
        <v>458</v>
      </c>
      <c r="B1915" s="79">
        <v>2</v>
      </c>
      <c r="C1915" s="79">
        <v>460</v>
      </c>
      <c r="D1915" s="80">
        <v>43333.760879629626</v>
      </c>
      <c r="E1915" s="81">
        <f t="shared" ca="1" si="14"/>
        <v>43313</v>
      </c>
      <c r="F1915" s="82">
        <f ca="1">IFERROR(__xludf.DUMMYFUNCTION("""COMPUTED_VALUE"""),0.760879629629629)</f>
        <v>0.76087962962962896</v>
      </c>
      <c r="G1915" s="83">
        <f t="shared" ca="1" si="15"/>
        <v>19</v>
      </c>
      <c r="H1915" s="83">
        <f ca="1">IFERROR(__xludf.DUMMYFUNCTION("""COMPUTED_VALUE"""),15)</f>
        <v>15</v>
      </c>
      <c r="I1915" s="83">
        <f ca="1">IFERROR(__xludf.DUMMYFUNCTION("""COMPUTED_VALUE"""),40)</f>
        <v>40</v>
      </c>
    </row>
    <row r="1916" spans="1:9">
      <c r="A1916" s="79">
        <v>436</v>
      </c>
      <c r="B1916" s="79">
        <v>7</v>
      </c>
      <c r="C1916" s="79">
        <v>443</v>
      </c>
      <c r="D1916" s="80">
        <v>43333.771284722221</v>
      </c>
      <c r="E1916" s="81">
        <f t="shared" ca="1" si="14"/>
        <v>43313</v>
      </c>
      <c r="F1916" s="82">
        <f ca="1">IFERROR(__xludf.DUMMYFUNCTION("""COMPUTED_VALUE"""),0.771284722222222)</f>
        <v>0.771284722222222</v>
      </c>
      <c r="G1916" s="83">
        <f t="shared" ca="1" si="15"/>
        <v>19</v>
      </c>
      <c r="H1916" s="83">
        <f ca="1">IFERROR(__xludf.DUMMYFUNCTION("""COMPUTED_VALUE"""),30)</f>
        <v>30</v>
      </c>
      <c r="I1916" s="83">
        <f ca="1">IFERROR(__xludf.DUMMYFUNCTION("""COMPUTED_VALUE"""),39)</f>
        <v>39</v>
      </c>
    </row>
    <row r="1917" spans="1:9">
      <c r="A1917" s="79">
        <v>453</v>
      </c>
      <c r="B1917" s="79">
        <v>4</v>
      </c>
      <c r="C1917" s="79">
        <v>457</v>
      </c>
      <c r="D1917" s="80">
        <v>43333.781701388885</v>
      </c>
      <c r="E1917" s="81">
        <f t="shared" ca="1" si="14"/>
        <v>43313</v>
      </c>
      <c r="F1917" s="82">
        <f ca="1">IFERROR(__xludf.DUMMYFUNCTION("""COMPUTED_VALUE"""),0.781701388888888)</f>
        <v>0.78170138888888796</v>
      </c>
      <c r="G1917" s="83">
        <f t="shared" ca="1" si="15"/>
        <v>19</v>
      </c>
      <c r="H1917" s="83">
        <f ca="1">IFERROR(__xludf.DUMMYFUNCTION("""COMPUTED_VALUE"""),45)</f>
        <v>45</v>
      </c>
      <c r="I1917" s="83">
        <f ca="1">IFERROR(__xludf.DUMMYFUNCTION("""COMPUTED_VALUE"""),39)</f>
        <v>39</v>
      </c>
    </row>
    <row r="1918" spans="1:9">
      <c r="A1918" s="79">
        <v>427</v>
      </c>
      <c r="B1918" s="79">
        <v>2</v>
      </c>
      <c r="C1918" s="79">
        <v>429</v>
      </c>
      <c r="D1918" s="80">
        <v>43333.792118055557</v>
      </c>
      <c r="E1918" s="81">
        <f t="shared" ca="1" si="14"/>
        <v>43313</v>
      </c>
      <c r="F1918" s="82">
        <f ca="1">IFERROR(__xludf.DUMMYFUNCTION("""COMPUTED_VALUE"""),0.792118055555555)</f>
        <v>0.79211805555555503</v>
      </c>
      <c r="G1918" s="83">
        <f t="shared" ca="1" si="15"/>
        <v>19</v>
      </c>
      <c r="H1918" s="83">
        <f ca="1">IFERROR(__xludf.DUMMYFUNCTION("""COMPUTED_VALUE"""),0)</f>
        <v>0</v>
      </c>
      <c r="I1918" s="83">
        <f ca="1">IFERROR(__xludf.DUMMYFUNCTION("""COMPUTED_VALUE"""),39)</f>
        <v>39</v>
      </c>
    </row>
    <row r="1919" spans="1:9">
      <c r="A1919" s="79">
        <v>535</v>
      </c>
      <c r="B1919" s="79">
        <v>6</v>
      </c>
      <c r="C1919" s="79">
        <v>536</v>
      </c>
      <c r="D1919" s="80">
        <v>43333.802546296298</v>
      </c>
      <c r="E1919" s="81">
        <f t="shared" ca="1" si="14"/>
        <v>43313</v>
      </c>
      <c r="F1919" s="82">
        <f ca="1">IFERROR(__xludf.DUMMYFUNCTION("""COMPUTED_VALUE"""),0.802546296296296)</f>
        <v>0.80254629629629604</v>
      </c>
      <c r="G1919" s="83">
        <f t="shared" ca="1" si="15"/>
        <v>19</v>
      </c>
      <c r="H1919" s="83">
        <f ca="1">IFERROR(__xludf.DUMMYFUNCTION("""COMPUTED_VALUE"""),15)</f>
        <v>15</v>
      </c>
      <c r="I1919" s="83">
        <f ca="1">IFERROR(__xludf.DUMMYFUNCTION("""COMPUTED_VALUE"""),40)</f>
        <v>40</v>
      </c>
    </row>
    <row r="1920" spans="1:9">
      <c r="A1920" s="79">
        <v>509</v>
      </c>
      <c r="B1920" s="79">
        <v>9</v>
      </c>
      <c r="C1920" s="79">
        <v>518</v>
      </c>
      <c r="D1920" s="80">
        <v>43333.812951388885</v>
      </c>
      <c r="E1920" s="81">
        <f t="shared" ca="1" si="14"/>
        <v>43313</v>
      </c>
      <c r="F1920" s="82">
        <f ca="1">IFERROR(__xludf.DUMMYFUNCTION("""COMPUTED_VALUE"""),0.812951388888888)</f>
        <v>0.81295138888888796</v>
      </c>
      <c r="G1920" s="83">
        <f t="shared" ca="1" si="15"/>
        <v>19</v>
      </c>
      <c r="H1920" s="83">
        <f ca="1">IFERROR(__xludf.DUMMYFUNCTION("""COMPUTED_VALUE"""),30)</f>
        <v>30</v>
      </c>
      <c r="I1920" s="83">
        <f ca="1">IFERROR(__xludf.DUMMYFUNCTION("""COMPUTED_VALUE"""),39)</f>
        <v>39</v>
      </c>
    </row>
    <row r="1921" spans="1:9">
      <c r="A1921" s="79">
        <v>560</v>
      </c>
      <c r="B1921" s="79">
        <v>6</v>
      </c>
      <c r="C1921" s="79">
        <v>566</v>
      </c>
      <c r="D1921" s="80">
        <v>43333.823379629626</v>
      </c>
      <c r="E1921" s="81">
        <f t="shared" ca="1" si="14"/>
        <v>43313</v>
      </c>
      <c r="F1921" s="82">
        <f ca="1">IFERROR(__xludf.DUMMYFUNCTION("""COMPUTED_VALUE"""),0.823379629629629)</f>
        <v>0.82337962962962896</v>
      </c>
      <c r="G1921" s="83">
        <f t="shared" ca="1" si="15"/>
        <v>19</v>
      </c>
      <c r="H1921" s="83">
        <f ca="1">IFERROR(__xludf.DUMMYFUNCTION("""COMPUTED_VALUE"""),45)</f>
        <v>45</v>
      </c>
      <c r="I1921" s="83">
        <f ca="1">IFERROR(__xludf.DUMMYFUNCTION("""COMPUTED_VALUE"""),40)</f>
        <v>40</v>
      </c>
    </row>
    <row r="1922" spans="1:9">
      <c r="A1922" s="79">
        <v>563</v>
      </c>
      <c r="B1922" s="79">
        <v>6</v>
      </c>
      <c r="C1922" s="79">
        <v>560</v>
      </c>
      <c r="D1922" s="80">
        <v>43333.833784722221</v>
      </c>
      <c r="E1922" s="81">
        <f t="shared" ca="1" si="14"/>
        <v>43313</v>
      </c>
      <c r="F1922" s="82">
        <f ca="1">IFERROR(__xludf.DUMMYFUNCTION("""COMPUTED_VALUE"""),0.833784722222222)</f>
        <v>0.833784722222222</v>
      </c>
      <c r="G1922" s="83">
        <f t="shared" ca="1" si="15"/>
        <v>19</v>
      </c>
      <c r="H1922" s="83">
        <f ca="1">IFERROR(__xludf.DUMMYFUNCTION("""COMPUTED_VALUE"""),0)</f>
        <v>0</v>
      </c>
      <c r="I1922" s="83">
        <f ca="1">IFERROR(__xludf.DUMMYFUNCTION("""COMPUTED_VALUE"""),39)</f>
        <v>39</v>
      </c>
    </row>
    <row r="1923" spans="1:9">
      <c r="A1923" s="79">
        <v>735</v>
      </c>
      <c r="B1923" s="79">
        <v>10</v>
      </c>
      <c r="C1923" s="79">
        <v>745</v>
      </c>
      <c r="D1923" s="80">
        <v>43333.844212962962</v>
      </c>
      <c r="E1923" s="81">
        <f t="shared" ca="1" si="14"/>
        <v>43313</v>
      </c>
      <c r="F1923" s="82">
        <f ca="1">IFERROR(__xludf.DUMMYFUNCTION("""COMPUTED_VALUE"""),0.844212962962963)</f>
        <v>0.844212962962963</v>
      </c>
      <c r="G1923" s="83">
        <f t="shared" ca="1" si="15"/>
        <v>19</v>
      </c>
      <c r="H1923" s="83">
        <f ca="1">IFERROR(__xludf.DUMMYFUNCTION("""COMPUTED_VALUE"""),15)</f>
        <v>15</v>
      </c>
      <c r="I1923" s="83">
        <f ca="1">IFERROR(__xludf.DUMMYFUNCTION("""COMPUTED_VALUE"""),40)</f>
        <v>40</v>
      </c>
    </row>
    <row r="1924" spans="1:9">
      <c r="A1924" s="79">
        <v>710</v>
      </c>
      <c r="B1924" s="79">
        <v>7</v>
      </c>
      <c r="C1924" s="79">
        <v>717</v>
      </c>
      <c r="D1924" s="80">
        <v>43333.854629629626</v>
      </c>
      <c r="E1924" s="81">
        <f t="shared" ca="1" si="14"/>
        <v>43313</v>
      </c>
      <c r="F1924" s="82">
        <f ca="1">IFERROR(__xludf.DUMMYFUNCTION("""COMPUTED_VALUE"""),0.854629629629629)</f>
        <v>0.85462962962962896</v>
      </c>
      <c r="G1924" s="83">
        <f t="shared" ca="1" si="15"/>
        <v>19</v>
      </c>
      <c r="H1924" s="83">
        <f ca="1">IFERROR(__xludf.DUMMYFUNCTION("""COMPUTED_VALUE"""),30)</f>
        <v>30</v>
      </c>
      <c r="I1924" s="83">
        <f ca="1">IFERROR(__xludf.DUMMYFUNCTION("""COMPUTED_VALUE"""),40)</f>
        <v>40</v>
      </c>
    </row>
    <row r="1925" spans="1:9">
      <c r="A1925" s="79">
        <v>673</v>
      </c>
      <c r="B1925" s="79">
        <v>4</v>
      </c>
      <c r="C1925" s="79">
        <v>677</v>
      </c>
      <c r="D1925" s="80">
        <v>43333.865034722221</v>
      </c>
      <c r="E1925" s="81">
        <f t="shared" ca="1" si="14"/>
        <v>43313</v>
      </c>
      <c r="F1925" s="82">
        <f ca="1">IFERROR(__xludf.DUMMYFUNCTION("""COMPUTED_VALUE"""),0.865034722222222)</f>
        <v>0.865034722222222</v>
      </c>
      <c r="G1925" s="83">
        <f t="shared" ca="1" si="15"/>
        <v>19</v>
      </c>
      <c r="H1925" s="83">
        <f ca="1">IFERROR(__xludf.DUMMYFUNCTION("""COMPUTED_VALUE"""),45)</f>
        <v>45</v>
      </c>
      <c r="I1925" s="83">
        <f ca="1">IFERROR(__xludf.DUMMYFUNCTION("""COMPUTED_VALUE"""),39)</f>
        <v>39</v>
      </c>
    </row>
    <row r="1926" spans="1:9">
      <c r="A1926" s="79">
        <v>601</v>
      </c>
      <c r="B1926" s="79">
        <v>2</v>
      </c>
      <c r="C1926" s="79">
        <v>603</v>
      </c>
      <c r="D1926" s="80">
        <v>43333.875462962962</v>
      </c>
      <c r="E1926" s="81">
        <f t="shared" ca="1" si="14"/>
        <v>43313</v>
      </c>
      <c r="F1926" s="82">
        <f ca="1">IFERROR(__xludf.DUMMYFUNCTION("""COMPUTED_VALUE"""),0.875462962962963)</f>
        <v>0.875462962962963</v>
      </c>
      <c r="G1926" s="83">
        <f t="shared" ca="1" si="15"/>
        <v>19</v>
      </c>
      <c r="H1926" s="83">
        <f ca="1">IFERROR(__xludf.DUMMYFUNCTION("""COMPUTED_VALUE"""),0)</f>
        <v>0</v>
      </c>
      <c r="I1926" s="83">
        <f ca="1">IFERROR(__xludf.DUMMYFUNCTION("""COMPUTED_VALUE"""),40)</f>
        <v>40</v>
      </c>
    </row>
    <row r="1927" spans="1:9">
      <c r="A1927" s="79">
        <v>668</v>
      </c>
      <c r="B1927" s="79">
        <v>2</v>
      </c>
      <c r="C1927" s="79">
        <v>670</v>
      </c>
      <c r="D1927" s="80">
        <v>43333.885868055557</v>
      </c>
      <c r="E1927" s="81">
        <f t="shared" ca="1" si="14"/>
        <v>43313</v>
      </c>
      <c r="F1927" s="82">
        <f ca="1">IFERROR(__xludf.DUMMYFUNCTION("""COMPUTED_VALUE"""),0.885868055555555)</f>
        <v>0.88586805555555503</v>
      </c>
      <c r="G1927" s="83">
        <f t="shared" ca="1" si="15"/>
        <v>19</v>
      </c>
      <c r="H1927" s="83">
        <f ca="1">IFERROR(__xludf.DUMMYFUNCTION("""COMPUTED_VALUE"""),15)</f>
        <v>15</v>
      </c>
      <c r="I1927" s="83">
        <f ca="1">IFERROR(__xludf.DUMMYFUNCTION("""COMPUTED_VALUE"""),39)</f>
        <v>39</v>
      </c>
    </row>
    <row r="1928" spans="1:9">
      <c r="A1928" s="79">
        <v>640</v>
      </c>
      <c r="B1928" s="79">
        <v>4</v>
      </c>
      <c r="C1928" s="79">
        <v>644</v>
      </c>
      <c r="D1928" s="80">
        <v>43333.896284722221</v>
      </c>
      <c r="E1928" s="81">
        <f t="shared" ca="1" si="14"/>
        <v>43313</v>
      </c>
      <c r="F1928" s="82">
        <f ca="1">IFERROR(__xludf.DUMMYFUNCTION("""COMPUTED_VALUE"""),0.896284722222222)</f>
        <v>0.896284722222222</v>
      </c>
      <c r="G1928" s="83">
        <f t="shared" ca="1" si="15"/>
        <v>19</v>
      </c>
      <c r="H1928" s="83">
        <f ca="1">IFERROR(__xludf.DUMMYFUNCTION("""COMPUTED_VALUE"""),30)</f>
        <v>30</v>
      </c>
      <c r="I1928" s="83">
        <f ca="1">IFERROR(__xludf.DUMMYFUNCTION("""COMPUTED_VALUE"""),39)</f>
        <v>39</v>
      </c>
    </row>
    <row r="1929" spans="1:9">
      <c r="A1929" s="79">
        <v>645</v>
      </c>
      <c r="B1929" s="79">
        <v>7</v>
      </c>
      <c r="C1929" s="79">
        <v>652</v>
      </c>
      <c r="D1929" s="80">
        <v>43333.906701388885</v>
      </c>
      <c r="E1929" s="81">
        <f t="shared" ca="1" si="14"/>
        <v>43313</v>
      </c>
      <c r="F1929" s="82">
        <f ca="1">IFERROR(__xludf.DUMMYFUNCTION("""COMPUTED_VALUE"""),0.906701388888888)</f>
        <v>0.90670138888888796</v>
      </c>
      <c r="G1929" s="83">
        <f t="shared" ca="1" si="15"/>
        <v>19</v>
      </c>
      <c r="H1929" s="83">
        <f ca="1">IFERROR(__xludf.DUMMYFUNCTION("""COMPUTED_VALUE"""),45)</f>
        <v>45</v>
      </c>
      <c r="I1929" s="83">
        <f ca="1">IFERROR(__xludf.DUMMYFUNCTION("""COMPUTED_VALUE"""),39)</f>
        <v>39</v>
      </c>
    </row>
    <row r="1930" spans="1:9">
      <c r="A1930" s="79">
        <v>602</v>
      </c>
      <c r="B1930" s="79">
        <v>4</v>
      </c>
      <c r="C1930" s="79">
        <v>606</v>
      </c>
      <c r="D1930" s="80">
        <v>43333.917118055557</v>
      </c>
      <c r="E1930" s="81">
        <f t="shared" ca="1" si="14"/>
        <v>43313</v>
      </c>
      <c r="F1930" s="82">
        <f ca="1">IFERROR(__xludf.DUMMYFUNCTION("""COMPUTED_VALUE"""),0.917118055555555)</f>
        <v>0.91711805555555503</v>
      </c>
      <c r="G1930" s="83">
        <f t="shared" ca="1" si="15"/>
        <v>19</v>
      </c>
      <c r="H1930" s="83">
        <f ca="1">IFERROR(__xludf.DUMMYFUNCTION("""COMPUTED_VALUE"""),0)</f>
        <v>0</v>
      </c>
      <c r="I1930" s="83">
        <f ca="1">IFERROR(__xludf.DUMMYFUNCTION("""COMPUTED_VALUE"""),39)</f>
        <v>39</v>
      </c>
    </row>
    <row r="1931" spans="1:9">
      <c r="A1931" s="79">
        <v>587</v>
      </c>
      <c r="B1931" s="79">
        <v>9</v>
      </c>
      <c r="C1931" s="79">
        <v>596</v>
      </c>
      <c r="D1931" s="80">
        <v>43333.927534722221</v>
      </c>
      <c r="E1931" s="81">
        <f t="shared" ca="1" si="14"/>
        <v>43313</v>
      </c>
      <c r="F1931" s="82">
        <f ca="1">IFERROR(__xludf.DUMMYFUNCTION("""COMPUTED_VALUE"""),0.927534722222222)</f>
        <v>0.927534722222222</v>
      </c>
      <c r="G1931" s="83">
        <f t="shared" ca="1" si="15"/>
        <v>19</v>
      </c>
      <c r="H1931" s="83">
        <f ca="1">IFERROR(__xludf.DUMMYFUNCTION("""COMPUTED_VALUE"""),15)</f>
        <v>15</v>
      </c>
      <c r="I1931" s="83">
        <f ca="1">IFERROR(__xludf.DUMMYFUNCTION("""COMPUTED_VALUE"""),39)</f>
        <v>39</v>
      </c>
    </row>
    <row r="1932" spans="1:9">
      <c r="A1932" s="79">
        <v>513</v>
      </c>
      <c r="B1932" s="79">
        <v>5</v>
      </c>
      <c r="C1932" s="79">
        <v>518</v>
      </c>
      <c r="D1932" s="80">
        <v>43333.937939814816</v>
      </c>
      <c r="E1932" s="81">
        <f t="shared" ca="1" si="14"/>
        <v>43313</v>
      </c>
      <c r="F1932" s="82">
        <f ca="1">IFERROR(__xludf.DUMMYFUNCTION("""COMPUTED_VALUE"""),0.937939814814814)</f>
        <v>0.93793981481481403</v>
      </c>
      <c r="G1932" s="83">
        <f t="shared" ca="1" si="15"/>
        <v>19</v>
      </c>
      <c r="H1932" s="83">
        <f ca="1">IFERROR(__xludf.DUMMYFUNCTION("""COMPUTED_VALUE"""),30)</f>
        <v>30</v>
      </c>
      <c r="I1932" s="83">
        <f ca="1">IFERROR(__xludf.DUMMYFUNCTION("""COMPUTED_VALUE"""),38)</f>
        <v>38</v>
      </c>
    </row>
    <row r="1933" spans="1:9">
      <c r="A1933" s="79">
        <v>548</v>
      </c>
      <c r="B1933" s="79">
        <v>4</v>
      </c>
      <c r="C1933" s="79">
        <v>552</v>
      </c>
      <c r="D1933" s="80">
        <v>43333.948368055557</v>
      </c>
      <c r="E1933" s="81">
        <f t="shared" ca="1" si="14"/>
        <v>43313</v>
      </c>
      <c r="F1933" s="82">
        <f ca="1">IFERROR(__xludf.DUMMYFUNCTION("""COMPUTED_VALUE"""),0.948368055555555)</f>
        <v>0.94836805555555503</v>
      </c>
      <c r="G1933" s="83">
        <f t="shared" ca="1" si="15"/>
        <v>19</v>
      </c>
      <c r="H1933" s="83">
        <f ca="1">IFERROR(__xludf.DUMMYFUNCTION("""COMPUTED_VALUE"""),45)</f>
        <v>45</v>
      </c>
      <c r="I1933" s="83">
        <f ca="1">IFERROR(__xludf.DUMMYFUNCTION("""COMPUTED_VALUE"""),39)</f>
        <v>39</v>
      </c>
    </row>
    <row r="1934" spans="1:9">
      <c r="A1934" s="79">
        <v>454</v>
      </c>
      <c r="B1934" s="79">
        <v>3</v>
      </c>
      <c r="C1934" s="79">
        <v>457</v>
      </c>
      <c r="D1934" s="80">
        <v>43333.958796296298</v>
      </c>
      <c r="E1934" s="81">
        <f t="shared" ca="1" si="14"/>
        <v>43313</v>
      </c>
      <c r="F1934" s="82">
        <f ca="1">IFERROR(__xludf.DUMMYFUNCTION("""COMPUTED_VALUE"""),0.958796296296296)</f>
        <v>0.95879629629629604</v>
      </c>
      <c r="G1934" s="83">
        <f t="shared" ca="1" si="15"/>
        <v>19</v>
      </c>
      <c r="H1934" s="83">
        <f ca="1">IFERROR(__xludf.DUMMYFUNCTION("""COMPUTED_VALUE"""),0)</f>
        <v>0</v>
      </c>
      <c r="I1934" s="83">
        <f ca="1">IFERROR(__xludf.DUMMYFUNCTION("""COMPUTED_VALUE"""),40)</f>
        <v>40</v>
      </c>
    </row>
    <row r="1935" spans="1:9">
      <c r="A1935" s="79">
        <v>490</v>
      </c>
      <c r="B1935" s="79">
        <v>4</v>
      </c>
      <c r="C1935" s="79">
        <v>494</v>
      </c>
      <c r="D1935" s="80">
        <v>43333.969201388885</v>
      </c>
      <c r="E1935" s="81">
        <f t="shared" ca="1" si="14"/>
        <v>43313</v>
      </c>
      <c r="F1935" s="82">
        <f ca="1">IFERROR(__xludf.DUMMYFUNCTION("""COMPUTED_VALUE"""),0.969201388888888)</f>
        <v>0.96920138888888796</v>
      </c>
      <c r="G1935" s="83">
        <f t="shared" ca="1" si="15"/>
        <v>19</v>
      </c>
      <c r="H1935" s="83">
        <f ca="1">IFERROR(__xludf.DUMMYFUNCTION("""COMPUTED_VALUE"""),15)</f>
        <v>15</v>
      </c>
      <c r="I1935" s="83">
        <f ca="1">IFERROR(__xludf.DUMMYFUNCTION("""COMPUTED_VALUE"""),39)</f>
        <v>39</v>
      </c>
    </row>
    <row r="1936" spans="1:9">
      <c r="A1936" s="79">
        <v>430</v>
      </c>
      <c r="B1936" s="79">
        <v>5</v>
      </c>
      <c r="C1936" s="79">
        <v>435</v>
      </c>
      <c r="D1936" s="80">
        <v>43333.97960648148</v>
      </c>
      <c r="E1936" s="81">
        <f t="shared" ca="1" si="14"/>
        <v>43313</v>
      </c>
      <c r="F1936" s="82">
        <f ca="1">IFERROR(__xludf.DUMMYFUNCTION("""COMPUTED_VALUE"""),0.979606481481481)</f>
        <v>0.979606481481481</v>
      </c>
      <c r="G1936" s="83">
        <f t="shared" ca="1" si="15"/>
        <v>19</v>
      </c>
      <c r="H1936" s="83">
        <f ca="1">IFERROR(__xludf.DUMMYFUNCTION("""COMPUTED_VALUE"""),30)</f>
        <v>30</v>
      </c>
      <c r="I1936" s="83">
        <f ca="1">IFERROR(__xludf.DUMMYFUNCTION("""COMPUTED_VALUE"""),38)</f>
        <v>38</v>
      </c>
    </row>
    <row r="1937" spans="1:9">
      <c r="A1937" s="79">
        <v>345</v>
      </c>
      <c r="B1937" s="79">
        <v>2</v>
      </c>
      <c r="C1937" s="79">
        <v>347</v>
      </c>
      <c r="D1937" s="80">
        <v>43333.990034722221</v>
      </c>
      <c r="E1937" s="81">
        <f t="shared" ca="1" si="14"/>
        <v>43313</v>
      </c>
      <c r="F1937" s="82">
        <f ca="1">IFERROR(__xludf.DUMMYFUNCTION("""COMPUTED_VALUE"""),0.990034722222222)</f>
        <v>0.990034722222222</v>
      </c>
      <c r="G1937" s="83">
        <f t="shared" ca="1" si="15"/>
        <v>19</v>
      </c>
      <c r="H1937" s="83">
        <f ca="1">IFERROR(__xludf.DUMMYFUNCTION("""COMPUTED_VALUE"""),45)</f>
        <v>45</v>
      </c>
      <c r="I1937" s="83">
        <f ca="1">IFERROR(__xludf.DUMMYFUNCTION("""COMPUTED_VALUE"""),39)</f>
        <v>39</v>
      </c>
    </row>
    <row r="1938" spans="1:9">
      <c r="A1938" s="79">
        <v>329</v>
      </c>
      <c r="B1938" s="79">
        <v>1</v>
      </c>
      <c r="C1938" s="79">
        <v>330</v>
      </c>
      <c r="D1938" s="80">
        <v>43334.000439814816</v>
      </c>
      <c r="E1938" s="81">
        <f t="shared" ca="1" si="14"/>
        <v>43313</v>
      </c>
      <c r="F1938" s="82">
        <f ca="1">IFERROR(__xludf.DUMMYFUNCTION("""COMPUTED_VALUE"""),0.000439814814814814)</f>
        <v>4.39814814814814E-4</v>
      </c>
      <c r="G1938" s="83">
        <f t="shared" ca="1" si="15"/>
        <v>19</v>
      </c>
      <c r="H1938" s="83">
        <f ca="1">IFERROR(__xludf.DUMMYFUNCTION("""COMPUTED_VALUE"""),0)</f>
        <v>0</v>
      </c>
      <c r="I1938" s="83">
        <f ca="1">IFERROR(__xludf.DUMMYFUNCTION("""COMPUTED_VALUE"""),38)</f>
        <v>38</v>
      </c>
    </row>
    <row r="1939" spans="1:9">
      <c r="A1939" s="79">
        <v>351</v>
      </c>
      <c r="B1939" s="79">
        <v>5</v>
      </c>
      <c r="C1939" s="79">
        <v>356</v>
      </c>
      <c r="D1939" s="80">
        <v>43334.010868055557</v>
      </c>
      <c r="E1939" s="81">
        <f t="shared" ca="1" si="14"/>
        <v>43313</v>
      </c>
      <c r="F1939" s="82">
        <f ca="1">IFERROR(__xludf.DUMMYFUNCTION("""COMPUTED_VALUE"""),0.0108680555555555)</f>
        <v>1.0868055555555501E-2</v>
      </c>
      <c r="G1939" s="83">
        <f t="shared" ca="1" si="15"/>
        <v>19</v>
      </c>
      <c r="H1939" s="83">
        <f ca="1">IFERROR(__xludf.DUMMYFUNCTION("""COMPUTED_VALUE"""),15)</f>
        <v>15</v>
      </c>
      <c r="I1939" s="83">
        <f ca="1">IFERROR(__xludf.DUMMYFUNCTION("""COMPUTED_VALUE"""),39)</f>
        <v>39</v>
      </c>
    </row>
    <row r="1940" spans="1:9">
      <c r="A1940" s="79">
        <v>295</v>
      </c>
      <c r="B1940" s="79">
        <v>6</v>
      </c>
      <c r="C1940" s="79">
        <v>301</v>
      </c>
      <c r="D1940" s="80">
        <v>43334.021284722221</v>
      </c>
      <c r="E1940" s="81">
        <f t="shared" ca="1" si="14"/>
        <v>43313</v>
      </c>
      <c r="F1940" s="82">
        <f ca="1">IFERROR(__xludf.DUMMYFUNCTION("""COMPUTED_VALUE"""),0.0212847222222222)</f>
        <v>2.1284722222222201E-2</v>
      </c>
      <c r="G1940" s="83">
        <f t="shared" ca="1" si="15"/>
        <v>19</v>
      </c>
      <c r="H1940" s="83">
        <f ca="1">IFERROR(__xludf.DUMMYFUNCTION("""COMPUTED_VALUE"""),30)</f>
        <v>30</v>
      </c>
      <c r="I1940" s="83">
        <f ca="1">IFERROR(__xludf.DUMMYFUNCTION("""COMPUTED_VALUE"""),39)</f>
        <v>39</v>
      </c>
    </row>
    <row r="1941" spans="1:9">
      <c r="A1941" s="79">
        <v>304</v>
      </c>
      <c r="B1941" s="79">
        <v>3</v>
      </c>
      <c r="C1941" s="79">
        <v>307</v>
      </c>
      <c r="D1941" s="80">
        <v>43334.031689814816</v>
      </c>
      <c r="E1941" s="81">
        <f t="shared" ca="1" si="14"/>
        <v>43313</v>
      </c>
      <c r="F1941" s="82">
        <f ca="1">IFERROR(__xludf.DUMMYFUNCTION("""COMPUTED_VALUE"""),0.0316898148148148)</f>
        <v>3.1689814814814803E-2</v>
      </c>
      <c r="G1941" s="83">
        <f t="shared" ca="1" si="15"/>
        <v>19</v>
      </c>
      <c r="H1941" s="83">
        <f ca="1">IFERROR(__xludf.DUMMYFUNCTION("""COMPUTED_VALUE"""),45)</f>
        <v>45</v>
      </c>
      <c r="I1941" s="83">
        <f ca="1">IFERROR(__xludf.DUMMYFUNCTION("""COMPUTED_VALUE"""),38)</f>
        <v>38</v>
      </c>
    </row>
    <row r="1942" spans="1:9">
      <c r="A1942" s="79">
        <v>251</v>
      </c>
      <c r="B1942" s="79">
        <v>1</v>
      </c>
      <c r="C1942" s="79">
        <v>252</v>
      </c>
      <c r="D1942" s="80">
        <v>43334.042118055557</v>
      </c>
      <c r="E1942" s="81">
        <f t="shared" ca="1" si="14"/>
        <v>43313</v>
      </c>
      <c r="F1942" s="82">
        <f ca="1">IFERROR(__xludf.DUMMYFUNCTION("""COMPUTED_VALUE"""),0.0421180555555555)</f>
        <v>4.2118055555555499E-2</v>
      </c>
      <c r="G1942" s="83">
        <f t="shared" ca="1" si="15"/>
        <v>19</v>
      </c>
      <c r="H1942" s="83">
        <f ca="1">IFERROR(__xludf.DUMMYFUNCTION("""COMPUTED_VALUE"""),0)</f>
        <v>0</v>
      </c>
      <c r="I1942" s="83">
        <f ca="1">IFERROR(__xludf.DUMMYFUNCTION("""COMPUTED_VALUE"""),39)</f>
        <v>39</v>
      </c>
    </row>
    <row r="1943" spans="1:9">
      <c r="A1943" s="79">
        <v>271</v>
      </c>
      <c r="B1943" s="79">
        <v>8</v>
      </c>
      <c r="C1943" s="79">
        <v>279</v>
      </c>
      <c r="D1943" s="80">
        <v>43334.052523148152</v>
      </c>
      <c r="E1943" s="81">
        <f t="shared" ca="1" si="14"/>
        <v>43313</v>
      </c>
      <c r="F1943" s="82">
        <f ca="1">IFERROR(__xludf.DUMMYFUNCTION("""COMPUTED_VALUE"""),0.0525231481481481)</f>
        <v>5.2523148148148097E-2</v>
      </c>
      <c r="G1943" s="83">
        <f t="shared" ca="1" si="15"/>
        <v>19</v>
      </c>
      <c r="H1943" s="83">
        <f ca="1">IFERROR(__xludf.DUMMYFUNCTION("""COMPUTED_VALUE"""),15)</f>
        <v>15</v>
      </c>
      <c r="I1943" s="83">
        <f ca="1">IFERROR(__xludf.DUMMYFUNCTION("""COMPUTED_VALUE"""),38)</f>
        <v>38</v>
      </c>
    </row>
    <row r="1944" spans="1:9">
      <c r="A1944" s="79">
        <v>245</v>
      </c>
      <c r="B1944" s="79">
        <v>8</v>
      </c>
      <c r="C1944" s="79">
        <v>253</v>
      </c>
      <c r="D1944" s="80">
        <v>43334.062939814816</v>
      </c>
      <c r="E1944" s="81">
        <f t="shared" ca="1" si="14"/>
        <v>43313</v>
      </c>
      <c r="F1944" s="82">
        <f ca="1">IFERROR(__xludf.DUMMYFUNCTION("""COMPUTED_VALUE"""),0.0629398148148148)</f>
        <v>6.2939814814814796E-2</v>
      </c>
      <c r="G1944" s="83">
        <f t="shared" ca="1" si="15"/>
        <v>19</v>
      </c>
      <c r="H1944" s="83">
        <f ca="1">IFERROR(__xludf.DUMMYFUNCTION("""COMPUTED_VALUE"""),30)</f>
        <v>30</v>
      </c>
      <c r="I1944" s="83">
        <f ca="1">IFERROR(__xludf.DUMMYFUNCTION("""COMPUTED_VALUE"""),38)</f>
        <v>38</v>
      </c>
    </row>
    <row r="1945" spans="1:9">
      <c r="A1945" s="79">
        <v>243</v>
      </c>
      <c r="B1945" s="79">
        <v>2</v>
      </c>
      <c r="C1945" s="79">
        <v>245</v>
      </c>
      <c r="D1945" s="80">
        <v>43334.073368055557</v>
      </c>
      <c r="E1945" s="81">
        <f t="shared" ca="1" si="14"/>
        <v>43313</v>
      </c>
      <c r="F1945" s="82">
        <f ca="1">IFERROR(__xludf.DUMMYFUNCTION("""COMPUTED_VALUE"""),0.0733680555555555)</f>
        <v>7.3368055555555506E-2</v>
      </c>
      <c r="G1945" s="83">
        <f t="shared" ca="1" si="15"/>
        <v>19</v>
      </c>
      <c r="H1945" s="83">
        <f ca="1">IFERROR(__xludf.DUMMYFUNCTION("""COMPUTED_VALUE"""),45)</f>
        <v>45</v>
      </c>
      <c r="I1945" s="83">
        <f ca="1">IFERROR(__xludf.DUMMYFUNCTION("""COMPUTED_VALUE"""),39)</f>
        <v>39</v>
      </c>
    </row>
    <row r="1946" spans="1:9">
      <c r="A1946" s="79">
        <v>259</v>
      </c>
      <c r="B1946" s="79">
        <v>3</v>
      </c>
      <c r="C1946" s="79">
        <v>254</v>
      </c>
      <c r="D1946" s="80">
        <v>43334.083784722221</v>
      </c>
      <c r="E1946" s="81">
        <f t="shared" ca="1" si="14"/>
        <v>43313</v>
      </c>
      <c r="F1946" s="82">
        <f ca="1">IFERROR(__xludf.DUMMYFUNCTION("""COMPUTED_VALUE"""),0.0837847222222222)</f>
        <v>8.3784722222222205E-2</v>
      </c>
      <c r="G1946" s="83">
        <f t="shared" ca="1" si="15"/>
        <v>19</v>
      </c>
      <c r="H1946" s="83">
        <f ca="1">IFERROR(__xludf.DUMMYFUNCTION("""COMPUTED_VALUE"""),0)</f>
        <v>0</v>
      </c>
      <c r="I1946" s="83">
        <f ca="1">IFERROR(__xludf.DUMMYFUNCTION("""COMPUTED_VALUE"""),39)</f>
        <v>39</v>
      </c>
    </row>
    <row r="1947" spans="1:9">
      <c r="A1947" s="79">
        <v>274</v>
      </c>
      <c r="B1947" s="79">
        <v>4</v>
      </c>
      <c r="C1947" s="79">
        <v>278</v>
      </c>
      <c r="D1947" s="80">
        <v>43334.094201388885</v>
      </c>
      <c r="E1947" s="81">
        <f t="shared" ca="1" si="14"/>
        <v>43313</v>
      </c>
      <c r="F1947" s="82">
        <f ca="1">IFERROR(__xludf.DUMMYFUNCTION("""COMPUTED_VALUE"""),0.0942013888888888)</f>
        <v>9.4201388888888807E-2</v>
      </c>
      <c r="G1947" s="83">
        <f t="shared" ca="1" si="15"/>
        <v>19</v>
      </c>
      <c r="H1947" s="83">
        <f ca="1">IFERROR(__xludf.DUMMYFUNCTION("""COMPUTED_VALUE"""),15)</f>
        <v>15</v>
      </c>
      <c r="I1947" s="83">
        <f ca="1">IFERROR(__xludf.DUMMYFUNCTION("""COMPUTED_VALUE"""),39)</f>
        <v>39</v>
      </c>
    </row>
    <row r="1948" spans="1:9">
      <c r="A1948" s="79">
        <v>227</v>
      </c>
      <c r="B1948" s="79">
        <v>3</v>
      </c>
      <c r="C1948" s="79">
        <v>222</v>
      </c>
      <c r="D1948" s="80">
        <v>43334.104618055557</v>
      </c>
      <c r="E1948" s="81">
        <f t="shared" ca="1" si="14"/>
        <v>43313</v>
      </c>
      <c r="F1948" s="82">
        <f ca="1">IFERROR(__xludf.DUMMYFUNCTION("""COMPUTED_VALUE"""),0.104618055555555)</f>
        <v>0.10461805555555501</v>
      </c>
      <c r="G1948" s="83">
        <f t="shared" ca="1" si="15"/>
        <v>19</v>
      </c>
      <c r="H1948" s="83">
        <f ca="1">IFERROR(__xludf.DUMMYFUNCTION("""COMPUTED_VALUE"""),30)</f>
        <v>30</v>
      </c>
      <c r="I1948" s="83">
        <f ca="1">IFERROR(__xludf.DUMMYFUNCTION("""COMPUTED_VALUE"""),39)</f>
        <v>39</v>
      </c>
    </row>
    <row r="1949" spans="1:9">
      <c r="A1949" s="79">
        <v>228</v>
      </c>
      <c r="B1949" s="79">
        <v>3</v>
      </c>
      <c r="C1949" s="79">
        <v>231</v>
      </c>
      <c r="D1949" s="80">
        <v>43334.115023148152</v>
      </c>
      <c r="E1949" s="81">
        <f t="shared" ca="1" si="14"/>
        <v>43313</v>
      </c>
      <c r="F1949" s="82">
        <f ca="1">IFERROR(__xludf.DUMMYFUNCTION("""COMPUTED_VALUE"""),0.115023148148148)</f>
        <v>0.115023148148148</v>
      </c>
      <c r="G1949" s="83">
        <f t="shared" ca="1" si="15"/>
        <v>19</v>
      </c>
      <c r="H1949" s="83">
        <f ca="1">IFERROR(__xludf.DUMMYFUNCTION("""COMPUTED_VALUE"""),45)</f>
        <v>45</v>
      </c>
      <c r="I1949" s="83">
        <f ca="1">IFERROR(__xludf.DUMMYFUNCTION("""COMPUTED_VALUE"""),38)</f>
        <v>38</v>
      </c>
    </row>
    <row r="1950" spans="1:9">
      <c r="A1950" s="79">
        <v>187</v>
      </c>
      <c r="B1950" s="79">
        <v>4</v>
      </c>
      <c r="C1950" s="79">
        <v>191</v>
      </c>
      <c r="D1950" s="80">
        <v>43334.125462962962</v>
      </c>
      <c r="E1950" s="81">
        <f t="shared" ca="1" si="14"/>
        <v>43313</v>
      </c>
      <c r="F1950" s="82">
        <f ca="1">IFERROR(__xludf.DUMMYFUNCTION("""COMPUTED_VALUE"""),0.125462962962962)</f>
        <v>0.125462962962962</v>
      </c>
      <c r="G1950" s="83">
        <f t="shared" ca="1" si="15"/>
        <v>19</v>
      </c>
      <c r="H1950" s="83">
        <f ca="1">IFERROR(__xludf.DUMMYFUNCTION("""COMPUTED_VALUE"""),0)</f>
        <v>0</v>
      </c>
      <c r="I1950" s="83">
        <f ca="1">IFERROR(__xludf.DUMMYFUNCTION("""COMPUTED_VALUE"""),40)</f>
        <v>40</v>
      </c>
    </row>
    <row r="1951" spans="1:9">
      <c r="A1951" s="79">
        <v>179</v>
      </c>
      <c r="B1951" s="79">
        <v>6</v>
      </c>
      <c r="C1951" s="79">
        <v>185</v>
      </c>
      <c r="D1951" s="80">
        <v>43334.13585648148</v>
      </c>
      <c r="E1951" s="81">
        <f t="shared" ca="1" si="14"/>
        <v>43313</v>
      </c>
      <c r="F1951" s="82">
        <f ca="1">IFERROR(__xludf.DUMMYFUNCTION("""COMPUTED_VALUE"""),0.135856481481481)</f>
        <v>0.135856481481481</v>
      </c>
      <c r="G1951" s="83">
        <f t="shared" ca="1" si="15"/>
        <v>19</v>
      </c>
      <c r="H1951" s="83">
        <f ca="1">IFERROR(__xludf.DUMMYFUNCTION("""COMPUTED_VALUE"""),15)</f>
        <v>15</v>
      </c>
      <c r="I1951" s="83">
        <f ca="1">IFERROR(__xludf.DUMMYFUNCTION("""COMPUTED_VALUE"""),38)</f>
        <v>38</v>
      </c>
    </row>
    <row r="1952" spans="1:9">
      <c r="A1952" s="79">
        <v>164</v>
      </c>
      <c r="B1952" s="79">
        <v>5</v>
      </c>
      <c r="C1952" s="79">
        <v>169</v>
      </c>
      <c r="D1952" s="80">
        <v>43334.146284722221</v>
      </c>
      <c r="E1952" s="81">
        <f t="shared" ca="1" si="14"/>
        <v>43313</v>
      </c>
      <c r="F1952" s="82">
        <f ca="1">IFERROR(__xludf.DUMMYFUNCTION("""COMPUTED_VALUE"""),0.146284722222222)</f>
        <v>0.146284722222222</v>
      </c>
      <c r="G1952" s="83">
        <f t="shared" ca="1" si="15"/>
        <v>19</v>
      </c>
      <c r="H1952" s="83">
        <f ca="1">IFERROR(__xludf.DUMMYFUNCTION("""COMPUTED_VALUE"""),30)</f>
        <v>30</v>
      </c>
      <c r="I1952" s="83">
        <f ca="1">IFERROR(__xludf.DUMMYFUNCTION("""COMPUTED_VALUE"""),39)</f>
        <v>39</v>
      </c>
    </row>
    <row r="1953" spans="1:9">
      <c r="A1953" s="79">
        <v>112</v>
      </c>
      <c r="B1953" s="79">
        <v>7</v>
      </c>
      <c r="C1953" s="79">
        <v>119</v>
      </c>
      <c r="D1953" s="80">
        <v>43334.156689814816</v>
      </c>
      <c r="E1953" s="81">
        <f t="shared" ca="1" si="14"/>
        <v>43313</v>
      </c>
      <c r="F1953" s="82">
        <f ca="1">IFERROR(__xludf.DUMMYFUNCTION("""COMPUTED_VALUE"""),0.156689814814814)</f>
        <v>0.156689814814814</v>
      </c>
      <c r="G1953" s="83">
        <f t="shared" ca="1" si="15"/>
        <v>19</v>
      </c>
      <c r="H1953" s="83">
        <f ca="1">IFERROR(__xludf.DUMMYFUNCTION("""COMPUTED_VALUE"""),45)</f>
        <v>45</v>
      </c>
      <c r="I1953" s="83">
        <f ca="1">IFERROR(__xludf.DUMMYFUNCTION("""COMPUTED_VALUE"""),38)</f>
        <v>38</v>
      </c>
    </row>
    <row r="1954" spans="1:9">
      <c r="A1954" s="79">
        <v>129</v>
      </c>
      <c r="B1954" s="79">
        <v>4</v>
      </c>
      <c r="C1954" s="79">
        <v>133</v>
      </c>
      <c r="D1954" s="80">
        <v>43334.16710648148</v>
      </c>
      <c r="E1954" s="81">
        <f t="shared" ca="1" si="14"/>
        <v>43313</v>
      </c>
      <c r="F1954" s="82">
        <f ca="1">IFERROR(__xludf.DUMMYFUNCTION("""COMPUTED_VALUE"""),0.167106481481481)</f>
        <v>0.167106481481481</v>
      </c>
      <c r="G1954" s="83">
        <f t="shared" ca="1" si="15"/>
        <v>19</v>
      </c>
      <c r="H1954" s="83">
        <f ca="1">IFERROR(__xludf.DUMMYFUNCTION("""COMPUTED_VALUE"""),0)</f>
        <v>0</v>
      </c>
      <c r="I1954" s="83">
        <f ca="1">IFERROR(__xludf.DUMMYFUNCTION("""COMPUTED_VALUE"""),38)</f>
        <v>38</v>
      </c>
    </row>
    <row r="1955" spans="1:9">
      <c r="A1955" s="79">
        <v>41</v>
      </c>
      <c r="B1955" s="79">
        <v>3</v>
      </c>
      <c r="C1955" s="79">
        <v>44</v>
      </c>
      <c r="D1955" s="80">
        <v>43334.177523148152</v>
      </c>
      <c r="E1955" s="81">
        <f t="shared" ca="1" si="14"/>
        <v>43313</v>
      </c>
      <c r="F1955" s="82">
        <f ca="1">IFERROR(__xludf.DUMMYFUNCTION("""COMPUTED_VALUE"""),0.177523148148148)</f>
        <v>0.17752314814814801</v>
      </c>
      <c r="G1955" s="83">
        <f t="shared" ca="1" si="15"/>
        <v>19</v>
      </c>
      <c r="H1955" s="83">
        <f ca="1">IFERROR(__xludf.DUMMYFUNCTION("""COMPUTED_VALUE"""),15)</f>
        <v>15</v>
      </c>
      <c r="I1955" s="83">
        <f ca="1">IFERROR(__xludf.DUMMYFUNCTION("""COMPUTED_VALUE"""),38)</f>
        <v>38</v>
      </c>
    </row>
    <row r="1956" spans="1:9">
      <c r="A1956" s="79">
        <v>17</v>
      </c>
      <c r="B1956" s="79">
        <v>0</v>
      </c>
      <c r="C1956" s="79">
        <v>17</v>
      </c>
      <c r="D1956" s="80">
        <v>43334.187951388885</v>
      </c>
      <c r="E1956" s="81">
        <f t="shared" ca="1" si="14"/>
        <v>43313</v>
      </c>
      <c r="F1956" s="82">
        <f ca="1">IFERROR(__xludf.DUMMYFUNCTION("""COMPUTED_VALUE"""),0.187951388888888)</f>
        <v>0.18795138888888799</v>
      </c>
      <c r="G1956" s="83">
        <f t="shared" ca="1" si="15"/>
        <v>19</v>
      </c>
      <c r="H1956" s="83">
        <f ca="1">IFERROR(__xludf.DUMMYFUNCTION("""COMPUTED_VALUE"""),30)</f>
        <v>30</v>
      </c>
      <c r="I1956" s="83">
        <f ca="1">IFERROR(__xludf.DUMMYFUNCTION("""COMPUTED_VALUE"""),39)</f>
        <v>39</v>
      </c>
    </row>
    <row r="1957" spans="1:9">
      <c r="A1957" s="79">
        <v>15</v>
      </c>
      <c r="B1957" s="79">
        <v>0</v>
      </c>
      <c r="C1957" s="79">
        <v>15</v>
      </c>
      <c r="D1957" s="80">
        <v>43334.19835648148</v>
      </c>
      <c r="E1957" s="81">
        <f t="shared" ca="1" si="14"/>
        <v>43313</v>
      </c>
      <c r="F1957" s="82">
        <f ca="1">IFERROR(__xludf.DUMMYFUNCTION("""COMPUTED_VALUE"""),0.198356481481481)</f>
        <v>0.198356481481481</v>
      </c>
      <c r="G1957" s="83">
        <f t="shared" ca="1" si="15"/>
        <v>19</v>
      </c>
      <c r="H1957" s="83">
        <f ca="1">IFERROR(__xludf.DUMMYFUNCTION("""COMPUTED_VALUE"""),45)</f>
        <v>45</v>
      </c>
      <c r="I1957" s="83">
        <f ca="1">IFERROR(__xludf.DUMMYFUNCTION("""COMPUTED_VALUE"""),38)</f>
        <v>38</v>
      </c>
    </row>
    <row r="1958" spans="1:9">
      <c r="A1958" s="79">
        <v>15</v>
      </c>
      <c r="B1958" s="79">
        <v>0</v>
      </c>
      <c r="C1958" s="79">
        <v>15</v>
      </c>
      <c r="D1958" s="80">
        <v>43334.208773148152</v>
      </c>
      <c r="E1958" s="81">
        <f t="shared" ca="1" si="14"/>
        <v>43313</v>
      </c>
      <c r="F1958" s="82">
        <f ca="1">IFERROR(__xludf.DUMMYFUNCTION("""COMPUTED_VALUE"""),0.208773148148148)</f>
        <v>0.20877314814814801</v>
      </c>
      <c r="G1958" s="83">
        <f t="shared" ca="1" si="15"/>
        <v>19</v>
      </c>
      <c r="H1958" s="83">
        <f ca="1">IFERROR(__xludf.DUMMYFUNCTION("""COMPUTED_VALUE"""),0)</f>
        <v>0</v>
      </c>
      <c r="I1958" s="83">
        <f ca="1">IFERROR(__xludf.DUMMYFUNCTION("""COMPUTED_VALUE"""),38)</f>
        <v>38</v>
      </c>
    </row>
    <row r="1959" spans="1:9">
      <c r="A1959" s="79">
        <v>15</v>
      </c>
      <c r="B1959" s="79">
        <v>0</v>
      </c>
      <c r="C1959" s="79">
        <v>15</v>
      </c>
      <c r="D1959" s="80">
        <v>43334.219189814816</v>
      </c>
      <c r="E1959" s="81">
        <f t="shared" ca="1" si="14"/>
        <v>43313</v>
      </c>
      <c r="F1959" s="82">
        <f ca="1">IFERROR(__xludf.DUMMYFUNCTION("""COMPUTED_VALUE"""),0.219189814814814)</f>
        <v>0.219189814814814</v>
      </c>
      <c r="G1959" s="83">
        <f t="shared" ca="1" si="15"/>
        <v>19</v>
      </c>
      <c r="H1959" s="83">
        <f ca="1">IFERROR(__xludf.DUMMYFUNCTION("""COMPUTED_VALUE"""),15)</f>
        <v>15</v>
      </c>
      <c r="I1959" s="83">
        <f ca="1">IFERROR(__xludf.DUMMYFUNCTION("""COMPUTED_VALUE"""),38)</f>
        <v>38</v>
      </c>
    </row>
    <row r="1960" spans="1:9">
      <c r="A1960" s="79">
        <v>13</v>
      </c>
      <c r="B1960" s="79">
        <v>0</v>
      </c>
      <c r="C1960" s="79">
        <v>13</v>
      </c>
      <c r="D1960" s="80">
        <v>43334.22960648148</v>
      </c>
      <c r="E1960" s="81">
        <f t="shared" ca="1" si="14"/>
        <v>43313</v>
      </c>
      <c r="F1960" s="82">
        <f ca="1">IFERROR(__xludf.DUMMYFUNCTION("""COMPUTED_VALUE"""),0.229606481481481)</f>
        <v>0.229606481481481</v>
      </c>
      <c r="G1960" s="83">
        <f t="shared" ca="1" si="15"/>
        <v>19</v>
      </c>
      <c r="H1960" s="83">
        <f ca="1">IFERROR(__xludf.DUMMYFUNCTION("""COMPUTED_VALUE"""),30)</f>
        <v>30</v>
      </c>
      <c r="I1960" s="83">
        <f ca="1">IFERROR(__xludf.DUMMYFUNCTION("""COMPUTED_VALUE"""),38)</f>
        <v>38</v>
      </c>
    </row>
    <row r="1961" spans="1:9">
      <c r="A1961" s="79">
        <v>13</v>
      </c>
      <c r="B1961" s="79">
        <v>0</v>
      </c>
      <c r="C1961" s="79">
        <v>13</v>
      </c>
      <c r="D1961" s="80">
        <v>43334.240023148152</v>
      </c>
      <c r="E1961" s="81">
        <f t="shared" ca="1" si="14"/>
        <v>43313</v>
      </c>
      <c r="F1961" s="82">
        <f ca="1">IFERROR(__xludf.DUMMYFUNCTION("""COMPUTED_VALUE"""),0.240023148148148)</f>
        <v>0.24002314814814801</v>
      </c>
      <c r="G1961" s="83">
        <f t="shared" ca="1" si="15"/>
        <v>19</v>
      </c>
      <c r="H1961" s="83">
        <f ca="1">IFERROR(__xludf.DUMMYFUNCTION("""COMPUTED_VALUE"""),45)</f>
        <v>45</v>
      </c>
      <c r="I1961" s="83">
        <f ca="1">IFERROR(__xludf.DUMMYFUNCTION("""COMPUTED_VALUE"""),38)</f>
        <v>38</v>
      </c>
    </row>
    <row r="1962" spans="1:9">
      <c r="A1962" s="79">
        <v>13</v>
      </c>
      <c r="B1962" s="79">
        <v>0</v>
      </c>
      <c r="C1962" s="79">
        <v>13</v>
      </c>
      <c r="D1962" s="80">
        <v>43334.250439814816</v>
      </c>
      <c r="E1962" s="81">
        <f t="shared" ca="1" si="14"/>
        <v>43313</v>
      </c>
      <c r="F1962" s="82">
        <f ca="1">IFERROR(__xludf.DUMMYFUNCTION("""COMPUTED_VALUE"""),0.250439814814814)</f>
        <v>0.25043981481481398</v>
      </c>
      <c r="G1962" s="83">
        <f t="shared" ca="1" si="15"/>
        <v>19</v>
      </c>
      <c r="H1962" s="83">
        <f ca="1">IFERROR(__xludf.DUMMYFUNCTION("""COMPUTED_VALUE"""),0)</f>
        <v>0</v>
      </c>
      <c r="I1962" s="83">
        <f ca="1">IFERROR(__xludf.DUMMYFUNCTION("""COMPUTED_VALUE"""),38)</f>
        <v>38</v>
      </c>
    </row>
    <row r="1963" spans="1:9">
      <c r="A1963" s="79">
        <v>12</v>
      </c>
      <c r="B1963" s="79">
        <v>0</v>
      </c>
      <c r="C1963" s="79">
        <v>12</v>
      </c>
      <c r="D1963" s="80">
        <v>43334.26085648148</v>
      </c>
      <c r="E1963" s="81">
        <f t="shared" ca="1" si="14"/>
        <v>43313</v>
      </c>
      <c r="F1963" s="82">
        <f ca="1">IFERROR(__xludf.DUMMYFUNCTION("""COMPUTED_VALUE"""),0.260856481481481)</f>
        <v>0.260856481481481</v>
      </c>
      <c r="G1963" s="83">
        <f t="shared" ca="1" si="15"/>
        <v>19</v>
      </c>
      <c r="H1963" s="83">
        <f ca="1">IFERROR(__xludf.DUMMYFUNCTION("""COMPUTED_VALUE"""),15)</f>
        <v>15</v>
      </c>
      <c r="I1963" s="83">
        <f ca="1">IFERROR(__xludf.DUMMYFUNCTION("""COMPUTED_VALUE"""),38)</f>
        <v>38</v>
      </c>
    </row>
    <row r="1964" spans="1:9">
      <c r="A1964" s="79">
        <v>11</v>
      </c>
      <c r="B1964" s="79">
        <v>0</v>
      </c>
      <c r="C1964" s="79">
        <v>11</v>
      </c>
      <c r="D1964" s="80">
        <v>43334.273796296293</v>
      </c>
      <c r="E1964" s="81">
        <f t="shared" ca="1" si="14"/>
        <v>43313</v>
      </c>
      <c r="F1964" s="82">
        <f ca="1">IFERROR(__xludf.DUMMYFUNCTION("""COMPUTED_VALUE"""),0.273796296296296)</f>
        <v>0.27379629629629598</v>
      </c>
      <c r="G1964" s="83">
        <f t="shared" ca="1" si="15"/>
        <v>19</v>
      </c>
      <c r="H1964" s="83">
        <f ca="1">IFERROR(__xludf.DUMMYFUNCTION("""COMPUTED_VALUE"""),34)</f>
        <v>34</v>
      </c>
      <c r="I1964" s="83">
        <f ca="1">IFERROR(__xludf.DUMMYFUNCTION("""COMPUTED_VALUE"""),16)</f>
        <v>16</v>
      </c>
    </row>
    <row r="1965" spans="1:9">
      <c r="A1965" s="79">
        <v>11</v>
      </c>
      <c r="B1965" s="79">
        <v>0</v>
      </c>
      <c r="C1965" s="79">
        <v>11</v>
      </c>
      <c r="D1965" s="80">
        <v>43334.281689814816</v>
      </c>
      <c r="E1965" s="81">
        <f t="shared" ca="1" si="14"/>
        <v>43313</v>
      </c>
      <c r="F1965" s="82">
        <f ca="1">IFERROR(__xludf.DUMMYFUNCTION("""COMPUTED_VALUE"""),0.281689814814814)</f>
        <v>0.28168981481481398</v>
      </c>
      <c r="G1965" s="83">
        <f t="shared" ca="1" si="15"/>
        <v>19</v>
      </c>
      <c r="H1965" s="83">
        <f ca="1">IFERROR(__xludf.DUMMYFUNCTION("""COMPUTED_VALUE"""),45)</f>
        <v>45</v>
      </c>
      <c r="I1965" s="83">
        <f ca="1">IFERROR(__xludf.DUMMYFUNCTION("""COMPUTED_VALUE"""),38)</f>
        <v>38</v>
      </c>
    </row>
    <row r="1966" spans="1:9">
      <c r="A1966" s="79">
        <v>20</v>
      </c>
      <c r="B1966" s="79">
        <v>0</v>
      </c>
      <c r="C1966" s="79">
        <v>20</v>
      </c>
      <c r="D1966" s="80">
        <v>43334.29210648148</v>
      </c>
      <c r="E1966" s="81">
        <f t="shared" ca="1" si="14"/>
        <v>43313</v>
      </c>
      <c r="F1966" s="82">
        <f ca="1">IFERROR(__xludf.DUMMYFUNCTION("""COMPUTED_VALUE"""),0.292106481481481)</f>
        <v>0.292106481481481</v>
      </c>
      <c r="G1966" s="83">
        <f t="shared" ca="1" si="15"/>
        <v>19</v>
      </c>
      <c r="H1966" s="83">
        <f ca="1">IFERROR(__xludf.DUMMYFUNCTION("""COMPUTED_VALUE"""),0)</f>
        <v>0</v>
      </c>
      <c r="I1966" s="83">
        <f ca="1">IFERROR(__xludf.DUMMYFUNCTION("""COMPUTED_VALUE"""),38)</f>
        <v>38</v>
      </c>
    </row>
    <row r="1967" spans="1:9">
      <c r="A1967" s="79">
        <v>34</v>
      </c>
      <c r="B1967" s="79">
        <v>0</v>
      </c>
      <c r="C1967" s="79">
        <v>34</v>
      </c>
      <c r="D1967" s="80">
        <v>43334.302546296298</v>
      </c>
      <c r="E1967" s="81">
        <f t="shared" ca="1" si="14"/>
        <v>43313</v>
      </c>
      <c r="F1967" s="82">
        <f ca="1">IFERROR(__xludf.DUMMYFUNCTION("""COMPUTED_VALUE"""),0.302546296296296)</f>
        <v>0.30254629629629598</v>
      </c>
      <c r="G1967" s="83">
        <f t="shared" ca="1" si="15"/>
        <v>19</v>
      </c>
      <c r="H1967" s="83">
        <f ca="1">IFERROR(__xludf.DUMMYFUNCTION("""COMPUTED_VALUE"""),15)</f>
        <v>15</v>
      </c>
      <c r="I1967" s="83">
        <f ca="1">IFERROR(__xludf.DUMMYFUNCTION("""COMPUTED_VALUE"""),40)</f>
        <v>40</v>
      </c>
    </row>
    <row r="1968" spans="1:9">
      <c r="A1968" s="79">
        <v>46</v>
      </c>
      <c r="B1968" s="79">
        <v>0</v>
      </c>
      <c r="C1968" s="79">
        <v>46</v>
      </c>
      <c r="D1968" s="80">
        <v>43334.312962962962</v>
      </c>
      <c r="E1968" s="81">
        <f t="shared" ca="1" si="14"/>
        <v>43313</v>
      </c>
      <c r="F1968" s="82">
        <f ca="1">IFERROR(__xludf.DUMMYFUNCTION("""COMPUTED_VALUE"""),0.312962962962962)</f>
        <v>0.312962962962962</v>
      </c>
      <c r="G1968" s="83">
        <f t="shared" ca="1" si="15"/>
        <v>19</v>
      </c>
      <c r="H1968" s="83">
        <f ca="1">IFERROR(__xludf.DUMMYFUNCTION("""COMPUTED_VALUE"""),30)</f>
        <v>30</v>
      </c>
      <c r="I1968" s="83">
        <f ca="1">IFERROR(__xludf.DUMMYFUNCTION("""COMPUTED_VALUE"""),40)</f>
        <v>40</v>
      </c>
    </row>
    <row r="1969" spans="1:9">
      <c r="A1969" s="79">
        <v>56</v>
      </c>
      <c r="B1969" s="79">
        <v>0</v>
      </c>
      <c r="C1969" s="79">
        <v>55</v>
      </c>
      <c r="D1969" s="80">
        <v>43334.323379629626</v>
      </c>
      <c r="E1969" s="81">
        <f t="shared" ca="1" si="14"/>
        <v>43313</v>
      </c>
      <c r="F1969" s="82">
        <f ca="1">IFERROR(__xludf.DUMMYFUNCTION("""COMPUTED_VALUE"""),0.323379629629629)</f>
        <v>0.32337962962962902</v>
      </c>
      <c r="G1969" s="83">
        <f t="shared" ca="1" si="15"/>
        <v>19</v>
      </c>
      <c r="H1969" s="83">
        <f ca="1">IFERROR(__xludf.DUMMYFUNCTION("""COMPUTED_VALUE"""),45)</f>
        <v>45</v>
      </c>
      <c r="I1969" s="83">
        <f ca="1">IFERROR(__xludf.DUMMYFUNCTION("""COMPUTED_VALUE"""),40)</f>
        <v>40</v>
      </c>
    </row>
    <row r="1970" spans="1:9">
      <c r="A1970" s="79">
        <v>60</v>
      </c>
      <c r="B1970" s="79">
        <v>0</v>
      </c>
      <c r="C1970" s="79">
        <v>60</v>
      </c>
      <c r="D1970" s="80">
        <v>43334.333796296298</v>
      </c>
      <c r="E1970" s="81">
        <f t="shared" ca="1" si="14"/>
        <v>43313</v>
      </c>
      <c r="F1970" s="82">
        <f ca="1">IFERROR(__xludf.DUMMYFUNCTION("""COMPUTED_VALUE"""),0.333796296296296)</f>
        <v>0.33379629629629598</v>
      </c>
      <c r="G1970" s="83">
        <f t="shared" ca="1" si="15"/>
        <v>19</v>
      </c>
      <c r="H1970" s="83">
        <f ca="1">IFERROR(__xludf.DUMMYFUNCTION("""COMPUTED_VALUE"""),0)</f>
        <v>0</v>
      </c>
      <c r="I1970" s="83">
        <f ca="1">IFERROR(__xludf.DUMMYFUNCTION("""COMPUTED_VALUE"""),40)</f>
        <v>40</v>
      </c>
    </row>
    <row r="1971" spans="1:9">
      <c r="A1971" s="79">
        <v>73</v>
      </c>
      <c r="B1971" s="79">
        <v>0</v>
      </c>
      <c r="C1971" s="79">
        <v>72</v>
      </c>
      <c r="D1971" s="80">
        <v>43334.344201388885</v>
      </c>
      <c r="E1971" s="81">
        <f t="shared" ca="1" si="14"/>
        <v>43313</v>
      </c>
      <c r="F1971" s="82">
        <f ca="1">IFERROR(__xludf.DUMMYFUNCTION("""COMPUTED_VALUE"""),0.344201388888888)</f>
        <v>0.34420138888888802</v>
      </c>
      <c r="G1971" s="83">
        <f t="shared" ca="1" si="15"/>
        <v>19</v>
      </c>
      <c r="H1971" s="83">
        <f ca="1">IFERROR(__xludf.DUMMYFUNCTION("""COMPUTED_VALUE"""),15)</f>
        <v>15</v>
      </c>
      <c r="I1971" s="83">
        <f ca="1">IFERROR(__xludf.DUMMYFUNCTION("""COMPUTED_VALUE"""),39)</f>
        <v>39</v>
      </c>
    </row>
    <row r="1972" spans="1:9">
      <c r="A1972" s="79">
        <v>93</v>
      </c>
      <c r="B1972" s="79">
        <v>1</v>
      </c>
      <c r="C1972" s="79">
        <v>94</v>
      </c>
      <c r="D1972" s="80">
        <v>43334.354629629626</v>
      </c>
      <c r="E1972" s="81">
        <f t="shared" ca="1" si="14"/>
        <v>43313</v>
      </c>
      <c r="F1972" s="82">
        <f ca="1">IFERROR(__xludf.DUMMYFUNCTION("""COMPUTED_VALUE"""),0.354629629629629)</f>
        <v>0.35462962962962902</v>
      </c>
      <c r="G1972" s="83">
        <f t="shared" ca="1" si="15"/>
        <v>19</v>
      </c>
      <c r="H1972" s="83">
        <f ca="1">IFERROR(__xludf.DUMMYFUNCTION("""COMPUTED_VALUE"""),30)</f>
        <v>30</v>
      </c>
      <c r="I1972" s="83">
        <f ca="1">IFERROR(__xludf.DUMMYFUNCTION("""COMPUTED_VALUE"""),40)</f>
        <v>40</v>
      </c>
    </row>
    <row r="1973" spans="1:9">
      <c r="A1973" s="79">
        <v>161</v>
      </c>
      <c r="B1973" s="79">
        <v>1</v>
      </c>
      <c r="C1973" s="79">
        <v>162</v>
      </c>
      <c r="D1973" s="80">
        <v>43334.365034722221</v>
      </c>
      <c r="E1973" s="81">
        <f t="shared" ca="1" si="14"/>
        <v>43313</v>
      </c>
      <c r="F1973" s="82">
        <f ca="1">IFERROR(__xludf.DUMMYFUNCTION("""COMPUTED_VALUE"""),0.365034722222222)</f>
        <v>0.365034722222222</v>
      </c>
      <c r="G1973" s="83">
        <f t="shared" ca="1" si="15"/>
        <v>19</v>
      </c>
      <c r="H1973" s="83">
        <f ca="1">IFERROR(__xludf.DUMMYFUNCTION("""COMPUTED_VALUE"""),45)</f>
        <v>45</v>
      </c>
      <c r="I1973" s="83">
        <f ca="1">IFERROR(__xludf.DUMMYFUNCTION("""COMPUTED_VALUE"""),39)</f>
        <v>39</v>
      </c>
    </row>
    <row r="1974" spans="1:9">
      <c r="A1974" s="79">
        <v>135</v>
      </c>
      <c r="B1974" s="79">
        <v>0</v>
      </c>
      <c r="C1974" s="79">
        <v>135</v>
      </c>
      <c r="D1974" s="80">
        <v>43334.375462962962</v>
      </c>
      <c r="E1974" s="81">
        <f t="shared" ca="1" si="14"/>
        <v>43313</v>
      </c>
      <c r="F1974" s="82">
        <f ca="1">IFERROR(__xludf.DUMMYFUNCTION("""COMPUTED_VALUE"""),0.375462962962962)</f>
        <v>0.375462962962962</v>
      </c>
      <c r="G1974" s="83">
        <f t="shared" ca="1" si="15"/>
        <v>19</v>
      </c>
      <c r="H1974" s="83">
        <f ca="1">IFERROR(__xludf.DUMMYFUNCTION("""COMPUTED_VALUE"""),0)</f>
        <v>0</v>
      </c>
      <c r="I1974" s="83">
        <f ca="1">IFERROR(__xludf.DUMMYFUNCTION("""COMPUTED_VALUE"""),40)</f>
        <v>40</v>
      </c>
    </row>
    <row r="1975" spans="1:9">
      <c r="A1975" s="79">
        <v>179</v>
      </c>
      <c r="B1975" s="79">
        <v>2</v>
      </c>
      <c r="C1975" s="79">
        <v>181</v>
      </c>
      <c r="D1975" s="80">
        <v>43334.385868055557</v>
      </c>
      <c r="E1975" s="81">
        <f t="shared" ca="1" si="14"/>
        <v>43313</v>
      </c>
      <c r="F1975" s="82">
        <f ca="1">IFERROR(__xludf.DUMMYFUNCTION("""COMPUTED_VALUE"""),0.385868055555555)</f>
        <v>0.38586805555555498</v>
      </c>
      <c r="G1975" s="83">
        <f t="shared" ca="1" si="15"/>
        <v>19</v>
      </c>
      <c r="H1975" s="83">
        <f ca="1">IFERROR(__xludf.DUMMYFUNCTION("""COMPUTED_VALUE"""),15)</f>
        <v>15</v>
      </c>
      <c r="I1975" s="83">
        <f ca="1">IFERROR(__xludf.DUMMYFUNCTION("""COMPUTED_VALUE"""),39)</f>
        <v>39</v>
      </c>
    </row>
    <row r="1976" spans="1:9">
      <c r="A1976" s="79">
        <v>274</v>
      </c>
      <c r="B1976" s="79">
        <v>2</v>
      </c>
      <c r="C1976" s="79">
        <v>276</v>
      </c>
      <c r="D1976" s="80">
        <v>43334.396296296298</v>
      </c>
      <c r="E1976" s="81">
        <f t="shared" ca="1" si="14"/>
        <v>43313</v>
      </c>
      <c r="F1976" s="82">
        <f ca="1">IFERROR(__xludf.DUMMYFUNCTION("""COMPUTED_VALUE"""),0.396296296296296)</f>
        <v>0.39629629629629598</v>
      </c>
      <c r="G1976" s="83">
        <f t="shared" ca="1" si="15"/>
        <v>19</v>
      </c>
      <c r="H1976" s="83">
        <f ca="1">IFERROR(__xludf.DUMMYFUNCTION("""COMPUTED_VALUE"""),30)</f>
        <v>30</v>
      </c>
      <c r="I1976" s="83">
        <f ca="1">IFERROR(__xludf.DUMMYFUNCTION("""COMPUTED_VALUE"""),40)</f>
        <v>40</v>
      </c>
    </row>
    <row r="1977" spans="1:9">
      <c r="A1977" s="79">
        <v>585</v>
      </c>
      <c r="B1977" s="79">
        <v>9</v>
      </c>
      <c r="C1977" s="79">
        <v>594</v>
      </c>
      <c r="D1977" s="80">
        <v>43334.406712962962</v>
      </c>
      <c r="E1977" s="81">
        <f t="shared" ca="1" si="14"/>
        <v>43313</v>
      </c>
      <c r="F1977" s="82">
        <f ca="1">IFERROR(__xludf.DUMMYFUNCTION("""COMPUTED_VALUE"""),0.406712962962962)</f>
        <v>0.406712962962962</v>
      </c>
      <c r="G1977" s="83">
        <f t="shared" ca="1" si="15"/>
        <v>19</v>
      </c>
      <c r="H1977" s="83">
        <f ca="1">IFERROR(__xludf.DUMMYFUNCTION("""COMPUTED_VALUE"""),45)</f>
        <v>45</v>
      </c>
      <c r="I1977" s="83">
        <f ca="1">IFERROR(__xludf.DUMMYFUNCTION("""COMPUTED_VALUE"""),40)</f>
        <v>40</v>
      </c>
    </row>
    <row r="1978" spans="1:9">
      <c r="A1978" s="79">
        <v>521</v>
      </c>
      <c r="B1978" s="79">
        <v>3</v>
      </c>
      <c r="C1978" s="79">
        <v>524</v>
      </c>
      <c r="D1978" s="80">
        <v>43334.417129629626</v>
      </c>
      <c r="E1978" s="81">
        <f t="shared" ca="1" si="14"/>
        <v>43313</v>
      </c>
      <c r="F1978" s="82">
        <f ca="1">IFERROR(__xludf.DUMMYFUNCTION("""COMPUTED_VALUE"""),0.417129629629629)</f>
        <v>0.41712962962962902</v>
      </c>
      <c r="G1978" s="83">
        <f t="shared" ca="1" si="15"/>
        <v>19</v>
      </c>
      <c r="H1978" s="83">
        <f ca="1">IFERROR(__xludf.DUMMYFUNCTION("""COMPUTED_VALUE"""),0)</f>
        <v>0</v>
      </c>
      <c r="I1978" s="83">
        <f ca="1">IFERROR(__xludf.DUMMYFUNCTION("""COMPUTED_VALUE"""),40)</f>
        <v>40</v>
      </c>
    </row>
    <row r="1979" spans="1:9">
      <c r="A1979" s="79">
        <v>459</v>
      </c>
      <c r="B1979" s="79">
        <v>4</v>
      </c>
      <c r="C1979" s="79">
        <v>463</v>
      </c>
      <c r="D1979" s="80">
        <v>43334.427546296298</v>
      </c>
      <c r="E1979" s="81">
        <f t="shared" ca="1" si="14"/>
        <v>43313</v>
      </c>
      <c r="F1979" s="82">
        <f ca="1">IFERROR(__xludf.DUMMYFUNCTION("""COMPUTED_VALUE"""),0.427546296296296)</f>
        <v>0.42754629629629598</v>
      </c>
      <c r="G1979" s="83">
        <f t="shared" ca="1" si="15"/>
        <v>19</v>
      </c>
      <c r="H1979" s="83">
        <f ca="1">IFERROR(__xludf.DUMMYFUNCTION("""COMPUTED_VALUE"""),15)</f>
        <v>15</v>
      </c>
      <c r="I1979" s="83">
        <f ca="1">IFERROR(__xludf.DUMMYFUNCTION("""COMPUTED_VALUE"""),40)</f>
        <v>40</v>
      </c>
    </row>
    <row r="1980" spans="1:9">
      <c r="A1980" s="79">
        <v>542</v>
      </c>
      <c r="B1980" s="79">
        <v>10</v>
      </c>
      <c r="C1980" s="79">
        <v>549</v>
      </c>
      <c r="D1980" s="80">
        <v>43334.437962962962</v>
      </c>
      <c r="E1980" s="81">
        <f t="shared" ca="1" si="14"/>
        <v>43313</v>
      </c>
      <c r="F1980" s="82">
        <f ca="1">IFERROR(__xludf.DUMMYFUNCTION("""COMPUTED_VALUE"""),0.437962962962962)</f>
        <v>0.437962962962962</v>
      </c>
      <c r="G1980" s="83">
        <f t="shared" ca="1" si="15"/>
        <v>19</v>
      </c>
      <c r="H1980" s="83">
        <f ca="1">IFERROR(__xludf.DUMMYFUNCTION("""COMPUTED_VALUE"""),30)</f>
        <v>30</v>
      </c>
      <c r="I1980" s="83">
        <f ca="1">IFERROR(__xludf.DUMMYFUNCTION("""COMPUTED_VALUE"""),40)</f>
        <v>40</v>
      </c>
    </row>
    <row r="1981" spans="1:9">
      <c r="A1981" s="79">
        <v>667</v>
      </c>
      <c r="B1981" s="79">
        <v>18</v>
      </c>
      <c r="C1981" s="79">
        <v>685</v>
      </c>
      <c r="D1981" s="80">
        <v>43334.448379629626</v>
      </c>
      <c r="E1981" s="81">
        <f t="shared" ca="1" si="14"/>
        <v>43313</v>
      </c>
      <c r="F1981" s="82">
        <f ca="1">IFERROR(__xludf.DUMMYFUNCTION("""COMPUTED_VALUE"""),0.448379629629629)</f>
        <v>0.44837962962962902</v>
      </c>
      <c r="G1981" s="83">
        <f t="shared" ca="1" si="15"/>
        <v>19</v>
      </c>
      <c r="H1981" s="83">
        <f ca="1">IFERROR(__xludf.DUMMYFUNCTION("""COMPUTED_VALUE"""),45)</f>
        <v>45</v>
      </c>
      <c r="I1981" s="83">
        <f ca="1">IFERROR(__xludf.DUMMYFUNCTION("""COMPUTED_VALUE"""),40)</f>
        <v>40</v>
      </c>
    </row>
    <row r="1982" spans="1:9">
      <c r="A1982" s="79">
        <v>517</v>
      </c>
      <c r="B1982" s="79">
        <v>14</v>
      </c>
      <c r="C1982" s="79">
        <v>531</v>
      </c>
      <c r="D1982" s="80">
        <v>43334.458796296298</v>
      </c>
      <c r="E1982" s="81">
        <f t="shared" ca="1" si="14"/>
        <v>43313</v>
      </c>
      <c r="F1982" s="82">
        <f ca="1">IFERROR(__xludf.DUMMYFUNCTION("""COMPUTED_VALUE"""),0.458796296296296)</f>
        <v>0.45879629629629598</v>
      </c>
      <c r="G1982" s="83">
        <f t="shared" ca="1" si="15"/>
        <v>19</v>
      </c>
      <c r="H1982" s="83">
        <f ca="1">IFERROR(__xludf.DUMMYFUNCTION("""COMPUTED_VALUE"""),0)</f>
        <v>0</v>
      </c>
      <c r="I1982" s="83">
        <f ca="1">IFERROR(__xludf.DUMMYFUNCTION("""COMPUTED_VALUE"""),40)</f>
        <v>40</v>
      </c>
    </row>
    <row r="1983" spans="1:9">
      <c r="A1983" s="79">
        <v>429</v>
      </c>
      <c r="B1983" s="79">
        <v>8</v>
      </c>
      <c r="C1983" s="79">
        <v>437</v>
      </c>
      <c r="D1983" s="80">
        <v>43334.469201388885</v>
      </c>
      <c r="E1983" s="81">
        <f t="shared" ca="1" si="14"/>
        <v>43313</v>
      </c>
      <c r="F1983" s="82">
        <f ca="1">IFERROR(__xludf.DUMMYFUNCTION("""COMPUTED_VALUE"""),0.469201388888888)</f>
        <v>0.46920138888888802</v>
      </c>
      <c r="G1983" s="83">
        <f t="shared" ca="1" si="15"/>
        <v>19</v>
      </c>
      <c r="H1983" s="83">
        <f ca="1">IFERROR(__xludf.DUMMYFUNCTION("""COMPUTED_VALUE"""),15)</f>
        <v>15</v>
      </c>
      <c r="I1983" s="83">
        <f ca="1">IFERROR(__xludf.DUMMYFUNCTION("""COMPUTED_VALUE"""),39)</f>
        <v>39</v>
      </c>
    </row>
    <row r="1984" spans="1:9">
      <c r="A1984" s="79">
        <v>373</v>
      </c>
      <c r="B1984" s="79">
        <v>3</v>
      </c>
      <c r="C1984" s="79">
        <v>376</v>
      </c>
      <c r="D1984" s="80">
        <v>43334.479618055557</v>
      </c>
      <c r="E1984" s="81">
        <f t="shared" ca="1" si="14"/>
        <v>43313</v>
      </c>
      <c r="F1984" s="82">
        <f ca="1">IFERROR(__xludf.DUMMYFUNCTION("""COMPUTED_VALUE"""),0.479618055555555)</f>
        <v>0.47961805555555498</v>
      </c>
      <c r="G1984" s="83">
        <f t="shared" ca="1" si="15"/>
        <v>19</v>
      </c>
      <c r="H1984" s="83">
        <f ca="1">IFERROR(__xludf.DUMMYFUNCTION("""COMPUTED_VALUE"""),30)</f>
        <v>30</v>
      </c>
      <c r="I1984" s="83">
        <f ca="1">IFERROR(__xludf.DUMMYFUNCTION("""COMPUTED_VALUE"""),39)</f>
        <v>39</v>
      </c>
    </row>
    <row r="1985" spans="1:9">
      <c r="A1985" s="79">
        <v>402</v>
      </c>
      <c r="B1985" s="79">
        <v>6</v>
      </c>
      <c r="C1985" s="79">
        <v>408</v>
      </c>
      <c r="D1985" s="80">
        <v>43334.490046296298</v>
      </c>
      <c r="E1985" s="81">
        <f t="shared" ca="1" si="14"/>
        <v>43313</v>
      </c>
      <c r="F1985" s="82">
        <f ca="1">IFERROR(__xludf.DUMMYFUNCTION("""COMPUTED_VALUE"""),0.490046296296296)</f>
        <v>0.49004629629629598</v>
      </c>
      <c r="G1985" s="83">
        <f t="shared" ca="1" si="15"/>
        <v>19</v>
      </c>
      <c r="H1985" s="83">
        <f ca="1">IFERROR(__xludf.DUMMYFUNCTION("""COMPUTED_VALUE"""),45)</f>
        <v>45</v>
      </c>
      <c r="I1985" s="83">
        <f ca="1">IFERROR(__xludf.DUMMYFUNCTION("""COMPUTED_VALUE"""),40)</f>
        <v>40</v>
      </c>
    </row>
    <row r="1986" spans="1:9">
      <c r="A1986" s="79">
        <v>290</v>
      </c>
      <c r="B1986" s="79">
        <v>6</v>
      </c>
      <c r="C1986" s="79">
        <v>296</v>
      </c>
      <c r="D1986" s="80">
        <v>43334.500451388885</v>
      </c>
      <c r="E1986" s="81">
        <f t="shared" ca="1" si="14"/>
        <v>43313</v>
      </c>
      <c r="F1986" s="82">
        <f ca="1">IFERROR(__xludf.DUMMYFUNCTION("""COMPUTED_VALUE"""),0.500451388888888)</f>
        <v>0.50045138888888796</v>
      </c>
      <c r="G1986" s="83">
        <f t="shared" ca="1" si="15"/>
        <v>19</v>
      </c>
      <c r="H1986" s="83">
        <f ca="1">IFERROR(__xludf.DUMMYFUNCTION("""COMPUTED_VALUE"""),0)</f>
        <v>0</v>
      </c>
      <c r="I1986" s="83">
        <f ca="1">IFERROR(__xludf.DUMMYFUNCTION("""COMPUTED_VALUE"""),39)</f>
        <v>39</v>
      </c>
    </row>
    <row r="1987" spans="1:9">
      <c r="A1987" s="79">
        <v>258</v>
      </c>
      <c r="B1987" s="79">
        <v>3</v>
      </c>
      <c r="C1987" s="79">
        <v>261</v>
      </c>
      <c r="D1987" s="80">
        <v>43334.510868055557</v>
      </c>
      <c r="E1987" s="81">
        <f t="shared" ca="1" si="14"/>
        <v>43313</v>
      </c>
      <c r="F1987" s="82">
        <f ca="1">IFERROR(__xludf.DUMMYFUNCTION("""COMPUTED_VALUE"""),0.510868055555555)</f>
        <v>0.51086805555555503</v>
      </c>
      <c r="G1987" s="83">
        <f t="shared" ca="1" si="15"/>
        <v>19</v>
      </c>
      <c r="H1987" s="83">
        <f ca="1">IFERROR(__xludf.DUMMYFUNCTION("""COMPUTED_VALUE"""),15)</f>
        <v>15</v>
      </c>
      <c r="I1987" s="83">
        <f ca="1">IFERROR(__xludf.DUMMYFUNCTION("""COMPUTED_VALUE"""),39)</f>
        <v>39</v>
      </c>
    </row>
    <row r="1988" spans="1:9">
      <c r="A1988" s="79">
        <v>260</v>
      </c>
      <c r="B1988" s="79">
        <v>0</v>
      </c>
      <c r="C1988" s="79">
        <v>256</v>
      </c>
      <c r="D1988" s="80">
        <v>43334.521284722221</v>
      </c>
      <c r="E1988" s="81">
        <f t="shared" ca="1" si="14"/>
        <v>43313</v>
      </c>
      <c r="F1988" s="82">
        <f ca="1">IFERROR(__xludf.DUMMYFUNCTION("""COMPUTED_VALUE"""),0.521284722222222)</f>
        <v>0.521284722222222</v>
      </c>
      <c r="G1988" s="83">
        <f t="shared" ca="1" si="15"/>
        <v>19</v>
      </c>
      <c r="H1988" s="83">
        <f ca="1">IFERROR(__xludf.DUMMYFUNCTION("""COMPUTED_VALUE"""),30)</f>
        <v>30</v>
      </c>
      <c r="I1988" s="83">
        <f ca="1">IFERROR(__xludf.DUMMYFUNCTION("""COMPUTED_VALUE"""),39)</f>
        <v>39</v>
      </c>
    </row>
    <row r="1989" spans="1:9">
      <c r="A1989" s="79">
        <v>283</v>
      </c>
      <c r="B1989" s="79">
        <v>4</v>
      </c>
      <c r="C1989" s="79">
        <v>287</v>
      </c>
      <c r="D1989" s="80">
        <v>43334.531701388885</v>
      </c>
      <c r="E1989" s="81">
        <f t="shared" ca="1" si="14"/>
        <v>43313</v>
      </c>
      <c r="F1989" s="82">
        <f ca="1">IFERROR(__xludf.DUMMYFUNCTION("""COMPUTED_VALUE"""),0.531701388888888)</f>
        <v>0.53170138888888796</v>
      </c>
      <c r="G1989" s="83">
        <f t="shared" ca="1" si="15"/>
        <v>19</v>
      </c>
      <c r="H1989" s="83">
        <f ca="1">IFERROR(__xludf.DUMMYFUNCTION("""COMPUTED_VALUE"""),45)</f>
        <v>45</v>
      </c>
      <c r="I1989" s="83">
        <f ca="1">IFERROR(__xludf.DUMMYFUNCTION("""COMPUTED_VALUE"""),39)</f>
        <v>39</v>
      </c>
    </row>
    <row r="1990" spans="1:9">
      <c r="A1990" s="79">
        <v>251</v>
      </c>
      <c r="B1990" s="79">
        <v>1</v>
      </c>
      <c r="C1990" s="79">
        <v>252</v>
      </c>
      <c r="D1990" s="80">
        <v>43334.542118055557</v>
      </c>
      <c r="E1990" s="81">
        <f t="shared" ca="1" si="14"/>
        <v>43313</v>
      </c>
      <c r="F1990" s="82">
        <f ca="1">IFERROR(__xludf.DUMMYFUNCTION("""COMPUTED_VALUE"""),0.542118055555555)</f>
        <v>0.54211805555555503</v>
      </c>
      <c r="G1990" s="83">
        <f t="shared" ca="1" si="15"/>
        <v>19</v>
      </c>
      <c r="H1990" s="83">
        <f ca="1">IFERROR(__xludf.DUMMYFUNCTION("""COMPUTED_VALUE"""),0)</f>
        <v>0</v>
      </c>
      <c r="I1990" s="83">
        <f ca="1">IFERROR(__xludf.DUMMYFUNCTION("""COMPUTED_VALUE"""),39)</f>
        <v>39</v>
      </c>
    </row>
    <row r="1991" spans="1:9">
      <c r="A1991" s="79">
        <v>264</v>
      </c>
      <c r="B1991" s="79">
        <v>1</v>
      </c>
      <c r="C1991" s="79">
        <v>265</v>
      </c>
      <c r="D1991" s="80">
        <v>43334.552546296298</v>
      </c>
      <c r="E1991" s="81">
        <f t="shared" ca="1" si="14"/>
        <v>43313</v>
      </c>
      <c r="F1991" s="82">
        <f ca="1">IFERROR(__xludf.DUMMYFUNCTION("""COMPUTED_VALUE"""),0.552546296296296)</f>
        <v>0.55254629629629604</v>
      </c>
      <c r="G1991" s="83">
        <f t="shared" ca="1" si="15"/>
        <v>19</v>
      </c>
      <c r="H1991" s="83">
        <f ca="1">IFERROR(__xludf.DUMMYFUNCTION("""COMPUTED_VALUE"""),15)</f>
        <v>15</v>
      </c>
      <c r="I1991" s="83">
        <f ca="1">IFERROR(__xludf.DUMMYFUNCTION("""COMPUTED_VALUE"""),40)</f>
        <v>40</v>
      </c>
    </row>
    <row r="1992" spans="1:9">
      <c r="A1992" s="79">
        <v>291</v>
      </c>
      <c r="B1992" s="79">
        <v>1</v>
      </c>
      <c r="C1992" s="79">
        <v>292</v>
      </c>
      <c r="D1992" s="80">
        <v>43334.562951388885</v>
      </c>
      <c r="E1992" s="81">
        <f t="shared" ca="1" si="14"/>
        <v>43313</v>
      </c>
      <c r="F1992" s="82">
        <f ca="1">IFERROR(__xludf.DUMMYFUNCTION("""COMPUTED_VALUE"""),0.562951388888888)</f>
        <v>0.56295138888888796</v>
      </c>
      <c r="G1992" s="83">
        <f t="shared" ca="1" si="15"/>
        <v>19</v>
      </c>
      <c r="H1992" s="83">
        <f ca="1">IFERROR(__xludf.DUMMYFUNCTION("""COMPUTED_VALUE"""),30)</f>
        <v>30</v>
      </c>
      <c r="I1992" s="83">
        <f ca="1">IFERROR(__xludf.DUMMYFUNCTION("""COMPUTED_VALUE"""),39)</f>
        <v>39</v>
      </c>
    </row>
    <row r="1993" spans="1:9">
      <c r="A1993" s="79">
        <v>302</v>
      </c>
      <c r="B1993" s="79">
        <v>2</v>
      </c>
      <c r="C1993" s="79">
        <v>304</v>
      </c>
      <c r="D1993" s="80">
        <v>43334.573391203703</v>
      </c>
      <c r="E1993" s="81">
        <f t="shared" ca="1" si="14"/>
        <v>43313</v>
      </c>
      <c r="F1993" s="82">
        <f ca="1">IFERROR(__xludf.DUMMYFUNCTION("""COMPUTED_VALUE"""),0.573391203703703)</f>
        <v>0.573391203703703</v>
      </c>
      <c r="G1993" s="83">
        <f t="shared" ca="1" si="15"/>
        <v>19</v>
      </c>
      <c r="H1993" s="83">
        <f ca="1">IFERROR(__xludf.DUMMYFUNCTION("""COMPUTED_VALUE"""),45)</f>
        <v>45</v>
      </c>
      <c r="I1993" s="83">
        <f ca="1">IFERROR(__xludf.DUMMYFUNCTION("""COMPUTED_VALUE"""),41)</f>
        <v>41</v>
      </c>
    </row>
    <row r="1994" spans="1:9">
      <c r="A1994" s="79">
        <v>273</v>
      </c>
      <c r="B1994" s="79">
        <v>4</v>
      </c>
      <c r="C1994" s="79">
        <v>277</v>
      </c>
      <c r="D1994" s="80">
        <v>43334.583784722221</v>
      </c>
      <c r="E1994" s="81">
        <f t="shared" ca="1" si="14"/>
        <v>43313</v>
      </c>
      <c r="F1994" s="82">
        <f ca="1">IFERROR(__xludf.DUMMYFUNCTION("""COMPUTED_VALUE"""),0.583784722222222)</f>
        <v>0.583784722222222</v>
      </c>
      <c r="G1994" s="83">
        <f t="shared" ca="1" si="15"/>
        <v>19</v>
      </c>
      <c r="H1994" s="83">
        <f ca="1">IFERROR(__xludf.DUMMYFUNCTION("""COMPUTED_VALUE"""),0)</f>
        <v>0</v>
      </c>
      <c r="I1994" s="83">
        <f ca="1">IFERROR(__xludf.DUMMYFUNCTION("""COMPUTED_VALUE"""),39)</f>
        <v>39</v>
      </c>
    </row>
    <row r="1995" spans="1:9">
      <c r="A1995" s="79">
        <v>276</v>
      </c>
      <c r="B1995" s="79">
        <v>2</v>
      </c>
      <c r="C1995" s="79">
        <v>278</v>
      </c>
      <c r="D1995" s="80">
        <v>43334.594212962962</v>
      </c>
      <c r="E1995" s="81">
        <f t="shared" ca="1" si="14"/>
        <v>43313</v>
      </c>
      <c r="F1995" s="82">
        <f ca="1">IFERROR(__xludf.DUMMYFUNCTION("""COMPUTED_VALUE"""),0.594212962962963)</f>
        <v>0.594212962962963</v>
      </c>
      <c r="G1995" s="83">
        <f t="shared" ca="1" si="15"/>
        <v>19</v>
      </c>
      <c r="H1995" s="83">
        <f ca="1">IFERROR(__xludf.DUMMYFUNCTION("""COMPUTED_VALUE"""),15)</f>
        <v>15</v>
      </c>
      <c r="I1995" s="83">
        <f ca="1">IFERROR(__xludf.DUMMYFUNCTION("""COMPUTED_VALUE"""),40)</f>
        <v>40</v>
      </c>
    </row>
    <row r="1996" spans="1:9">
      <c r="A1996" s="79">
        <v>275</v>
      </c>
      <c r="B1996" s="79">
        <v>1</v>
      </c>
      <c r="C1996" s="79">
        <v>276</v>
      </c>
      <c r="D1996" s="80">
        <v>43334.604618055557</v>
      </c>
      <c r="E1996" s="81">
        <f t="shared" ca="1" si="14"/>
        <v>43313</v>
      </c>
      <c r="F1996" s="82">
        <f ca="1">IFERROR(__xludf.DUMMYFUNCTION("""COMPUTED_VALUE"""),0.604618055555555)</f>
        <v>0.60461805555555503</v>
      </c>
      <c r="G1996" s="83">
        <f t="shared" ca="1" si="15"/>
        <v>19</v>
      </c>
      <c r="H1996" s="83">
        <f ca="1">IFERROR(__xludf.DUMMYFUNCTION("""COMPUTED_VALUE"""),30)</f>
        <v>30</v>
      </c>
      <c r="I1996" s="83">
        <f ca="1">IFERROR(__xludf.DUMMYFUNCTION("""COMPUTED_VALUE"""),39)</f>
        <v>39</v>
      </c>
    </row>
    <row r="1997" spans="1:9">
      <c r="A1997" s="79">
        <v>302</v>
      </c>
      <c r="B1997" s="79">
        <v>3</v>
      </c>
      <c r="C1997" s="79">
        <v>305</v>
      </c>
      <c r="D1997" s="80">
        <v>43334.615034722221</v>
      </c>
      <c r="E1997" s="81">
        <f t="shared" ca="1" si="14"/>
        <v>43313</v>
      </c>
      <c r="F1997" s="82">
        <f ca="1">IFERROR(__xludf.DUMMYFUNCTION("""COMPUTED_VALUE"""),0.615034722222222)</f>
        <v>0.615034722222222</v>
      </c>
      <c r="G1997" s="83">
        <f t="shared" ca="1" si="15"/>
        <v>19</v>
      </c>
      <c r="H1997" s="83">
        <f ca="1">IFERROR(__xludf.DUMMYFUNCTION("""COMPUTED_VALUE"""),45)</f>
        <v>45</v>
      </c>
      <c r="I1997" s="83">
        <f ca="1">IFERROR(__xludf.DUMMYFUNCTION("""COMPUTED_VALUE"""),39)</f>
        <v>39</v>
      </c>
    </row>
    <row r="1998" spans="1:9">
      <c r="A1998" s="79">
        <v>297</v>
      </c>
      <c r="B1998" s="79">
        <v>1</v>
      </c>
      <c r="C1998" s="79">
        <v>298</v>
      </c>
      <c r="D1998" s="80">
        <v>43334.625462962962</v>
      </c>
      <c r="E1998" s="81">
        <f t="shared" ca="1" si="14"/>
        <v>43313</v>
      </c>
      <c r="F1998" s="82">
        <f ca="1">IFERROR(__xludf.DUMMYFUNCTION("""COMPUTED_VALUE"""),0.625462962962963)</f>
        <v>0.625462962962963</v>
      </c>
      <c r="G1998" s="83">
        <f t="shared" ca="1" si="15"/>
        <v>19</v>
      </c>
      <c r="H1998" s="83">
        <f ca="1">IFERROR(__xludf.DUMMYFUNCTION("""COMPUTED_VALUE"""),0)</f>
        <v>0</v>
      </c>
      <c r="I1998" s="83">
        <f ca="1">IFERROR(__xludf.DUMMYFUNCTION("""COMPUTED_VALUE"""),40)</f>
        <v>40</v>
      </c>
    </row>
    <row r="1999" spans="1:9">
      <c r="A1999" s="79">
        <v>324</v>
      </c>
      <c r="B1999" s="79">
        <v>1</v>
      </c>
      <c r="C1999" s="79">
        <v>325</v>
      </c>
      <c r="D1999" s="80">
        <v>43334.635868055557</v>
      </c>
      <c r="E1999" s="81">
        <f t="shared" ca="1" si="14"/>
        <v>43313</v>
      </c>
      <c r="F1999" s="82">
        <f ca="1">IFERROR(__xludf.DUMMYFUNCTION("""COMPUTED_VALUE"""),0.635868055555555)</f>
        <v>0.63586805555555503</v>
      </c>
      <c r="G1999" s="83">
        <f t="shared" ca="1" si="15"/>
        <v>19</v>
      </c>
      <c r="H1999" s="83">
        <f ca="1">IFERROR(__xludf.DUMMYFUNCTION("""COMPUTED_VALUE"""),15)</f>
        <v>15</v>
      </c>
      <c r="I1999" s="83">
        <f ca="1">IFERROR(__xludf.DUMMYFUNCTION("""COMPUTED_VALUE"""),39)</f>
        <v>39</v>
      </c>
    </row>
    <row r="2000" spans="1:9">
      <c r="A2000" s="79">
        <v>304</v>
      </c>
      <c r="B2000" s="79">
        <v>7</v>
      </c>
      <c r="C2000" s="79">
        <v>311</v>
      </c>
      <c r="D2000" s="80">
        <v>43334.646284722221</v>
      </c>
      <c r="E2000" s="81">
        <f t="shared" ca="1" si="14"/>
        <v>43313</v>
      </c>
      <c r="F2000" s="82">
        <f ca="1">IFERROR(__xludf.DUMMYFUNCTION("""COMPUTED_VALUE"""),0.646284722222222)</f>
        <v>0.646284722222222</v>
      </c>
      <c r="G2000" s="83">
        <f t="shared" ca="1" si="15"/>
        <v>19</v>
      </c>
      <c r="H2000" s="83">
        <f ca="1">IFERROR(__xludf.DUMMYFUNCTION("""COMPUTED_VALUE"""),30)</f>
        <v>30</v>
      </c>
      <c r="I2000" s="83">
        <f ca="1">IFERROR(__xludf.DUMMYFUNCTION("""COMPUTED_VALUE"""),39)</f>
        <v>39</v>
      </c>
    </row>
    <row r="2001" spans="1:9">
      <c r="A2001" s="79">
        <v>371</v>
      </c>
      <c r="B2001" s="79">
        <v>5</v>
      </c>
      <c r="C2001" s="79">
        <v>375</v>
      </c>
      <c r="D2001" s="80">
        <v>43334.656701388885</v>
      </c>
      <c r="E2001" s="81">
        <f t="shared" ca="1" si="14"/>
        <v>43313</v>
      </c>
      <c r="F2001" s="82">
        <f ca="1">IFERROR(__xludf.DUMMYFUNCTION("""COMPUTED_VALUE"""),0.656701388888888)</f>
        <v>0.65670138888888796</v>
      </c>
      <c r="G2001" s="83">
        <f t="shared" ca="1" si="15"/>
        <v>19</v>
      </c>
      <c r="H2001" s="83">
        <f ca="1">IFERROR(__xludf.DUMMYFUNCTION("""COMPUTED_VALUE"""),45)</f>
        <v>45</v>
      </c>
      <c r="I2001" s="83">
        <f ca="1">IFERROR(__xludf.DUMMYFUNCTION("""COMPUTED_VALUE"""),39)</f>
        <v>39</v>
      </c>
    </row>
    <row r="2002" spans="1:9">
      <c r="A2002" s="79">
        <v>338</v>
      </c>
      <c r="B2002" s="79">
        <v>5</v>
      </c>
      <c r="C2002" s="79">
        <v>342</v>
      </c>
      <c r="D2002" s="80">
        <v>43334.667129629626</v>
      </c>
      <c r="E2002" s="81">
        <f t="shared" ca="1" si="14"/>
        <v>43313</v>
      </c>
      <c r="F2002" s="82">
        <f ca="1">IFERROR(__xludf.DUMMYFUNCTION("""COMPUTED_VALUE"""),0.667129629629629)</f>
        <v>0.66712962962962896</v>
      </c>
      <c r="G2002" s="83">
        <f t="shared" ca="1" si="15"/>
        <v>19</v>
      </c>
      <c r="H2002" s="83">
        <f ca="1">IFERROR(__xludf.DUMMYFUNCTION("""COMPUTED_VALUE"""),0)</f>
        <v>0</v>
      </c>
      <c r="I2002" s="83">
        <f ca="1">IFERROR(__xludf.DUMMYFUNCTION("""COMPUTED_VALUE"""),40)</f>
        <v>40</v>
      </c>
    </row>
    <row r="2003" spans="1:9">
      <c r="A2003" s="79">
        <v>424</v>
      </c>
      <c r="B2003" s="79">
        <v>4</v>
      </c>
      <c r="C2003" s="79">
        <v>428</v>
      </c>
      <c r="D2003" s="80">
        <v>43334.677581018521</v>
      </c>
      <c r="E2003" s="81">
        <f t="shared" ca="1" si="14"/>
        <v>43313</v>
      </c>
      <c r="F2003" s="82">
        <f ca="1">IFERROR(__xludf.DUMMYFUNCTION("""COMPUTED_VALUE"""),0.677581018518518)</f>
        <v>0.67758101851851804</v>
      </c>
      <c r="G2003" s="83">
        <f t="shared" ca="1" si="15"/>
        <v>19</v>
      </c>
      <c r="H2003" s="83">
        <f ca="1">IFERROR(__xludf.DUMMYFUNCTION("""COMPUTED_VALUE"""),15)</f>
        <v>15</v>
      </c>
      <c r="I2003" s="83">
        <f ca="1">IFERROR(__xludf.DUMMYFUNCTION("""COMPUTED_VALUE"""),43)</f>
        <v>43</v>
      </c>
    </row>
    <row r="2004" spans="1:9">
      <c r="A2004" s="79">
        <v>371</v>
      </c>
      <c r="B2004" s="79">
        <v>4</v>
      </c>
      <c r="C2004" s="79">
        <v>375</v>
      </c>
      <c r="D2004" s="80">
        <v>43334.687986111108</v>
      </c>
      <c r="E2004" s="81">
        <f t="shared" ca="1" si="14"/>
        <v>43313</v>
      </c>
      <c r="F2004" s="82">
        <f ca="1">IFERROR(__xludf.DUMMYFUNCTION("""COMPUTED_VALUE"""),0.687986111111111)</f>
        <v>0.68798611111111097</v>
      </c>
      <c r="G2004" s="83">
        <f t="shared" ca="1" si="15"/>
        <v>19</v>
      </c>
      <c r="H2004" s="83">
        <f ca="1">IFERROR(__xludf.DUMMYFUNCTION("""COMPUTED_VALUE"""),30)</f>
        <v>30</v>
      </c>
      <c r="I2004" s="83">
        <f ca="1">IFERROR(__xludf.DUMMYFUNCTION("""COMPUTED_VALUE"""),42)</f>
        <v>42</v>
      </c>
    </row>
    <row r="2005" spans="1:9">
      <c r="A2005" s="79">
        <v>410</v>
      </c>
      <c r="B2005" s="79">
        <v>3</v>
      </c>
      <c r="C2005" s="79">
        <v>413</v>
      </c>
      <c r="D2005" s="80">
        <v>43334.698414351849</v>
      </c>
      <c r="E2005" s="81">
        <f t="shared" ca="1" si="14"/>
        <v>43313</v>
      </c>
      <c r="F2005" s="82">
        <f ca="1">IFERROR(__xludf.DUMMYFUNCTION("""COMPUTED_VALUE"""),0.698414351851851)</f>
        <v>0.69841435185185097</v>
      </c>
      <c r="G2005" s="83">
        <f t="shared" ca="1" si="15"/>
        <v>19</v>
      </c>
      <c r="H2005" s="83">
        <f ca="1">IFERROR(__xludf.DUMMYFUNCTION("""COMPUTED_VALUE"""),45)</f>
        <v>45</v>
      </c>
      <c r="I2005" s="83">
        <f ca="1">IFERROR(__xludf.DUMMYFUNCTION("""COMPUTED_VALUE"""),43)</f>
        <v>43</v>
      </c>
    </row>
    <row r="2006" spans="1:9">
      <c r="A2006" s="79">
        <v>376</v>
      </c>
      <c r="B2006" s="79">
        <v>5</v>
      </c>
      <c r="C2006" s="79">
        <v>381</v>
      </c>
      <c r="D2006" s="80">
        <v>43334.708819444444</v>
      </c>
      <c r="E2006" s="81">
        <f t="shared" ca="1" si="14"/>
        <v>43313</v>
      </c>
      <c r="F2006" s="82">
        <f ca="1">IFERROR(__xludf.DUMMYFUNCTION("""COMPUTED_VALUE"""),0.708819444444444)</f>
        <v>0.708819444444444</v>
      </c>
      <c r="G2006" s="83">
        <f t="shared" ca="1" si="15"/>
        <v>19</v>
      </c>
      <c r="H2006" s="83">
        <f ca="1">IFERROR(__xludf.DUMMYFUNCTION("""COMPUTED_VALUE"""),0)</f>
        <v>0</v>
      </c>
      <c r="I2006" s="83">
        <f ca="1">IFERROR(__xludf.DUMMYFUNCTION("""COMPUTED_VALUE"""),42)</f>
        <v>42</v>
      </c>
    </row>
    <row r="2007" spans="1:9">
      <c r="A2007" s="79">
        <v>582</v>
      </c>
      <c r="B2007" s="79">
        <v>10</v>
      </c>
      <c r="C2007" s="79">
        <v>584</v>
      </c>
      <c r="D2007" s="80">
        <v>43334.719247685185</v>
      </c>
      <c r="E2007" s="81">
        <f t="shared" ca="1" si="14"/>
        <v>43313</v>
      </c>
      <c r="F2007" s="82">
        <f ca="1">IFERROR(__xludf.DUMMYFUNCTION("""COMPUTED_VALUE"""),0.719247685185185)</f>
        <v>0.719247685185185</v>
      </c>
      <c r="G2007" s="83">
        <f t="shared" ca="1" si="15"/>
        <v>19</v>
      </c>
      <c r="H2007" s="83">
        <f ca="1">IFERROR(__xludf.DUMMYFUNCTION("""COMPUTED_VALUE"""),15)</f>
        <v>15</v>
      </c>
      <c r="I2007" s="83">
        <f ca="1">IFERROR(__xludf.DUMMYFUNCTION("""COMPUTED_VALUE"""),43)</f>
        <v>43</v>
      </c>
    </row>
    <row r="2008" spans="1:9">
      <c r="A2008" s="79">
        <v>452</v>
      </c>
      <c r="B2008" s="79">
        <v>8</v>
      </c>
      <c r="C2008" s="79">
        <v>460</v>
      </c>
      <c r="D2008" s="80">
        <v>43334.72965277778</v>
      </c>
      <c r="E2008" s="81">
        <f t="shared" ca="1" si="14"/>
        <v>43313</v>
      </c>
      <c r="F2008" s="82">
        <f ca="1">IFERROR(__xludf.DUMMYFUNCTION("""COMPUTED_VALUE"""),0.729652777777777)</f>
        <v>0.72965277777777704</v>
      </c>
      <c r="G2008" s="83">
        <f t="shared" ca="1" si="15"/>
        <v>19</v>
      </c>
      <c r="H2008" s="83">
        <f ca="1">IFERROR(__xludf.DUMMYFUNCTION("""COMPUTED_VALUE"""),30)</f>
        <v>30</v>
      </c>
      <c r="I2008" s="83">
        <f ca="1">IFERROR(__xludf.DUMMYFUNCTION("""COMPUTED_VALUE"""),42)</f>
        <v>42</v>
      </c>
    </row>
    <row r="2009" spans="1:9">
      <c r="A2009" s="79">
        <v>426</v>
      </c>
      <c r="B2009" s="79">
        <v>2</v>
      </c>
      <c r="C2009" s="79">
        <v>428</v>
      </c>
      <c r="D2009" s="80">
        <v>43334.743032407408</v>
      </c>
      <c r="E2009" s="81">
        <f t="shared" ca="1" si="14"/>
        <v>43313</v>
      </c>
      <c r="F2009" s="82">
        <f ca="1">IFERROR(__xludf.DUMMYFUNCTION("""COMPUTED_VALUE"""),0.743032407407407)</f>
        <v>0.74303240740740695</v>
      </c>
      <c r="G2009" s="83">
        <f t="shared" ca="1" si="15"/>
        <v>19</v>
      </c>
      <c r="H2009" s="83">
        <f ca="1">IFERROR(__xludf.DUMMYFUNCTION("""COMPUTED_VALUE"""),49)</f>
        <v>49</v>
      </c>
      <c r="I2009" s="83">
        <f ca="1">IFERROR(__xludf.DUMMYFUNCTION("""COMPUTED_VALUE"""),58)</f>
        <v>58</v>
      </c>
    </row>
    <row r="2010" spans="1:9">
      <c r="A2010" s="79">
        <v>380</v>
      </c>
      <c r="B2010" s="79">
        <v>3</v>
      </c>
      <c r="C2010" s="79">
        <v>383</v>
      </c>
      <c r="D2010" s="80">
        <v>43334.750497685185</v>
      </c>
      <c r="E2010" s="81">
        <f t="shared" ca="1" si="14"/>
        <v>43313</v>
      </c>
      <c r="F2010" s="82">
        <f ca="1">IFERROR(__xludf.DUMMYFUNCTION("""COMPUTED_VALUE"""),0.750497685185185)</f>
        <v>0.750497685185185</v>
      </c>
      <c r="G2010" s="83">
        <f t="shared" ca="1" si="15"/>
        <v>19</v>
      </c>
      <c r="H2010" s="83">
        <f ca="1">IFERROR(__xludf.DUMMYFUNCTION("""COMPUTED_VALUE"""),0)</f>
        <v>0</v>
      </c>
      <c r="I2010" s="83">
        <f ca="1">IFERROR(__xludf.DUMMYFUNCTION("""COMPUTED_VALUE"""),43)</f>
        <v>43</v>
      </c>
    </row>
    <row r="2011" spans="1:9">
      <c r="A2011" s="79">
        <v>434</v>
      </c>
      <c r="B2011" s="79">
        <v>6</v>
      </c>
      <c r="C2011" s="79">
        <v>440</v>
      </c>
      <c r="D2011" s="80">
        <v>43334.760891203703</v>
      </c>
      <c r="E2011" s="81">
        <f t="shared" ca="1" si="14"/>
        <v>43313</v>
      </c>
      <c r="F2011" s="82">
        <f ca="1">IFERROR(__xludf.DUMMYFUNCTION("""COMPUTED_VALUE"""),0.760891203703703)</f>
        <v>0.760891203703703</v>
      </c>
      <c r="G2011" s="83">
        <f t="shared" ca="1" si="15"/>
        <v>19</v>
      </c>
      <c r="H2011" s="83">
        <f ca="1">IFERROR(__xludf.DUMMYFUNCTION("""COMPUTED_VALUE"""),15)</f>
        <v>15</v>
      </c>
      <c r="I2011" s="83">
        <f ca="1">IFERROR(__xludf.DUMMYFUNCTION("""COMPUTED_VALUE"""),41)</f>
        <v>41</v>
      </c>
    </row>
    <row r="2012" spans="1:9">
      <c r="A2012" s="79">
        <v>434</v>
      </c>
      <c r="B2012" s="79">
        <v>5</v>
      </c>
      <c r="C2012" s="79">
        <v>439</v>
      </c>
      <c r="D2012" s="80">
        <v>43334.771319444444</v>
      </c>
      <c r="E2012" s="81">
        <f t="shared" ca="1" si="14"/>
        <v>43313</v>
      </c>
      <c r="F2012" s="82">
        <f ca="1">IFERROR(__xludf.DUMMYFUNCTION("""COMPUTED_VALUE"""),0.771319444444444)</f>
        <v>0.771319444444444</v>
      </c>
      <c r="G2012" s="83">
        <f t="shared" ca="1" si="15"/>
        <v>19</v>
      </c>
      <c r="H2012" s="83">
        <f ca="1">IFERROR(__xludf.DUMMYFUNCTION("""COMPUTED_VALUE"""),30)</f>
        <v>30</v>
      </c>
      <c r="I2012" s="83">
        <f ca="1">IFERROR(__xludf.DUMMYFUNCTION("""COMPUTED_VALUE"""),42)</f>
        <v>42</v>
      </c>
    </row>
    <row r="2013" spans="1:9">
      <c r="A2013" s="79">
        <v>450</v>
      </c>
      <c r="B2013" s="79">
        <v>6</v>
      </c>
      <c r="C2013" s="79">
        <v>456</v>
      </c>
      <c r="D2013" s="80">
        <v>43334.781736111108</v>
      </c>
      <c r="E2013" s="81">
        <f t="shared" ca="1" si="14"/>
        <v>43313</v>
      </c>
      <c r="F2013" s="82">
        <f ca="1">IFERROR(__xludf.DUMMYFUNCTION("""COMPUTED_VALUE"""),0.781736111111111)</f>
        <v>0.78173611111111097</v>
      </c>
      <c r="G2013" s="83">
        <f t="shared" ca="1" si="15"/>
        <v>19</v>
      </c>
      <c r="H2013" s="83">
        <f ca="1">IFERROR(__xludf.DUMMYFUNCTION("""COMPUTED_VALUE"""),45)</f>
        <v>45</v>
      </c>
      <c r="I2013" s="83">
        <f ca="1">IFERROR(__xludf.DUMMYFUNCTION("""COMPUTED_VALUE"""),42)</f>
        <v>42</v>
      </c>
    </row>
    <row r="2014" spans="1:9">
      <c r="A2014" s="79">
        <v>427</v>
      </c>
      <c r="B2014" s="79">
        <v>3</v>
      </c>
      <c r="C2014" s="79">
        <v>430</v>
      </c>
      <c r="D2014" s="80">
        <v>43334.792141203703</v>
      </c>
      <c r="E2014" s="81">
        <f t="shared" ca="1" si="14"/>
        <v>43313</v>
      </c>
      <c r="F2014" s="82">
        <f ca="1">IFERROR(__xludf.DUMMYFUNCTION("""COMPUTED_VALUE"""),0.792141203703703)</f>
        <v>0.792141203703703</v>
      </c>
      <c r="G2014" s="83">
        <f t="shared" ca="1" si="15"/>
        <v>19</v>
      </c>
      <c r="H2014" s="83">
        <f ca="1">IFERROR(__xludf.DUMMYFUNCTION("""COMPUTED_VALUE"""),0)</f>
        <v>0</v>
      </c>
      <c r="I2014" s="83">
        <f ca="1">IFERROR(__xludf.DUMMYFUNCTION("""COMPUTED_VALUE"""),41)</f>
        <v>41</v>
      </c>
    </row>
    <row r="2015" spans="1:9">
      <c r="A2015" s="79">
        <v>502</v>
      </c>
      <c r="B2015" s="79">
        <v>12</v>
      </c>
      <c r="C2015" s="79">
        <v>514</v>
      </c>
      <c r="D2015" s="80">
        <v>43334.802557870367</v>
      </c>
      <c r="E2015" s="81">
        <f t="shared" ca="1" si="14"/>
        <v>43313</v>
      </c>
      <c r="F2015" s="82">
        <f ca="1">IFERROR(__xludf.DUMMYFUNCTION("""COMPUTED_VALUE"""),0.80255787037037)</f>
        <v>0.80255787037036996</v>
      </c>
      <c r="G2015" s="83">
        <f t="shared" ca="1" si="15"/>
        <v>19</v>
      </c>
      <c r="H2015" s="83">
        <f ca="1">IFERROR(__xludf.DUMMYFUNCTION("""COMPUTED_VALUE"""),15)</f>
        <v>15</v>
      </c>
      <c r="I2015" s="83">
        <f ca="1">IFERROR(__xludf.DUMMYFUNCTION("""COMPUTED_VALUE"""),41)</f>
        <v>41</v>
      </c>
    </row>
    <row r="2016" spans="1:9">
      <c r="A2016" s="79">
        <v>501</v>
      </c>
      <c r="B2016" s="79">
        <v>8</v>
      </c>
      <c r="C2016" s="79">
        <v>509</v>
      </c>
      <c r="D2016" s="80">
        <v>43334.812974537039</v>
      </c>
      <c r="E2016" s="81">
        <f t="shared" ca="1" si="14"/>
        <v>43313</v>
      </c>
      <c r="F2016" s="82">
        <f ca="1">IFERROR(__xludf.DUMMYFUNCTION("""COMPUTED_VALUE"""),0.812974537037037)</f>
        <v>0.81297453703703704</v>
      </c>
      <c r="G2016" s="83">
        <f t="shared" ca="1" si="15"/>
        <v>19</v>
      </c>
      <c r="H2016" s="83">
        <f ca="1">IFERROR(__xludf.DUMMYFUNCTION("""COMPUTED_VALUE"""),30)</f>
        <v>30</v>
      </c>
      <c r="I2016" s="83">
        <f ca="1">IFERROR(__xludf.DUMMYFUNCTION("""COMPUTED_VALUE"""),41)</f>
        <v>41</v>
      </c>
    </row>
    <row r="2017" spans="1:9">
      <c r="A2017" s="79">
        <v>592</v>
      </c>
      <c r="B2017" s="79">
        <v>6</v>
      </c>
      <c r="C2017" s="79">
        <v>598</v>
      </c>
      <c r="D2017" s="80">
        <v>43334.823391203703</v>
      </c>
      <c r="E2017" s="81">
        <f t="shared" ca="1" si="14"/>
        <v>43313</v>
      </c>
      <c r="F2017" s="82">
        <f ca="1">IFERROR(__xludf.DUMMYFUNCTION("""COMPUTED_VALUE"""),0.823391203703703)</f>
        <v>0.823391203703703</v>
      </c>
      <c r="G2017" s="83">
        <f t="shared" ca="1" si="15"/>
        <v>19</v>
      </c>
      <c r="H2017" s="83">
        <f ca="1">IFERROR(__xludf.DUMMYFUNCTION("""COMPUTED_VALUE"""),45)</f>
        <v>45</v>
      </c>
      <c r="I2017" s="83">
        <f ca="1">IFERROR(__xludf.DUMMYFUNCTION("""COMPUTED_VALUE"""),41)</f>
        <v>41</v>
      </c>
    </row>
    <row r="2018" spans="1:9">
      <c r="A2018" s="79">
        <v>590</v>
      </c>
      <c r="B2018" s="79">
        <v>13</v>
      </c>
      <c r="C2018" s="79">
        <v>603</v>
      </c>
      <c r="D2018" s="80">
        <v>43334.833819444444</v>
      </c>
      <c r="E2018" s="81">
        <f t="shared" ca="1" si="14"/>
        <v>43313</v>
      </c>
      <c r="F2018" s="82">
        <f ca="1">IFERROR(__xludf.DUMMYFUNCTION("""COMPUTED_VALUE"""),0.833819444444444)</f>
        <v>0.833819444444444</v>
      </c>
      <c r="G2018" s="83">
        <f t="shared" ca="1" si="15"/>
        <v>19</v>
      </c>
      <c r="H2018" s="83">
        <f ca="1">IFERROR(__xludf.DUMMYFUNCTION("""COMPUTED_VALUE"""),0)</f>
        <v>0</v>
      </c>
      <c r="I2018" s="83">
        <f ca="1">IFERROR(__xludf.DUMMYFUNCTION("""COMPUTED_VALUE"""),42)</f>
        <v>42</v>
      </c>
    </row>
    <row r="2019" spans="1:9">
      <c r="A2019" s="79">
        <v>756</v>
      </c>
      <c r="B2019" s="79">
        <v>18</v>
      </c>
      <c r="C2019" s="79">
        <v>774</v>
      </c>
      <c r="D2019" s="80">
        <v>43334.844224537039</v>
      </c>
      <c r="E2019" s="81">
        <f t="shared" ca="1" si="14"/>
        <v>43313</v>
      </c>
      <c r="F2019" s="82">
        <f ca="1">IFERROR(__xludf.DUMMYFUNCTION("""COMPUTED_VALUE"""),0.844224537037037)</f>
        <v>0.84422453703703704</v>
      </c>
      <c r="G2019" s="83">
        <f t="shared" ca="1" si="15"/>
        <v>19</v>
      </c>
      <c r="H2019" s="83">
        <f ca="1">IFERROR(__xludf.DUMMYFUNCTION("""COMPUTED_VALUE"""),15)</f>
        <v>15</v>
      </c>
      <c r="I2019" s="83">
        <f ca="1">IFERROR(__xludf.DUMMYFUNCTION("""COMPUTED_VALUE"""),41)</f>
        <v>41</v>
      </c>
    </row>
    <row r="2020" spans="1:9">
      <c r="A2020" s="79">
        <v>761</v>
      </c>
      <c r="B2020" s="79">
        <v>8</v>
      </c>
      <c r="C2020" s="79">
        <v>769</v>
      </c>
      <c r="D2020" s="80">
        <v>43334.854641203703</v>
      </c>
      <c r="E2020" s="81">
        <f t="shared" ca="1" si="14"/>
        <v>43313</v>
      </c>
      <c r="F2020" s="82">
        <f ca="1">IFERROR(__xludf.DUMMYFUNCTION("""COMPUTED_VALUE"""),0.854641203703703)</f>
        <v>0.854641203703703</v>
      </c>
      <c r="G2020" s="83">
        <f t="shared" ca="1" si="15"/>
        <v>19</v>
      </c>
      <c r="H2020" s="83">
        <f ca="1">IFERROR(__xludf.DUMMYFUNCTION("""COMPUTED_VALUE"""),30)</f>
        <v>30</v>
      </c>
      <c r="I2020" s="83">
        <f ca="1">IFERROR(__xludf.DUMMYFUNCTION("""COMPUTED_VALUE"""),41)</f>
        <v>41</v>
      </c>
    </row>
    <row r="2021" spans="1:9">
      <c r="A2021" s="79">
        <v>757</v>
      </c>
      <c r="B2021" s="79">
        <v>4</v>
      </c>
      <c r="C2021" s="79">
        <v>761</v>
      </c>
      <c r="D2021" s="80">
        <v>43334.865057870367</v>
      </c>
      <c r="E2021" s="81">
        <f t="shared" ca="1" si="14"/>
        <v>43313</v>
      </c>
      <c r="F2021" s="82">
        <f ca="1">IFERROR(__xludf.DUMMYFUNCTION("""COMPUTED_VALUE"""),0.86505787037037)</f>
        <v>0.86505787037036996</v>
      </c>
      <c r="G2021" s="83">
        <f t="shared" ca="1" si="15"/>
        <v>19</v>
      </c>
      <c r="H2021" s="83">
        <f ca="1">IFERROR(__xludf.DUMMYFUNCTION("""COMPUTED_VALUE"""),45)</f>
        <v>45</v>
      </c>
      <c r="I2021" s="83">
        <f ca="1">IFERROR(__xludf.DUMMYFUNCTION("""COMPUTED_VALUE"""),41)</f>
        <v>41</v>
      </c>
    </row>
    <row r="2022" spans="1:9">
      <c r="A2022" s="79">
        <v>654</v>
      </c>
      <c r="B2022" s="79">
        <v>5</v>
      </c>
      <c r="C2022" s="79">
        <v>659</v>
      </c>
      <c r="D2022" s="80">
        <v>43334.875462962962</v>
      </c>
      <c r="E2022" s="81">
        <f t="shared" ca="1" si="14"/>
        <v>43313</v>
      </c>
      <c r="F2022" s="82">
        <f ca="1">IFERROR(__xludf.DUMMYFUNCTION("""COMPUTED_VALUE"""),0.875462962962963)</f>
        <v>0.875462962962963</v>
      </c>
      <c r="G2022" s="83">
        <f t="shared" ca="1" si="15"/>
        <v>19</v>
      </c>
      <c r="H2022" s="83">
        <f ca="1">IFERROR(__xludf.DUMMYFUNCTION("""COMPUTED_VALUE"""),0)</f>
        <v>0</v>
      </c>
      <c r="I2022" s="83">
        <f ca="1">IFERROR(__xludf.DUMMYFUNCTION("""COMPUTED_VALUE"""),40)</f>
        <v>40</v>
      </c>
    </row>
    <row r="2023" spans="1:9">
      <c r="A2023" s="79">
        <v>722</v>
      </c>
      <c r="B2023" s="79">
        <v>8</v>
      </c>
      <c r="C2023" s="79">
        <v>730</v>
      </c>
      <c r="D2023" s="80">
        <v>43334.885891203703</v>
      </c>
      <c r="E2023" s="81">
        <f t="shared" ca="1" si="14"/>
        <v>43313</v>
      </c>
      <c r="F2023" s="82">
        <f ca="1">IFERROR(__xludf.DUMMYFUNCTION("""COMPUTED_VALUE"""),0.885891203703703)</f>
        <v>0.885891203703703</v>
      </c>
      <c r="G2023" s="83">
        <f t="shared" ca="1" si="15"/>
        <v>19</v>
      </c>
      <c r="H2023" s="83">
        <f ca="1">IFERROR(__xludf.DUMMYFUNCTION("""COMPUTED_VALUE"""),15)</f>
        <v>15</v>
      </c>
      <c r="I2023" s="83">
        <f ca="1">IFERROR(__xludf.DUMMYFUNCTION("""COMPUTED_VALUE"""),41)</f>
        <v>41</v>
      </c>
    </row>
    <row r="2024" spans="1:9">
      <c r="A2024" s="79">
        <v>648</v>
      </c>
      <c r="B2024" s="79">
        <v>6</v>
      </c>
      <c r="C2024" s="79">
        <v>654</v>
      </c>
      <c r="D2024" s="80">
        <v>43334.896296296298</v>
      </c>
      <c r="E2024" s="81">
        <f t="shared" ca="1" si="14"/>
        <v>43313</v>
      </c>
      <c r="F2024" s="82">
        <f ca="1">IFERROR(__xludf.DUMMYFUNCTION("""COMPUTED_VALUE"""),0.896296296296296)</f>
        <v>0.89629629629629604</v>
      </c>
      <c r="G2024" s="83">
        <f t="shared" ca="1" si="15"/>
        <v>19</v>
      </c>
      <c r="H2024" s="83">
        <f ca="1">IFERROR(__xludf.DUMMYFUNCTION("""COMPUTED_VALUE"""),30)</f>
        <v>30</v>
      </c>
      <c r="I2024" s="83">
        <f ca="1">IFERROR(__xludf.DUMMYFUNCTION("""COMPUTED_VALUE"""),40)</f>
        <v>40</v>
      </c>
    </row>
    <row r="2025" spans="1:9">
      <c r="A2025" s="79">
        <v>666</v>
      </c>
      <c r="B2025" s="79">
        <v>2</v>
      </c>
      <c r="C2025" s="79">
        <v>668</v>
      </c>
      <c r="D2025" s="80">
        <v>43334.906724537039</v>
      </c>
      <c r="E2025" s="81">
        <f t="shared" ca="1" si="14"/>
        <v>43313</v>
      </c>
      <c r="F2025" s="82">
        <f ca="1">IFERROR(__xludf.DUMMYFUNCTION("""COMPUTED_VALUE"""),0.906724537037037)</f>
        <v>0.90672453703703704</v>
      </c>
      <c r="G2025" s="83">
        <f t="shared" ca="1" si="15"/>
        <v>19</v>
      </c>
      <c r="H2025" s="83">
        <f ca="1">IFERROR(__xludf.DUMMYFUNCTION("""COMPUTED_VALUE"""),45)</f>
        <v>45</v>
      </c>
      <c r="I2025" s="83">
        <f ca="1">IFERROR(__xludf.DUMMYFUNCTION("""COMPUTED_VALUE"""),41)</f>
        <v>41</v>
      </c>
    </row>
    <row r="2026" spans="1:9">
      <c r="A2026" s="79">
        <v>577</v>
      </c>
      <c r="B2026" s="79">
        <v>4</v>
      </c>
      <c r="C2026" s="79">
        <v>581</v>
      </c>
      <c r="D2026" s="80">
        <v>43334.91715277778</v>
      </c>
      <c r="E2026" s="81">
        <f t="shared" ca="1" si="14"/>
        <v>43313</v>
      </c>
      <c r="F2026" s="82">
        <f ca="1">IFERROR(__xludf.DUMMYFUNCTION("""COMPUTED_VALUE"""),0.917152777777777)</f>
        <v>0.91715277777777704</v>
      </c>
      <c r="G2026" s="83">
        <f t="shared" ca="1" si="15"/>
        <v>19</v>
      </c>
      <c r="H2026" s="83">
        <f ca="1">IFERROR(__xludf.DUMMYFUNCTION("""COMPUTED_VALUE"""),0)</f>
        <v>0</v>
      </c>
      <c r="I2026" s="83">
        <f ca="1">IFERROR(__xludf.DUMMYFUNCTION("""COMPUTED_VALUE"""),42)</f>
        <v>42</v>
      </c>
    </row>
    <row r="2027" spans="1:9">
      <c r="A2027" s="79">
        <v>639</v>
      </c>
      <c r="B2027" s="79">
        <v>3</v>
      </c>
      <c r="C2027" s="79">
        <v>642</v>
      </c>
      <c r="D2027" s="80">
        <v>43334.927557870367</v>
      </c>
      <c r="E2027" s="81">
        <f t="shared" ca="1" si="14"/>
        <v>43313</v>
      </c>
      <c r="F2027" s="82">
        <f ca="1">IFERROR(__xludf.DUMMYFUNCTION("""COMPUTED_VALUE"""),0.92755787037037)</f>
        <v>0.92755787037036996</v>
      </c>
      <c r="G2027" s="83">
        <f t="shared" ca="1" si="15"/>
        <v>19</v>
      </c>
      <c r="H2027" s="83">
        <f ca="1">IFERROR(__xludf.DUMMYFUNCTION("""COMPUTED_VALUE"""),15)</f>
        <v>15</v>
      </c>
      <c r="I2027" s="83">
        <f ca="1">IFERROR(__xludf.DUMMYFUNCTION("""COMPUTED_VALUE"""),41)</f>
        <v>41</v>
      </c>
    </row>
    <row r="2028" spans="1:9">
      <c r="A2028" s="79">
        <v>584</v>
      </c>
      <c r="B2028" s="79">
        <v>3</v>
      </c>
      <c r="C2028" s="79">
        <v>587</v>
      </c>
      <c r="D2028" s="80">
        <v>43334.937974537039</v>
      </c>
      <c r="E2028" s="81">
        <f t="shared" ca="1" si="14"/>
        <v>43313</v>
      </c>
      <c r="F2028" s="82">
        <f ca="1">IFERROR(__xludf.DUMMYFUNCTION("""COMPUTED_VALUE"""),0.937974537037037)</f>
        <v>0.93797453703703704</v>
      </c>
      <c r="G2028" s="83">
        <f t="shared" ca="1" si="15"/>
        <v>19</v>
      </c>
      <c r="H2028" s="83">
        <f ca="1">IFERROR(__xludf.DUMMYFUNCTION("""COMPUTED_VALUE"""),30)</f>
        <v>30</v>
      </c>
      <c r="I2028" s="83">
        <f ca="1">IFERROR(__xludf.DUMMYFUNCTION("""COMPUTED_VALUE"""),41)</f>
        <v>41</v>
      </c>
    </row>
    <row r="2029" spans="1:9">
      <c r="A2029" s="79">
        <v>526</v>
      </c>
      <c r="B2029" s="79">
        <v>3</v>
      </c>
      <c r="C2029" s="79">
        <v>529</v>
      </c>
      <c r="D2029" s="80">
        <v>43334.948391203703</v>
      </c>
      <c r="E2029" s="81">
        <f t="shared" ca="1" si="14"/>
        <v>43313</v>
      </c>
      <c r="F2029" s="82">
        <f ca="1">IFERROR(__xludf.DUMMYFUNCTION("""COMPUTED_VALUE"""),0.948391203703703)</f>
        <v>0.948391203703703</v>
      </c>
      <c r="G2029" s="83">
        <f t="shared" ca="1" si="15"/>
        <v>19</v>
      </c>
      <c r="H2029" s="83">
        <f ca="1">IFERROR(__xludf.DUMMYFUNCTION("""COMPUTED_VALUE"""),45)</f>
        <v>45</v>
      </c>
      <c r="I2029" s="83">
        <f ca="1">IFERROR(__xludf.DUMMYFUNCTION("""COMPUTED_VALUE"""),41)</f>
        <v>41</v>
      </c>
    </row>
    <row r="2030" spans="1:9">
      <c r="A2030" s="79">
        <v>511</v>
      </c>
      <c r="B2030" s="79">
        <v>2</v>
      </c>
      <c r="C2030" s="79">
        <v>513</v>
      </c>
      <c r="D2030" s="80">
        <v>43334.958807870367</v>
      </c>
      <c r="E2030" s="81">
        <f t="shared" ca="1" si="14"/>
        <v>43313</v>
      </c>
      <c r="F2030" s="82">
        <f ca="1">IFERROR(__xludf.DUMMYFUNCTION("""COMPUTED_VALUE"""),0.95880787037037)</f>
        <v>0.95880787037036996</v>
      </c>
      <c r="G2030" s="83">
        <f t="shared" ca="1" si="15"/>
        <v>19</v>
      </c>
      <c r="H2030" s="83">
        <f ca="1">IFERROR(__xludf.DUMMYFUNCTION("""COMPUTED_VALUE"""),0)</f>
        <v>0</v>
      </c>
      <c r="I2030" s="83">
        <f ca="1">IFERROR(__xludf.DUMMYFUNCTION("""COMPUTED_VALUE"""),41)</f>
        <v>41</v>
      </c>
    </row>
    <row r="2031" spans="1:9">
      <c r="A2031" s="79">
        <v>490</v>
      </c>
      <c r="B2031" s="79">
        <v>6</v>
      </c>
      <c r="C2031" s="79">
        <v>496</v>
      </c>
      <c r="D2031" s="80">
        <v>43334.969224537039</v>
      </c>
      <c r="E2031" s="81">
        <f t="shared" ca="1" si="14"/>
        <v>43313</v>
      </c>
      <c r="F2031" s="82">
        <f ca="1">IFERROR(__xludf.DUMMYFUNCTION("""COMPUTED_VALUE"""),0.969224537037037)</f>
        <v>0.96922453703703704</v>
      </c>
      <c r="G2031" s="83">
        <f t="shared" ca="1" si="15"/>
        <v>19</v>
      </c>
      <c r="H2031" s="83">
        <f ca="1">IFERROR(__xludf.DUMMYFUNCTION("""COMPUTED_VALUE"""),15)</f>
        <v>15</v>
      </c>
      <c r="I2031" s="83">
        <f ca="1">IFERROR(__xludf.DUMMYFUNCTION("""COMPUTED_VALUE"""),41)</f>
        <v>41</v>
      </c>
    </row>
    <row r="2032" spans="1:9">
      <c r="A2032" s="79">
        <v>448</v>
      </c>
      <c r="B2032" s="79">
        <v>4</v>
      </c>
      <c r="C2032" s="79">
        <v>452</v>
      </c>
      <c r="D2032" s="80">
        <v>43334.979641203703</v>
      </c>
      <c r="E2032" s="81">
        <f t="shared" ca="1" si="14"/>
        <v>43313</v>
      </c>
      <c r="F2032" s="82">
        <f ca="1">IFERROR(__xludf.DUMMYFUNCTION("""COMPUTED_VALUE"""),0.979641203703703)</f>
        <v>0.979641203703703</v>
      </c>
      <c r="G2032" s="83">
        <f t="shared" ca="1" si="15"/>
        <v>19</v>
      </c>
      <c r="H2032" s="83">
        <f ca="1">IFERROR(__xludf.DUMMYFUNCTION("""COMPUTED_VALUE"""),30)</f>
        <v>30</v>
      </c>
      <c r="I2032" s="83">
        <f ca="1">IFERROR(__xludf.DUMMYFUNCTION("""COMPUTED_VALUE"""),41)</f>
        <v>41</v>
      </c>
    </row>
    <row r="2033" spans="1:9">
      <c r="A2033" s="79">
        <v>379</v>
      </c>
      <c r="B2033" s="79">
        <v>5</v>
      </c>
      <c r="C2033" s="79">
        <v>384</v>
      </c>
      <c r="D2033" s="80">
        <v>43334.990057870367</v>
      </c>
      <c r="E2033" s="81">
        <f t="shared" ca="1" si="14"/>
        <v>43313</v>
      </c>
      <c r="F2033" s="82">
        <f ca="1">IFERROR(__xludf.DUMMYFUNCTION("""COMPUTED_VALUE"""),0.99005787037037)</f>
        <v>0.99005787037036996</v>
      </c>
      <c r="G2033" s="83">
        <f t="shared" ca="1" si="15"/>
        <v>19</v>
      </c>
      <c r="H2033" s="83">
        <f ca="1">IFERROR(__xludf.DUMMYFUNCTION("""COMPUTED_VALUE"""),45)</f>
        <v>45</v>
      </c>
      <c r="I2033" s="83">
        <f ca="1">IFERROR(__xludf.DUMMYFUNCTION("""COMPUTED_VALUE"""),41)</f>
        <v>41</v>
      </c>
    </row>
    <row r="2034" spans="1:9">
      <c r="A2034" s="79">
        <v>355</v>
      </c>
      <c r="B2034" s="79">
        <v>2</v>
      </c>
      <c r="C2034" s="79">
        <v>357</v>
      </c>
      <c r="D2034" s="80">
        <v>43335.000474537039</v>
      </c>
      <c r="E2034" s="81">
        <f t="shared" ca="1" si="14"/>
        <v>43313</v>
      </c>
      <c r="F2034" s="82">
        <f ca="1">IFERROR(__xludf.DUMMYFUNCTION("""COMPUTED_VALUE"""),0.000474537037037037)</f>
        <v>4.7453703703703698E-4</v>
      </c>
      <c r="G2034" s="83">
        <f t="shared" ca="1" si="15"/>
        <v>19</v>
      </c>
      <c r="H2034" s="83">
        <f ca="1">IFERROR(__xludf.DUMMYFUNCTION("""COMPUTED_VALUE"""),0)</f>
        <v>0</v>
      </c>
      <c r="I2034" s="83">
        <f ca="1">IFERROR(__xludf.DUMMYFUNCTION("""COMPUTED_VALUE"""),41)</f>
        <v>41</v>
      </c>
    </row>
    <row r="2035" spans="1:9">
      <c r="A2035" s="79">
        <v>399</v>
      </c>
      <c r="B2035" s="79">
        <v>2</v>
      </c>
      <c r="C2035" s="79">
        <v>401</v>
      </c>
      <c r="D2035" s="80">
        <v>43335.010891203703</v>
      </c>
      <c r="E2035" s="81">
        <f t="shared" ca="1" si="14"/>
        <v>43313</v>
      </c>
      <c r="F2035" s="82">
        <f ca="1">IFERROR(__xludf.DUMMYFUNCTION("""COMPUTED_VALUE"""),0.0108912037037037)</f>
        <v>1.08912037037037E-2</v>
      </c>
      <c r="G2035" s="83">
        <f t="shared" ca="1" si="15"/>
        <v>19</v>
      </c>
      <c r="H2035" s="83">
        <f ca="1">IFERROR(__xludf.DUMMYFUNCTION("""COMPUTED_VALUE"""),15)</f>
        <v>15</v>
      </c>
      <c r="I2035" s="83">
        <f ca="1">IFERROR(__xludf.DUMMYFUNCTION("""COMPUTED_VALUE"""),41)</f>
        <v>41</v>
      </c>
    </row>
    <row r="2036" spans="1:9">
      <c r="A2036" s="79">
        <v>327</v>
      </c>
      <c r="B2036" s="79">
        <v>1</v>
      </c>
      <c r="C2036" s="79">
        <v>328</v>
      </c>
      <c r="D2036" s="80">
        <v>43335.021307870367</v>
      </c>
      <c r="E2036" s="81">
        <f t="shared" ca="1" si="14"/>
        <v>43313</v>
      </c>
      <c r="F2036" s="82">
        <f ca="1">IFERROR(__xludf.DUMMYFUNCTION("""COMPUTED_VALUE"""),0.0213078703703703)</f>
        <v>2.13078703703703E-2</v>
      </c>
      <c r="G2036" s="83">
        <f t="shared" ca="1" si="15"/>
        <v>19</v>
      </c>
      <c r="H2036" s="83">
        <f ca="1">IFERROR(__xludf.DUMMYFUNCTION("""COMPUTED_VALUE"""),30)</f>
        <v>30</v>
      </c>
      <c r="I2036" s="83">
        <f ca="1">IFERROR(__xludf.DUMMYFUNCTION("""COMPUTED_VALUE"""),41)</f>
        <v>41</v>
      </c>
    </row>
    <row r="2037" spans="1:9">
      <c r="A2037" s="79">
        <v>291</v>
      </c>
      <c r="B2037" s="79">
        <v>2</v>
      </c>
      <c r="C2037" s="79">
        <v>293</v>
      </c>
      <c r="D2037" s="80">
        <v>43335.031712962962</v>
      </c>
      <c r="E2037" s="81">
        <f t="shared" ca="1" si="14"/>
        <v>43313</v>
      </c>
      <c r="F2037" s="82">
        <f ca="1">IFERROR(__xludf.DUMMYFUNCTION("""COMPUTED_VALUE"""),0.0317129629629629)</f>
        <v>3.1712962962962901E-2</v>
      </c>
      <c r="G2037" s="83">
        <f t="shared" ca="1" si="15"/>
        <v>19</v>
      </c>
      <c r="H2037" s="83">
        <f ca="1">IFERROR(__xludf.DUMMYFUNCTION("""COMPUTED_VALUE"""),45)</f>
        <v>45</v>
      </c>
      <c r="I2037" s="83">
        <f ca="1">IFERROR(__xludf.DUMMYFUNCTION("""COMPUTED_VALUE"""),40)</f>
        <v>40</v>
      </c>
    </row>
    <row r="2038" spans="1:9">
      <c r="A2038" s="79">
        <v>284</v>
      </c>
      <c r="B2038" s="79">
        <v>2</v>
      </c>
      <c r="C2038" s="79">
        <v>286</v>
      </c>
      <c r="D2038" s="80">
        <v>43335.042141203703</v>
      </c>
      <c r="E2038" s="81">
        <f t="shared" ca="1" si="14"/>
        <v>43313</v>
      </c>
      <c r="F2038" s="82">
        <f ca="1">IFERROR(__xludf.DUMMYFUNCTION("""COMPUTED_VALUE"""),0.0421412037037037)</f>
        <v>4.2141203703703702E-2</v>
      </c>
      <c r="G2038" s="83">
        <f t="shared" ca="1" si="15"/>
        <v>19</v>
      </c>
      <c r="H2038" s="83">
        <f ca="1">IFERROR(__xludf.DUMMYFUNCTION("""COMPUTED_VALUE"""),0)</f>
        <v>0</v>
      </c>
      <c r="I2038" s="83">
        <f ca="1">IFERROR(__xludf.DUMMYFUNCTION("""COMPUTED_VALUE"""),41)</f>
        <v>41</v>
      </c>
    </row>
    <row r="2039" spans="1:9">
      <c r="A2039" s="79">
        <v>324</v>
      </c>
      <c r="B2039" s="79">
        <v>6</v>
      </c>
      <c r="C2039" s="79">
        <v>330</v>
      </c>
      <c r="D2039" s="80">
        <v>43335.052557870367</v>
      </c>
      <c r="E2039" s="81">
        <f t="shared" ca="1" si="14"/>
        <v>43313</v>
      </c>
      <c r="F2039" s="82">
        <f ca="1">IFERROR(__xludf.DUMMYFUNCTION("""COMPUTED_VALUE"""),0.0525578703703703)</f>
        <v>5.2557870370370303E-2</v>
      </c>
      <c r="G2039" s="83">
        <f t="shared" ca="1" si="15"/>
        <v>19</v>
      </c>
      <c r="H2039" s="83">
        <f ca="1">IFERROR(__xludf.DUMMYFUNCTION("""COMPUTED_VALUE"""),15)</f>
        <v>15</v>
      </c>
      <c r="I2039" s="83">
        <f ca="1">IFERROR(__xludf.DUMMYFUNCTION("""COMPUTED_VALUE"""),41)</f>
        <v>41</v>
      </c>
    </row>
    <row r="2040" spans="1:9">
      <c r="A2040" s="79">
        <v>273</v>
      </c>
      <c r="B2040" s="79">
        <v>5</v>
      </c>
      <c r="C2040" s="79">
        <v>274</v>
      </c>
      <c r="D2040" s="80">
        <v>43335.062962962962</v>
      </c>
      <c r="E2040" s="81">
        <f t="shared" ca="1" si="14"/>
        <v>43313</v>
      </c>
      <c r="F2040" s="82">
        <f ca="1">IFERROR(__xludf.DUMMYFUNCTION("""COMPUTED_VALUE"""),0.0629629629629629)</f>
        <v>6.2962962962962901E-2</v>
      </c>
      <c r="G2040" s="83">
        <f t="shared" ca="1" si="15"/>
        <v>19</v>
      </c>
      <c r="H2040" s="83">
        <f ca="1">IFERROR(__xludf.DUMMYFUNCTION("""COMPUTED_VALUE"""),30)</f>
        <v>30</v>
      </c>
      <c r="I2040" s="83">
        <f ca="1">IFERROR(__xludf.DUMMYFUNCTION("""COMPUTED_VALUE"""),40)</f>
        <v>40</v>
      </c>
    </row>
    <row r="2041" spans="1:9">
      <c r="A2041" s="79">
        <v>244</v>
      </c>
      <c r="B2041" s="79">
        <v>9</v>
      </c>
      <c r="C2041" s="79">
        <v>253</v>
      </c>
      <c r="D2041" s="80">
        <v>43335.073391203703</v>
      </c>
      <c r="E2041" s="81">
        <f t="shared" ca="1" si="14"/>
        <v>43313</v>
      </c>
      <c r="F2041" s="82">
        <f ca="1">IFERROR(__xludf.DUMMYFUNCTION("""COMPUTED_VALUE"""),0.0733912037037037)</f>
        <v>7.3391203703703695E-2</v>
      </c>
      <c r="G2041" s="83">
        <f t="shared" ca="1" si="15"/>
        <v>19</v>
      </c>
      <c r="H2041" s="83">
        <f ca="1">IFERROR(__xludf.DUMMYFUNCTION("""COMPUTED_VALUE"""),45)</f>
        <v>45</v>
      </c>
      <c r="I2041" s="83">
        <f ca="1">IFERROR(__xludf.DUMMYFUNCTION("""COMPUTED_VALUE"""),41)</f>
        <v>41</v>
      </c>
    </row>
    <row r="2042" spans="1:9">
      <c r="A2042" s="79">
        <v>266</v>
      </c>
      <c r="B2042" s="79">
        <v>3</v>
      </c>
      <c r="C2042" s="79">
        <v>269</v>
      </c>
      <c r="D2042" s="80">
        <v>43335.083819444444</v>
      </c>
      <c r="E2042" s="81">
        <f t="shared" ref="E2042:E2834" ca="1" si="16">IFERROR(__xludf.DUMMYFUNCTION("SPLIT(D2, "" "")"),43313)</f>
        <v>43313</v>
      </c>
      <c r="F2042" s="82">
        <f ca="1">IFERROR(__xludf.DUMMYFUNCTION("""COMPUTED_VALUE"""),0.0838194444444444)</f>
        <v>8.3819444444444405E-2</v>
      </c>
      <c r="G2042" s="83">
        <f t="shared" ref="G2042:G2834" ca="1" si="17">IFERROR(__xludf.DUMMYFUNCTION("SPLIT(F2, "":"")"),19)</f>
        <v>19</v>
      </c>
      <c r="H2042" s="83">
        <f ca="1">IFERROR(__xludf.DUMMYFUNCTION("""COMPUTED_VALUE"""),0)</f>
        <v>0</v>
      </c>
      <c r="I2042" s="83">
        <f ca="1">IFERROR(__xludf.DUMMYFUNCTION("""COMPUTED_VALUE"""),42)</f>
        <v>42</v>
      </c>
    </row>
    <row r="2043" spans="1:9">
      <c r="A2043" s="79">
        <v>283</v>
      </c>
      <c r="B2043" s="79">
        <v>1</v>
      </c>
      <c r="C2043" s="79">
        <v>284</v>
      </c>
      <c r="D2043" s="80">
        <v>43335.094236111108</v>
      </c>
      <c r="E2043" s="81">
        <f t="shared" ca="1" si="16"/>
        <v>43313</v>
      </c>
      <c r="F2043" s="82">
        <f ca="1">IFERROR(__xludf.DUMMYFUNCTION("""COMPUTED_VALUE"""),0.0942361111111111)</f>
        <v>9.4236111111111104E-2</v>
      </c>
      <c r="G2043" s="83">
        <f t="shared" ca="1" si="17"/>
        <v>19</v>
      </c>
      <c r="H2043" s="83">
        <f ca="1">IFERROR(__xludf.DUMMYFUNCTION("""COMPUTED_VALUE"""),15)</f>
        <v>15</v>
      </c>
      <c r="I2043" s="83">
        <f ca="1">IFERROR(__xludf.DUMMYFUNCTION("""COMPUTED_VALUE"""),42)</f>
        <v>42</v>
      </c>
    </row>
    <row r="2044" spans="1:9">
      <c r="A2044" s="79">
        <v>270</v>
      </c>
      <c r="B2044" s="79">
        <v>4</v>
      </c>
      <c r="C2044" s="79">
        <v>274</v>
      </c>
      <c r="D2044" s="80">
        <v>43335.10465277778</v>
      </c>
      <c r="E2044" s="81">
        <f t="shared" ca="1" si="16"/>
        <v>43313</v>
      </c>
      <c r="F2044" s="82">
        <f ca="1">IFERROR(__xludf.DUMMYFUNCTION("""COMPUTED_VALUE"""),0.104652777777777)</f>
        <v>0.104652777777777</v>
      </c>
      <c r="G2044" s="83">
        <f t="shared" ca="1" si="17"/>
        <v>19</v>
      </c>
      <c r="H2044" s="83">
        <f ca="1">IFERROR(__xludf.DUMMYFUNCTION("""COMPUTED_VALUE"""),30)</f>
        <v>30</v>
      </c>
      <c r="I2044" s="83">
        <f ca="1">IFERROR(__xludf.DUMMYFUNCTION("""COMPUTED_VALUE"""),42)</f>
        <v>42</v>
      </c>
    </row>
    <row r="2045" spans="1:9">
      <c r="A2045" s="79">
        <v>207</v>
      </c>
      <c r="B2045" s="79">
        <v>3</v>
      </c>
      <c r="C2045" s="79">
        <v>210</v>
      </c>
      <c r="D2045" s="80">
        <v>43335.115046296298</v>
      </c>
      <c r="E2045" s="81">
        <f t="shared" ca="1" si="16"/>
        <v>43313</v>
      </c>
      <c r="F2045" s="82">
        <f ca="1">IFERROR(__xludf.DUMMYFUNCTION("""COMPUTED_VALUE"""),0.115046296296296)</f>
        <v>0.11504629629629599</v>
      </c>
      <c r="G2045" s="83">
        <f t="shared" ca="1" si="17"/>
        <v>19</v>
      </c>
      <c r="H2045" s="83">
        <f ca="1">IFERROR(__xludf.DUMMYFUNCTION("""COMPUTED_VALUE"""),45)</f>
        <v>45</v>
      </c>
      <c r="I2045" s="83">
        <f ca="1">IFERROR(__xludf.DUMMYFUNCTION("""COMPUTED_VALUE"""),40)</f>
        <v>40</v>
      </c>
    </row>
    <row r="2046" spans="1:9">
      <c r="A2046" s="79">
        <v>175</v>
      </c>
      <c r="B2046" s="79">
        <v>3</v>
      </c>
      <c r="C2046" s="79">
        <v>178</v>
      </c>
      <c r="D2046" s="80">
        <v>43335.125474537039</v>
      </c>
      <c r="E2046" s="81">
        <f t="shared" ca="1" si="16"/>
        <v>43313</v>
      </c>
      <c r="F2046" s="82">
        <f ca="1">IFERROR(__xludf.DUMMYFUNCTION("""COMPUTED_VALUE"""),0.125474537037037)</f>
        <v>0.12547453703703701</v>
      </c>
      <c r="G2046" s="83">
        <f t="shared" ca="1" si="17"/>
        <v>19</v>
      </c>
      <c r="H2046" s="83">
        <f ca="1">IFERROR(__xludf.DUMMYFUNCTION("""COMPUTED_VALUE"""),0)</f>
        <v>0</v>
      </c>
      <c r="I2046" s="83">
        <f ca="1">IFERROR(__xludf.DUMMYFUNCTION("""COMPUTED_VALUE"""),41)</f>
        <v>41</v>
      </c>
    </row>
    <row r="2047" spans="1:9">
      <c r="A2047" s="79">
        <v>164</v>
      </c>
      <c r="B2047" s="79">
        <v>1</v>
      </c>
      <c r="C2047" s="79">
        <v>165</v>
      </c>
      <c r="D2047" s="80">
        <v>43335.135879629626</v>
      </c>
      <c r="E2047" s="81">
        <f t="shared" ca="1" si="16"/>
        <v>43313</v>
      </c>
      <c r="F2047" s="82">
        <f ca="1">IFERROR(__xludf.DUMMYFUNCTION("""COMPUTED_VALUE"""),0.135879629629629)</f>
        <v>0.13587962962962899</v>
      </c>
      <c r="G2047" s="83">
        <f t="shared" ca="1" si="17"/>
        <v>19</v>
      </c>
      <c r="H2047" s="83">
        <f ca="1">IFERROR(__xludf.DUMMYFUNCTION("""COMPUTED_VALUE"""),15)</f>
        <v>15</v>
      </c>
      <c r="I2047" s="83">
        <f ca="1">IFERROR(__xludf.DUMMYFUNCTION("""COMPUTED_VALUE"""),40)</f>
        <v>40</v>
      </c>
    </row>
    <row r="2048" spans="1:9">
      <c r="A2048" s="79">
        <v>153</v>
      </c>
      <c r="B2048" s="79">
        <v>1</v>
      </c>
      <c r="C2048" s="79">
        <v>154</v>
      </c>
      <c r="D2048" s="80">
        <v>43335.146307870367</v>
      </c>
      <c r="E2048" s="81">
        <f t="shared" ca="1" si="16"/>
        <v>43313</v>
      </c>
      <c r="F2048" s="82">
        <f ca="1">IFERROR(__xludf.DUMMYFUNCTION("""COMPUTED_VALUE"""),0.14630787037037)</f>
        <v>0.14630787037036999</v>
      </c>
      <c r="G2048" s="83">
        <f t="shared" ca="1" si="17"/>
        <v>19</v>
      </c>
      <c r="H2048" s="83">
        <f ca="1">IFERROR(__xludf.DUMMYFUNCTION("""COMPUTED_VALUE"""),30)</f>
        <v>30</v>
      </c>
      <c r="I2048" s="83">
        <f ca="1">IFERROR(__xludf.DUMMYFUNCTION("""COMPUTED_VALUE"""),41)</f>
        <v>41</v>
      </c>
    </row>
    <row r="2049" spans="1:9">
      <c r="A2049" s="79">
        <v>137</v>
      </c>
      <c r="B2049" s="79">
        <v>1</v>
      </c>
      <c r="C2049" s="79">
        <v>138</v>
      </c>
      <c r="D2049" s="80">
        <v>43335.156712962962</v>
      </c>
      <c r="E2049" s="81">
        <f t="shared" ca="1" si="16"/>
        <v>43313</v>
      </c>
      <c r="F2049" s="82">
        <f ca="1">IFERROR(__xludf.DUMMYFUNCTION("""COMPUTED_VALUE"""),0.156712962962962)</f>
        <v>0.156712962962962</v>
      </c>
      <c r="G2049" s="83">
        <f t="shared" ca="1" si="17"/>
        <v>19</v>
      </c>
      <c r="H2049" s="83">
        <f ca="1">IFERROR(__xludf.DUMMYFUNCTION("""COMPUTED_VALUE"""),45)</f>
        <v>45</v>
      </c>
      <c r="I2049" s="83">
        <f ca="1">IFERROR(__xludf.DUMMYFUNCTION("""COMPUTED_VALUE"""),40)</f>
        <v>40</v>
      </c>
    </row>
    <row r="2050" spans="1:9">
      <c r="A2050" s="79">
        <v>160</v>
      </c>
      <c r="B2050" s="79">
        <v>2</v>
      </c>
      <c r="C2050" s="79">
        <v>162</v>
      </c>
      <c r="D2050" s="80">
        <v>43335.16715277778</v>
      </c>
      <c r="E2050" s="81">
        <f t="shared" ca="1" si="16"/>
        <v>43313</v>
      </c>
      <c r="F2050" s="82">
        <f ca="1">IFERROR(__xludf.DUMMYFUNCTION("""COMPUTED_VALUE"""),0.167152777777777)</f>
        <v>0.16715277777777701</v>
      </c>
      <c r="G2050" s="83">
        <f t="shared" ca="1" si="17"/>
        <v>19</v>
      </c>
      <c r="H2050" s="83">
        <f ca="1">IFERROR(__xludf.DUMMYFUNCTION("""COMPUTED_VALUE"""),0)</f>
        <v>0</v>
      </c>
      <c r="I2050" s="83">
        <f ca="1">IFERROR(__xludf.DUMMYFUNCTION("""COMPUTED_VALUE"""),42)</f>
        <v>42</v>
      </c>
    </row>
    <row r="2051" spans="1:9">
      <c r="A2051" s="79">
        <v>71</v>
      </c>
      <c r="B2051" s="79">
        <v>1</v>
      </c>
      <c r="C2051" s="79">
        <v>72</v>
      </c>
      <c r="D2051" s="80">
        <v>43335.177546296298</v>
      </c>
      <c r="E2051" s="81">
        <f t="shared" ca="1" si="16"/>
        <v>43313</v>
      </c>
      <c r="F2051" s="82">
        <f ca="1">IFERROR(__xludf.DUMMYFUNCTION("""COMPUTED_VALUE"""),0.177546296296296)</f>
        <v>0.17754629629629601</v>
      </c>
      <c r="G2051" s="83">
        <f t="shared" ca="1" si="17"/>
        <v>19</v>
      </c>
      <c r="H2051" s="83">
        <f ca="1">IFERROR(__xludf.DUMMYFUNCTION("""COMPUTED_VALUE"""),15)</f>
        <v>15</v>
      </c>
      <c r="I2051" s="83">
        <f ca="1">IFERROR(__xludf.DUMMYFUNCTION("""COMPUTED_VALUE"""),40)</f>
        <v>40</v>
      </c>
    </row>
    <row r="2052" spans="1:9">
      <c r="A2052" s="79">
        <v>45</v>
      </c>
      <c r="B2052" s="79">
        <v>1</v>
      </c>
      <c r="C2052" s="79">
        <v>46</v>
      </c>
      <c r="D2052" s="80">
        <v>43335.187974537039</v>
      </c>
      <c r="E2052" s="81">
        <f t="shared" ca="1" si="16"/>
        <v>43313</v>
      </c>
      <c r="F2052" s="82">
        <f ca="1">IFERROR(__xludf.DUMMYFUNCTION("""COMPUTED_VALUE"""),0.187974537037037)</f>
        <v>0.18797453703703701</v>
      </c>
      <c r="G2052" s="83">
        <f t="shared" ca="1" si="17"/>
        <v>19</v>
      </c>
      <c r="H2052" s="83">
        <f ca="1">IFERROR(__xludf.DUMMYFUNCTION("""COMPUTED_VALUE"""),30)</f>
        <v>30</v>
      </c>
      <c r="I2052" s="83">
        <f ca="1">IFERROR(__xludf.DUMMYFUNCTION("""COMPUTED_VALUE"""),41)</f>
        <v>41</v>
      </c>
    </row>
    <row r="2053" spans="1:9">
      <c r="A2053" s="79">
        <v>36</v>
      </c>
      <c r="B2053" s="79">
        <v>0</v>
      </c>
      <c r="C2053" s="79">
        <v>36</v>
      </c>
      <c r="D2053" s="80">
        <v>43335.198379629626</v>
      </c>
      <c r="E2053" s="81">
        <f t="shared" ca="1" si="16"/>
        <v>43313</v>
      </c>
      <c r="F2053" s="82">
        <f ca="1">IFERROR(__xludf.DUMMYFUNCTION("""COMPUTED_VALUE"""),0.198379629629629)</f>
        <v>0.19837962962962899</v>
      </c>
      <c r="G2053" s="83">
        <f t="shared" ca="1" si="17"/>
        <v>19</v>
      </c>
      <c r="H2053" s="83">
        <f ca="1">IFERROR(__xludf.DUMMYFUNCTION("""COMPUTED_VALUE"""),45)</f>
        <v>45</v>
      </c>
      <c r="I2053" s="83">
        <f ca="1">IFERROR(__xludf.DUMMYFUNCTION("""COMPUTED_VALUE"""),40)</f>
        <v>40</v>
      </c>
    </row>
    <row r="2054" spans="1:9">
      <c r="A2054" s="79">
        <v>31</v>
      </c>
      <c r="B2054" s="79">
        <v>0</v>
      </c>
      <c r="C2054" s="79">
        <v>31</v>
      </c>
      <c r="D2054" s="80">
        <v>43335.208807870367</v>
      </c>
      <c r="E2054" s="81">
        <f t="shared" ca="1" si="16"/>
        <v>43313</v>
      </c>
      <c r="F2054" s="82">
        <f ca="1">IFERROR(__xludf.DUMMYFUNCTION("""COMPUTED_VALUE"""),0.20880787037037)</f>
        <v>0.20880787037036999</v>
      </c>
      <c r="G2054" s="83">
        <f t="shared" ca="1" si="17"/>
        <v>19</v>
      </c>
      <c r="H2054" s="83">
        <f ca="1">IFERROR(__xludf.DUMMYFUNCTION("""COMPUTED_VALUE"""),0)</f>
        <v>0</v>
      </c>
      <c r="I2054" s="83">
        <f ca="1">IFERROR(__xludf.DUMMYFUNCTION("""COMPUTED_VALUE"""),41)</f>
        <v>41</v>
      </c>
    </row>
    <row r="2055" spans="1:9">
      <c r="A2055" s="79">
        <v>31</v>
      </c>
      <c r="B2055" s="79">
        <v>0</v>
      </c>
      <c r="C2055" s="79">
        <v>31</v>
      </c>
      <c r="D2055" s="80">
        <v>43335.219212962962</v>
      </c>
      <c r="E2055" s="81">
        <f t="shared" ca="1" si="16"/>
        <v>43313</v>
      </c>
      <c r="F2055" s="82">
        <f ca="1">IFERROR(__xludf.DUMMYFUNCTION("""COMPUTED_VALUE"""),0.219212962962962)</f>
        <v>0.219212962962962</v>
      </c>
      <c r="G2055" s="83">
        <f t="shared" ca="1" si="17"/>
        <v>19</v>
      </c>
      <c r="H2055" s="83">
        <f ca="1">IFERROR(__xludf.DUMMYFUNCTION("""COMPUTED_VALUE"""),15)</f>
        <v>15</v>
      </c>
      <c r="I2055" s="83">
        <f ca="1">IFERROR(__xludf.DUMMYFUNCTION("""COMPUTED_VALUE"""),40)</f>
        <v>40</v>
      </c>
    </row>
    <row r="2056" spans="1:9">
      <c r="A2056" s="79">
        <v>30</v>
      </c>
      <c r="B2056" s="79">
        <v>0</v>
      </c>
      <c r="C2056" s="79">
        <v>30</v>
      </c>
      <c r="D2056" s="80">
        <v>43335.229629629626</v>
      </c>
      <c r="E2056" s="81">
        <f t="shared" ca="1" si="16"/>
        <v>43313</v>
      </c>
      <c r="F2056" s="82">
        <f ca="1">IFERROR(__xludf.DUMMYFUNCTION("""COMPUTED_VALUE"""),0.229629629629629)</f>
        <v>0.22962962962962899</v>
      </c>
      <c r="G2056" s="83">
        <f t="shared" ca="1" si="17"/>
        <v>19</v>
      </c>
      <c r="H2056" s="83">
        <f ca="1">IFERROR(__xludf.DUMMYFUNCTION("""COMPUTED_VALUE"""),30)</f>
        <v>30</v>
      </c>
      <c r="I2056" s="83">
        <f ca="1">IFERROR(__xludf.DUMMYFUNCTION("""COMPUTED_VALUE"""),40)</f>
        <v>40</v>
      </c>
    </row>
    <row r="2057" spans="1:9">
      <c r="A2057" s="79">
        <v>29</v>
      </c>
      <c r="B2057" s="79">
        <v>0</v>
      </c>
      <c r="C2057" s="79">
        <v>29</v>
      </c>
      <c r="D2057" s="80">
        <v>43335.240046296298</v>
      </c>
      <c r="E2057" s="81">
        <f t="shared" ca="1" si="16"/>
        <v>43313</v>
      </c>
      <c r="F2057" s="82">
        <f ca="1">IFERROR(__xludf.DUMMYFUNCTION("""COMPUTED_VALUE"""),0.240046296296296)</f>
        <v>0.24004629629629601</v>
      </c>
      <c r="G2057" s="83">
        <f t="shared" ca="1" si="17"/>
        <v>19</v>
      </c>
      <c r="H2057" s="83">
        <f ca="1">IFERROR(__xludf.DUMMYFUNCTION("""COMPUTED_VALUE"""),45)</f>
        <v>45</v>
      </c>
      <c r="I2057" s="83">
        <f ca="1">IFERROR(__xludf.DUMMYFUNCTION("""COMPUTED_VALUE"""),40)</f>
        <v>40</v>
      </c>
    </row>
    <row r="2058" spans="1:9">
      <c r="A2058" s="79">
        <v>29</v>
      </c>
      <c r="B2058" s="79">
        <v>0</v>
      </c>
      <c r="C2058" s="79">
        <v>29</v>
      </c>
      <c r="D2058" s="80">
        <v>43335.250474537039</v>
      </c>
      <c r="E2058" s="81">
        <f t="shared" ca="1" si="16"/>
        <v>43313</v>
      </c>
      <c r="F2058" s="82">
        <f ca="1">IFERROR(__xludf.DUMMYFUNCTION("""COMPUTED_VALUE"""),0.250474537037037)</f>
        <v>0.25047453703703698</v>
      </c>
      <c r="G2058" s="83">
        <f t="shared" ca="1" si="17"/>
        <v>19</v>
      </c>
      <c r="H2058" s="83">
        <f ca="1">IFERROR(__xludf.DUMMYFUNCTION("""COMPUTED_VALUE"""),0)</f>
        <v>0</v>
      </c>
      <c r="I2058" s="83">
        <f ca="1">IFERROR(__xludf.DUMMYFUNCTION("""COMPUTED_VALUE"""),41)</f>
        <v>41</v>
      </c>
    </row>
    <row r="2059" spans="1:9">
      <c r="A2059" s="79">
        <v>26</v>
      </c>
      <c r="B2059" s="79">
        <v>0</v>
      </c>
      <c r="C2059" s="79">
        <v>26</v>
      </c>
      <c r="D2059" s="80">
        <v>43335.260879629626</v>
      </c>
      <c r="E2059" s="81">
        <f t="shared" ca="1" si="16"/>
        <v>43313</v>
      </c>
      <c r="F2059" s="82">
        <f ca="1">IFERROR(__xludf.DUMMYFUNCTION("""COMPUTED_VALUE"""),0.260879629629629)</f>
        <v>0.26087962962962902</v>
      </c>
      <c r="G2059" s="83">
        <f t="shared" ca="1" si="17"/>
        <v>19</v>
      </c>
      <c r="H2059" s="83">
        <f ca="1">IFERROR(__xludf.DUMMYFUNCTION("""COMPUTED_VALUE"""),15)</f>
        <v>15</v>
      </c>
      <c r="I2059" s="83">
        <f ca="1">IFERROR(__xludf.DUMMYFUNCTION("""COMPUTED_VALUE"""),40)</f>
        <v>40</v>
      </c>
    </row>
    <row r="2060" spans="1:9">
      <c r="A2060" s="79">
        <v>26</v>
      </c>
      <c r="B2060" s="79">
        <v>0</v>
      </c>
      <c r="C2060" s="79">
        <v>26</v>
      </c>
      <c r="D2060" s="80">
        <v>43335.273819444446</v>
      </c>
      <c r="E2060" s="81">
        <f t="shared" ca="1" si="16"/>
        <v>43313</v>
      </c>
      <c r="F2060" s="82">
        <f ca="1">IFERROR(__xludf.DUMMYFUNCTION("""COMPUTED_VALUE"""),0.273819444444444)</f>
        <v>0.273819444444444</v>
      </c>
      <c r="G2060" s="83">
        <f t="shared" ca="1" si="17"/>
        <v>19</v>
      </c>
      <c r="H2060" s="83">
        <f ca="1">IFERROR(__xludf.DUMMYFUNCTION("""COMPUTED_VALUE"""),34)</f>
        <v>34</v>
      </c>
      <c r="I2060" s="83">
        <f ca="1">IFERROR(__xludf.DUMMYFUNCTION("""COMPUTED_VALUE"""),18)</f>
        <v>18</v>
      </c>
    </row>
    <row r="2061" spans="1:9">
      <c r="A2061" s="79">
        <v>25</v>
      </c>
      <c r="B2061" s="79">
        <v>0</v>
      </c>
      <c r="C2061" s="79">
        <v>25</v>
      </c>
      <c r="D2061" s="80">
        <v>43335.281712962962</v>
      </c>
      <c r="E2061" s="81">
        <f t="shared" ca="1" si="16"/>
        <v>43313</v>
      </c>
      <c r="F2061" s="82">
        <f ca="1">IFERROR(__xludf.DUMMYFUNCTION("""COMPUTED_VALUE"""),0.281712962962962)</f>
        <v>0.281712962962962</v>
      </c>
      <c r="G2061" s="83">
        <f t="shared" ca="1" si="17"/>
        <v>19</v>
      </c>
      <c r="H2061" s="83">
        <f ca="1">IFERROR(__xludf.DUMMYFUNCTION("""COMPUTED_VALUE"""),45)</f>
        <v>45</v>
      </c>
      <c r="I2061" s="83">
        <f ca="1">IFERROR(__xludf.DUMMYFUNCTION("""COMPUTED_VALUE"""),40)</f>
        <v>40</v>
      </c>
    </row>
    <row r="2062" spans="1:9">
      <c r="A2062" s="79">
        <v>40</v>
      </c>
      <c r="B2062" s="79">
        <v>0</v>
      </c>
      <c r="C2062" s="79">
        <v>40</v>
      </c>
      <c r="D2062" s="80">
        <v>43335.292141203703</v>
      </c>
      <c r="E2062" s="81">
        <f t="shared" ca="1" si="16"/>
        <v>43313</v>
      </c>
      <c r="F2062" s="82">
        <f ca="1">IFERROR(__xludf.DUMMYFUNCTION("""COMPUTED_VALUE"""),0.292141203703703)</f>
        <v>0.292141203703703</v>
      </c>
      <c r="G2062" s="83">
        <f t="shared" ca="1" si="17"/>
        <v>19</v>
      </c>
      <c r="H2062" s="83">
        <f ca="1">IFERROR(__xludf.DUMMYFUNCTION("""COMPUTED_VALUE"""),0)</f>
        <v>0</v>
      </c>
      <c r="I2062" s="83">
        <f ca="1">IFERROR(__xludf.DUMMYFUNCTION("""COMPUTED_VALUE"""),41)</f>
        <v>41</v>
      </c>
    </row>
    <row r="2063" spans="1:9">
      <c r="A2063" s="79">
        <v>49</v>
      </c>
      <c r="B2063" s="79">
        <v>0</v>
      </c>
      <c r="C2063" s="79">
        <v>49</v>
      </c>
      <c r="D2063" s="80">
        <v>43335.302557870367</v>
      </c>
      <c r="E2063" s="81">
        <f t="shared" ca="1" si="16"/>
        <v>43313</v>
      </c>
      <c r="F2063" s="82">
        <f ca="1">IFERROR(__xludf.DUMMYFUNCTION("""COMPUTED_VALUE"""),0.30255787037037)</f>
        <v>0.30255787037037002</v>
      </c>
      <c r="G2063" s="83">
        <f t="shared" ca="1" si="17"/>
        <v>19</v>
      </c>
      <c r="H2063" s="83">
        <f ca="1">IFERROR(__xludf.DUMMYFUNCTION("""COMPUTED_VALUE"""),15)</f>
        <v>15</v>
      </c>
      <c r="I2063" s="83">
        <f ca="1">IFERROR(__xludf.DUMMYFUNCTION("""COMPUTED_VALUE"""),41)</f>
        <v>41</v>
      </c>
    </row>
    <row r="2064" spans="1:9">
      <c r="A2064" s="79">
        <v>67</v>
      </c>
      <c r="B2064" s="79">
        <v>0</v>
      </c>
      <c r="C2064" s="79">
        <v>64</v>
      </c>
      <c r="D2064" s="80">
        <v>43335.312986111108</v>
      </c>
      <c r="E2064" s="81">
        <f t="shared" ca="1" si="16"/>
        <v>43313</v>
      </c>
      <c r="F2064" s="82">
        <f ca="1">IFERROR(__xludf.DUMMYFUNCTION("""COMPUTED_VALUE"""),0.312986111111111)</f>
        <v>0.31298611111111102</v>
      </c>
      <c r="G2064" s="83">
        <f t="shared" ca="1" si="17"/>
        <v>19</v>
      </c>
      <c r="H2064" s="83">
        <f ca="1">IFERROR(__xludf.DUMMYFUNCTION("""COMPUTED_VALUE"""),30)</f>
        <v>30</v>
      </c>
      <c r="I2064" s="83">
        <f ca="1">IFERROR(__xludf.DUMMYFUNCTION("""COMPUTED_VALUE"""),42)</f>
        <v>42</v>
      </c>
    </row>
    <row r="2065" spans="1:9">
      <c r="A2065" s="79">
        <v>72</v>
      </c>
      <c r="B2065" s="79">
        <v>0</v>
      </c>
      <c r="C2065" s="79">
        <v>72</v>
      </c>
      <c r="D2065" s="80">
        <v>43335.323414351849</v>
      </c>
      <c r="E2065" s="81">
        <f t="shared" ca="1" si="16"/>
        <v>43313</v>
      </c>
      <c r="F2065" s="82">
        <f ca="1">IFERROR(__xludf.DUMMYFUNCTION("""COMPUTED_VALUE"""),0.323414351851851)</f>
        <v>0.32341435185185102</v>
      </c>
      <c r="G2065" s="83">
        <f t="shared" ca="1" si="17"/>
        <v>19</v>
      </c>
      <c r="H2065" s="83">
        <f ca="1">IFERROR(__xludf.DUMMYFUNCTION("""COMPUTED_VALUE"""),45)</f>
        <v>45</v>
      </c>
      <c r="I2065" s="83">
        <f ca="1">IFERROR(__xludf.DUMMYFUNCTION("""COMPUTED_VALUE"""),43)</f>
        <v>43</v>
      </c>
    </row>
    <row r="2066" spans="1:9">
      <c r="A2066" s="79">
        <v>66</v>
      </c>
      <c r="B2066" s="79">
        <v>0</v>
      </c>
      <c r="C2066" s="79">
        <v>66</v>
      </c>
      <c r="D2066" s="80">
        <v>43335.333819444444</v>
      </c>
      <c r="E2066" s="81">
        <f t="shared" ca="1" si="16"/>
        <v>43313</v>
      </c>
      <c r="F2066" s="82">
        <f ca="1">IFERROR(__xludf.DUMMYFUNCTION("""COMPUTED_VALUE"""),0.333819444444444)</f>
        <v>0.333819444444444</v>
      </c>
      <c r="G2066" s="83">
        <f t="shared" ca="1" si="17"/>
        <v>19</v>
      </c>
      <c r="H2066" s="83">
        <f ca="1">IFERROR(__xludf.DUMMYFUNCTION("""COMPUTED_VALUE"""),0)</f>
        <v>0</v>
      </c>
      <c r="I2066" s="83">
        <f ca="1">IFERROR(__xludf.DUMMYFUNCTION("""COMPUTED_VALUE"""),42)</f>
        <v>42</v>
      </c>
    </row>
    <row r="2067" spans="1:9">
      <c r="A2067" s="79">
        <v>81</v>
      </c>
      <c r="B2067" s="79">
        <v>0</v>
      </c>
      <c r="C2067" s="79">
        <v>81</v>
      </c>
      <c r="D2067" s="80">
        <v>43335.344236111108</v>
      </c>
      <c r="E2067" s="81">
        <f t="shared" ca="1" si="16"/>
        <v>43313</v>
      </c>
      <c r="F2067" s="82">
        <f ca="1">IFERROR(__xludf.DUMMYFUNCTION("""COMPUTED_VALUE"""),0.344236111111111)</f>
        <v>0.34423611111111102</v>
      </c>
      <c r="G2067" s="83">
        <f t="shared" ca="1" si="17"/>
        <v>19</v>
      </c>
      <c r="H2067" s="83">
        <f ca="1">IFERROR(__xludf.DUMMYFUNCTION("""COMPUTED_VALUE"""),15)</f>
        <v>15</v>
      </c>
      <c r="I2067" s="83">
        <f ca="1">IFERROR(__xludf.DUMMYFUNCTION("""COMPUTED_VALUE"""),42)</f>
        <v>42</v>
      </c>
    </row>
    <row r="2068" spans="1:9">
      <c r="A2068" s="79">
        <v>113</v>
      </c>
      <c r="B2068" s="79">
        <v>3</v>
      </c>
      <c r="C2068" s="79">
        <v>116</v>
      </c>
      <c r="D2068" s="80">
        <v>43335.35465277778</v>
      </c>
      <c r="E2068" s="81">
        <f t="shared" ca="1" si="16"/>
        <v>43313</v>
      </c>
      <c r="F2068" s="82">
        <f ca="1">IFERROR(__xludf.DUMMYFUNCTION("""COMPUTED_VALUE"""),0.354652777777777)</f>
        <v>0.35465277777777698</v>
      </c>
      <c r="G2068" s="83">
        <f t="shared" ca="1" si="17"/>
        <v>19</v>
      </c>
      <c r="H2068" s="83">
        <f ca="1">IFERROR(__xludf.DUMMYFUNCTION("""COMPUTED_VALUE"""),30)</f>
        <v>30</v>
      </c>
      <c r="I2068" s="83">
        <f ca="1">IFERROR(__xludf.DUMMYFUNCTION("""COMPUTED_VALUE"""),42)</f>
        <v>42</v>
      </c>
    </row>
    <row r="2069" spans="1:9">
      <c r="A2069" s="79">
        <v>168</v>
      </c>
      <c r="B2069" s="79">
        <v>0</v>
      </c>
      <c r="C2069" s="79">
        <v>168</v>
      </c>
      <c r="D2069" s="80">
        <v>43335.365057870367</v>
      </c>
      <c r="E2069" s="81">
        <f t="shared" ca="1" si="16"/>
        <v>43313</v>
      </c>
      <c r="F2069" s="82">
        <f ca="1">IFERROR(__xludf.DUMMYFUNCTION("""COMPUTED_VALUE"""),0.36505787037037)</f>
        <v>0.36505787037037002</v>
      </c>
      <c r="G2069" s="83">
        <f t="shared" ca="1" si="17"/>
        <v>19</v>
      </c>
      <c r="H2069" s="83">
        <f ca="1">IFERROR(__xludf.DUMMYFUNCTION("""COMPUTED_VALUE"""),45)</f>
        <v>45</v>
      </c>
      <c r="I2069" s="83">
        <f ca="1">IFERROR(__xludf.DUMMYFUNCTION("""COMPUTED_VALUE"""),41)</f>
        <v>41</v>
      </c>
    </row>
    <row r="2070" spans="1:9">
      <c r="A2070" s="79">
        <v>151</v>
      </c>
      <c r="B2070" s="79">
        <v>1</v>
      </c>
      <c r="C2070" s="79">
        <v>152</v>
      </c>
      <c r="D2070" s="80">
        <v>43335.375486111108</v>
      </c>
      <c r="E2070" s="81">
        <f t="shared" ca="1" si="16"/>
        <v>43313</v>
      </c>
      <c r="F2070" s="82">
        <f ca="1">IFERROR(__xludf.DUMMYFUNCTION("""COMPUTED_VALUE"""),0.375486111111111)</f>
        <v>0.37548611111111102</v>
      </c>
      <c r="G2070" s="83">
        <f t="shared" ca="1" si="17"/>
        <v>19</v>
      </c>
      <c r="H2070" s="83">
        <f ca="1">IFERROR(__xludf.DUMMYFUNCTION("""COMPUTED_VALUE"""),0)</f>
        <v>0</v>
      </c>
      <c r="I2070" s="83">
        <f ca="1">IFERROR(__xludf.DUMMYFUNCTION("""COMPUTED_VALUE"""),42)</f>
        <v>42</v>
      </c>
    </row>
    <row r="2071" spans="1:9">
      <c r="A2071" s="79">
        <v>211</v>
      </c>
      <c r="B2071" s="79">
        <v>2</v>
      </c>
      <c r="C2071" s="79">
        <v>213</v>
      </c>
      <c r="D2071" s="80">
        <v>43335.385891203703</v>
      </c>
      <c r="E2071" s="81">
        <f t="shared" ca="1" si="16"/>
        <v>43313</v>
      </c>
      <c r="F2071" s="82">
        <f ca="1">IFERROR(__xludf.DUMMYFUNCTION("""COMPUTED_VALUE"""),0.385891203703703)</f>
        <v>0.385891203703703</v>
      </c>
      <c r="G2071" s="83">
        <f t="shared" ca="1" si="17"/>
        <v>19</v>
      </c>
      <c r="H2071" s="83">
        <f ca="1">IFERROR(__xludf.DUMMYFUNCTION("""COMPUTED_VALUE"""),15)</f>
        <v>15</v>
      </c>
      <c r="I2071" s="83">
        <f ca="1">IFERROR(__xludf.DUMMYFUNCTION("""COMPUTED_VALUE"""),41)</f>
        <v>41</v>
      </c>
    </row>
    <row r="2072" spans="1:9">
      <c r="A2072" s="79">
        <v>332</v>
      </c>
      <c r="B2072" s="79">
        <v>3</v>
      </c>
      <c r="C2072" s="79">
        <v>335</v>
      </c>
      <c r="D2072" s="80">
        <v>43335.396319444444</v>
      </c>
      <c r="E2072" s="81">
        <f t="shared" ca="1" si="16"/>
        <v>43313</v>
      </c>
      <c r="F2072" s="82">
        <f ca="1">IFERROR(__xludf.DUMMYFUNCTION("""COMPUTED_VALUE"""),0.396319444444444)</f>
        <v>0.396319444444444</v>
      </c>
      <c r="G2072" s="83">
        <f t="shared" ca="1" si="17"/>
        <v>19</v>
      </c>
      <c r="H2072" s="83">
        <f ca="1">IFERROR(__xludf.DUMMYFUNCTION("""COMPUTED_VALUE"""),30)</f>
        <v>30</v>
      </c>
      <c r="I2072" s="83">
        <f ca="1">IFERROR(__xludf.DUMMYFUNCTION("""COMPUTED_VALUE"""),42)</f>
        <v>42</v>
      </c>
    </row>
    <row r="2073" spans="1:9">
      <c r="A2073" s="79">
        <v>597</v>
      </c>
      <c r="B2073" s="79">
        <v>3</v>
      </c>
      <c r="C2073" s="79">
        <v>600</v>
      </c>
      <c r="D2073" s="80">
        <v>43335.406747685185</v>
      </c>
      <c r="E2073" s="81">
        <f t="shared" ca="1" si="16"/>
        <v>43313</v>
      </c>
      <c r="F2073" s="82">
        <f ca="1">IFERROR(__xludf.DUMMYFUNCTION("""COMPUTED_VALUE"""),0.406747685185185)</f>
        <v>0.406747685185185</v>
      </c>
      <c r="G2073" s="83">
        <f t="shared" ca="1" si="17"/>
        <v>19</v>
      </c>
      <c r="H2073" s="83">
        <f ca="1">IFERROR(__xludf.DUMMYFUNCTION("""COMPUTED_VALUE"""),45)</f>
        <v>45</v>
      </c>
      <c r="I2073" s="83">
        <f ca="1">IFERROR(__xludf.DUMMYFUNCTION("""COMPUTED_VALUE"""),43)</f>
        <v>43</v>
      </c>
    </row>
    <row r="2074" spans="1:9">
      <c r="A2074" s="79">
        <v>469</v>
      </c>
      <c r="B2074" s="79">
        <v>5</v>
      </c>
      <c r="C2074" s="79">
        <v>474</v>
      </c>
      <c r="D2074" s="80">
        <v>43335.417141203703</v>
      </c>
      <c r="E2074" s="81">
        <f t="shared" ca="1" si="16"/>
        <v>43313</v>
      </c>
      <c r="F2074" s="82">
        <f ca="1">IFERROR(__xludf.DUMMYFUNCTION("""COMPUTED_VALUE"""),0.417141203703703)</f>
        <v>0.417141203703703</v>
      </c>
      <c r="G2074" s="83">
        <f t="shared" ca="1" si="17"/>
        <v>19</v>
      </c>
      <c r="H2074" s="83">
        <f ca="1">IFERROR(__xludf.DUMMYFUNCTION("""COMPUTED_VALUE"""),0)</f>
        <v>0</v>
      </c>
      <c r="I2074" s="83">
        <f ca="1">IFERROR(__xludf.DUMMYFUNCTION("""COMPUTED_VALUE"""),41)</f>
        <v>41</v>
      </c>
    </row>
    <row r="2075" spans="1:9">
      <c r="A2075" s="79">
        <v>506</v>
      </c>
      <c r="B2075" s="79">
        <v>9</v>
      </c>
      <c r="C2075" s="79">
        <v>515</v>
      </c>
      <c r="D2075" s="80">
        <v>43335.427569444444</v>
      </c>
      <c r="E2075" s="81">
        <f t="shared" ca="1" si="16"/>
        <v>43313</v>
      </c>
      <c r="F2075" s="82">
        <f ca="1">IFERROR(__xludf.DUMMYFUNCTION("""COMPUTED_VALUE"""),0.427569444444444)</f>
        <v>0.427569444444444</v>
      </c>
      <c r="G2075" s="83">
        <f t="shared" ca="1" si="17"/>
        <v>19</v>
      </c>
      <c r="H2075" s="83">
        <f ca="1">IFERROR(__xludf.DUMMYFUNCTION("""COMPUTED_VALUE"""),15)</f>
        <v>15</v>
      </c>
      <c r="I2075" s="83">
        <f ca="1">IFERROR(__xludf.DUMMYFUNCTION("""COMPUTED_VALUE"""),42)</f>
        <v>42</v>
      </c>
    </row>
    <row r="2076" spans="1:9">
      <c r="A2076" s="79">
        <v>587</v>
      </c>
      <c r="B2076" s="79">
        <v>11</v>
      </c>
      <c r="C2076" s="79">
        <v>598</v>
      </c>
      <c r="D2076" s="80">
        <v>43335.437974537039</v>
      </c>
      <c r="E2076" s="81">
        <f t="shared" ca="1" si="16"/>
        <v>43313</v>
      </c>
      <c r="F2076" s="82">
        <f ca="1">IFERROR(__xludf.DUMMYFUNCTION("""COMPUTED_VALUE"""),0.437974537037037)</f>
        <v>0.43797453703703698</v>
      </c>
      <c r="G2076" s="83">
        <f t="shared" ca="1" si="17"/>
        <v>19</v>
      </c>
      <c r="H2076" s="83">
        <f ca="1">IFERROR(__xludf.DUMMYFUNCTION("""COMPUTED_VALUE"""),30)</f>
        <v>30</v>
      </c>
      <c r="I2076" s="83">
        <f ca="1">IFERROR(__xludf.DUMMYFUNCTION("""COMPUTED_VALUE"""),41)</f>
        <v>41</v>
      </c>
    </row>
    <row r="2077" spans="1:9">
      <c r="A2077" s="79">
        <v>709</v>
      </c>
      <c r="B2077" s="79">
        <v>15</v>
      </c>
      <c r="C2077" s="79">
        <v>724</v>
      </c>
      <c r="D2077" s="80">
        <v>43335.44840277778</v>
      </c>
      <c r="E2077" s="81">
        <f t="shared" ca="1" si="16"/>
        <v>43313</v>
      </c>
      <c r="F2077" s="82">
        <f ca="1">IFERROR(__xludf.DUMMYFUNCTION("""COMPUTED_VALUE"""),0.448402777777777)</f>
        <v>0.44840277777777698</v>
      </c>
      <c r="G2077" s="83">
        <f t="shared" ca="1" si="17"/>
        <v>19</v>
      </c>
      <c r="H2077" s="83">
        <f ca="1">IFERROR(__xludf.DUMMYFUNCTION("""COMPUTED_VALUE"""),45)</f>
        <v>45</v>
      </c>
      <c r="I2077" s="83">
        <f ca="1">IFERROR(__xludf.DUMMYFUNCTION("""COMPUTED_VALUE"""),42)</f>
        <v>42</v>
      </c>
    </row>
    <row r="2078" spans="1:9">
      <c r="A2078" s="79">
        <v>547</v>
      </c>
      <c r="B2078" s="79">
        <v>7</v>
      </c>
      <c r="C2078" s="79">
        <v>554</v>
      </c>
      <c r="D2078" s="80">
        <v>43335.458807870367</v>
      </c>
      <c r="E2078" s="81">
        <f t="shared" ca="1" si="16"/>
        <v>43313</v>
      </c>
      <c r="F2078" s="82">
        <f ca="1">IFERROR(__xludf.DUMMYFUNCTION("""COMPUTED_VALUE"""),0.45880787037037)</f>
        <v>0.45880787037037002</v>
      </c>
      <c r="G2078" s="83">
        <f t="shared" ca="1" si="17"/>
        <v>19</v>
      </c>
      <c r="H2078" s="83">
        <f ca="1">IFERROR(__xludf.DUMMYFUNCTION("""COMPUTED_VALUE"""),0)</f>
        <v>0</v>
      </c>
      <c r="I2078" s="83">
        <f ca="1">IFERROR(__xludf.DUMMYFUNCTION("""COMPUTED_VALUE"""),41)</f>
        <v>41</v>
      </c>
    </row>
    <row r="2079" spans="1:9">
      <c r="A2079" s="79">
        <v>439</v>
      </c>
      <c r="B2079" s="79">
        <v>4</v>
      </c>
      <c r="C2079" s="79">
        <v>443</v>
      </c>
      <c r="D2079" s="80">
        <v>43335.469236111108</v>
      </c>
      <c r="E2079" s="81">
        <f t="shared" ca="1" si="16"/>
        <v>43313</v>
      </c>
      <c r="F2079" s="82">
        <f ca="1">IFERROR(__xludf.DUMMYFUNCTION("""COMPUTED_VALUE"""),0.469236111111111)</f>
        <v>0.46923611111111102</v>
      </c>
      <c r="G2079" s="83">
        <f t="shared" ca="1" si="17"/>
        <v>19</v>
      </c>
      <c r="H2079" s="83">
        <f ca="1">IFERROR(__xludf.DUMMYFUNCTION("""COMPUTED_VALUE"""),15)</f>
        <v>15</v>
      </c>
      <c r="I2079" s="83">
        <f ca="1">IFERROR(__xludf.DUMMYFUNCTION("""COMPUTED_VALUE"""),42)</f>
        <v>42</v>
      </c>
    </row>
    <row r="2080" spans="1:9">
      <c r="A2080" s="79">
        <v>404</v>
      </c>
      <c r="B2080" s="79">
        <v>7</v>
      </c>
      <c r="C2080" s="79">
        <v>411</v>
      </c>
      <c r="D2080" s="80">
        <v>43335.47965277778</v>
      </c>
      <c r="E2080" s="81">
        <f t="shared" ca="1" si="16"/>
        <v>43313</v>
      </c>
      <c r="F2080" s="82">
        <f ca="1">IFERROR(__xludf.DUMMYFUNCTION("""COMPUTED_VALUE"""),0.479652777777777)</f>
        <v>0.47965277777777698</v>
      </c>
      <c r="G2080" s="83">
        <f t="shared" ca="1" si="17"/>
        <v>19</v>
      </c>
      <c r="H2080" s="83">
        <f ca="1">IFERROR(__xludf.DUMMYFUNCTION("""COMPUTED_VALUE"""),30)</f>
        <v>30</v>
      </c>
      <c r="I2080" s="83">
        <f ca="1">IFERROR(__xludf.DUMMYFUNCTION("""COMPUTED_VALUE"""),42)</f>
        <v>42</v>
      </c>
    </row>
    <row r="2081" spans="1:9">
      <c r="A2081" s="79">
        <v>376</v>
      </c>
      <c r="B2081" s="79">
        <v>9</v>
      </c>
      <c r="C2081" s="79">
        <v>385</v>
      </c>
      <c r="D2081" s="80">
        <v>43335.490069444444</v>
      </c>
      <c r="E2081" s="81">
        <f t="shared" ca="1" si="16"/>
        <v>43313</v>
      </c>
      <c r="F2081" s="82">
        <f ca="1">IFERROR(__xludf.DUMMYFUNCTION("""COMPUTED_VALUE"""),0.490069444444444)</f>
        <v>0.490069444444444</v>
      </c>
      <c r="G2081" s="83">
        <f t="shared" ca="1" si="17"/>
        <v>19</v>
      </c>
      <c r="H2081" s="83">
        <f ca="1">IFERROR(__xludf.DUMMYFUNCTION("""COMPUTED_VALUE"""),45)</f>
        <v>45</v>
      </c>
      <c r="I2081" s="83">
        <f ca="1">IFERROR(__xludf.DUMMYFUNCTION("""COMPUTED_VALUE"""),42)</f>
        <v>42</v>
      </c>
    </row>
    <row r="2082" spans="1:9">
      <c r="A2082" s="79">
        <v>281</v>
      </c>
      <c r="B2082" s="79">
        <v>3</v>
      </c>
      <c r="C2082" s="79">
        <v>284</v>
      </c>
      <c r="D2082" s="80">
        <v>43335.500486111108</v>
      </c>
      <c r="E2082" s="81">
        <f t="shared" ca="1" si="16"/>
        <v>43313</v>
      </c>
      <c r="F2082" s="82">
        <f ca="1">IFERROR(__xludf.DUMMYFUNCTION("""COMPUTED_VALUE"""),0.500486111111111)</f>
        <v>0.50048611111111097</v>
      </c>
      <c r="G2082" s="83">
        <f t="shared" ca="1" si="17"/>
        <v>19</v>
      </c>
      <c r="H2082" s="83">
        <f ca="1">IFERROR(__xludf.DUMMYFUNCTION("""COMPUTED_VALUE"""),0)</f>
        <v>0</v>
      </c>
      <c r="I2082" s="83">
        <f ca="1">IFERROR(__xludf.DUMMYFUNCTION("""COMPUTED_VALUE"""),42)</f>
        <v>42</v>
      </c>
    </row>
    <row r="2083" spans="1:9">
      <c r="A2083" s="79">
        <v>256</v>
      </c>
      <c r="B2083" s="79">
        <v>2</v>
      </c>
      <c r="C2083" s="79">
        <v>258</v>
      </c>
      <c r="D2083" s="80">
        <v>43335.51090277778</v>
      </c>
      <c r="E2083" s="81">
        <f t="shared" ca="1" si="16"/>
        <v>43313</v>
      </c>
      <c r="F2083" s="82">
        <f ca="1">IFERROR(__xludf.DUMMYFUNCTION("""COMPUTED_VALUE"""),0.510902777777777)</f>
        <v>0.51090277777777704</v>
      </c>
      <c r="G2083" s="83">
        <f t="shared" ca="1" si="17"/>
        <v>19</v>
      </c>
      <c r="H2083" s="83">
        <f ca="1">IFERROR(__xludf.DUMMYFUNCTION("""COMPUTED_VALUE"""),15)</f>
        <v>15</v>
      </c>
      <c r="I2083" s="83">
        <f ca="1">IFERROR(__xludf.DUMMYFUNCTION("""COMPUTED_VALUE"""),42)</f>
        <v>42</v>
      </c>
    </row>
    <row r="2084" spans="1:9">
      <c r="A2084" s="79">
        <v>240</v>
      </c>
      <c r="B2084" s="79">
        <v>0</v>
      </c>
      <c r="C2084" s="79">
        <v>240</v>
      </c>
      <c r="D2084" s="80">
        <v>43335.521307870367</v>
      </c>
      <c r="E2084" s="81">
        <f t="shared" ca="1" si="16"/>
        <v>43313</v>
      </c>
      <c r="F2084" s="82">
        <f ca="1">IFERROR(__xludf.DUMMYFUNCTION("""COMPUTED_VALUE"""),0.52130787037037)</f>
        <v>0.52130787037036996</v>
      </c>
      <c r="G2084" s="83">
        <f t="shared" ca="1" si="17"/>
        <v>19</v>
      </c>
      <c r="H2084" s="83">
        <f ca="1">IFERROR(__xludf.DUMMYFUNCTION("""COMPUTED_VALUE"""),30)</f>
        <v>30</v>
      </c>
      <c r="I2084" s="83">
        <f ca="1">IFERROR(__xludf.DUMMYFUNCTION("""COMPUTED_VALUE"""),41)</f>
        <v>41</v>
      </c>
    </row>
    <row r="2085" spans="1:9">
      <c r="A2085" s="79">
        <v>286</v>
      </c>
      <c r="B2085" s="79">
        <v>1</v>
      </c>
      <c r="C2085" s="79">
        <v>287</v>
      </c>
      <c r="D2085" s="80">
        <v>43335.531736111108</v>
      </c>
      <c r="E2085" s="81">
        <f t="shared" ca="1" si="16"/>
        <v>43313</v>
      </c>
      <c r="F2085" s="82">
        <f ca="1">IFERROR(__xludf.DUMMYFUNCTION("""COMPUTED_VALUE"""),0.531736111111111)</f>
        <v>0.53173611111111097</v>
      </c>
      <c r="G2085" s="83">
        <f t="shared" ca="1" si="17"/>
        <v>19</v>
      </c>
      <c r="H2085" s="83">
        <f ca="1">IFERROR(__xludf.DUMMYFUNCTION("""COMPUTED_VALUE"""),45)</f>
        <v>45</v>
      </c>
      <c r="I2085" s="83">
        <f ca="1">IFERROR(__xludf.DUMMYFUNCTION("""COMPUTED_VALUE"""),42)</f>
        <v>42</v>
      </c>
    </row>
    <row r="2086" spans="1:9">
      <c r="A2086" s="79">
        <v>262</v>
      </c>
      <c r="B2086" s="79">
        <v>2</v>
      </c>
      <c r="C2086" s="79">
        <v>261</v>
      </c>
      <c r="D2086" s="80">
        <v>43335.542141203703</v>
      </c>
      <c r="E2086" s="81">
        <f t="shared" ca="1" si="16"/>
        <v>43313</v>
      </c>
      <c r="F2086" s="82">
        <f ca="1">IFERROR(__xludf.DUMMYFUNCTION("""COMPUTED_VALUE"""),0.542141203703703)</f>
        <v>0.542141203703703</v>
      </c>
      <c r="G2086" s="83">
        <f t="shared" ca="1" si="17"/>
        <v>19</v>
      </c>
      <c r="H2086" s="83">
        <f ca="1">IFERROR(__xludf.DUMMYFUNCTION("""COMPUTED_VALUE"""),0)</f>
        <v>0</v>
      </c>
      <c r="I2086" s="83">
        <f ca="1">IFERROR(__xludf.DUMMYFUNCTION("""COMPUTED_VALUE"""),41)</f>
        <v>41</v>
      </c>
    </row>
    <row r="2087" spans="1:9">
      <c r="A2087" s="79">
        <v>239</v>
      </c>
      <c r="B2087" s="79">
        <v>4</v>
      </c>
      <c r="C2087" s="79">
        <v>243</v>
      </c>
      <c r="D2087" s="80">
        <v>43335.552557870367</v>
      </c>
      <c r="E2087" s="81">
        <f t="shared" ca="1" si="16"/>
        <v>43313</v>
      </c>
      <c r="F2087" s="82">
        <f ca="1">IFERROR(__xludf.DUMMYFUNCTION("""COMPUTED_VALUE"""),0.55255787037037)</f>
        <v>0.55255787037036996</v>
      </c>
      <c r="G2087" s="83">
        <f t="shared" ca="1" si="17"/>
        <v>19</v>
      </c>
      <c r="H2087" s="83">
        <f ca="1">IFERROR(__xludf.DUMMYFUNCTION("""COMPUTED_VALUE"""),15)</f>
        <v>15</v>
      </c>
      <c r="I2087" s="83">
        <f ca="1">IFERROR(__xludf.DUMMYFUNCTION("""COMPUTED_VALUE"""),41)</f>
        <v>41</v>
      </c>
    </row>
    <row r="2088" spans="1:9">
      <c r="A2088" s="79">
        <v>253</v>
      </c>
      <c r="B2088" s="79">
        <v>5</v>
      </c>
      <c r="C2088" s="79">
        <v>258</v>
      </c>
      <c r="D2088" s="80">
        <v>43335.562974537039</v>
      </c>
      <c r="E2088" s="81">
        <f t="shared" ca="1" si="16"/>
        <v>43313</v>
      </c>
      <c r="F2088" s="82">
        <f ca="1">IFERROR(__xludf.DUMMYFUNCTION("""COMPUTED_VALUE"""),0.562974537037037)</f>
        <v>0.56297453703703704</v>
      </c>
      <c r="G2088" s="83">
        <f t="shared" ca="1" si="17"/>
        <v>19</v>
      </c>
      <c r="H2088" s="83">
        <f ca="1">IFERROR(__xludf.DUMMYFUNCTION("""COMPUTED_VALUE"""),30)</f>
        <v>30</v>
      </c>
      <c r="I2088" s="83">
        <f ca="1">IFERROR(__xludf.DUMMYFUNCTION("""COMPUTED_VALUE"""),41)</f>
        <v>41</v>
      </c>
    </row>
    <row r="2089" spans="1:9">
      <c r="A2089" s="79">
        <v>314</v>
      </c>
      <c r="B2089" s="79">
        <v>2</v>
      </c>
      <c r="C2089" s="79">
        <v>316</v>
      </c>
      <c r="D2089" s="80">
        <v>43335.573391203703</v>
      </c>
      <c r="E2089" s="81">
        <f t="shared" ca="1" si="16"/>
        <v>43313</v>
      </c>
      <c r="F2089" s="82">
        <f ca="1">IFERROR(__xludf.DUMMYFUNCTION("""COMPUTED_VALUE"""),0.573391203703703)</f>
        <v>0.573391203703703</v>
      </c>
      <c r="G2089" s="83">
        <f t="shared" ca="1" si="17"/>
        <v>19</v>
      </c>
      <c r="H2089" s="83">
        <f ca="1">IFERROR(__xludf.DUMMYFUNCTION("""COMPUTED_VALUE"""),45)</f>
        <v>45</v>
      </c>
      <c r="I2089" s="83">
        <f ca="1">IFERROR(__xludf.DUMMYFUNCTION("""COMPUTED_VALUE"""),41)</f>
        <v>41</v>
      </c>
    </row>
    <row r="2090" spans="1:9">
      <c r="A2090" s="79">
        <v>272</v>
      </c>
      <c r="B2090" s="79">
        <v>0</v>
      </c>
      <c r="C2090" s="79">
        <v>272</v>
      </c>
      <c r="D2090" s="80">
        <v>43335.583807870367</v>
      </c>
      <c r="E2090" s="81">
        <f t="shared" ca="1" si="16"/>
        <v>43313</v>
      </c>
      <c r="F2090" s="82">
        <f ca="1">IFERROR(__xludf.DUMMYFUNCTION("""COMPUTED_VALUE"""),0.58380787037037)</f>
        <v>0.58380787037036996</v>
      </c>
      <c r="G2090" s="83">
        <f t="shared" ca="1" si="17"/>
        <v>19</v>
      </c>
      <c r="H2090" s="83">
        <f ca="1">IFERROR(__xludf.DUMMYFUNCTION("""COMPUTED_VALUE"""),0)</f>
        <v>0</v>
      </c>
      <c r="I2090" s="83">
        <f ca="1">IFERROR(__xludf.DUMMYFUNCTION("""COMPUTED_VALUE"""),41)</f>
        <v>41</v>
      </c>
    </row>
    <row r="2091" spans="1:9">
      <c r="A2091" s="79">
        <v>310</v>
      </c>
      <c r="B2091" s="79">
        <v>0</v>
      </c>
      <c r="C2091" s="79">
        <v>310</v>
      </c>
      <c r="D2091" s="80">
        <v>43335.594224537039</v>
      </c>
      <c r="E2091" s="81">
        <f t="shared" ca="1" si="16"/>
        <v>43313</v>
      </c>
      <c r="F2091" s="82">
        <f ca="1">IFERROR(__xludf.DUMMYFUNCTION("""COMPUTED_VALUE"""),0.594224537037037)</f>
        <v>0.59422453703703704</v>
      </c>
      <c r="G2091" s="83">
        <f t="shared" ca="1" si="17"/>
        <v>19</v>
      </c>
      <c r="H2091" s="83">
        <f ca="1">IFERROR(__xludf.DUMMYFUNCTION("""COMPUTED_VALUE"""),15)</f>
        <v>15</v>
      </c>
      <c r="I2091" s="83">
        <f ca="1">IFERROR(__xludf.DUMMYFUNCTION("""COMPUTED_VALUE"""),41)</f>
        <v>41</v>
      </c>
    </row>
    <row r="2092" spans="1:9">
      <c r="A2092" s="79">
        <v>306</v>
      </c>
      <c r="B2092" s="79">
        <v>1</v>
      </c>
      <c r="C2092" s="79">
        <v>303</v>
      </c>
      <c r="D2092" s="80">
        <v>43335.60465277778</v>
      </c>
      <c r="E2092" s="81">
        <f t="shared" ca="1" si="16"/>
        <v>43313</v>
      </c>
      <c r="F2092" s="82">
        <f ca="1">IFERROR(__xludf.DUMMYFUNCTION("""COMPUTED_VALUE"""),0.604652777777777)</f>
        <v>0.60465277777777704</v>
      </c>
      <c r="G2092" s="83">
        <f t="shared" ca="1" si="17"/>
        <v>19</v>
      </c>
      <c r="H2092" s="83">
        <f ca="1">IFERROR(__xludf.DUMMYFUNCTION("""COMPUTED_VALUE"""),30)</f>
        <v>30</v>
      </c>
      <c r="I2092" s="83">
        <f ca="1">IFERROR(__xludf.DUMMYFUNCTION("""COMPUTED_VALUE"""),42)</f>
        <v>42</v>
      </c>
    </row>
    <row r="2093" spans="1:9">
      <c r="A2093" s="79">
        <v>302</v>
      </c>
      <c r="B2093" s="79">
        <v>3</v>
      </c>
      <c r="C2093" s="79">
        <v>305</v>
      </c>
      <c r="D2093" s="80">
        <v>43335.615057870367</v>
      </c>
      <c r="E2093" s="81">
        <f t="shared" ca="1" si="16"/>
        <v>43313</v>
      </c>
      <c r="F2093" s="82">
        <f ca="1">IFERROR(__xludf.DUMMYFUNCTION("""COMPUTED_VALUE"""),0.61505787037037)</f>
        <v>0.61505787037036996</v>
      </c>
      <c r="G2093" s="83">
        <f t="shared" ca="1" si="17"/>
        <v>19</v>
      </c>
      <c r="H2093" s="83">
        <f ca="1">IFERROR(__xludf.DUMMYFUNCTION("""COMPUTED_VALUE"""),45)</f>
        <v>45</v>
      </c>
      <c r="I2093" s="83">
        <f ca="1">IFERROR(__xludf.DUMMYFUNCTION("""COMPUTED_VALUE"""),41)</f>
        <v>41</v>
      </c>
    </row>
    <row r="2094" spans="1:9">
      <c r="A2094" s="79">
        <v>290</v>
      </c>
      <c r="B2094" s="79">
        <v>3</v>
      </c>
      <c r="C2094" s="79">
        <v>293</v>
      </c>
      <c r="D2094" s="80">
        <v>43335.625486111108</v>
      </c>
      <c r="E2094" s="81">
        <f t="shared" ca="1" si="16"/>
        <v>43313</v>
      </c>
      <c r="F2094" s="82">
        <f ca="1">IFERROR(__xludf.DUMMYFUNCTION("""COMPUTED_VALUE"""),0.625486111111111)</f>
        <v>0.62548611111111097</v>
      </c>
      <c r="G2094" s="83">
        <f t="shared" ca="1" si="17"/>
        <v>19</v>
      </c>
      <c r="H2094" s="83">
        <f ca="1">IFERROR(__xludf.DUMMYFUNCTION("""COMPUTED_VALUE"""),0)</f>
        <v>0</v>
      </c>
      <c r="I2094" s="83">
        <f ca="1">IFERROR(__xludf.DUMMYFUNCTION("""COMPUTED_VALUE"""),42)</f>
        <v>42</v>
      </c>
    </row>
    <row r="2095" spans="1:9">
      <c r="A2095" s="79">
        <v>355</v>
      </c>
      <c r="B2095" s="79">
        <v>3</v>
      </c>
      <c r="C2095" s="79">
        <v>358</v>
      </c>
      <c r="D2095" s="80">
        <v>43335.635891203703</v>
      </c>
      <c r="E2095" s="81">
        <f t="shared" ca="1" si="16"/>
        <v>43313</v>
      </c>
      <c r="F2095" s="82">
        <f ca="1">IFERROR(__xludf.DUMMYFUNCTION("""COMPUTED_VALUE"""),0.635891203703703)</f>
        <v>0.635891203703703</v>
      </c>
      <c r="G2095" s="83">
        <f t="shared" ca="1" si="17"/>
        <v>19</v>
      </c>
      <c r="H2095" s="83">
        <f ca="1">IFERROR(__xludf.DUMMYFUNCTION("""COMPUTED_VALUE"""),15)</f>
        <v>15</v>
      </c>
      <c r="I2095" s="83">
        <f ca="1">IFERROR(__xludf.DUMMYFUNCTION("""COMPUTED_VALUE"""),41)</f>
        <v>41</v>
      </c>
    </row>
    <row r="2096" spans="1:9">
      <c r="A2096" s="79">
        <v>329</v>
      </c>
      <c r="B2096" s="79">
        <v>4</v>
      </c>
      <c r="C2096" s="79">
        <v>333</v>
      </c>
      <c r="D2096" s="80">
        <v>43335.646307870367</v>
      </c>
      <c r="E2096" s="81">
        <f t="shared" ca="1" si="16"/>
        <v>43313</v>
      </c>
      <c r="F2096" s="82">
        <f ca="1">IFERROR(__xludf.DUMMYFUNCTION("""COMPUTED_VALUE"""),0.64630787037037)</f>
        <v>0.64630787037036996</v>
      </c>
      <c r="G2096" s="83">
        <f t="shared" ca="1" si="17"/>
        <v>19</v>
      </c>
      <c r="H2096" s="83">
        <f ca="1">IFERROR(__xludf.DUMMYFUNCTION("""COMPUTED_VALUE"""),30)</f>
        <v>30</v>
      </c>
      <c r="I2096" s="83">
        <f ca="1">IFERROR(__xludf.DUMMYFUNCTION("""COMPUTED_VALUE"""),41)</f>
        <v>41</v>
      </c>
    </row>
    <row r="2097" spans="1:9">
      <c r="A2097" s="79">
        <v>377</v>
      </c>
      <c r="B2097" s="79">
        <v>5</v>
      </c>
      <c r="C2097" s="79">
        <v>382</v>
      </c>
      <c r="D2097" s="80">
        <v>43335.656724537039</v>
      </c>
      <c r="E2097" s="81">
        <f t="shared" ca="1" si="16"/>
        <v>43313</v>
      </c>
      <c r="F2097" s="82">
        <f ca="1">IFERROR(__xludf.DUMMYFUNCTION("""COMPUTED_VALUE"""),0.656724537037037)</f>
        <v>0.65672453703703704</v>
      </c>
      <c r="G2097" s="83">
        <f t="shared" ca="1" si="17"/>
        <v>19</v>
      </c>
      <c r="H2097" s="83">
        <f ca="1">IFERROR(__xludf.DUMMYFUNCTION("""COMPUTED_VALUE"""),45)</f>
        <v>45</v>
      </c>
      <c r="I2097" s="83">
        <f ca="1">IFERROR(__xludf.DUMMYFUNCTION("""COMPUTED_VALUE"""),41)</f>
        <v>41</v>
      </c>
    </row>
    <row r="2098" spans="1:9">
      <c r="A2098" s="79">
        <v>323</v>
      </c>
      <c r="B2098" s="79">
        <v>2</v>
      </c>
      <c r="C2098" s="79">
        <v>325</v>
      </c>
      <c r="D2098" s="80">
        <v>43335.667141203703</v>
      </c>
      <c r="E2098" s="81">
        <f t="shared" ca="1" si="16"/>
        <v>43313</v>
      </c>
      <c r="F2098" s="82">
        <f ca="1">IFERROR(__xludf.DUMMYFUNCTION("""COMPUTED_VALUE"""),0.667141203703703)</f>
        <v>0.667141203703703</v>
      </c>
      <c r="G2098" s="83">
        <f t="shared" ca="1" si="17"/>
        <v>19</v>
      </c>
      <c r="H2098" s="83">
        <f ca="1">IFERROR(__xludf.DUMMYFUNCTION("""COMPUTED_VALUE"""),0)</f>
        <v>0</v>
      </c>
      <c r="I2098" s="83">
        <f ca="1">IFERROR(__xludf.DUMMYFUNCTION("""COMPUTED_VALUE"""),41)</f>
        <v>41</v>
      </c>
    </row>
    <row r="2099" spans="1:9">
      <c r="A2099" s="79">
        <v>400</v>
      </c>
      <c r="B2099" s="79">
        <v>5</v>
      </c>
      <c r="C2099" s="79">
        <v>405</v>
      </c>
      <c r="D2099" s="80">
        <v>43335.677557870367</v>
      </c>
      <c r="E2099" s="81">
        <f t="shared" ca="1" si="16"/>
        <v>43313</v>
      </c>
      <c r="F2099" s="82">
        <f ca="1">IFERROR(__xludf.DUMMYFUNCTION("""COMPUTED_VALUE"""),0.67755787037037)</f>
        <v>0.67755787037036996</v>
      </c>
      <c r="G2099" s="83">
        <f t="shared" ca="1" si="17"/>
        <v>19</v>
      </c>
      <c r="H2099" s="83">
        <f ca="1">IFERROR(__xludf.DUMMYFUNCTION("""COMPUTED_VALUE"""),15)</f>
        <v>15</v>
      </c>
      <c r="I2099" s="83">
        <f ca="1">IFERROR(__xludf.DUMMYFUNCTION("""COMPUTED_VALUE"""),41)</f>
        <v>41</v>
      </c>
    </row>
    <row r="2100" spans="1:9">
      <c r="A2100" s="79">
        <v>368</v>
      </c>
      <c r="B2100" s="79">
        <v>5</v>
      </c>
      <c r="C2100" s="79">
        <v>373</v>
      </c>
      <c r="D2100" s="80">
        <v>43335.687962962962</v>
      </c>
      <c r="E2100" s="81">
        <f t="shared" ca="1" si="16"/>
        <v>43313</v>
      </c>
      <c r="F2100" s="82">
        <f ca="1">IFERROR(__xludf.DUMMYFUNCTION("""COMPUTED_VALUE"""),0.687962962962963)</f>
        <v>0.687962962962963</v>
      </c>
      <c r="G2100" s="83">
        <f t="shared" ca="1" si="17"/>
        <v>19</v>
      </c>
      <c r="H2100" s="83">
        <f ca="1">IFERROR(__xludf.DUMMYFUNCTION("""COMPUTED_VALUE"""),30)</f>
        <v>30</v>
      </c>
      <c r="I2100" s="83">
        <f ca="1">IFERROR(__xludf.DUMMYFUNCTION("""COMPUTED_VALUE"""),40)</f>
        <v>40</v>
      </c>
    </row>
    <row r="2101" spans="1:9">
      <c r="A2101" s="79">
        <v>423</v>
      </c>
      <c r="B2101" s="79">
        <v>3</v>
      </c>
      <c r="C2101" s="79">
        <v>416</v>
      </c>
      <c r="D2101" s="80">
        <v>43335.69840277778</v>
      </c>
      <c r="E2101" s="81">
        <f t="shared" ca="1" si="16"/>
        <v>43313</v>
      </c>
      <c r="F2101" s="82">
        <f ca="1">IFERROR(__xludf.DUMMYFUNCTION("""COMPUTED_VALUE"""),0.698402777777777)</f>
        <v>0.69840277777777704</v>
      </c>
      <c r="G2101" s="83">
        <f t="shared" ca="1" si="17"/>
        <v>19</v>
      </c>
      <c r="H2101" s="83">
        <f ca="1">IFERROR(__xludf.DUMMYFUNCTION("""COMPUTED_VALUE"""),45)</f>
        <v>45</v>
      </c>
      <c r="I2101" s="83">
        <f ca="1">IFERROR(__xludf.DUMMYFUNCTION("""COMPUTED_VALUE"""),42)</f>
        <v>42</v>
      </c>
    </row>
    <row r="2102" spans="1:9">
      <c r="A2102" s="79">
        <v>340</v>
      </c>
      <c r="B2102" s="79">
        <v>2</v>
      </c>
      <c r="C2102" s="79">
        <v>342</v>
      </c>
      <c r="D2102" s="80">
        <v>43335.708807870367</v>
      </c>
      <c r="E2102" s="81">
        <f t="shared" ca="1" si="16"/>
        <v>43313</v>
      </c>
      <c r="F2102" s="82">
        <f ca="1">IFERROR(__xludf.DUMMYFUNCTION("""COMPUTED_VALUE"""),0.70880787037037)</f>
        <v>0.70880787037036996</v>
      </c>
      <c r="G2102" s="83">
        <f t="shared" ca="1" si="17"/>
        <v>19</v>
      </c>
      <c r="H2102" s="83">
        <f ca="1">IFERROR(__xludf.DUMMYFUNCTION("""COMPUTED_VALUE"""),0)</f>
        <v>0</v>
      </c>
      <c r="I2102" s="83">
        <f ca="1">IFERROR(__xludf.DUMMYFUNCTION("""COMPUTED_VALUE"""),41)</f>
        <v>41</v>
      </c>
    </row>
    <row r="2103" spans="1:9">
      <c r="A2103" s="79">
        <v>562</v>
      </c>
      <c r="B2103" s="79">
        <v>7</v>
      </c>
      <c r="C2103" s="79">
        <v>569</v>
      </c>
      <c r="D2103" s="80">
        <v>43335.719224537039</v>
      </c>
      <c r="E2103" s="81">
        <f t="shared" ca="1" si="16"/>
        <v>43313</v>
      </c>
      <c r="F2103" s="82">
        <f ca="1">IFERROR(__xludf.DUMMYFUNCTION("""COMPUTED_VALUE"""),0.719224537037037)</f>
        <v>0.71922453703703704</v>
      </c>
      <c r="G2103" s="83">
        <f t="shared" ca="1" si="17"/>
        <v>19</v>
      </c>
      <c r="H2103" s="83">
        <f ca="1">IFERROR(__xludf.DUMMYFUNCTION("""COMPUTED_VALUE"""),15)</f>
        <v>15</v>
      </c>
      <c r="I2103" s="83">
        <f ca="1">IFERROR(__xludf.DUMMYFUNCTION("""COMPUTED_VALUE"""),41)</f>
        <v>41</v>
      </c>
    </row>
    <row r="2104" spans="1:9">
      <c r="A2104" s="79">
        <v>391</v>
      </c>
      <c r="B2104" s="79">
        <v>3</v>
      </c>
      <c r="C2104" s="79">
        <v>394</v>
      </c>
      <c r="D2104" s="80">
        <v>43336.469259259262</v>
      </c>
      <c r="E2104" s="81">
        <f t="shared" ca="1" si="16"/>
        <v>43313</v>
      </c>
      <c r="F2104" s="82">
        <f ca="1">IFERROR(__xludf.DUMMYFUNCTION("""COMPUTED_VALUE"""),0.469259259259259)</f>
        <v>0.46925925925925899</v>
      </c>
      <c r="G2104" s="83">
        <f t="shared" ca="1" si="17"/>
        <v>19</v>
      </c>
      <c r="H2104" s="83">
        <f ca="1">IFERROR(__xludf.DUMMYFUNCTION("""COMPUTED_VALUE"""),15)</f>
        <v>15</v>
      </c>
      <c r="I2104" s="83">
        <f ca="1">IFERROR(__xludf.DUMMYFUNCTION("""COMPUTED_VALUE"""),44)</f>
        <v>44</v>
      </c>
    </row>
    <row r="2105" spans="1:9">
      <c r="A2105" s="79">
        <v>334</v>
      </c>
      <c r="B2105" s="79">
        <v>6</v>
      </c>
      <c r="C2105" s="79">
        <v>340</v>
      </c>
      <c r="D2105" s="80">
        <v>43336.479675925926</v>
      </c>
      <c r="E2105" s="81">
        <f t="shared" ca="1" si="16"/>
        <v>43313</v>
      </c>
      <c r="F2105" s="82">
        <f ca="1">IFERROR(__xludf.DUMMYFUNCTION("""COMPUTED_VALUE"""),0.479675925925925)</f>
        <v>0.47967592592592501</v>
      </c>
      <c r="G2105" s="83">
        <f t="shared" ca="1" si="17"/>
        <v>19</v>
      </c>
      <c r="H2105" s="83">
        <f ca="1">IFERROR(__xludf.DUMMYFUNCTION("""COMPUTED_VALUE"""),30)</f>
        <v>30</v>
      </c>
      <c r="I2105" s="83">
        <f ca="1">IFERROR(__xludf.DUMMYFUNCTION("""COMPUTED_VALUE"""),44)</f>
        <v>44</v>
      </c>
    </row>
    <row r="2106" spans="1:9">
      <c r="A2106" s="79">
        <v>349</v>
      </c>
      <c r="B2106" s="79">
        <v>7</v>
      </c>
      <c r="C2106" s="79">
        <v>348</v>
      </c>
      <c r="D2106" s="80">
        <v>43336.490081018521</v>
      </c>
      <c r="E2106" s="81">
        <f t="shared" ca="1" si="16"/>
        <v>43313</v>
      </c>
      <c r="F2106" s="82">
        <f ca="1">IFERROR(__xludf.DUMMYFUNCTION("""COMPUTED_VALUE"""),0.490081018518518)</f>
        <v>0.49008101851851799</v>
      </c>
      <c r="G2106" s="83">
        <f t="shared" ca="1" si="17"/>
        <v>19</v>
      </c>
      <c r="H2106" s="83">
        <f ca="1">IFERROR(__xludf.DUMMYFUNCTION("""COMPUTED_VALUE"""),45)</f>
        <v>45</v>
      </c>
      <c r="I2106" s="83">
        <f ca="1">IFERROR(__xludf.DUMMYFUNCTION("""COMPUTED_VALUE"""),43)</f>
        <v>43</v>
      </c>
    </row>
    <row r="2107" spans="1:9">
      <c r="A2107" s="79">
        <v>236</v>
      </c>
      <c r="B2107" s="79">
        <v>3</v>
      </c>
      <c r="C2107" s="79">
        <v>239</v>
      </c>
      <c r="D2107" s="80">
        <v>43336.500509259262</v>
      </c>
      <c r="E2107" s="81">
        <f t="shared" ca="1" si="16"/>
        <v>43313</v>
      </c>
      <c r="F2107" s="82">
        <f ca="1">IFERROR(__xludf.DUMMYFUNCTION("""COMPUTED_VALUE"""),0.500509259259259)</f>
        <v>0.50050925925925904</v>
      </c>
      <c r="G2107" s="83">
        <f t="shared" ca="1" si="17"/>
        <v>19</v>
      </c>
      <c r="H2107" s="83">
        <f ca="1">IFERROR(__xludf.DUMMYFUNCTION("""COMPUTED_VALUE"""),0)</f>
        <v>0</v>
      </c>
      <c r="I2107" s="83">
        <f ca="1">IFERROR(__xludf.DUMMYFUNCTION("""COMPUTED_VALUE"""),44)</f>
        <v>44</v>
      </c>
    </row>
    <row r="2108" spans="1:9">
      <c r="A2108" s="79">
        <v>257</v>
      </c>
      <c r="B2108" s="79">
        <v>4</v>
      </c>
      <c r="C2108" s="79">
        <v>261</v>
      </c>
      <c r="D2108" s="80">
        <v>43336.510925925926</v>
      </c>
      <c r="E2108" s="81">
        <f t="shared" ca="1" si="16"/>
        <v>43313</v>
      </c>
      <c r="F2108" s="82">
        <f ca="1">IFERROR(__xludf.DUMMYFUNCTION("""COMPUTED_VALUE"""),0.510925925925925)</f>
        <v>0.51092592592592501</v>
      </c>
      <c r="G2108" s="83">
        <f t="shared" ca="1" si="17"/>
        <v>19</v>
      </c>
      <c r="H2108" s="83">
        <f ca="1">IFERROR(__xludf.DUMMYFUNCTION("""COMPUTED_VALUE"""),15)</f>
        <v>15</v>
      </c>
      <c r="I2108" s="83">
        <f ca="1">IFERROR(__xludf.DUMMYFUNCTION("""COMPUTED_VALUE"""),44)</f>
        <v>44</v>
      </c>
    </row>
    <row r="2109" spans="1:9">
      <c r="A2109" s="79">
        <v>275</v>
      </c>
      <c r="B2109" s="79">
        <v>4</v>
      </c>
      <c r="C2109" s="79">
        <v>279</v>
      </c>
      <c r="D2109" s="80">
        <v>43336.52134259259</v>
      </c>
      <c r="E2109" s="81">
        <f t="shared" ca="1" si="16"/>
        <v>43313</v>
      </c>
      <c r="F2109" s="82">
        <f ca="1">IFERROR(__xludf.DUMMYFUNCTION("""COMPUTED_VALUE"""),0.521342592592592)</f>
        <v>0.52134259259259197</v>
      </c>
      <c r="G2109" s="83">
        <f t="shared" ca="1" si="17"/>
        <v>19</v>
      </c>
      <c r="H2109" s="83">
        <f ca="1">IFERROR(__xludf.DUMMYFUNCTION("""COMPUTED_VALUE"""),30)</f>
        <v>30</v>
      </c>
      <c r="I2109" s="83">
        <f ca="1">IFERROR(__xludf.DUMMYFUNCTION("""COMPUTED_VALUE"""),44)</f>
        <v>44</v>
      </c>
    </row>
    <row r="2110" spans="1:9">
      <c r="A2110" s="79">
        <v>274</v>
      </c>
      <c r="B2110" s="79">
        <v>2</v>
      </c>
      <c r="C2110" s="79">
        <v>276</v>
      </c>
      <c r="D2110" s="80">
        <v>43336.531747685185</v>
      </c>
      <c r="E2110" s="81">
        <f t="shared" ca="1" si="16"/>
        <v>43313</v>
      </c>
      <c r="F2110" s="82">
        <f ca="1">IFERROR(__xludf.DUMMYFUNCTION("""COMPUTED_VALUE"""),0.531747685185185)</f>
        <v>0.531747685185185</v>
      </c>
      <c r="G2110" s="83">
        <f t="shared" ca="1" si="17"/>
        <v>19</v>
      </c>
      <c r="H2110" s="83">
        <f ca="1">IFERROR(__xludf.DUMMYFUNCTION("""COMPUTED_VALUE"""),45)</f>
        <v>45</v>
      </c>
      <c r="I2110" s="83">
        <f ca="1">IFERROR(__xludf.DUMMYFUNCTION("""COMPUTED_VALUE"""),43)</f>
        <v>43</v>
      </c>
    </row>
    <row r="2111" spans="1:9">
      <c r="A2111" s="79">
        <v>269</v>
      </c>
      <c r="B2111" s="79">
        <v>1</v>
      </c>
      <c r="C2111" s="79">
        <v>270</v>
      </c>
      <c r="D2111" s="80">
        <v>43336.542175925926</v>
      </c>
      <c r="E2111" s="81">
        <f t="shared" ca="1" si="16"/>
        <v>43313</v>
      </c>
      <c r="F2111" s="82">
        <f ca="1">IFERROR(__xludf.DUMMYFUNCTION("""COMPUTED_VALUE"""),0.542175925925925)</f>
        <v>0.54217592592592501</v>
      </c>
      <c r="G2111" s="83">
        <f t="shared" ca="1" si="17"/>
        <v>19</v>
      </c>
      <c r="H2111" s="83">
        <f ca="1">IFERROR(__xludf.DUMMYFUNCTION("""COMPUTED_VALUE"""),0)</f>
        <v>0</v>
      </c>
      <c r="I2111" s="83">
        <f ca="1">IFERROR(__xludf.DUMMYFUNCTION("""COMPUTED_VALUE"""),44)</f>
        <v>44</v>
      </c>
    </row>
    <row r="2112" spans="1:9">
      <c r="A2112" s="79">
        <v>244</v>
      </c>
      <c r="B2112" s="79">
        <v>1</v>
      </c>
      <c r="C2112" s="79">
        <v>245</v>
      </c>
      <c r="D2112" s="80">
        <v>43336.55259259259</v>
      </c>
      <c r="E2112" s="81">
        <f t="shared" ca="1" si="16"/>
        <v>43313</v>
      </c>
      <c r="F2112" s="82">
        <f ca="1">IFERROR(__xludf.DUMMYFUNCTION("""COMPUTED_VALUE"""),0.552592592592592)</f>
        <v>0.55259259259259197</v>
      </c>
      <c r="G2112" s="83">
        <f t="shared" ca="1" si="17"/>
        <v>19</v>
      </c>
      <c r="H2112" s="83">
        <f ca="1">IFERROR(__xludf.DUMMYFUNCTION("""COMPUTED_VALUE"""),15)</f>
        <v>15</v>
      </c>
      <c r="I2112" s="83">
        <f ca="1">IFERROR(__xludf.DUMMYFUNCTION("""COMPUTED_VALUE"""),44)</f>
        <v>44</v>
      </c>
    </row>
    <row r="2113" spans="1:9">
      <c r="A2113" s="79">
        <v>261</v>
      </c>
      <c r="B2113" s="79">
        <v>2</v>
      </c>
      <c r="C2113" s="79">
        <v>263</v>
      </c>
      <c r="D2113" s="80">
        <v>43336.563009259262</v>
      </c>
      <c r="E2113" s="81">
        <f t="shared" ca="1" si="16"/>
        <v>43313</v>
      </c>
      <c r="F2113" s="82">
        <f ca="1">IFERROR(__xludf.DUMMYFUNCTION("""COMPUTED_VALUE"""),0.563009259259259)</f>
        <v>0.56300925925925904</v>
      </c>
      <c r="G2113" s="83">
        <f t="shared" ca="1" si="17"/>
        <v>19</v>
      </c>
      <c r="H2113" s="83">
        <f ca="1">IFERROR(__xludf.DUMMYFUNCTION("""COMPUTED_VALUE"""),30)</f>
        <v>30</v>
      </c>
      <c r="I2113" s="83">
        <f ca="1">IFERROR(__xludf.DUMMYFUNCTION("""COMPUTED_VALUE"""),44)</f>
        <v>44</v>
      </c>
    </row>
    <row r="2114" spans="1:9">
      <c r="A2114" s="79">
        <v>297</v>
      </c>
      <c r="B2114" s="79">
        <v>3</v>
      </c>
      <c r="C2114" s="79">
        <v>300</v>
      </c>
      <c r="D2114" s="80">
        <v>43336.573414351849</v>
      </c>
      <c r="E2114" s="81">
        <f t="shared" ca="1" si="16"/>
        <v>43313</v>
      </c>
      <c r="F2114" s="82">
        <f ca="1">IFERROR(__xludf.DUMMYFUNCTION("""COMPUTED_VALUE"""),0.573414351851851)</f>
        <v>0.57341435185185097</v>
      </c>
      <c r="G2114" s="83">
        <f t="shared" ca="1" si="17"/>
        <v>19</v>
      </c>
      <c r="H2114" s="83">
        <f ca="1">IFERROR(__xludf.DUMMYFUNCTION("""COMPUTED_VALUE"""),45)</f>
        <v>45</v>
      </c>
      <c r="I2114" s="83">
        <f ca="1">IFERROR(__xludf.DUMMYFUNCTION("""COMPUTED_VALUE"""),43)</f>
        <v>43</v>
      </c>
    </row>
    <row r="2115" spans="1:9">
      <c r="A2115" s="79">
        <v>247</v>
      </c>
      <c r="B2115" s="79">
        <v>3</v>
      </c>
      <c r="C2115" s="79">
        <v>250</v>
      </c>
      <c r="D2115" s="80">
        <v>43336.58384259259</v>
      </c>
      <c r="E2115" s="81">
        <f t="shared" ca="1" si="16"/>
        <v>43313</v>
      </c>
      <c r="F2115" s="82">
        <f ca="1">IFERROR(__xludf.DUMMYFUNCTION("""COMPUTED_VALUE"""),0.583842592592592)</f>
        <v>0.58384259259259197</v>
      </c>
      <c r="G2115" s="83">
        <f t="shared" ca="1" si="17"/>
        <v>19</v>
      </c>
      <c r="H2115" s="83">
        <f ca="1">IFERROR(__xludf.DUMMYFUNCTION("""COMPUTED_VALUE"""),0)</f>
        <v>0</v>
      </c>
      <c r="I2115" s="83">
        <f ca="1">IFERROR(__xludf.DUMMYFUNCTION("""COMPUTED_VALUE"""),44)</f>
        <v>44</v>
      </c>
    </row>
    <row r="2116" spans="1:9">
      <c r="A2116" s="79">
        <v>279</v>
      </c>
      <c r="B2116" s="79">
        <v>3</v>
      </c>
      <c r="C2116" s="79">
        <v>282</v>
      </c>
      <c r="D2116" s="80">
        <v>43336.594247685185</v>
      </c>
      <c r="E2116" s="81">
        <f t="shared" ca="1" si="16"/>
        <v>43313</v>
      </c>
      <c r="F2116" s="82">
        <f ca="1">IFERROR(__xludf.DUMMYFUNCTION("""COMPUTED_VALUE"""),0.594247685185185)</f>
        <v>0.594247685185185</v>
      </c>
      <c r="G2116" s="83">
        <f t="shared" ca="1" si="17"/>
        <v>19</v>
      </c>
      <c r="H2116" s="83">
        <f ca="1">IFERROR(__xludf.DUMMYFUNCTION("""COMPUTED_VALUE"""),15)</f>
        <v>15</v>
      </c>
      <c r="I2116" s="83">
        <f ca="1">IFERROR(__xludf.DUMMYFUNCTION("""COMPUTED_VALUE"""),43)</f>
        <v>43</v>
      </c>
    </row>
    <row r="2117" spans="1:9">
      <c r="A2117" s="79">
        <v>304</v>
      </c>
      <c r="B2117" s="79">
        <v>2</v>
      </c>
      <c r="C2117" s="79">
        <v>306</v>
      </c>
      <c r="D2117" s="80">
        <v>43336.604675925926</v>
      </c>
      <c r="E2117" s="81">
        <f t="shared" ca="1" si="16"/>
        <v>43313</v>
      </c>
      <c r="F2117" s="82">
        <f ca="1">IFERROR(__xludf.DUMMYFUNCTION("""COMPUTED_VALUE"""),0.604675925925925)</f>
        <v>0.60467592592592501</v>
      </c>
      <c r="G2117" s="83">
        <f t="shared" ca="1" si="17"/>
        <v>19</v>
      </c>
      <c r="H2117" s="83">
        <f ca="1">IFERROR(__xludf.DUMMYFUNCTION("""COMPUTED_VALUE"""),30)</f>
        <v>30</v>
      </c>
      <c r="I2117" s="83">
        <f ca="1">IFERROR(__xludf.DUMMYFUNCTION("""COMPUTED_VALUE"""),44)</f>
        <v>44</v>
      </c>
    </row>
    <row r="2118" spans="1:9">
      <c r="A2118" s="79">
        <v>317</v>
      </c>
      <c r="B2118" s="79">
        <v>2</v>
      </c>
      <c r="C2118" s="79">
        <v>319</v>
      </c>
      <c r="D2118" s="80">
        <v>43336.615081018521</v>
      </c>
      <c r="E2118" s="81">
        <f t="shared" ca="1" si="16"/>
        <v>43313</v>
      </c>
      <c r="F2118" s="82">
        <f ca="1">IFERROR(__xludf.DUMMYFUNCTION("""COMPUTED_VALUE"""),0.615081018518518)</f>
        <v>0.61508101851851804</v>
      </c>
      <c r="G2118" s="83">
        <f t="shared" ca="1" si="17"/>
        <v>19</v>
      </c>
      <c r="H2118" s="83">
        <f ca="1">IFERROR(__xludf.DUMMYFUNCTION("""COMPUTED_VALUE"""),45)</f>
        <v>45</v>
      </c>
      <c r="I2118" s="83">
        <f ca="1">IFERROR(__xludf.DUMMYFUNCTION("""COMPUTED_VALUE"""),43)</f>
        <v>43</v>
      </c>
    </row>
    <row r="2119" spans="1:9">
      <c r="A2119" s="79">
        <v>279</v>
      </c>
      <c r="B2119" s="79">
        <v>3</v>
      </c>
      <c r="C2119" s="79">
        <v>281</v>
      </c>
      <c r="D2119" s="80">
        <v>43336.625497685185</v>
      </c>
      <c r="E2119" s="81">
        <f t="shared" ca="1" si="16"/>
        <v>43313</v>
      </c>
      <c r="F2119" s="82">
        <f ca="1">IFERROR(__xludf.DUMMYFUNCTION("""COMPUTED_VALUE"""),0.625497685185185)</f>
        <v>0.625497685185185</v>
      </c>
      <c r="G2119" s="83">
        <f t="shared" ca="1" si="17"/>
        <v>19</v>
      </c>
      <c r="H2119" s="83">
        <f ca="1">IFERROR(__xludf.DUMMYFUNCTION("""COMPUTED_VALUE"""),0)</f>
        <v>0</v>
      </c>
      <c r="I2119" s="83">
        <f ca="1">IFERROR(__xludf.DUMMYFUNCTION("""COMPUTED_VALUE"""),43)</f>
        <v>43</v>
      </c>
    </row>
    <row r="2120" spans="1:9">
      <c r="A2120" s="79">
        <v>312</v>
      </c>
      <c r="B2120" s="79">
        <v>4</v>
      </c>
      <c r="C2120" s="79">
        <v>316</v>
      </c>
      <c r="D2120" s="80">
        <v>43336.635914351849</v>
      </c>
      <c r="E2120" s="81">
        <f t="shared" ca="1" si="16"/>
        <v>43313</v>
      </c>
      <c r="F2120" s="82">
        <f ca="1">IFERROR(__xludf.DUMMYFUNCTION("""COMPUTED_VALUE"""),0.635914351851851)</f>
        <v>0.63591435185185097</v>
      </c>
      <c r="G2120" s="83">
        <f t="shared" ca="1" si="17"/>
        <v>19</v>
      </c>
      <c r="H2120" s="83">
        <f ca="1">IFERROR(__xludf.DUMMYFUNCTION("""COMPUTED_VALUE"""),15)</f>
        <v>15</v>
      </c>
      <c r="I2120" s="83">
        <f ca="1">IFERROR(__xludf.DUMMYFUNCTION("""COMPUTED_VALUE"""),43)</f>
        <v>43</v>
      </c>
    </row>
    <row r="2121" spans="1:9">
      <c r="A2121" s="79">
        <v>360</v>
      </c>
      <c r="B2121" s="79">
        <v>2</v>
      </c>
      <c r="C2121" s="79">
        <v>352</v>
      </c>
      <c r="D2121" s="80">
        <v>43336.64634259259</v>
      </c>
      <c r="E2121" s="81">
        <f t="shared" ca="1" si="16"/>
        <v>43313</v>
      </c>
      <c r="F2121" s="82">
        <f ca="1">IFERROR(__xludf.DUMMYFUNCTION("""COMPUTED_VALUE"""),0.646342592592592)</f>
        <v>0.64634259259259197</v>
      </c>
      <c r="G2121" s="83">
        <f t="shared" ca="1" si="17"/>
        <v>19</v>
      </c>
      <c r="H2121" s="83">
        <f ca="1">IFERROR(__xludf.DUMMYFUNCTION("""COMPUTED_VALUE"""),30)</f>
        <v>30</v>
      </c>
      <c r="I2121" s="83">
        <f ca="1">IFERROR(__xludf.DUMMYFUNCTION("""COMPUTED_VALUE"""),44)</f>
        <v>44</v>
      </c>
    </row>
    <row r="2122" spans="1:9">
      <c r="A2122" s="79">
        <v>368</v>
      </c>
      <c r="B2122" s="79">
        <v>6</v>
      </c>
      <c r="C2122" s="79">
        <v>374</v>
      </c>
      <c r="D2122" s="80">
        <v>43336.656747685185</v>
      </c>
      <c r="E2122" s="81">
        <f t="shared" ca="1" si="16"/>
        <v>43313</v>
      </c>
      <c r="F2122" s="82">
        <f ca="1">IFERROR(__xludf.DUMMYFUNCTION("""COMPUTED_VALUE"""),0.656747685185185)</f>
        <v>0.656747685185185</v>
      </c>
      <c r="G2122" s="83">
        <f t="shared" ca="1" si="17"/>
        <v>19</v>
      </c>
      <c r="H2122" s="83">
        <f ca="1">IFERROR(__xludf.DUMMYFUNCTION("""COMPUTED_VALUE"""),45)</f>
        <v>45</v>
      </c>
      <c r="I2122" s="83">
        <f ca="1">IFERROR(__xludf.DUMMYFUNCTION("""COMPUTED_VALUE"""),43)</f>
        <v>43</v>
      </c>
    </row>
    <row r="2123" spans="1:9">
      <c r="A2123" s="79">
        <v>360</v>
      </c>
      <c r="B2123" s="79">
        <v>3</v>
      </c>
      <c r="C2123" s="79">
        <v>363</v>
      </c>
      <c r="D2123" s="80">
        <v>43336.667175925926</v>
      </c>
      <c r="E2123" s="81">
        <f t="shared" ca="1" si="16"/>
        <v>43313</v>
      </c>
      <c r="F2123" s="82">
        <f ca="1">IFERROR(__xludf.DUMMYFUNCTION("""COMPUTED_VALUE"""),0.667175925925925)</f>
        <v>0.66717592592592501</v>
      </c>
      <c r="G2123" s="83">
        <f t="shared" ca="1" si="17"/>
        <v>19</v>
      </c>
      <c r="H2123" s="83">
        <f ca="1">IFERROR(__xludf.DUMMYFUNCTION("""COMPUTED_VALUE"""),0)</f>
        <v>0</v>
      </c>
      <c r="I2123" s="83">
        <f ca="1">IFERROR(__xludf.DUMMYFUNCTION("""COMPUTED_VALUE"""),44)</f>
        <v>44</v>
      </c>
    </row>
    <row r="2124" spans="1:9">
      <c r="A2124" s="79">
        <v>498</v>
      </c>
      <c r="B2124" s="79">
        <v>5</v>
      </c>
      <c r="C2124" s="79">
        <v>503</v>
      </c>
      <c r="D2124" s="80">
        <v>43336.67759259259</v>
      </c>
      <c r="E2124" s="81">
        <f t="shared" ca="1" si="16"/>
        <v>43313</v>
      </c>
      <c r="F2124" s="82">
        <f ca="1">IFERROR(__xludf.DUMMYFUNCTION("""COMPUTED_VALUE"""),0.677592592592592)</f>
        <v>0.67759259259259197</v>
      </c>
      <c r="G2124" s="83">
        <f t="shared" ca="1" si="17"/>
        <v>19</v>
      </c>
      <c r="H2124" s="83">
        <f ca="1">IFERROR(__xludf.DUMMYFUNCTION("""COMPUTED_VALUE"""),15)</f>
        <v>15</v>
      </c>
      <c r="I2124" s="83">
        <f ca="1">IFERROR(__xludf.DUMMYFUNCTION("""COMPUTED_VALUE"""),44)</f>
        <v>44</v>
      </c>
    </row>
    <row r="2125" spans="1:9">
      <c r="A2125" s="79">
        <v>458</v>
      </c>
      <c r="B2125" s="79">
        <v>9</v>
      </c>
      <c r="C2125" s="79">
        <v>467</v>
      </c>
      <c r="D2125" s="80">
        <v>43336.687997685185</v>
      </c>
      <c r="E2125" s="81">
        <f t="shared" ca="1" si="16"/>
        <v>43313</v>
      </c>
      <c r="F2125" s="82">
        <f ca="1">IFERROR(__xludf.DUMMYFUNCTION("""COMPUTED_VALUE"""),0.687997685185185)</f>
        <v>0.687997685185185</v>
      </c>
      <c r="G2125" s="83">
        <f t="shared" ca="1" si="17"/>
        <v>19</v>
      </c>
      <c r="H2125" s="83">
        <f ca="1">IFERROR(__xludf.DUMMYFUNCTION("""COMPUTED_VALUE"""),30)</f>
        <v>30</v>
      </c>
      <c r="I2125" s="83">
        <f ca="1">IFERROR(__xludf.DUMMYFUNCTION("""COMPUTED_VALUE"""),43)</f>
        <v>43</v>
      </c>
    </row>
    <row r="2126" spans="1:9">
      <c r="A2126" s="79">
        <v>454</v>
      </c>
      <c r="B2126" s="79">
        <v>9</v>
      </c>
      <c r="C2126" s="79">
        <v>463</v>
      </c>
      <c r="D2126" s="80">
        <v>43336.698425925926</v>
      </c>
      <c r="E2126" s="81">
        <f t="shared" ca="1" si="16"/>
        <v>43313</v>
      </c>
      <c r="F2126" s="82">
        <f ca="1">IFERROR(__xludf.DUMMYFUNCTION("""COMPUTED_VALUE"""),0.698425925925925)</f>
        <v>0.69842592592592501</v>
      </c>
      <c r="G2126" s="83">
        <f t="shared" ca="1" si="17"/>
        <v>19</v>
      </c>
      <c r="H2126" s="83">
        <f ca="1">IFERROR(__xludf.DUMMYFUNCTION("""COMPUTED_VALUE"""),45)</f>
        <v>45</v>
      </c>
      <c r="I2126" s="83">
        <f ca="1">IFERROR(__xludf.DUMMYFUNCTION("""COMPUTED_VALUE"""),44)</f>
        <v>44</v>
      </c>
    </row>
    <row r="2127" spans="1:9">
      <c r="A2127" s="79">
        <v>407</v>
      </c>
      <c r="B2127" s="79">
        <v>2</v>
      </c>
      <c r="C2127" s="79">
        <v>409</v>
      </c>
      <c r="D2127" s="80">
        <v>43336.708831018521</v>
      </c>
      <c r="E2127" s="81">
        <f t="shared" ca="1" si="16"/>
        <v>43313</v>
      </c>
      <c r="F2127" s="82">
        <f ca="1">IFERROR(__xludf.DUMMYFUNCTION("""COMPUTED_VALUE"""),0.708831018518518)</f>
        <v>0.70883101851851804</v>
      </c>
      <c r="G2127" s="83">
        <f t="shared" ca="1" si="17"/>
        <v>19</v>
      </c>
      <c r="H2127" s="83">
        <f ca="1">IFERROR(__xludf.DUMMYFUNCTION("""COMPUTED_VALUE"""),0)</f>
        <v>0</v>
      </c>
      <c r="I2127" s="83">
        <f ca="1">IFERROR(__xludf.DUMMYFUNCTION("""COMPUTED_VALUE"""),43)</f>
        <v>43</v>
      </c>
    </row>
    <row r="2128" spans="1:9">
      <c r="A2128" s="79">
        <v>669</v>
      </c>
      <c r="B2128" s="79">
        <v>4</v>
      </c>
      <c r="C2128" s="79">
        <v>673</v>
      </c>
      <c r="D2128" s="80">
        <v>43336.719259259262</v>
      </c>
      <c r="E2128" s="81">
        <f t="shared" ca="1" si="16"/>
        <v>43313</v>
      </c>
      <c r="F2128" s="82">
        <f ca="1">IFERROR(__xludf.DUMMYFUNCTION("""COMPUTED_VALUE"""),0.719259259259259)</f>
        <v>0.71925925925925904</v>
      </c>
      <c r="G2128" s="83">
        <f t="shared" ca="1" si="17"/>
        <v>19</v>
      </c>
      <c r="H2128" s="83">
        <f ca="1">IFERROR(__xludf.DUMMYFUNCTION("""COMPUTED_VALUE"""),15)</f>
        <v>15</v>
      </c>
      <c r="I2128" s="83">
        <f ca="1">IFERROR(__xludf.DUMMYFUNCTION("""COMPUTED_VALUE"""),44)</f>
        <v>44</v>
      </c>
    </row>
    <row r="2129" spans="1:9">
      <c r="A2129" s="79">
        <v>559</v>
      </c>
      <c r="B2129" s="79">
        <v>9</v>
      </c>
      <c r="C2129" s="79">
        <v>568</v>
      </c>
      <c r="D2129" s="80">
        <v>43336.729664351849</v>
      </c>
      <c r="E2129" s="81">
        <f t="shared" ca="1" si="16"/>
        <v>43313</v>
      </c>
      <c r="F2129" s="82">
        <f ca="1">IFERROR(__xludf.DUMMYFUNCTION("""COMPUTED_VALUE"""),0.729664351851851)</f>
        <v>0.72966435185185097</v>
      </c>
      <c r="G2129" s="83">
        <f t="shared" ca="1" si="17"/>
        <v>19</v>
      </c>
      <c r="H2129" s="83">
        <f ca="1">IFERROR(__xludf.DUMMYFUNCTION("""COMPUTED_VALUE"""),30)</f>
        <v>30</v>
      </c>
      <c r="I2129" s="83">
        <f ca="1">IFERROR(__xludf.DUMMYFUNCTION("""COMPUTED_VALUE"""),43)</f>
        <v>43</v>
      </c>
    </row>
    <row r="2130" spans="1:9">
      <c r="A2130" s="79">
        <v>500</v>
      </c>
      <c r="B2130" s="79">
        <v>4</v>
      </c>
      <c r="C2130" s="79">
        <v>504</v>
      </c>
      <c r="D2130" s="80">
        <v>43336.74009259259</v>
      </c>
      <c r="E2130" s="81">
        <f t="shared" ca="1" si="16"/>
        <v>43313</v>
      </c>
      <c r="F2130" s="82">
        <f ca="1">IFERROR(__xludf.DUMMYFUNCTION("""COMPUTED_VALUE"""),0.740092592592592)</f>
        <v>0.74009259259259197</v>
      </c>
      <c r="G2130" s="83">
        <f t="shared" ca="1" si="17"/>
        <v>19</v>
      </c>
      <c r="H2130" s="83">
        <f ca="1">IFERROR(__xludf.DUMMYFUNCTION("""COMPUTED_VALUE"""),45)</f>
        <v>45</v>
      </c>
      <c r="I2130" s="83">
        <f ca="1">IFERROR(__xludf.DUMMYFUNCTION("""COMPUTED_VALUE"""),44)</f>
        <v>44</v>
      </c>
    </row>
    <row r="2131" spans="1:9">
      <c r="A2131" s="79">
        <v>426</v>
      </c>
      <c r="B2131" s="79">
        <v>0</v>
      </c>
      <c r="C2131" s="79">
        <v>426</v>
      </c>
      <c r="D2131" s="80">
        <v>43336.750497685185</v>
      </c>
      <c r="E2131" s="81">
        <f t="shared" ca="1" si="16"/>
        <v>43313</v>
      </c>
      <c r="F2131" s="82">
        <f ca="1">IFERROR(__xludf.DUMMYFUNCTION("""COMPUTED_VALUE"""),0.750497685185185)</f>
        <v>0.750497685185185</v>
      </c>
      <c r="G2131" s="83">
        <f t="shared" ca="1" si="17"/>
        <v>19</v>
      </c>
      <c r="H2131" s="83">
        <f ca="1">IFERROR(__xludf.DUMMYFUNCTION("""COMPUTED_VALUE"""),0)</f>
        <v>0</v>
      </c>
      <c r="I2131" s="83">
        <f ca="1">IFERROR(__xludf.DUMMYFUNCTION("""COMPUTED_VALUE"""),43)</f>
        <v>43</v>
      </c>
    </row>
    <row r="2132" spans="1:9">
      <c r="A2132" s="79">
        <v>510</v>
      </c>
      <c r="B2132" s="79">
        <v>7</v>
      </c>
      <c r="C2132" s="79">
        <v>517</v>
      </c>
      <c r="D2132" s="80">
        <v>43336.760914351849</v>
      </c>
      <c r="E2132" s="81">
        <f t="shared" ca="1" si="16"/>
        <v>43313</v>
      </c>
      <c r="F2132" s="82">
        <f ca="1">IFERROR(__xludf.DUMMYFUNCTION("""COMPUTED_VALUE"""),0.760914351851851)</f>
        <v>0.76091435185185097</v>
      </c>
      <c r="G2132" s="83">
        <f t="shared" ca="1" si="17"/>
        <v>19</v>
      </c>
      <c r="H2132" s="83">
        <f ca="1">IFERROR(__xludf.DUMMYFUNCTION("""COMPUTED_VALUE"""),15)</f>
        <v>15</v>
      </c>
      <c r="I2132" s="83">
        <f ca="1">IFERROR(__xludf.DUMMYFUNCTION("""COMPUTED_VALUE"""),43)</f>
        <v>43</v>
      </c>
    </row>
    <row r="2133" spans="1:9">
      <c r="A2133" s="79">
        <v>536</v>
      </c>
      <c r="B2133" s="79">
        <v>3</v>
      </c>
      <c r="C2133" s="79">
        <v>539</v>
      </c>
      <c r="D2133" s="80">
        <v>43336.771331018521</v>
      </c>
      <c r="E2133" s="81">
        <f t="shared" ca="1" si="16"/>
        <v>43313</v>
      </c>
      <c r="F2133" s="82">
        <f ca="1">IFERROR(__xludf.DUMMYFUNCTION("""COMPUTED_VALUE"""),0.771331018518518)</f>
        <v>0.77133101851851804</v>
      </c>
      <c r="G2133" s="83">
        <f t="shared" ca="1" si="17"/>
        <v>19</v>
      </c>
      <c r="H2133" s="83">
        <f ca="1">IFERROR(__xludf.DUMMYFUNCTION("""COMPUTED_VALUE"""),30)</f>
        <v>30</v>
      </c>
      <c r="I2133" s="83">
        <f ca="1">IFERROR(__xludf.DUMMYFUNCTION("""COMPUTED_VALUE"""),43)</f>
        <v>43</v>
      </c>
    </row>
    <row r="2134" spans="1:9">
      <c r="A2134" s="79">
        <v>520</v>
      </c>
      <c r="B2134" s="79">
        <v>3</v>
      </c>
      <c r="C2134" s="79">
        <v>523</v>
      </c>
      <c r="D2134" s="80">
        <v>43336.781747685185</v>
      </c>
      <c r="E2134" s="81">
        <f t="shared" ca="1" si="16"/>
        <v>43313</v>
      </c>
      <c r="F2134" s="82">
        <f ca="1">IFERROR(__xludf.DUMMYFUNCTION("""COMPUTED_VALUE"""),0.781747685185185)</f>
        <v>0.781747685185185</v>
      </c>
      <c r="G2134" s="83">
        <f t="shared" ca="1" si="17"/>
        <v>19</v>
      </c>
      <c r="H2134" s="83">
        <f ca="1">IFERROR(__xludf.DUMMYFUNCTION("""COMPUTED_VALUE"""),45)</f>
        <v>45</v>
      </c>
      <c r="I2134" s="83">
        <f ca="1">IFERROR(__xludf.DUMMYFUNCTION("""COMPUTED_VALUE"""),43)</f>
        <v>43</v>
      </c>
    </row>
    <row r="2135" spans="1:9">
      <c r="A2135" s="79">
        <v>469</v>
      </c>
      <c r="B2135" s="79">
        <v>3</v>
      </c>
      <c r="C2135" s="79">
        <v>472</v>
      </c>
      <c r="D2135" s="80">
        <v>43336.792164351849</v>
      </c>
      <c r="E2135" s="81">
        <f t="shared" ca="1" si="16"/>
        <v>43313</v>
      </c>
      <c r="F2135" s="82">
        <f ca="1">IFERROR(__xludf.DUMMYFUNCTION("""COMPUTED_VALUE"""),0.792164351851851)</f>
        <v>0.79216435185185097</v>
      </c>
      <c r="G2135" s="83">
        <f t="shared" ca="1" si="17"/>
        <v>19</v>
      </c>
      <c r="H2135" s="83">
        <f ca="1">IFERROR(__xludf.DUMMYFUNCTION("""COMPUTED_VALUE"""),0)</f>
        <v>0</v>
      </c>
      <c r="I2135" s="83">
        <f ca="1">IFERROR(__xludf.DUMMYFUNCTION("""COMPUTED_VALUE"""),43)</f>
        <v>43</v>
      </c>
    </row>
    <row r="2136" spans="1:9">
      <c r="A2136" s="79">
        <v>501</v>
      </c>
      <c r="B2136" s="79">
        <v>4</v>
      </c>
      <c r="C2136" s="79">
        <v>505</v>
      </c>
      <c r="D2136" s="80">
        <v>43336.802581018521</v>
      </c>
      <c r="E2136" s="81">
        <f t="shared" ca="1" si="16"/>
        <v>43313</v>
      </c>
      <c r="F2136" s="82">
        <f ca="1">IFERROR(__xludf.DUMMYFUNCTION("""COMPUTED_VALUE"""),0.802581018518518)</f>
        <v>0.80258101851851804</v>
      </c>
      <c r="G2136" s="83">
        <f t="shared" ca="1" si="17"/>
        <v>19</v>
      </c>
      <c r="H2136" s="83">
        <f ca="1">IFERROR(__xludf.DUMMYFUNCTION("""COMPUTED_VALUE"""),15)</f>
        <v>15</v>
      </c>
      <c r="I2136" s="83">
        <f ca="1">IFERROR(__xludf.DUMMYFUNCTION("""COMPUTED_VALUE"""),43)</f>
        <v>43</v>
      </c>
    </row>
    <row r="2137" spans="1:9">
      <c r="A2137" s="79">
        <v>483</v>
      </c>
      <c r="B2137" s="79">
        <v>4</v>
      </c>
      <c r="C2137" s="79">
        <v>487</v>
      </c>
      <c r="D2137" s="80">
        <v>43336.812997685185</v>
      </c>
      <c r="E2137" s="81">
        <f t="shared" ca="1" si="16"/>
        <v>43313</v>
      </c>
      <c r="F2137" s="82">
        <f ca="1">IFERROR(__xludf.DUMMYFUNCTION("""COMPUTED_VALUE"""),0.812997685185185)</f>
        <v>0.812997685185185</v>
      </c>
      <c r="G2137" s="83">
        <f t="shared" ca="1" si="17"/>
        <v>19</v>
      </c>
      <c r="H2137" s="83">
        <f ca="1">IFERROR(__xludf.DUMMYFUNCTION("""COMPUTED_VALUE"""),30)</f>
        <v>30</v>
      </c>
      <c r="I2137" s="83">
        <f ca="1">IFERROR(__xludf.DUMMYFUNCTION("""COMPUTED_VALUE"""),43)</f>
        <v>43</v>
      </c>
    </row>
    <row r="2138" spans="1:9">
      <c r="A2138" s="79">
        <v>520</v>
      </c>
      <c r="B2138" s="79">
        <v>5</v>
      </c>
      <c r="C2138" s="79">
        <v>525</v>
      </c>
      <c r="D2138" s="80">
        <v>43336.823414351849</v>
      </c>
      <c r="E2138" s="81">
        <f t="shared" ca="1" si="16"/>
        <v>43313</v>
      </c>
      <c r="F2138" s="82">
        <f ca="1">IFERROR(__xludf.DUMMYFUNCTION("""COMPUTED_VALUE"""),0.823414351851851)</f>
        <v>0.82341435185185097</v>
      </c>
      <c r="G2138" s="83">
        <f t="shared" ca="1" si="17"/>
        <v>19</v>
      </c>
      <c r="H2138" s="83">
        <f ca="1">IFERROR(__xludf.DUMMYFUNCTION("""COMPUTED_VALUE"""),45)</f>
        <v>45</v>
      </c>
      <c r="I2138" s="83">
        <f ca="1">IFERROR(__xludf.DUMMYFUNCTION("""COMPUTED_VALUE"""),43)</f>
        <v>43</v>
      </c>
    </row>
    <row r="2139" spans="1:9">
      <c r="A2139" s="79">
        <v>472</v>
      </c>
      <c r="B2139" s="79">
        <v>7</v>
      </c>
      <c r="C2139" s="79">
        <v>479</v>
      </c>
      <c r="D2139" s="80">
        <v>43336.833819444444</v>
      </c>
      <c r="E2139" s="81">
        <f t="shared" ca="1" si="16"/>
        <v>43313</v>
      </c>
      <c r="F2139" s="82">
        <f ca="1">IFERROR(__xludf.DUMMYFUNCTION("""COMPUTED_VALUE"""),0.833819444444444)</f>
        <v>0.833819444444444</v>
      </c>
      <c r="G2139" s="83">
        <f t="shared" ca="1" si="17"/>
        <v>19</v>
      </c>
      <c r="H2139" s="83">
        <f ca="1">IFERROR(__xludf.DUMMYFUNCTION("""COMPUTED_VALUE"""),0)</f>
        <v>0</v>
      </c>
      <c r="I2139" s="83">
        <f ca="1">IFERROR(__xludf.DUMMYFUNCTION("""COMPUTED_VALUE"""),42)</f>
        <v>42</v>
      </c>
    </row>
    <row r="2140" spans="1:9">
      <c r="A2140" s="79">
        <v>515</v>
      </c>
      <c r="B2140" s="79">
        <v>7</v>
      </c>
      <c r="C2140" s="79">
        <v>522</v>
      </c>
      <c r="D2140" s="80">
        <v>43336.844236111108</v>
      </c>
      <c r="E2140" s="81">
        <f t="shared" ca="1" si="16"/>
        <v>43313</v>
      </c>
      <c r="F2140" s="82">
        <f ca="1">IFERROR(__xludf.DUMMYFUNCTION("""COMPUTED_VALUE"""),0.844236111111111)</f>
        <v>0.84423611111111097</v>
      </c>
      <c r="G2140" s="83">
        <f t="shared" ca="1" si="17"/>
        <v>19</v>
      </c>
      <c r="H2140" s="83">
        <f ca="1">IFERROR(__xludf.DUMMYFUNCTION("""COMPUTED_VALUE"""),15)</f>
        <v>15</v>
      </c>
      <c r="I2140" s="83">
        <f ca="1">IFERROR(__xludf.DUMMYFUNCTION("""COMPUTED_VALUE"""),42)</f>
        <v>42</v>
      </c>
    </row>
    <row r="2141" spans="1:9">
      <c r="A2141" s="79">
        <v>570</v>
      </c>
      <c r="B2141" s="79">
        <v>4</v>
      </c>
      <c r="C2141" s="79">
        <v>574</v>
      </c>
      <c r="D2141" s="80">
        <v>43336.854664351849</v>
      </c>
      <c r="E2141" s="81">
        <f t="shared" ca="1" si="16"/>
        <v>43313</v>
      </c>
      <c r="F2141" s="82">
        <f ca="1">IFERROR(__xludf.DUMMYFUNCTION("""COMPUTED_VALUE"""),0.854664351851851)</f>
        <v>0.85466435185185097</v>
      </c>
      <c r="G2141" s="83">
        <f t="shared" ca="1" si="17"/>
        <v>19</v>
      </c>
      <c r="H2141" s="83">
        <f ca="1">IFERROR(__xludf.DUMMYFUNCTION("""COMPUTED_VALUE"""),30)</f>
        <v>30</v>
      </c>
      <c r="I2141" s="83">
        <f ca="1">IFERROR(__xludf.DUMMYFUNCTION("""COMPUTED_VALUE"""),43)</f>
        <v>43</v>
      </c>
    </row>
    <row r="2142" spans="1:9">
      <c r="A2142" s="79">
        <v>545</v>
      </c>
      <c r="B2142" s="79">
        <v>4</v>
      </c>
      <c r="C2142" s="79">
        <v>549</v>
      </c>
      <c r="D2142" s="80">
        <v>43336.865081018521</v>
      </c>
      <c r="E2142" s="81">
        <f t="shared" ca="1" si="16"/>
        <v>43313</v>
      </c>
      <c r="F2142" s="82">
        <f ca="1">IFERROR(__xludf.DUMMYFUNCTION("""COMPUTED_VALUE"""),0.865081018518518)</f>
        <v>0.86508101851851804</v>
      </c>
      <c r="G2142" s="83">
        <f t="shared" ca="1" si="17"/>
        <v>19</v>
      </c>
      <c r="H2142" s="83">
        <f ca="1">IFERROR(__xludf.DUMMYFUNCTION("""COMPUTED_VALUE"""),45)</f>
        <v>45</v>
      </c>
      <c r="I2142" s="83">
        <f ca="1">IFERROR(__xludf.DUMMYFUNCTION("""COMPUTED_VALUE"""),43)</f>
        <v>43</v>
      </c>
    </row>
    <row r="2143" spans="1:9">
      <c r="A2143" s="79">
        <v>499</v>
      </c>
      <c r="B2143" s="79">
        <v>5</v>
      </c>
      <c r="C2143" s="79">
        <v>504</v>
      </c>
      <c r="D2143" s="80">
        <v>43336.875509259262</v>
      </c>
      <c r="E2143" s="81">
        <f t="shared" ca="1" si="16"/>
        <v>43313</v>
      </c>
      <c r="F2143" s="82">
        <f ca="1">IFERROR(__xludf.DUMMYFUNCTION("""COMPUTED_VALUE"""),0.875509259259259)</f>
        <v>0.87550925925925904</v>
      </c>
      <c r="G2143" s="83">
        <f t="shared" ca="1" si="17"/>
        <v>19</v>
      </c>
      <c r="H2143" s="83">
        <f ca="1">IFERROR(__xludf.DUMMYFUNCTION("""COMPUTED_VALUE"""),0)</f>
        <v>0</v>
      </c>
      <c r="I2143" s="83">
        <f ca="1">IFERROR(__xludf.DUMMYFUNCTION("""COMPUTED_VALUE"""),44)</f>
        <v>44</v>
      </c>
    </row>
    <row r="2144" spans="1:9">
      <c r="A2144" s="79">
        <v>546</v>
      </c>
      <c r="B2144" s="79">
        <v>6</v>
      </c>
      <c r="C2144" s="79">
        <v>552</v>
      </c>
      <c r="D2144" s="80">
        <v>43336.885914351849</v>
      </c>
      <c r="E2144" s="81">
        <f t="shared" ca="1" si="16"/>
        <v>43313</v>
      </c>
      <c r="F2144" s="82">
        <f ca="1">IFERROR(__xludf.DUMMYFUNCTION("""COMPUTED_VALUE"""),0.885914351851851)</f>
        <v>0.88591435185185097</v>
      </c>
      <c r="G2144" s="83">
        <f t="shared" ca="1" si="17"/>
        <v>19</v>
      </c>
      <c r="H2144" s="83">
        <f ca="1">IFERROR(__xludf.DUMMYFUNCTION("""COMPUTED_VALUE"""),15)</f>
        <v>15</v>
      </c>
      <c r="I2144" s="83">
        <f ca="1">IFERROR(__xludf.DUMMYFUNCTION("""COMPUTED_VALUE"""),43)</f>
        <v>43</v>
      </c>
    </row>
    <row r="2145" spans="1:9">
      <c r="A2145" s="79">
        <v>553</v>
      </c>
      <c r="B2145" s="79">
        <v>7</v>
      </c>
      <c r="C2145" s="79">
        <v>560</v>
      </c>
      <c r="D2145" s="80">
        <v>43336.896331018521</v>
      </c>
      <c r="E2145" s="81">
        <f t="shared" ca="1" si="16"/>
        <v>43313</v>
      </c>
      <c r="F2145" s="82">
        <f ca="1">IFERROR(__xludf.DUMMYFUNCTION("""COMPUTED_VALUE"""),0.896331018518518)</f>
        <v>0.89633101851851804</v>
      </c>
      <c r="G2145" s="83">
        <f t="shared" ca="1" si="17"/>
        <v>19</v>
      </c>
      <c r="H2145" s="83">
        <f ca="1">IFERROR(__xludf.DUMMYFUNCTION("""COMPUTED_VALUE"""),30)</f>
        <v>30</v>
      </c>
      <c r="I2145" s="83">
        <f ca="1">IFERROR(__xludf.DUMMYFUNCTION("""COMPUTED_VALUE"""),43)</f>
        <v>43</v>
      </c>
    </row>
    <row r="2146" spans="1:9">
      <c r="A2146" s="79">
        <v>554</v>
      </c>
      <c r="B2146" s="79">
        <v>7</v>
      </c>
      <c r="C2146" s="79">
        <v>561</v>
      </c>
      <c r="D2146" s="80">
        <v>43336.906747685185</v>
      </c>
      <c r="E2146" s="81">
        <f t="shared" ca="1" si="16"/>
        <v>43313</v>
      </c>
      <c r="F2146" s="82">
        <f ca="1">IFERROR(__xludf.DUMMYFUNCTION("""COMPUTED_VALUE"""),0.906747685185185)</f>
        <v>0.906747685185185</v>
      </c>
      <c r="G2146" s="83">
        <f t="shared" ca="1" si="17"/>
        <v>19</v>
      </c>
      <c r="H2146" s="83">
        <f ca="1">IFERROR(__xludf.DUMMYFUNCTION("""COMPUTED_VALUE"""),45)</f>
        <v>45</v>
      </c>
      <c r="I2146" s="83">
        <f ca="1">IFERROR(__xludf.DUMMYFUNCTION("""COMPUTED_VALUE"""),43)</f>
        <v>43</v>
      </c>
    </row>
    <row r="2147" spans="1:9">
      <c r="A2147" s="79">
        <v>486</v>
      </c>
      <c r="B2147" s="79">
        <v>2</v>
      </c>
      <c r="C2147" s="79">
        <v>488</v>
      </c>
      <c r="D2147" s="80">
        <v>43336.917164351849</v>
      </c>
      <c r="E2147" s="81">
        <f t="shared" ca="1" si="16"/>
        <v>43313</v>
      </c>
      <c r="F2147" s="82">
        <f ca="1">IFERROR(__xludf.DUMMYFUNCTION("""COMPUTED_VALUE"""),0.917164351851851)</f>
        <v>0.91716435185185097</v>
      </c>
      <c r="G2147" s="83">
        <f t="shared" ca="1" si="17"/>
        <v>19</v>
      </c>
      <c r="H2147" s="83">
        <f ca="1">IFERROR(__xludf.DUMMYFUNCTION("""COMPUTED_VALUE"""),0)</f>
        <v>0</v>
      </c>
      <c r="I2147" s="83">
        <f ca="1">IFERROR(__xludf.DUMMYFUNCTION("""COMPUTED_VALUE"""),43)</f>
        <v>43</v>
      </c>
    </row>
    <row r="2148" spans="1:9">
      <c r="A2148" s="79">
        <v>494</v>
      </c>
      <c r="B2148" s="79">
        <v>6</v>
      </c>
      <c r="C2148" s="79">
        <v>494</v>
      </c>
      <c r="D2148" s="80">
        <v>43336.927581018521</v>
      </c>
      <c r="E2148" s="81">
        <f t="shared" ca="1" si="16"/>
        <v>43313</v>
      </c>
      <c r="F2148" s="82">
        <f ca="1">IFERROR(__xludf.DUMMYFUNCTION("""COMPUTED_VALUE"""),0.927581018518518)</f>
        <v>0.92758101851851804</v>
      </c>
      <c r="G2148" s="83">
        <f t="shared" ca="1" si="17"/>
        <v>19</v>
      </c>
      <c r="H2148" s="83">
        <f ca="1">IFERROR(__xludf.DUMMYFUNCTION("""COMPUTED_VALUE"""),15)</f>
        <v>15</v>
      </c>
      <c r="I2148" s="83">
        <f ca="1">IFERROR(__xludf.DUMMYFUNCTION("""COMPUTED_VALUE"""),43)</f>
        <v>43</v>
      </c>
    </row>
    <row r="2149" spans="1:9">
      <c r="A2149" s="79">
        <v>499</v>
      </c>
      <c r="B2149" s="79">
        <v>3</v>
      </c>
      <c r="C2149" s="79">
        <v>502</v>
      </c>
      <c r="D2149" s="80">
        <v>43336.937997685185</v>
      </c>
      <c r="E2149" s="81">
        <f t="shared" ca="1" si="16"/>
        <v>43313</v>
      </c>
      <c r="F2149" s="82">
        <f ca="1">IFERROR(__xludf.DUMMYFUNCTION("""COMPUTED_VALUE"""),0.937997685185185)</f>
        <v>0.937997685185185</v>
      </c>
      <c r="G2149" s="83">
        <f t="shared" ca="1" si="17"/>
        <v>19</v>
      </c>
      <c r="H2149" s="83">
        <f ca="1">IFERROR(__xludf.DUMMYFUNCTION("""COMPUTED_VALUE"""),30)</f>
        <v>30</v>
      </c>
      <c r="I2149" s="83">
        <f ca="1">IFERROR(__xludf.DUMMYFUNCTION("""COMPUTED_VALUE"""),43)</f>
        <v>43</v>
      </c>
    </row>
    <row r="2150" spans="1:9">
      <c r="A2150" s="79">
        <v>496</v>
      </c>
      <c r="B2150" s="79">
        <v>5</v>
      </c>
      <c r="C2150" s="79">
        <v>501</v>
      </c>
      <c r="D2150" s="80">
        <v>43336.94840277778</v>
      </c>
      <c r="E2150" s="81">
        <f t="shared" ca="1" si="16"/>
        <v>43313</v>
      </c>
      <c r="F2150" s="82">
        <f ca="1">IFERROR(__xludf.DUMMYFUNCTION("""COMPUTED_VALUE"""),0.948402777777777)</f>
        <v>0.94840277777777704</v>
      </c>
      <c r="G2150" s="83">
        <f t="shared" ca="1" si="17"/>
        <v>19</v>
      </c>
      <c r="H2150" s="83">
        <f ca="1">IFERROR(__xludf.DUMMYFUNCTION("""COMPUTED_VALUE"""),45)</f>
        <v>45</v>
      </c>
      <c r="I2150" s="83">
        <f ca="1">IFERROR(__xludf.DUMMYFUNCTION("""COMPUTED_VALUE"""),42)</f>
        <v>42</v>
      </c>
    </row>
    <row r="2151" spans="1:9">
      <c r="A2151" s="79">
        <v>490</v>
      </c>
      <c r="B2151" s="79">
        <v>3</v>
      </c>
      <c r="C2151" s="79">
        <v>493</v>
      </c>
      <c r="D2151" s="80">
        <v>43336.95884259259</v>
      </c>
      <c r="E2151" s="81">
        <f t="shared" ca="1" si="16"/>
        <v>43313</v>
      </c>
      <c r="F2151" s="82">
        <f ca="1">IFERROR(__xludf.DUMMYFUNCTION("""COMPUTED_VALUE"""),0.958842592592592)</f>
        <v>0.95884259259259197</v>
      </c>
      <c r="G2151" s="83">
        <f t="shared" ca="1" si="17"/>
        <v>19</v>
      </c>
      <c r="H2151" s="83">
        <f ca="1">IFERROR(__xludf.DUMMYFUNCTION("""COMPUTED_VALUE"""),0)</f>
        <v>0</v>
      </c>
      <c r="I2151" s="83">
        <f ca="1">IFERROR(__xludf.DUMMYFUNCTION("""COMPUTED_VALUE"""),44)</f>
        <v>44</v>
      </c>
    </row>
    <row r="2152" spans="1:9">
      <c r="A2152" s="79">
        <v>456</v>
      </c>
      <c r="B2152" s="79">
        <v>5</v>
      </c>
      <c r="C2152" s="79">
        <v>461</v>
      </c>
      <c r="D2152" s="80">
        <v>43336.969236111108</v>
      </c>
      <c r="E2152" s="81">
        <f t="shared" ca="1" si="16"/>
        <v>43313</v>
      </c>
      <c r="F2152" s="82">
        <f ca="1">IFERROR(__xludf.DUMMYFUNCTION("""COMPUTED_VALUE"""),0.969236111111111)</f>
        <v>0.96923611111111097</v>
      </c>
      <c r="G2152" s="83">
        <f t="shared" ca="1" si="17"/>
        <v>19</v>
      </c>
      <c r="H2152" s="83">
        <f ca="1">IFERROR(__xludf.DUMMYFUNCTION("""COMPUTED_VALUE"""),15)</f>
        <v>15</v>
      </c>
      <c r="I2152" s="83">
        <f ca="1">IFERROR(__xludf.DUMMYFUNCTION("""COMPUTED_VALUE"""),42)</f>
        <v>42</v>
      </c>
    </row>
    <row r="2153" spans="1:9">
      <c r="A2153" s="79">
        <v>427</v>
      </c>
      <c r="B2153" s="79">
        <v>3</v>
      </c>
      <c r="C2153" s="79">
        <v>430</v>
      </c>
      <c r="D2153" s="80">
        <v>43336.979664351849</v>
      </c>
      <c r="E2153" s="81">
        <f t="shared" ca="1" si="16"/>
        <v>43313</v>
      </c>
      <c r="F2153" s="82">
        <f ca="1">IFERROR(__xludf.DUMMYFUNCTION("""COMPUTED_VALUE"""),0.979664351851851)</f>
        <v>0.97966435185185097</v>
      </c>
      <c r="G2153" s="83">
        <f t="shared" ca="1" si="17"/>
        <v>19</v>
      </c>
      <c r="H2153" s="83">
        <f ca="1">IFERROR(__xludf.DUMMYFUNCTION("""COMPUTED_VALUE"""),30)</f>
        <v>30</v>
      </c>
      <c r="I2153" s="83">
        <f ca="1">IFERROR(__xludf.DUMMYFUNCTION("""COMPUTED_VALUE"""),43)</f>
        <v>43</v>
      </c>
    </row>
    <row r="2154" spans="1:9">
      <c r="A2154" s="79">
        <v>408</v>
      </c>
      <c r="B2154" s="79">
        <v>3</v>
      </c>
      <c r="C2154" s="79">
        <v>411</v>
      </c>
      <c r="D2154" s="80">
        <v>43336.990081018521</v>
      </c>
      <c r="E2154" s="81">
        <f t="shared" ca="1" si="16"/>
        <v>43313</v>
      </c>
      <c r="F2154" s="82">
        <f ca="1">IFERROR(__xludf.DUMMYFUNCTION("""COMPUTED_VALUE"""),0.990081018518518)</f>
        <v>0.99008101851851804</v>
      </c>
      <c r="G2154" s="83">
        <f t="shared" ca="1" si="17"/>
        <v>19</v>
      </c>
      <c r="H2154" s="83">
        <f ca="1">IFERROR(__xludf.DUMMYFUNCTION("""COMPUTED_VALUE"""),45)</f>
        <v>45</v>
      </c>
      <c r="I2154" s="83">
        <f ca="1">IFERROR(__xludf.DUMMYFUNCTION("""COMPUTED_VALUE"""),43)</f>
        <v>43</v>
      </c>
    </row>
    <row r="2155" spans="1:9">
      <c r="A2155" s="79">
        <v>337</v>
      </c>
      <c r="B2155" s="79">
        <v>7</v>
      </c>
      <c r="C2155" s="79">
        <v>344</v>
      </c>
      <c r="D2155" s="80">
        <v>43337.000486111108</v>
      </c>
      <c r="E2155" s="81">
        <f t="shared" ca="1" si="16"/>
        <v>43313</v>
      </c>
      <c r="F2155" s="82">
        <f ca="1">IFERROR(__xludf.DUMMYFUNCTION("""COMPUTED_VALUE"""),0.000486111111111111)</f>
        <v>4.8611111111111099E-4</v>
      </c>
      <c r="G2155" s="83">
        <f t="shared" ca="1" si="17"/>
        <v>19</v>
      </c>
      <c r="H2155" s="83">
        <f ca="1">IFERROR(__xludf.DUMMYFUNCTION("""COMPUTED_VALUE"""),0)</f>
        <v>0</v>
      </c>
      <c r="I2155" s="83">
        <f ca="1">IFERROR(__xludf.DUMMYFUNCTION("""COMPUTED_VALUE"""),42)</f>
        <v>42</v>
      </c>
    </row>
    <row r="2156" spans="1:9">
      <c r="A2156" s="79">
        <v>353</v>
      </c>
      <c r="B2156" s="79">
        <v>3</v>
      </c>
      <c r="C2156" s="79">
        <v>356</v>
      </c>
      <c r="D2156" s="80">
        <v>43337.01090277778</v>
      </c>
      <c r="E2156" s="81">
        <f t="shared" ca="1" si="16"/>
        <v>43313</v>
      </c>
      <c r="F2156" s="82">
        <f ca="1">IFERROR(__xludf.DUMMYFUNCTION("""COMPUTED_VALUE"""),0.0109027777777777)</f>
        <v>1.0902777777777701E-2</v>
      </c>
      <c r="G2156" s="83">
        <f t="shared" ca="1" si="17"/>
        <v>19</v>
      </c>
      <c r="H2156" s="83">
        <f ca="1">IFERROR(__xludf.DUMMYFUNCTION("""COMPUTED_VALUE"""),15)</f>
        <v>15</v>
      </c>
      <c r="I2156" s="83">
        <f ca="1">IFERROR(__xludf.DUMMYFUNCTION("""COMPUTED_VALUE"""),42)</f>
        <v>42</v>
      </c>
    </row>
    <row r="2157" spans="1:9">
      <c r="A2157" s="79">
        <v>303</v>
      </c>
      <c r="B2157" s="79">
        <v>2</v>
      </c>
      <c r="C2157" s="79">
        <v>305</v>
      </c>
      <c r="D2157" s="80">
        <v>43337.021319444444</v>
      </c>
      <c r="E2157" s="81">
        <f t="shared" ca="1" si="16"/>
        <v>43313</v>
      </c>
      <c r="F2157" s="82">
        <f ca="1">IFERROR(__xludf.DUMMYFUNCTION("""COMPUTED_VALUE"""),0.0213194444444444)</f>
        <v>2.1319444444444401E-2</v>
      </c>
      <c r="G2157" s="83">
        <f t="shared" ca="1" si="17"/>
        <v>19</v>
      </c>
      <c r="H2157" s="83">
        <f ca="1">IFERROR(__xludf.DUMMYFUNCTION("""COMPUTED_VALUE"""),30)</f>
        <v>30</v>
      </c>
      <c r="I2157" s="83">
        <f ca="1">IFERROR(__xludf.DUMMYFUNCTION("""COMPUTED_VALUE"""),42)</f>
        <v>42</v>
      </c>
    </row>
    <row r="2158" spans="1:9">
      <c r="A2158" s="79">
        <v>259</v>
      </c>
      <c r="B2158" s="79">
        <v>4</v>
      </c>
      <c r="C2158" s="79">
        <v>263</v>
      </c>
      <c r="D2158" s="80">
        <v>43337.031747685185</v>
      </c>
      <c r="E2158" s="81">
        <f t="shared" ca="1" si="16"/>
        <v>43313</v>
      </c>
      <c r="F2158" s="82">
        <f ca="1">IFERROR(__xludf.DUMMYFUNCTION("""COMPUTED_VALUE"""),0.0317476851851851)</f>
        <v>3.1747685185185101E-2</v>
      </c>
      <c r="G2158" s="83">
        <f t="shared" ca="1" si="17"/>
        <v>19</v>
      </c>
      <c r="H2158" s="83">
        <f ca="1">IFERROR(__xludf.DUMMYFUNCTION("""COMPUTED_VALUE"""),45)</f>
        <v>45</v>
      </c>
      <c r="I2158" s="83">
        <f ca="1">IFERROR(__xludf.DUMMYFUNCTION("""COMPUTED_VALUE"""),43)</f>
        <v>43</v>
      </c>
    </row>
    <row r="2159" spans="1:9">
      <c r="A2159" s="79">
        <v>237</v>
      </c>
      <c r="B2159" s="79">
        <v>2</v>
      </c>
      <c r="C2159" s="79">
        <v>239</v>
      </c>
      <c r="D2159" s="80">
        <v>43337.042175925926</v>
      </c>
      <c r="E2159" s="81">
        <f t="shared" ca="1" si="16"/>
        <v>43313</v>
      </c>
      <c r="F2159" s="82">
        <f ca="1">IFERROR(__xludf.DUMMYFUNCTION("""COMPUTED_VALUE"""),0.0421759259259259)</f>
        <v>4.2175925925925901E-2</v>
      </c>
      <c r="G2159" s="83">
        <f t="shared" ca="1" si="17"/>
        <v>19</v>
      </c>
      <c r="H2159" s="83">
        <f ca="1">IFERROR(__xludf.DUMMYFUNCTION("""COMPUTED_VALUE"""),0)</f>
        <v>0</v>
      </c>
      <c r="I2159" s="83">
        <f ca="1">IFERROR(__xludf.DUMMYFUNCTION("""COMPUTED_VALUE"""),44)</f>
        <v>44</v>
      </c>
    </row>
    <row r="2160" spans="1:9">
      <c r="A2160" s="79">
        <v>291</v>
      </c>
      <c r="B2160" s="79">
        <v>2</v>
      </c>
      <c r="C2160" s="79">
        <v>293</v>
      </c>
      <c r="D2160" s="80">
        <v>43337.052581018521</v>
      </c>
      <c r="E2160" s="81">
        <f t="shared" ca="1" si="16"/>
        <v>43313</v>
      </c>
      <c r="F2160" s="82">
        <f ca="1">IFERROR(__xludf.DUMMYFUNCTION("""COMPUTED_VALUE"""),0.0525810185185185)</f>
        <v>5.2581018518518499E-2</v>
      </c>
      <c r="G2160" s="83">
        <f t="shared" ca="1" si="17"/>
        <v>19</v>
      </c>
      <c r="H2160" s="83">
        <f ca="1">IFERROR(__xludf.DUMMYFUNCTION("""COMPUTED_VALUE"""),15)</f>
        <v>15</v>
      </c>
      <c r="I2160" s="83">
        <f ca="1">IFERROR(__xludf.DUMMYFUNCTION("""COMPUTED_VALUE"""),43)</f>
        <v>43</v>
      </c>
    </row>
    <row r="2161" spans="1:9">
      <c r="A2161" s="79">
        <v>258</v>
      </c>
      <c r="B2161" s="79">
        <v>6</v>
      </c>
      <c r="C2161" s="79">
        <v>264</v>
      </c>
      <c r="D2161" s="80">
        <v>43337.062986111108</v>
      </c>
      <c r="E2161" s="81">
        <f t="shared" ca="1" si="16"/>
        <v>43313</v>
      </c>
      <c r="F2161" s="82">
        <f ca="1">IFERROR(__xludf.DUMMYFUNCTION("""COMPUTED_VALUE"""),0.0629861111111111)</f>
        <v>6.2986111111111104E-2</v>
      </c>
      <c r="G2161" s="83">
        <f t="shared" ca="1" si="17"/>
        <v>19</v>
      </c>
      <c r="H2161" s="83">
        <f ca="1">IFERROR(__xludf.DUMMYFUNCTION("""COMPUTED_VALUE"""),30)</f>
        <v>30</v>
      </c>
      <c r="I2161" s="83">
        <f ca="1">IFERROR(__xludf.DUMMYFUNCTION("""COMPUTED_VALUE"""),42)</f>
        <v>42</v>
      </c>
    </row>
    <row r="2162" spans="1:9">
      <c r="A2162" s="79">
        <v>253</v>
      </c>
      <c r="B2162" s="79">
        <v>5</v>
      </c>
      <c r="C2162" s="79">
        <v>258</v>
      </c>
      <c r="D2162" s="80">
        <v>43337.073414351849</v>
      </c>
      <c r="E2162" s="81">
        <f t="shared" ca="1" si="16"/>
        <v>43313</v>
      </c>
      <c r="F2162" s="82">
        <f ca="1">IFERROR(__xludf.DUMMYFUNCTION("""COMPUTED_VALUE"""),0.0734143518518518)</f>
        <v>7.34143518518518E-2</v>
      </c>
      <c r="G2162" s="83">
        <f t="shared" ca="1" si="17"/>
        <v>19</v>
      </c>
      <c r="H2162" s="83">
        <f ca="1">IFERROR(__xludf.DUMMYFUNCTION("""COMPUTED_VALUE"""),45)</f>
        <v>45</v>
      </c>
      <c r="I2162" s="83">
        <f ca="1">IFERROR(__xludf.DUMMYFUNCTION("""COMPUTED_VALUE"""),43)</f>
        <v>43</v>
      </c>
    </row>
    <row r="2163" spans="1:9">
      <c r="A2163" s="79">
        <v>212</v>
      </c>
      <c r="B2163" s="79">
        <v>2</v>
      </c>
      <c r="C2163" s="79">
        <v>214</v>
      </c>
      <c r="D2163" s="80">
        <v>43337.083831018521</v>
      </c>
      <c r="E2163" s="81">
        <f t="shared" ca="1" si="16"/>
        <v>43313</v>
      </c>
      <c r="F2163" s="82">
        <f ca="1">IFERROR(__xludf.DUMMYFUNCTION("""COMPUTED_VALUE"""),0.0838310185185185)</f>
        <v>8.3831018518518499E-2</v>
      </c>
      <c r="G2163" s="83">
        <f t="shared" ca="1" si="17"/>
        <v>19</v>
      </c>
      <c r="H2163" s="83">
        <f ca="1">IFERROR(__xludf.DUMMYFUNCTION("""COMPUTED_VALUE"""),0)</f>
        <v>0</v>
      </c>
      <c r="I2163" s="83">
        <f ca="1">IFERROR(__xludf.DUMMYFUNCTION("""COMPUTED_VALUE"""),43)</f>
        <v>43</v>
      </c>
    </row>
    <row r="2164" spans="1:9">
      <c r="A2164" s="79">
        <v>259</v>
      </c>
      <c r="B2164" s="79">
        <v>5</v>
      </c>
      <c r="C2164" s="79">
        <v>264</v>
      </c>
      <c r="D2164" s="80">
        <v>43337.094247685185</v>
      </c>
      <c r="E2164" s="81">
        <f t="shared" ca="1" si="16"/>
        <v>43313</v>
      </c>
      <c r="F2164" s="82">
        <f ca="1">IFERROR(__xludf.DUMMYFUNCTION("""COMPUTED_VALUE"""),0.0942476851851851)</f>
        <v>9.4247685185185101E-2</v>
      </c>
      <c r="G2164" s="83">
        <f t="shared" ca="1" si="17"/>
        <v>19</v>
      </c>
      <c r="H2164" s="83">
        <f ca="1">IFERROR(__xludf.DUMMYFUNCTION("""COMPUTED_VALUE"""),15)</f>
        <v>15</v>
      </c>
      <c r="I2164" s="83">
        <f ca="1">IFERROR(__xludf.DUMMYFUNCTION("""COMPUTED_VALUE"""),43)</f>
        <v>43</v>
      </c>
    </row>
    <row r="2165" spans="1:9">
      <c r="A2165" s="79">
        <v>239</v>
      </c>
      <c r="B2165" s="79">
        <v>2</v>
      </c>
      <c r="C2165" s="79">
        <v>241</v>
      </c>
      <c r="D2165" s="80">
        <v>43337.10465277778</v>
      </c>
      <c r="E2165" s="81">
        <f t="shared" ca="1" si="16"/>
        <v>43313</v>
      </c>
      <c r="F2165" s="82">
        <f ca="1">IFERROR(__xludf.DUMMYFUNCTION("""COMPUTED_VALUE"""),0.104652777777777)</f>
        <v>0.104652777777777</v>
      </c>
      <c r="G2165" s="83">
        <f t="shared" ca="1" si="17"/>
        <v>19</v>
      </c>
      <c r="H2165" s="83">
        <f ca="1">IFERROR(__xludf.DUMMYFUNCTION("""COMPUTED_VALUE"""),30)</f>
        <v>30</v>
      </c>
      <c r="I2165" s="83">
        <f ca="1">IFERROR(__xludf.DUMMYFUNCTION("""COMPUTED_VALUE"""),42)</f>
        <v>42</v>
      </c>
    </row>
    <row r="2166" spans="1:9">
      <c r="A2166" s="79">
        <v>198</v>
      </c>
      <c r="B2166" s="79">
        <v>2</v>
      </c>
      <c r="C2166" s="79">
        <v>200</v>
      </c>
      <c r="D2166" s="80">
        <v>43337.115069444444</v>
      </c>
      <c r="E2166" s="81">
        <f t="shared" ca="1" si="16"/>
        <v>43313</v>
      </c>
      <c r="F2166" s="82">
        <f ca="1">IFERROR(__xludf.DUMMYFUNCTION("""COMPUTED_VALUE"""),0.115069444444444)</f>
        <v>0.115069444444444</v>
      </c>
      <c r="G2166" s="83">
        <f t="shared" ca="1" si="17"/>
        <v>19</v>
      </c>
      <c r="H2166" s="83">
        <f ca="1">IFERROR(__xludf.DUMMYFUNCTION("""COMPUTED_VALUE"""),45)</f>
        <v>45</v>
      </c>
      <c r="I2166" s="83">
        <f ca="1">IFERROR(__xludf.DUMMYFUNCTION("""COMPUTED_VALUE"""),42)</f>
        <v>42</v>
      </c>
    </row>
    <row r="2167" spans="1:9">
      <c r="A2167" s="79">
        <v>221</v>
      </c>
      <c r="B2167" s="79">
        <v>3</v>
      </c>
      <c r="C2167" s="79">
        <v>224</v>
      </c>
      <c r="D2167" s="80">
        <v>43337.125497685185</v>
      </c>
      <c r="E2167" s="81">
        <f t="shared" ca="1" si="16"/>
        <v>43313</v>
      </c>
      <c r="F2167" s="82">
        <f ca="1">IFERROR(__xludf.DUMMYFUNCTION("""COMPUTED_VALUE"""),0.125497685185185)</f>
        <v>0.125497685185185</v>
      </c>
      <c r="G2167" s="83">
        <f t="shared" ca="1" si="17"/>
        <v>19</v>
      </c>
      <c r="H2167" s="83">
        <f ca="1">IFERROR(__xludf.DUMMYFUNCTION("""COMPUTED_VALUE"""),0)</f>
        <v>0</v>
      </c>
      <c r="I2167" s="83">
        <f ca="1">IFERROR(__xludf.DUMMYFUNCTION("""COMPUTED_VALUE"""),43)</f>
        <v>43</v>
      </c>
    </row>
    <row r="2168" spans="1:9">
      <c r="A2168" s="79">
        <v>137</v>
      </c>
      <c r="B2168" s="79">
        <v>3</v>
      </c>
      <c r="C2168" s="79">
        <v>140</v>
      </c>
      <c r="D2168" s="80">
        <v>43337.136365740742</v>
      </c>
      <c r="E2168" s="81">
        <f t="shared" ca="1" si="16"/>
        <v>43313</v>
      </c>
      <c r="F2168" s="82">
        <f ca="1">IFERROR(__xludf.DUMMYFUNCTION("""COMPUTED_VALUE"""),0.13636574074074)</f>
        <v>0.13636574074074001</v>
      </c>
      <c r="G2168" s="83">
        <f t="shared" ca="1" si="17"/>
        <v>19</v>
      </c>
      <c r="H2168" s="83">
        <f ca="1">IFERROR(__xludf.DUMMYFUNCTION("""COMPUTED_VALUE"""),16)</f>
        <v>16</v>
      </c>
      <c r="I2168" s="83">
        <f ca="1">IFERROR(__xludf.DUMMYFUNCTION("""COMPUTED_VALUE"""),22)</f>
        <v>22</v>
      </c>
    </row>
    <row r="2169" spans="1:9">
      <c r="A2169" s="79">
        <v>183</v>
      </c>
      <c r="B2169" s="79">
        <v>4</v>
      </c>
      <c r="C2169" s="79">
        <v>187</v>
      </c>
      <c r="D2169" s="80">
        <v>43337.146319444444</v>
      </c>
      <c r="E2169" s="81">
        <f t="shared" ca="1" si="16"/>
        <v>43313</v>
      </c>
      <c r="F2169" s="82">
        <f ca="1">IFERROR(__xludf.DUMMYFUNCTION("""COMPUTED_VALUE"""),0.146319444444444)</f>
        <v>0.146319444444444</v>
      </c>
      <c r="G2169" s="83">
        <f t="shared" ca="1" si="17"/>
        <v>19</v>
      </c>
      <c r="H2169" s="83">
        <f ca="1">IFERROR(__xludf.DUMMYFUNCTION("""COMPUTED_VALUE"""),30)</f>
        <v>30</v>
      </c>
      <c r="I2169" s="83">
        <f ca="1">IFERROR(__xludf.DUMMYFUNCTION("""COMPUTED_VALUE"""),42)</f>
        <v>42</v>
      </c>
    </row>
    <row r="2170" spans="1:9">
      <c r="A2170" s="79">
        <v>168</v>
      </c>
      <c r="B2170" s="79">
        <v>3</v>
      </c>
      <c r="C2170" s="79">
        <v>165</v>
      </c>
      <c r="D2170" s="80">
        <v>43337.156736111108</v>
      </c>
      <c r="E2170" s="81">
        <f t="shared" ca="1" si="16"/>
        <v>43313</v>
      </c>
      <c r="F2170" s="82">
        <f ca="1">IFERROR(__xludf.DUMMYFUNCTION("""COMPUTED_VALUE"""),0.156736111111111)</f>
        <v>0.15673611111111099</v>
      </c>
      <c r="G2170" s="83">
        <f t="shared" ca="1" si="17"/>
        <v>19</v>
      </c>
      <c r="H2170" s="83">
        <f ca="1">IFERROR(__xludf.DUMMYFUNCTION("""COMPUTED_VALUE"""),45)</f>
        <v>45</v>
      </c>
      <c r="I2170" s="83">
        <f ca="1">IFERROR(__xludf.DUMMYFUNCTION("""COMPUTED_VALUE"""),42)</f>
        <v>42</v>
      </c>
    </row>
    <row r="2171" spans="1:9">
      <c r="A2171" s="79">
        <v>190</v>
      </c>
      <c r="B2171" s="79">
        <v>5</v>
      </c>
      <c r="C2171" s="79">
        <v>195</v>
      </c>
      <c r="D2171" s="80">
        <v>43337.16715277778</v>
      </c>
      <c r="E2171" s="81">
        <f t="shared" ca="1" si="16"/>
        <v>43313</v>
      </c>
      <c r="F2171" s="82">
        <f ca="1">IFERROR(__xludf.DUMMYFUNCTION("""COMPUTED_VALUE"""),0.167152777777777)</f>
        <v>0.16715277777777701</v>
      </c>
      <c r="G2171" s="83">
        <f t="shared" ca="1" si="17"/>
        <v>19</v>
      </c>
      <c r="H2171" s="83">
        <f ca="1">IFERROR(__xludf.DUMMYFUNCTION("""COMPUTED_VALUE"""),0)</f>
        <v>0</v>
      </c>
      <c r="I2171" s="83">
        <f ca="1">IFERROR(__xludf.DUMMYFUNCTION("""COMPUTED_VALUE"""),42)</f>
        <v>42</v>
      </c>
    </row>
    <row r="2172" spans="1:9">
      <c r="A2172" s="79">
        <v>171</v>
      </c>
      <c r="B2172" s="79">
        <v>3</v>
      </c>
      <c r="C2172" s="79">
        <v>174</v>
      </c>
      <c r="D2172" s="80">
        <v>43337.177569444444</v>
      </c>
      <c r="E2172" s="81">
        <f t="shared" ca="1" si="16"/>
        <v>43313</v>
      </c>
      <c r="F2172" s="82">
        <f ca="1">IFERROR(__xludf.DUMMYFUNCTION("""COMPUTED_VALUE"""),0.177569444444444)</f>
        <v>0.177569444444444</v>
      </c>
      <c r="G2172" s="83">
        <f t="shared" ca="1" si="17"/>
        <v>19</v>
      </c>
      <c r="H2172" s="83">
        <f ca="1">IFERROR(__xludf.DUMMYFUNCTION("""COMPUTED_VALUE"""),15)</f>
        <v>15</v>
      </c>
      <c r="I2172" s="83">
        <f ca="1">IFERROR(__xludf.DUMMYFUNCTION("""COMPUTED_VALUE"""),42)</f>
        <v>42</v>
      </c>
    </row>
    <row r="2173" spans="1:9">
      <c r="A2173" s="79">
        <v>154</v>
      </c>
      <c r="B2173" s="79">
        <v>1</v>
      </c>
      <c r="C2173" s="79">
        <v>155</v>
      </c>
      <c r="D2173" s="80">
        <v>43337.187986111108</v>
      </c>
      <c r="E2173" s="81">
        <f t="shared" ca="1" si="16"/>
        <v>43313</v>
      </c>
      <c r="F2173" s="82">
        <f ca="1">IFERROR(__xludf.DUMMYFUNCTION("""COMPUTED_VALUE"""),0.187986111111111)</f>
        <v>0.18798611111111099</v>
      </c>
      <c r="G2173" s="83">
        <f t="shared" ca="1" si="17"/>
        <v>19</v>
      </c>
      <c r="H2173" s="83">
        <f ca="1">IFERROR(__xludf.DUMMYFUNCTION("""COMPUTED_VALUE"""),30)</f>
        <v>30</v>
      </c>
      <c r="I2173" s="83">
        <f ca="1">IFERROR(__xludf.DUMMYFUNCTION("""COMPUTED_VALUE"""),42)</f>
        <v>42</v>
      </c>
    </row>
    <row r="2174" spans="1:9">
      <c r="A2174" s="79">
        <v>147</v>
      </c>
      <c r="B2174" s="79">
        <v>1</v>
      </c>
      <c r="C2174" s="79">
        <v>148</v>
      </c>
      <c r="D2174" s="80">
        <v>43337.19840277778</v>
      </c>
      <c r="E2174" s="81">
        <f t="shared" ca="1" si="16"/>
        <v>43313</v>
      </c>
      <c r="F2174" s="82">
        <f ca="1">IFERROR(__xludf.DUMMYFUNCTION("""COMPUTED_VALUE"""),0.198402777777777)</f>
        <v>0.19840277777777701</v>
      </c>
      <c r="G2174" s="83">
        <f t="shared" ca="1" si="17"/>
        <v>19</v>
      </c>
      <c r="H2174" s="83">
        <f ca="1">IFERROR(__xludf.DUMMYFUNCTION("""COMPUTED_VALUE"""),45)</f>
        <v>45</v>
      </c>
      <c r="I2174" s="83">
        <f ca="1">IFERROR(__xludf.DUMMYFUNCTION("""COMPUTED_VALUE"""),42)</f>
        <v>42</v>
      </c>
    </row>
    <row r="2175" spans="1:9">
      <c r="A2175" s="79">
        <v>159</v>
      </c>
      <c r="B2175" s="79">
        <v>1</v>
      </c>
      <c r="C2175" s="79">
        <v>158</v>
      </c>
      <c r="D2175" s="80">
        <v>43337.208831018521</v>
      </c>
      <c r="E2175" s="81">
        <f t="shared" ca="1" si="16"/>
        <v>43313</v>
      </c>
      <c r="F2175" s="82">
        <f ca="1">IFERROR(__xludf.DUMMYFUNCTION("""COMPUTED_VALUE"""),0.208831018518518)</f>
        <v>0.20883101851851801</v>
      </c>
      <c r="G2175" s="83">
        <f t="shared" ca="1" si="17"/>
        <v>19</v>
      </c>
      <c r="H2175" s="83">
        <f ca="1">IFERROR(__xludf.DUMMYFUNCTION("""COMPUTED_VALUE"""),0)</f>
        <v>0</v>
      </c>
      <c r="I2175" s="83">
        <f ca="1">IFERROR(__xludf.DUMMYFUNCTION("""COMPUTED_VALUE"""),43)</f>
        <v>43</v>
      </c>
    </row>
    <row r="2176" spans="1:9">
      <c r="A2176" s="79">
        <v>128</v>
      </c>
      <c r="B2176" s="79">
        <v>3</v>
      </c>
      <c r="C2176" s="79">
        <v>131</v>
      </c>
      <c r="D2176" s="80">
        <v>43337.219236111108</v>
      </c>
      <c r="E2176" s="81">
        <f t="shared" ca="1" si="16"/>
        <v>43313</v>
      </c>
      <c r="F2176" s="82">
        <f ca="1">IFERROR(__xludf.DUMMYFUNCTION("""COMPUTED_VALUE"""),0.219236111111111)</f>
        <v>0.21923611111111099</v>
      </c>
      <c r="G2176" s="83">
        <f t="shared" ca="1" si="17"/>
        <v>19</v>
      </c>
      <c r="H2176" s="83">
        <f ca="1">IFERROR(__xludf.DUMMYFUNCTION("""COMPUTED_VALUE"""),15)</f>
        <v>15</v>
      </c>
      <c r="I2176" s="83">
        <f ca="1">IFERROR(__xludf.DUMMYFUNCTION("""COMPUTED_VALUE"""),42)</f>
        <v>42</v>
      </c>
    </row>
    <row r="2177" spans="1:9">
      <c r="A2177" s="79">
        <v>132</v>
      </c>
      <c r="B2177" s="79">
        <v>2</v>
      </c>
      <c r="C2177" s="79">
        <v>134</v>
      </c>
      <c r="D2177" s="80">
        <v>43337.22965277778</v>
      </c>
      <c r="E2177" s="81">
        <f t="shared" ca="1" si="16"/>
        <v>43313</v>
      </c>
      <c r="F2177" s="82">
        <f ca="1">IFERROR(__xludf.DUMMYFUNCTION("""COMPUTED_VALUE"""),0.229652777777777)</f>
        <v>0.22965277777777701</v>
      </c>
      <c r="G2177" s="83">
        <f t="shared" ca="1" si="17"/>
        <v>19</v>
      </c>
      <c r="H2177" s="83">
        <f ca="1">IFERROR(__xludf.DUMMYFUNCTION("""COMPUTED_VALUE"""),30)</f>
        <v>30</v>
      </c>
      <c r="I2177" s="83">
        <f ca="1">IFERROR(__xludf.DUMMYFUNCTION("""COMPUTED_VALUE"""),42)</f>
        <v>42</v>
      </c>
    </row>
    <row r="2178" spans="1:9">
      <c r="A2178" s="79">
        <v>133</v>
      </c>
      <c r="B2178" s="79">
        <v>2</v>
      </c>
      <c r="C2178" s="79">
        <v>135</v>
      </c>
      <c r="D2178" s="80">
        <v>43337.240069444444</v>
      </c>
      <c r="E2178" s="81">
        <f t="shared" ca="1" si="16"/>
        <v>43313</v>
      </c>
      <c r="F2178" s="82">
        <f ca="1">IFERROR(__xludf.DUMMYFUNCTION("""COMPUTED_VALUE"""),0.240069444444444)</f>
        <v>0.240069444444444</v>
      </c>
      <c r="G2178" s="83">
        <f t="shared" ca="1" si="17"/>
        <v>19</v>
      </c>
      <c r="H2178" s="83">
        <f ca="1">IFERROR(__xludf.DUMMYFUNCTION("""COMPUTED_VALUE"""),45)</f>
        <v>45</v>
      </c>
      <c r="I2178" s="83">
        <f ca="1">IFERROR(__xludf.DUMMYFUNCTION("""COMPUTED_VALUE"""),42)</f>
        <v>42</v>
      </c>
    </row>
    <row r="2179" spans="1:9">
      <c r="A2179" s="79">
        <v>133</v>
      </c>
      <c r="B2179" s="79">
        <v>1</v>
      </c>
      <c r="C2179" s="79">
        <v>124</v>
      </c>
      <c r="D2179" s="80">
        <v>43337.250486111108</v>
      </c>
      <c r="E2179" s="81">
        <f t="shared" ca="1" si="16"/>
        <v>43313</v>
      </c>
      <c r="F2179" s="82">
        <f ca="1">IFERROR(__xludf.DUMMYFUNCTION("""COMPUTED_VALUE"""),0.250486111111111)</f>
        <v>0.25048611111111102</v>
      </c>
      <c r="G2179" s="83">
        <f t="shared" ca="1" si="17"/>
        <v>19</v>
      </c>
      <c r="H2179" s="83">
        <f ca="1">IFERROR(__xludf.DUMMYFUNCTION("""COMPUTED_VALUE"""),0)</f>
        <v>0</v>
      </c>
      <c r="I2179" s="83">
        <f ca="1">IFERROR(__xludf.DUMMYFUNCTION("""COMPUTED_VALUE"""),42)</f>
        <v>42</v>
      </c>
    </row>
    <row r="2180" spans="1:9">
      <c r="A2180" s="79">
        <v>101</v>
      </c>
      <c r="B2180" s="79">
        <v>2</v>
      </c>
      <c r="C2180" s="79">
        <v>103</v>
      </c>
      <c r="D2180" s="80">
        <v>43337.26090277778</v>
      </c>
      <c r="E2180" s="81">
        <f t="shared" ca="1" si="16"/>
        <v>43313</v>
      </c>
      <c r="F2180" s="82">
        <f ca="1">IFERROR(__xludf.DUMMYFUNCTION("""COMPUTED_VALUE"""),0.260902777777777)</f>
        <v>0.26090277777777698</v>
      </c>
      <c r="G2180" s="83">
        <f t="shared" ca="1" si="17"/>
        <v>19</v>
      </c>
      <c r="H2180" s="83">
        <f ca="1">IFERROR(__xludf.DUMMYFUNCTION("""COMPUTED_VALUE"""),15)</f>
        <v>15</v>
      </c>
      <c r="I2180" s="83">
        <f ca="1">IFERROR(__xludf.DUMMYFUNCTION("""COMPUTED_VALUE"""),42)</f>
        <v>42</v>
      </c>
    </row>
    <row r="2181" spans="1:9">
      <c r="A2181" s="79">
        <v>83</v>
      </c>
      <c r="B2181" s="79">
        <v>3</v>
      </c>
      <c r="C2181" s="79">
        <v>86</v>
      </c>
      <c r="D2181" s="80">
        <v>43337.273842592593</v>
      </c>
      <c r="E2181" s="81">
        <f t="shared" ca="1" si="16"/>
        <v>43313</v>
      </c>
      <c r="F2181" s="82">
        <f ca="1">IFERROR(__xludf.DUMMYFUNCTION("""COMPUTED_VALUE"""),0.273842592592592)</f>
        <v>0.27384259259259203</v>
      </c>
      <c r="G2181" s="83">
        <f t="shared" ca="1" si="17"/>
        <v>19</v>
      </c>
      <c r="H2181" s="83">
        <f ca="1">IFERROR(__xludf.DUMMYFUNCTION("""COMPUTED_VALUE"""),34)</f>
        <v>34</v>
      </c>
      <c r="I2181" s="83">
        <f ca="1">IFERROR(__xludf.DUMMYFUNCTION("""COMPUTED_VALUE"""),20)</f>
        <v>20</v>
      </c>
    </row>
    <row r="2182" spans="1:9">
      <c r="A2182" s="79">
        <v>68</v>
      </c>
      <c r="B2182" s="79">
        <v>2</v>
      </c>
      <c r="C2182" s="79">
        <v>70</v>
      </c>
      <c r="D2182" s="80">
        <v>43337.281747685185</v>
      </c>
      <c r="E2182" s="81">
        <f t="shared" ca="1" si="16"/>
        <v>43313</v>
      </c>
      <c r="F2182" s="82">
        <f ca="1">IFERROR(__xludf.DUMMYFUNCTION("""COMPUTED_VALUE"""),0.281747685185185)</f>
        <v>0.281747685185185</v>
      </c>
      <c r="G2182" s="83">
        <f t="shared" ca="1" si="17"/>
        <v>19</v>
      </c>
      <c r="H2182" s="83">
        <f ca="1">IFERROR(__xludf.DUMMYFUNCTION("""COMPUTED_VALUE"""),45)</f>
        <v>45</v>
      </c>
      <c r="I2182" s="83">
        <f ca="1">IFERROR(__xludf.DUMMYFUNCTION("""COMPUTED_VALUE"""),43)</f>
        <v>43</v>
      </c>
    </row>
    <row r="2183" spans="1:9">
      <c r="A2183" s="79">
        <v>62</v>
      </c>
      <c r="B2183" s="79">
        <v>1</v>
      </c>
      <c r="C2183" s="79">
        <v>63</v>
      </c>
      <c r="D2183" s="80">
        <v>43337.29215277778</v>
      </c>
      <c r="E2183" s="81">
        <f t="shared" ca="1" si="16"/>
        <v>43313</v>
      </c>
      <c r="F2183" s="82">
        <f ca="1">IFERROR(__xludf.DUMMYFUNCTION("""COMPUTED_VALUE"""),0.292152777777777)</f>
        <v>0.29215277777777698</v>
      </c>
      <c r="G2183" s="83">
        <f t="shared" ca="1" si="17"/>
        <v>19</v>
      </c>
      <c r="H2183" s="83">
        <f ca="1">IFERROR(__xludf.DUMMYFUNCTION("""COMPUTED_VALUE"""),0)</f>
        <v>0</v>
      </c>
      <c r="I2183" s="83">
        <f ca="1">IFERROR(__xludf.DUMMYFUNCTION("""COMPUTED_VALUE"""),42)</f>
        <v>42</v>
      </c>
    </row>
    <row r="2184" spans="1:9">
      <c r="A2184" s="79">
        <v>64</v>
      </c>
      <c r="B2184" s="79">
        <v>2</v>
      </c>
      <c r="C2184" s="79">
        <v>66</v>
      </c>
      <c r="D2184" s="80">
        <v>43337.30259259259</v>
      </c>
      <c r="E2184" s="81">
        <f t="shared" ca="1" si="16"/>
        <v>43313</v>
      </c>
      <c r="F2184" s="82">
        <f ca="1">IFERROR(__xludf.DUMMYFUNCTION("""COMPUTED_VALUE"""),0.302592592592592)</f>
        <v>0.30259259259259202</v>
      </c>
      <c r="G2184" s="83">
        <f t="shared" ca="1" si="17"/>
        <v>19</v>
      </c>
      <c r="H2184" s="83">
        <f ca="1">IFERROR(__xludf.DUMMYFUNCTION("""COMPUTED_VALUE"""),15)</f>
        <v>15</v>
      </c>
      <c r="I2184" s="83">
        <f ca="1">IFERROR(__xludf.DUMMYFUNCTION("""COMPUTED_VALUE"""),44)</f>
        <v>44</v>
      </c>
    </row>
    <row r="2185" spans="1:9">
      <c r="A2185" s="79">
        <v>57</v>
      </c>
      <c r="B2185" s="79">
        <v>2</v>
      </c>
      <c r="C2185" s="79">
        <v>59</v>
      </c>
      <c r="D2185" s="80">
        <v>43337.313009259262</v>
      </c>
      <c r="E2185" s="81">
        <f t="shared" ca="1" si="16"/>
        <v>43313</v>
      </c>
      <c r="F2185" s="82">
        <f ca="1">IFERROR(__xludf.DUMMYFUNCTION("""COMPUTED_VALUE"""),0.313009259259259)</f>
        <v>0.31300925925925899</v>
      </c>
      <c r="G2185" s="83">
        <f t="shared" ca="1" si="17"/>
        <v>19</v>
      </c>
      <c r="H2185" s="83">
        <f ca="1">IFERROR(__xludf.DUMMYFUNCTION("""COMPUTED_VALUE"""),30)</f>
        <v>30</v>
      </c>
      <c r="I2185" s="83">
        <f ca="1">IFERROR(__xludf.DUMMYFUNCTION("""COMPUTED_VALUE"""),44)</f>
        <v>44</v>
      </c>
    </row>
    <row r="2186" spans="1:9">
      <c r="A2186" s="79">
        <v>62</v>
      </c>
      <c r="B2186" s="79">
        <v>2</v>
      </c>
      <c r="C2186" s="79">
        <v>64</v>
      </c>
      <c r="D2186" s="80">
        <v>43337.323414351849</v>
      </c>
      <c r="E2186" s="81">
        <f t="shared" ca="1" si="16"/>
        <v>43313</v>
      </c>
      <c r="F2186" s="82">
        <f ca="1">IFERROR(__xludf.DUMMYFUNCTION("""COMPUTED_VALUE"""),0.323414351851851)</f>
        <v>0.32341435185185102</v>
      </c>
      <c r="G2186" s="83">
        <f t="shared" ca="1" si="17"/>
        <v>19</v>
      </c>
      <c r="H2186" s="83">
        <f ca="1">IFERROR(__xludf.DUMMYFUNCTION("""COMPUTED_VALUE"""),45)</f>
        <v>45</v>
      </c>
      <c r="I2186" s="83">
        <f ca="1">IFERROR(__xludf.DUMMYFUNCTION("""COMPUTED_VALUE"""),43)</f>
        <v>43</v>
      </c>
    </row>
    <row r="2187" spans="1:9">
      <c r="A2187" s="79">
        <v>65</v>
      </c>
      <c r="B2187" s="79">
        <v>1</v>
      </c>
      <c r="C2187" s="79">
        <v>66</v>
      </c>
      <c r="D2187" s="80">
        <v>43337.33384259259</v>
      </c>
      <c r="E2187" s="81">
        <f t="shared" ca="1" si="16"/>
        <v>43313</v>
      </c>
      <c r="F2187" s="82">
        <f ca="1">IFERROR(__xludf.DUMMYFUNCTION("""COMPUTED_VALUE"""),0.333842592592592)</f>
        <v>0.33384259259259202</v>
      </c>
      <c r="G2187" s="83">
        <f t="shared" ca="1" si="17"/>
        <v>19</v>
      </c>
      <c r="H2187" s="83">
        <f ca="1">IFERROR(__xludf.DUMMYFUNCTION("""COMPUTED_VALUE"""),0)</f>
        <v>0</v>
      </c>
      <c r="I2187" s="83">
        <f ca="1">IFERROR(__xludf.DUMMYFUNCTION("""COMPUTED_VALUE"""),44)</f>
        <v>44</v>
      </c>
    </row>
    <row r="2188" spans="1:9">
      <c r="A2188" s="79">
        <v>79</v>
      </c>
      <c r="B2188" s="79">
        <v>1</v>
      </c>
      <c r="C2188" s="79">
        <v>80</v>
      </c>
      <c r="D2188" s="80">
        <v>43337.344247685185</v>
      </c>
      <c r="E2188" s="81">
        <f t="shared" ca="1" si="16"/>
        <v>43313</v>
      </c>
      <c r="F2188" s="82">
        <f ca="1">IFERROR(__xludf.DUMMYFUNCTION("""COMPUTED_VALUE"""),0.344247685185185)</f>
        <v>0.344247685185185</v>
      </c>
      <c r="G2188" s="83">
        <f t="shared" ca="1" si="17"/>
        <v>19</v>
      </c>
      <c r="H2188" s="83">
        <f ca="1">IFERROR(__xludf.DUMMYFUNCTION("""COMPUTED_VALUE"""),15)</f>
        <v>15</v>
      </c>
      <c r="I2188" s="83">
        <f ca="1">IFERROR(__xludf.DUMMYFUNCTION("""COMPUTED_VALUE"""),43)</f>
        <v>43</v>
      </c>
    </row>
    <row r="2189" spans="1:9">
      <c r="A2189" s="79">
        <v>60</v>
      </c>
      <c r="B2189" s="79">
        <v>1</v>
      </c>
      <c r="C2189" s="79">
        <v>61</v>
      </c>
      <c r="D2189" s="80">
        <v>43337.354675925926</v>
      </c>
      <c r="E2189" s="81">
        <f t="shared" ca="1" si="16"/>
        <v>43313</v>
      </c>
      <c r="F2189" s="82">
        <f ca="1">IFERROR(__xludf.DUMMYFUNCTION("""COMPUTED_VALUE"""),0.354675925925925)</f>
        <v>0.35467592592592501</v>
      </c>
      <c r="G2189" s="83">
        <f t="shared" ca="1" si="17"/>
        <v>19</v>
      </c>
      <c r="H2189" s="83">
        <f ca="1">IFERROR(__xludf.DUMMYFUNCTION("""COMPUTED_VALUE"""),30)</f>
        <v>30</v>
      </c>
      <c r="I2189" s="83">
        <f ca="1">IFERROR(__xludf.DUMMYFUNCTION("""COMPUTED_VALUE"""),44)</f>
        <v>44</v>
      </c>
    </row>
    <row r="2190" spans="1:9">
      <c r="A2190" s="79">
        <v>59</v>
      </c>
      <c r="B2190" s="79">
        <v>1</v>
      </c>
      <c r="C2190" s="79">
        <v>60</v>
      </c>
      <c r="D2190" s="80">
        <v>43337.36509259259</v>
      </c>
      <c r="E2190" s="81">
        <f t="shared" ca="1" si="16"/>
        <v>43313</v>
      </c>
      <c r="F2190" s="82">
        <f ca="1">IFERROR(__xludf.DUMMYFUNCTION("""COMPUTED_VALUE"""),0.365092592592592)</f>
        <v>0.36509259259259202</v>
      </c>
      <c r="G2190" s="83">
        <f t="shared" ca="1" si="17"/>
        <v>19</v>
      </c>
      <c r="H2190" s="83">
        <f ca="1">IFERROR(__xludf.DUMMYFUNCTION("""COMPUTED_VALUE"""),45)</f>
        <v>45</v>
      </c>
      <c r="I2190" s="83">
        <f ca="1">IFERROR(__xludf.DUMMYFUNCTION("""COMPUTED_VALUE"""),44)</f>
        <v>44</v>
      </c>
    </row>
    <row r="2191" spans="1:9">
      <c r="A2191" s="79">
        <v>50</v>
      </c>
      <c r="B2191" s="79">
        <v>1</v>
      </c>
      <c r="C2191" s="79">
        <v>51</v>
      </c>
      <c r="D2191" s="80">
        <v>43337.375509259262</v>
      </c>
      <c r="E2191" s="81">
        <f t="shared" ca="1" si="16"/>
        <v>43313</v>
      </c>
      <c r="F2191" s="82">
        <f ca="1">IFERROR(__xludf.DUMMYFUNCTION("""COMPUTED_VALUE"""),0.375509259259259)</f>
        <v>0.37550925925925899</v>
      </c>
      <c r="G2191" s="83">
        <f t="shared" ca="1" si="17"/>
        <v>19</v>
      </c>
      <c r="H2191" s="83">
        <f ca="1">IFERROR(__xludf.DUMMYFUNCTION("""COMPUTED_VALUE"""),0)</f>
        <v>0</v>
      </c>
      <c r="I2191" s="83">
        <f ca="1">IFERROR(__xludf.DUMMYFUNCTION("""COMPUTED_VALUE"""),44)</f>
        <v>44</v>
      </c>
    </row>
    <row r="2192" spans="1:9">
      <c r="A2192" s="79">
        <v>63</v>
      </c>
      <c r="B2192" s="79">
        <v>1</v>
      </c>
      <c r="C2192" s="79">
        <v>64</v>
      </c>
      <c r="D2192" s="80">
        <v>43337.385914351849</v>
      </c>
      <c r="E2192" s="81">
        <f t="shared" ca="1" si="16"/>
        <v>43313</v>
      </c>
      <c r="F2192" s="82">
        <f ca="1">IFERROR(__xludf.DUMMYFUNCTION("""COMPUTED_VALUE"""),0.385914351851851)</f>
        <v>0.38591435185185102</v>
      </c>
      <c r="G2192" s="83">
        <f t="shared" ca="1" si="17"/>
        <v>19</v>
      </c>
      <c r="H2192" s="83">
        <f ca="1">IFERROR(__xludf.DUMMYFUNCTION("""COMPUTED_VALUE"""),15)</f>
        <v>15</v>
      </c>
      <c r="I2192" s="83">
        <f ca="1">IFERROR(__xludf.DUMMYFUNCTION("""COMPUTED_VALUE"""),43)</f>
        <v>43</v>
      </c>
    </row>
    <row r="2193" spans="1:9">
      <c r="A2193" s="79">
        <v>87</v>
      </c>
      <c r="B2193" s="79">
        <v>1</v>
      </c>
      <c r="C2193" s="79">
        <v>88</v>
      </c>
      <c r="D2193" s="80">
        <v>43337.39634259259</v>
      </c>
      <c r="E2193" s="81">
        <f t="shared" ca="1" si="16"/>
        <v>43313</v>
      </c>
      <c r="F2193" s="82">
        <f ca="1">IFERROR(__xludf.DUMMYFUNCTION("""COMPUTED_VALUE"""),0.396342592592592)</f>
        <v>0.39634259259259202</v>
      </c>
      <c r="G2193" s="83">
        <f t="shared" ca="1" si="17"/>
        <v>19</v>
      </c>
      <c r="H2193" s="83">
        <f ca="1">IFERROR(__xludf.DUMMYFUNCTION("""COMPUTED_VALUE"""),30)</f>
        <v>30</v>
      </c>
      <c r="I2193" s="83">
        <f ca="1">IFERROR(__xludf.DUMMYFUNCTION("""COMPUTED_VALUE"""),44)</f>
        <v>44</v>
      </c>
    </row>
    <row r="2194" spans="1:9">
      <c r="A2194" s="79">
        <v>112</v>
      </c>
      <c r="B2194" s="79">
        <v>1</v>
      </c>
      <c r="C2194" s="79">
        <v>113</v>
      </c>
      <c r="D2194" s="80">
        <v>43337.406747685185</v>
      </c>
      <c r="E2194" s="81">
        <f t="shared" ca="1" si="16"/>
        <v>43313</v>
      </c>
      <c r="F2194" s="82">
        <f ca="1">IFERROR(__xludf.DUMMYFUNCTION("""COMPUTED_VALUE"""),0.406747685185185)</f>
        <v>0.406747685185185</v>
      </c>
      <c r="G2194" s="83">
        <f t="shared" ca="1" si="17"/>
        <v>19</v>
      </c>
      <c r="H2194" s="83">
        <f ca="1">IFERROR(__xludf.DUMMYFUNCTION("""COMPUTED_VALUE"""),45)</f>
        <v>45</v>
      </c>
      <c r="I2194" s="83">
        <f ca="1">IFERROR(__xludf.DUMMYFUNCTION("""COMPUTED_VALUE"""),43)</f>
        <v>43</v>
      </c>
    </row>
    <row r="2195" spans="1:9">
      <c r="A2195" s="79">
        <v>77</v>
      </c>
      <c r="B2195" s="79">
        <v>1</v>
      </c>
      <c r="C2195" s="79">
        <v>78</v>
      </c>
      <c r="D2195" s="80">
        <v>43337.417187500003</v>
      </c>
      <c r="E2195" s="81">
        <f t="shared" ca="1" si="16"/>
        <v>43313</v>
      </c>
      <c r="F2195" s="82">
        <f ca="1">IFERROR(__xludf.DUMMYFUNCTION("""COMPUTED_VALUE"""),0.4171875)</f>
        <v>0.41718749999999999</v>
      </c>
      <c r="G2195" s="83">
        <f t="shared" ca="1" si="17"/>
        <v>19</v>
      </c>
      <c r="H2195" s="83">
        <f ca="1">IFERROR(__xludf.DUMMYFUNCTION("""COMPUTED_VALUE"""),0)</f>
        <v>0</v>
      </c>
      <c r="I2195" s="83">
        <f ca="1">IFERROR(__xludf.DUMMYFUNCTION("""COMPUTED_VALUE"""),45)</f>
        <v>45</v>
      </c>
    </row>
    <row r="2196" spans="1:9">
      <c r="A2196" s="79">
        <v>88</v>
      </c>
      <c r="B2196" s="79">
        <v>1</v>
      </c>
      <c r="C2196" s="79">
        <v>89</v>
      </c>
      <c r="D2196" s="80">
        <v>43337.427581018521</v>
      </c>
      <c r="E2196" s="81">
        <f t="shared" ca="1" si="16"/>
        <v>43313</v>
      </c>
      <c r="F2196" s="82">
        <f ca="1">IFERROR(__xludf.DUMMYFUNCTION("""COMPUTED_VALUE"""),0.427581018518518)</f>
        <v>0.42758101851851799</v>
      </c>
      <c r="G2196" s="83">
        <f t="shared" ca="1" si="17"/>
        <v>19</v>
      </c>
      <c r="H2196" s="83">
        <f ca="1">IFERROR(__xludf.DUMMYFUNCTION("""COMPUTED_VALUE"""),15)</f>
        <v>15</v>
      </c>
      <c r="I2196" s="83">
        <f ca="1">IFERROR(__xludf.DUMMYFUNCTION("""COMPUTED_VALUE"""),43)</f>
        <v>43</v>
      </c>
    </row>
    <row r="2197" spans="1:9">
      <c r="A2197" s="79">
        <v>102</v>
      </c>
      <c r="B2197" s="79">
        <v>2</v>
      </c>
      <c r="C2197" s="79">
        <v>104</v>
      </c>
      <c r="D2197" s="80">
        <v>43337.438009259262</v>
      </c>
      <c r="E2197" s="81">
        <f t="shared" ca="1" si="16"/>
        <v>43313</v>
      </c>
      <c r="F2197" s="82">
        <f ca="1">IFERROR(__xludf.DUMMYFUNCTION("""COMPUTED_VALUE"""),0.438009259259259)</f>
        <v>0.43800925925925899</v>
      </c>
      <c r="G2197" s="83">
        <f t="shared" ca="1" si="17"/>
        <v>19</v>
      </c>
      <c r="H2197" s="83">
        <f ca="1">IFERROR(__xludf.DUMMYFUNCTION("""COMPUTED_VALUE"""),30)</f>
        <v>30</v>
      </c>
      <c r="I2197" s="83">
        <f ca="1">IFERROR(__xludf.DUMMYFUNCTION("""COMPUTED_VALUE"""),44)</f>
        <v>44</v>
      </c>
    </row>
    <row r="2198" spans="1:9">
      <c r="A2198" s="79">
        <v>142</v>
      </c>
      <c r="B2198" s="79">
        <v>2</v>
      </c>
      <c r="C2198" s="79">
        <v>144</v>
      </c>
      <c r="D2198" s="80">
        <v>43337.448414351849</v>
      </c>
      <c r="E2198" s="81">
        <f t="shared" ca="1" si="16"/>
        <v>43313</v>
      </c>
      <c r="F2198" s="82">
        <f ca="1">IFERROR(__xludf.DUMMYFUNCTION("""COMPUTED_VALUE"""),0.448414351851851)</f>
        <v>0.44841435185185102</v>
      </c>
      <c r="G2198" s="83">
        <f t="shared" ca="1" si="17"/>
        <v>19</v>
      </c>
      <c r="H2198" s="83">
        <f ca="1">IFERROR(__xludf.DUMMYFUNCTION("""COMPUTED_VALUE"""),45)</f>
        <v>45</v>
      </c>
      <c r="I2198" s="83">
        <f ca="1">IFERROR(__xludf.DUMMYFUNCTION("""COMPUTED_VALUE"""),43)</f>
        <v>43</v>
      </c>
    </row>
    <row r="2199" spans="1:9">
      <c r="A2199" s="79">
        <v>110</v>
      </c>
      <c r="B2199" s="79">
        <v>2</v>
      </c>
      <c r="C2199" s="79">
        <v>112</v>
      </c>
      <c r="D2199" s="80">
        <v>43337.45884259259</v>
      </c>
      <c r="E2199" s="81">
        <f t="shared" ca="1" si="16"/>
        <v>43313</v>
      </c>
      <c r="F2199" s="82">
        <f ca="1">IFERROR(__xludf.DUMMYFUNCTION("""COMPUTED_VALUE"""),0.458842592592592)</f>
        <v>0.45884259259259202</v>
      </c>
      <c r="G2199" s="83">
        <f t="shared" ca="1" si="17"/>
        <v>19</v>
      </c>
      <c r="H2199" s="83">
        <f ca="1">IFERROR(__xludf.DUMMYFUNCTION("""COMPUTED_VALUE"""),0)</f>
        <v>0</v>
      </c>
      <c r="I2199" s="83">
        <f ca="1">IFERROR(__xludf.DUMMYFUNCTION("""COMPUTED_VALUE"""),44)</f>
        <v>44</v>
      </c>
    </row>
    <row r="2200" spans="1:9">
      <c r="A2200" s="79">
        <v>128</v>
      </c>
      <c r="B2200" s="79">
        <v>3</v>
      </c>
      <c r="C2200" s="79">
        <v>131</v>
      </c>
      <c r="D2200" s="80">
        <v>43337.469259259262</v>
      </c>
      <c r="E2200" s="81">
        <f t="shared" ca="1" si="16"/>
        <v>43313</v>
      </c>
      <c r="F2200" s="82">
        <f ca="1">IFERROR(__xludf.DUMMYFUNCTION("""COMPUTED_VALUE"""),0.469259259259259)</f>
        <v>0.46925925925925899</v>
      </c>
      <c r="G2200" s="83">
        <f t="shared" ca="1" si="17"/>
        <v>19</v>
      </c>
      <c r="H2200" s="83">
        <f ca="1">IFERROR(__xludf.DUMMYFUNCTION("""COMPUTED_VALUE"""),15)</f>
        <v>15</v>
      </c>
      <c r="I2200" s="83">
        <f ca="1">IFERROR(__xludf.DUMMYFUNCTION("""COMPUTED_VALUE"""),44)</f>
        <v>44</v>
      </c>
    </row>
    <row r="2201" spans="1:9">
      <c r="A2201" s="79">
        <v>147</v>
      </c>
      <c r="B2201" s="79">
        <v>4</v>
      </c>
      <c r="C2201" s="79">
        <v>151</v>
      </c>
      <c r="D2201" s="80">
        <v>43337.479664351849</v>
      </c>
      <c r="E2201" s="81">
        <f t="shared" ca="1" si="16"/>
        <v>43313</v>
      </c>
      <c r="F2201" s="82">
        <f ca="1">IFERROR(__xludf.DUMMYFUNCTION("""COMPUTED_VALUE"""),0.479664351851851)</f>
        <v>0.47966435185185102</v>
      </c>
      <c r="G2201" s="83">
        <f t="shared" ca="1" si="17"/>
        <v>19</v>
      </c>
      <c r="H2201" s="83">
        <f ca="1">IFERROR(__xludf.DUMMYFUNCTION("""COMPUTED_VALUE"""),30)</f>
        <v>30</v>
      </c>
      <c r="I2201" s="83">
        <f ca="1">IFERROR(__xludf.DUMMYFUNCTION("""COMPUTED_VALUE"""),43)</f>
        <v>43</v>
      </c>
    </row>
    <row r="2202" spans="1:9">
      <c r="A2202" s="79">
        <v>194</v>
      </c>
      <c r="B2202" s="79">
        <v>4</v>
      </c>
      <c r="C2202" s="79">
        <v>198</v>
      </c>
      <c r="D2202" s="80">
        <v>43337.49009259259</v>
      </c>
      <c r="E2202" s="81">
        <f t="shared" ca="1" si="16"/>
        <v>43313</v>
      </c>
      <c r="F2202" s="82">
        <f ca="1">IFERROR(__xludf.DUMMYFUNCTION("""COMPUTED_VALUE"""),0.490092592592592)</f>
        <v>0.49009259259259202</v>
      </c>
      <c r="G2202" s="83">
        <f t="shared" ca="1" si="17"/>
        <v>19</v>
      </c>
      <c r="H2202" s="83">
        <f ca="1">IFERROR(__xludf.DUMMYFUNCTION("""COMPUTED_VALUE"""),45)</f>
        <v>45</v>
      </c>
      <c r="I2202" s="83">
        <f ca="1">IFERROR(__xludf.DUMMYFUNCTION("""COMPUTED_VALUE"""),44)</f>
        <v>44</v>
      </c>
    </row>
    <row r="2203" spans="1:9">
      <c r="A2203" s="79">
        <v>187</v>
      </c>
      <c r="B2203" s="79">
        <v>3</v>
      </c>
      <c r="C2203" s="79">
        <v>190</v>
      </c>
      <c r="D2203" s="80">
        <v>43337.500497685185</v>
      </c>
      <c r="E2203" s="81">
        <f t="shared" ca="1" si="16"/>
        <v>43313</v>
      </c>
      <c r="F2203" s="82">
        <f ca="1">IFERROR(__xludf.DUMMYFUNCTION("""COMPUTED_VALUE"""),0.500497685185185)</f>
        <v>0.500497685185185</v>
      </c>
      <c r="G2203" s="83">
        <f t="shared" ca="1" si="17"/>
        <v>19</v>
      </c>
      <c r="H2203" s="83">
        <f ca="1">IFERROR(__xludf.DUMMYFUNCTION("""COMPUTED_VALUE"""),0)</f>
        <v>0</v>
      </c>
      <c r="I2203" s="83">
        <f ca="1">IFERROR(__xludf.DUMMYFUNCTION("""COMPUTED_VALUE"""),43)</f>
        <v>43</v>
      </c>
    </row>
    <row r="2204" spans="1:9">
      <c r="A2204" s="79">
        <v>174</v>
      </c>
      <c r="B2204" s="79">
        <v>2</v>
      </c>
      <c r="C2204" s="79">
        <v>176</v>
      </c>
      <c r="D2204" s="80">
        <v>43337.510914351849</v>
      </c>
      <c r="E2204" s="81">
        <f t="shared" ca="1" si="16"/>
        <v>43313</v>
      </c>
      <c r="F2204" s="82">
        <f ca="1">IFERROR(__xludf.DUMMYFUNCTION("""COMPUTED_VALUE"""),0.510914351851851)</f>
        <v>0.51091435185185097</v>
      </c>
      <c r="G2204" s="83">
        <f t="shared" ca="1" si="17"/>
        <v>19</v>
      </c>
      <c r="H2204" s="83">
        <f ca="1">IFERROR(__xludf.DUMMYFUNCTION("""COMPUTED_VALUE"""),15)</f>
        <v>15</v>
      </c>
      <c r="I2204" s="83">
        <f ca="1">IFERROR(__xludf.DUMMYFUNCTION("""COMPUTED_VALUE"""),43)</f>
        <v>43</v>
      </c>
    </row>
    <row r="2205" spans="1:9">
      <c r="A2205" s="79">
        <v>188</v>
      </c>
      <c r="B2205" s="79">
        <v>2</v>
      </c>
      <c r="C2205" s="79">
        <v>190</v>
      </c>
      <c r="D2205" s="80">
        <v>43337.521331018521</v>
      </c>
      <c r="E2205" s="81">
        <f t="shared" ca="1" si="16"/>
        <v>43313</v>
      </c>
      <c r="F2205" s="82">
        <f ca="1">IFERROR(__xludf.DUMMYFUNCTION("""COMPUTED_VALUE"""),0.521331018518518)</f>
        <v>0.52133101851851804</v>
      </c>
      <c r="G2205" s="83">
        <f t="shared" ca="1" si="17"/>
        <v>19</v>
      </c>
      <c r="H2205" s="83">
        <f ca="1">IFERROR(__xludf.DUMMYFUNCTION("""COMPUTED_VALUE"""),30)</f>
        <v>30</v>
      </c>
      <c r="I2205" s="83">
        <f ca="1">IFERROR(__xludf.DUMMYFUNCTION("""COMPUTED_VALUE"""),43)</f>
        <v>43</v>
      </c>
    </row>
    <row r="2206" spans="1:9">
      <c r="A2206" s="79">
        <v>256</v>
      </c>
      <c r="B2206" s="79">
        <v>2</v>
      </c>
      <c r="C2206" s="79">
        <v>258</v>
      </c>
      <c r="D2206" s="80">
        <v>43337.531759259262</v>
      </c>
      <c r="E2206" s="81">
        <f t="shared" ca="1" si="16"/>
        <v>43313</v>
      </c>
      <c r="F2206" s="82">
        <f ca="1">IFERROR(__xludf.DUMMYFUNCTION("""COMPUTED_VALUE"""),0.531759259259259)</f>
        <v>0.53175925925925904</v>
      </c>
      <c r="G2206" s="83">
        <f t="shared" ca="1" si="17"/>
        <v>19</v>
      </c>
      <c r="H2206" s="83">
        <f ca="1">IFERROR(__xludf.DUMMYFUNCTION("""COMPUTED_VALUE"""),45)</f>
        <v>45</v>
      </c>
      <c r="I2206" s="83">
        <f ca="1">IFERROR(__xludf.DUMMYFUNCTION("""COMPUTED_VALUE"""),44)</f>
        <v>44</v>
      </c>
    </row>
    <row r="2207" spans="1:9">
      <c r="A2207" s="79">
        <v>208</v>
      </c>
      <c r="B2207" s="79">
        <v>4</v>
      </c>
      <c r="C2207" s="79">
        <v>212</v>
      </c>
      <c r="D2207" s="80">
        <v>43337.542175925926</v>
      </c>
      <c r="E2207" s="81">
        <f t="shared" ca="1" si="16"/>
        <v>43313</v>
      </c>
      <c r="F2207" s="82">
        <f ca="1">IFERROR(__xludf.DUMMYFUNCTION("""COMPUTED_VALUE"""),0.542175925925925)</f>
        <v>0.54217592592592501</v>
      </c>
      <c r="G2207" s="83">
        <f t="shared" ca="1" si="17"/>
        <v>19</v>
      </c>
      <c r="H2207" s="83">
        <f ca="1">IFERROR(__xludf.DUMMYFUNCTION("""COMPUTED_VALUE"""),0)</f>
        <v>0</v>
      </c>
      <c r="I2207" s="83">
        <f ca="1">IFERROR(__xludf.DUMMYFUNCTION("""COMPUTED_VALUE"""),44)</f>
        <v>44</v>
      </c>
    </row>
    <row r="2208" spans="1:9">
      <c r="A2208" s="79">
        <v>222</v>
      </c>
      <c r="B2208" s="79">
        <v>4</v>
      </c>
      <c r="C2208" s="79">
        <v>226</v>
      </c>
      <c r="D2208" s="80">
        <v>43337.55259259259</v>
      </c>
      <c r="E2208" s="81">
        <f t="shared" ca="1" si="16"/>
        <v>43313</v>
      </c>
      <c r="F2208" s="82">
        <f ca="1">IFERROR(__xludf.DUMMYFUNCTION("""COMPUTED_VALUE"""),0.552592592592592)</f>
        <v>0.55259259259259197</v>
      </c>
      <c r="G2208" s="83">
        <f t="shared" ca="1" si="17"/>
        <v>19</v>
      </c>
      <c r="H2208" s="83">
        <f ca="1">IFERROR(__xludf.DUMMYFUNCTION("""COMPUTED_VALUE"""),15)</f>
        <v>15</v>
      </c>
      <c r="I2208" s="83">
        <f ca="1">IFERROR(__xludf.DUMMYFUNCTION("""COMPUTED_VALUE"""),44)</f>
        <v>44</v>
      </c>
    </row>
    <row r="2209" spans="1:9">
      <c r="A2209" s="79">
        <v>249</v>
      </c>
      <c r="B2209" s="79">
        <v>5</v>
      </c>
      <c r="C2209" s="79">
        <v>254</v>
      </c>
      <c r="D2209" s="80">
        <v>43337.562997685185</v>
      </c>
      <c r="E2209" s="81">
        <f t="shared" ca="1" si="16"/>
        <v>43313</v>
      </c>
      <c r="F2209" s="82">
        <f ca="1">IFERROR(__xludf.DUMMYFUNCTION("""COMPUTED_VALUE"""),0.562997685185185)</f>
        <v>0.562997685185185</v>
      </c>
      <c r="G2209" s="83">
        <f t="shared" ca="1" si="17"/>
        <v>19</v>
      </c>
      <c r="H2209" s="83">
        <f ca="1">IFERROR(__xludf.DUMMYFUNCTION("""COMPUTED_VALUE"""),30)</f>
        <v>30</v>
      </c>
      <c r="I2209" s="83">
        <f ca="1">IFERROR(__xludf.DUMMYFUNCTION("""COMPUTED_VALUE"""),43)</f>
        <v>43</v>
      </c>
    </row>
    <row r="2210" spans="1:9">
      <c r="A2210" s="79">
        <v>278</v>
      </c>
      <c r="B2210" s="79">
        <v>4</v>
      </c>
      <c r="C2210" s="79">
        <v>280</v>
      </c>
      <c r="D2210" s="80">
        <v>43337.573425925926</v>
      </c>
      <c r="E2210" s="81">
        <f t="shared" ca="1" si="16"/>
        <v>43313</v>
      </c>
      <c r="F2210" s="82">
        <f ca="1">IFERROR(__xludf.DUMMYFUNCTION("""COMPUTED_VALUE"""),0.573425925925925)</f>
        <v>0.57342592592592501</v>
      </c>
      <c r="G2210" s="83">
        <f t="shared" ca="1" si="17"/>
        <v>19</v>
      </c>
      <c r="H2210" s="83">
        <f ca="1">IFERROR(__xludf.DUMMYFUNCTION("""COMPUTED_VALUE"""),45)</f>
        <v>45</v>
      </c>
      <c r="I2210" s="83">
        <f ca="1">IFERROR(__xludf.DUMMYFUNCTION("""COMPUTED_VALUE"""),44)</f>
        <v>44</v>
      </c>
    </row>
    <row r="2211" spans="1:9">
      <c r="A2211" s="79">
        <v>244</v>
      </c>
      <c r="B2211" s="79">
        <v>4</v>
      </c>
      <c r="C2211" s="79">
        <v>248</v>
      </c>
      <c r="D2211" s="80">
        <v>43337.583819444444</v>
      </c>
      <c r="E2211" s="81">
        <f t="shared" ca="1" si="16"/>
        <v>43313</v>
      </c>
      <c r="F2211" s="82">
        <f ca="1">IFERROR(__xludf.DUMMYFUNCTION("""COMPUTED_VALUE"""),0.583819444444444)</f>
        <v>0.583819444444444</v>
      </c>
      <c r="G2211" s="83">
        <f t="shared" ca="1" si="17"/>
        <v>19</v>
      </c>
      <c r="H2211" s="83">
        <f ca="1">IFERROR(__xludf.DUMMYFUNCTION("""COMPUTED_VALUE"""),0)</f>
        <v>0</v>
      </c>
      <c r="I2211" s="83">
        <f ca="1">IFERROR(__xludf.DUMMYFUNCTION("""COMPUTED_VALUE"""),42)</f>
        <v>42</v>
      </c>
    </row>
    <row r="2212" spans="1:9">
      <c r="A2212" s="79">
        <v>287</v>
      </c>
      <c r="B2212" s="79">
        <v>5</v>
      </c>
      <c r="C2212" s="79">
        <v>290</v>
      </c>
      <c r="D2212" s="80">
        <v>43337.594247685185</v>
      </c>
      <c r="E2212" s="81">
        <f t="shared" ca="1" si="16"/>
        <v>43313</v>
      </c>
      <c r="F2212" s="82">
        <f ca="1">IFERROR(__xludf.DUMMYFUNCTION("""COMPUTED_VALUE"""),0.594247685185185)</f>
        <v>0.594247685185185</v>
      </c>
      <c r="G2212" s="83">
        <f t="shared" ca="1" si="17"/>
        <v>19</v>
      </c>
      <c r="H2212" s="83">
        <f ca="1">IFERROR(__xludf.DUMMYFUNCTION("""COMPUTED_VALUE"""),15)</f>
        <v>15</v>
      </c>
      <c r="I2212" s="83">
        <f ca="1">IFERROR(__xludf.DUMMYFUNCTION("""COMPUTED_VALUE"""),43)</f>
        <v>43</v>
      </c>
    </row>
    <row r="2213" spans="1:9">
      <c r="A2213" s="79">
        <v>283</v>
      </c>
      <c r="B2213" s="79">
        <v>6</v>
      </c>
      <c r="C2213" s="79">
        <v>289</v>
      </c>
      <c r="D2213" s="80">
        <v>43337.60465277778</v>
      </c>
      <c r="E2213" s="81">
        <f t="shared" ca="1" si="16"/>
        <v>43313</v>
      </c>
      <c r="F2213" s="82">
        <f ca="1">IFERROR(__xludf.DUMMYFUNCTION("""COMPUTED_VALUE"""),0.604652777777777)</f>
        <v>0.60465277777777704</v>
      </c>
      <c r="G2213" s="83">
        <f t="shared" ca="1" si="17"/>
        <v>19</v>
      </c>
      <c r="H2213" s="83">
        <f ca="1">IFERROR(__xludf.DUMMYFUNCTION("""COMPUTED_VALUE"""),30)</f>
        <v>30</v>
      </c>
      <c r="I2213" s="83">
        <f ca="1">IFERROR(__xludf.DUMMYFUNCTION("""COMPUTED_VALUE"""),42)</f>
        <v>42</v>
      </c>
    </row>
    <row r="2214" spans="1:9">
      <c r="A2214" s="79">
        <v>311</v>
      </c>
      <c r="B2214" s="79">
        <v>2</v>
      </c>
      <c r="C2214" s="79">
        <v>313</v>
      </c>
      <c r="D2214" s="80">
        <v>43337.615081018521</v>
      </c>
      <c r="E2214" s="81">
        <f t="shared" ca="1" si="16"/>
        <v>43313</v>
      </c>
      <c r="F2214" s="82">
        <f ca="1">IFERROR(__xludf.DUMMYFUNCTION("""COMPUTED_VALUE"""),0.615081018518518)</f>
        <v>0.61508101851851804</v>
      </c>
      <c r="G2214" s="83">
        <f t="shared" ca="1" si="17"/>
        <v>19</v>
      </c>
      <c r="H2214" s="83">
        <f ca="1">IFERROR(__xludf.DUMMYFUNCTION("""COMPUTED_VALUE"""),45)</f>
        <v>45</v>
      </c>
      <c r="I2214" s="83">
        <f ca="1">IFERROR(__xludf.DUMMYFUNCTION("""COMPUTED_VALUE"""),43)</f>
        <v>43</v>
      </c>
    </row>
    <row r="2215" spans="1:9">
      <c r="A2215" s="79">
        <v>298</v>
      </c>
      <c r="B2215" s="79">
        <v>2</v>
      </c>
      <c r="C2215" s="79">
        <v>299</v>
      </c>
      <c r="D2215" s="80">
        <v>43337.625497685185</v>
      </c>
      <c r="E2215" s="81">
        <f t="shared" ca="1" si="16"/>
        <v>43313</v>
      </c>
      <c r="F2215" s="82">
        <f ca="1">IFERROR(__xludf.DUMMYFUNCTION("""COMPUTED_VALUE"""),0.625497685185185)</f>
        <v>0.625497685185185</v>
      </c>
      <c r="G2215" s="83">
        <f t="shared" ca="1" si="17"/>
        <v>19</v>
      </c>
      <c r="H2215" s="83">
        <f ca="1">IFERROR(__xludf.DUMMYFUNCTION("""COMPUTED_VALUE"""),0)</f>
        <v>0</v>
      </c>
      <c r="I2215" s="83">
        <f ca="1">IFERROR(__xludf.DUMMYFUNCTION("""COMPUTED_VALUE"""),43)</f>
        <v>43</v>
      </c>
    </row>
    <row r="2216" spans="1:9">
      <c r="A2216" s="79">
        <v>321</v>
      </c>
      <c r="B2216" s="79">
        <v>2</v>
      </c>
      <c r="C2216" s="79">
        <v>323</v>
      </c>
      <c r="D2216" s="80">
        <v>43337.635914351849</v>
      </c>
      <c r="E2216" s="81">
        <f t="shared" ca="1" si="16"/>
        <v>43313</v>
      </c>
      <c r="F2216" s="82">
        <f ca="1">IFERROR(__xludf.DUMMYFUNCTION("""COMPUTED_VALUE"""),0.635914351851851)</f>
        <v>0.63591435185185097</v>
      </c>
      <c r="G2216" s="83">
        <f t="shared" ca="1" si="17"/>
        <v>19</v>
      </c>
      <c r="H2216" s="83">
        <f ca="1">IFERROR(__xludf.DUMMYFUNCTION("""COMPUTED_VALUE"""),15)</f>
        <v>15</v>
      </c>
      <c r="I2216" s="83">
        <f ca="1">IFERROR(__xludf.DUMMYFUNCTION("""COMPUTED_VALUE"""),43)</f>
        <v>43</v>
      </c>
    </row>
    <row r="2217" spans="1:9">
      <c r="A2217" s="79">
        <v>305</v>
      </c>
      <c r="B2217" s="79">
        <v>2</v>
      </c>
      <c r="C2217" s="79">
        <v>307</v>
      </c>
      <c r="D2217" s="80">
        <v>43337.646319444444</v>
      </c>
      <c r="E2217" s="81">
        <f t="shared" ca="1" si="16"/>
        <v>43313</v>
      </c>
      <c r="F2217" s="82">
        <f ca="1">IFERROR(__xludf.DUMMYFUNCTION("""COMPUTED_VALUE"""),0.646319444444444)</f>
        <v>0.646319444444444</v>
      </c>
      <c r="G2217" s="83">
        <f t="shared" ca="1" si="17"/>
        <v>19</v>
      </c>
      <c r="H2217" s="83">
        <f ca="1">IFERROR(__xludf.DUMMYFUNCTION("""COMPUTED_VALUE"""),30)</f>
        <v>30</v>
      </c>
      <c r="I2217" s="83">
        <f ca="1">IFERROR(__xludf.DUMMYFUNCTION("""COMPUTED_VALUE"""),42)</f>
        <v>42</v>
      </c>
    </row>
    <row r="2218" spans="1:9">
      <c r="A2218" s="79">
        <v>336</v>
      </c>
      <c r="B2218" s="79">
        <v>1</v>
      </c>
      <c r="C2218" s="79">
        <v>337</v>
      </c>
      <c r="D2218" s="80">
        <v>43337.656747685185</v>
      </c>
      <c r="E2218" s="81">
        <f t="shared" ca="1" si="16"/>
        <v>43313</v>
      </c>
      <c r="F2218" s="82">
        <f ca="1">IFERROR(__xludf.DUMMYFUNCTION("""COMPUTED_VALUE"""),0.656747685185185)</f>
        <v>0.656747685185185</v>
      </c>
      <c r="G2218" s="83">
        <f t="shared" ca="1" si="17"/>
        <v>19</v>
      </c>
      <c r="H2218" s="83">
        <f ca="1">IFERROR(__xludf.DUMMYFUNCTION("""COMPUTED_VALUE"""),45)</f>
        <v>45</v>
      </c>
      <c r="I2218" s="83">
        <f ca="1">IFERROR(__xludf.DUMMYFUNCTION("""COMPUTED_VALUE"""),43)</f>
        <v>43</v>
      </c>
    </row>
    <row r="2219" spans="1:9">
      <c r="A2219" s="79">
        <v>300</v>
      </c>
      <c r="B2219" s="79">
        <v>2</v>
      </c>
      <c r="C2219" s="79">
        <v>302</v>
      </c>
      <c r="D2219" s="80">
        <v>43337.667164351849</v>
      </c>
      <c r="E2219" s="81">
        <f t="shared" ca="1" si="16"/>
        <v>43313</v>
      </c>
      <c r="F2219" s="82">
        <f ca="1">IFERROR(__xludf.DUMMYFUNCTION("""COMPUTED_VALUE"""),0.667164351851851)</f>
        <v>0.66716435185185097</v>
      </c>
      <c r="G2219" s="83">
        <f t="shared" ca="1" si="17"/>
        <v>19</v>
      </c>
      <c r="H2219" s="83">
        <f ca="1">IFERROR(__xludf.DUMMYFUNCTION("""COMPUTED_VALUE"""),0)</f>
        <v>0</v>
      </c>
      <c r="I2219" s="83">
        <f ca="1">IFERROR(__xludf.DUMMYFUNCTION("""COMPUTED_VALUE"""),43)</f>
        <v>43</v>
      </c>
    </row>
    <row r="2220" spans="1:9">
      <c r="A2220" s="79">
        <v>336</v>
      </c>
      <c r="B2220" s="79">
        <v>4</v>
      </c>
      <c r="C2220" s="79">
        <v>332</v>
      </c>
      <c r="D2220" s="80">
        <v>43337.677581018521</v>
      </c>
      <c r="E2220" s="81">
        <f t="shared" ca="1" si="16"/>
        <v>43313</v>
      </c>
      <c r="F2220" s="82">
        <f ca="1">IFERROR(__xludf.DUMMYFUNCTION("""COMPUTED_VALUE"""),0.677581018518518)</f>
        <v>0.67758101851851804</v>
      </c>
      <c r="G2220" s="83">
        <f t="shared" ca="1" si="17"/>
        <v>19</v>
      </c>
      <c r="H2220" s="83">
        <f ca="1">IFERROR(__xludf.DUMMYFUNCTION("""COMPUTED_VALUE"""),15)</f>
        <v>15</v>
      </c>
      <c r="I2220" s="83">
        <f ca="1">IFERROR(__xludf.DUMMYFUNCTION("""COMPUTED_VALUE"""),43)</f>
        <v>43</v>
      </c>
    </row>
    <row r="2221" spans="1:9">
      <c r="A2221" s="79">
        <v>329</v>
      </c>
      <c r="B2221" s="79">
        <v>2</v>
      </c>
      <c r="C2221" s="79">
        <v>331</v>
      </c>
      <c r="D2221" s="80">
        <v>43337.687997685185</v>
      </c>
      <c r="E2221" s="81">
        <f t="shared" ca="1" si="16"/>
        <v>43313</v>
      </c>
      <c r="F2221" s="82">
        <f ca="1">IFERROR(__xludf.DUMMYFUNCTION("""COMPUTED_VALUE"""),0.687997685185185)</f>
        <v>0.687997685185185</v>
      </c>
      <c r="G2221" s="83">
        <f t="shared" ca="1" si="17"/>
        <v>19</v>
      </c>
      <c r="H2221" s="83">
        <f ca="1">IFERROR(__xludf.DUMMYFUNCTION("""COMPUTED_VALUE"""),30)</f>
        <v>30</v>
      </c>
      <c r="I2221" s="83">
        <f ca="1">IFERROR(__xludf.DUMMYFUNCTION("""COMPUTED_VALUE"""),43)</f>
        <v>43</v>
      </c>
    </row>
    <row r="2222" spans="1:9">
      <c r="A2222" s="79">
        <v>313</v>
      </c>
      <c r="B2222" s="79">
        <v>5</v>
      </c>
      <c r="C2222" s="79">
        <v>318</v>
      </c>
      <c r="D2222" s="80">
        <v>43337.698414351849</v>
      </c>
      <c r="E2222" s="81">
        <f t="shared" ca="1" si="16"/>
        <v>43313</v>
      </c>
      <c r="F2222" s="82">
        <f ca="1">IFERROR(__xludf.DUMMYFUNCTION("""COMPUTED_VALUE"""),0.698414351851851)</f>
        <v>0.69841435185185097</v>
      </c>
      <c r="G2222" s="83">
        <f t="shared" ca="1" si="17"/>
        <v>19</v>
      </c>
      <c r="H2222" s="83">
        <f ca="1">IFERROR(__xludf.DUMMYFUNCTION("""COMPUTED_VALUE"""),45)</f>
        <v>45</v>
      </c>
      <c r="I2222" s="83">
        <f ca="1">IFERROR(__xludf.DUMMYFUNCTION("""COMPUTED_VALUE"""),43)</f>
        <v>43</v>
      </c>
    </row>
    <row r="2223" spans="1:9">
      <c r="A2223" s="79">
        <v>250</v>
      </c>
      <c r="B2223" s="79">
        <v>4</v>
      </c>
      <c r="C2223" s="79">
        <v>254</v>
      </c>
      <c r="D2223" s="80">
        <v>43337.708831018521</v>
      </c>
      <c r="E2223" s="81">
        <f t="shared" ca="1" si="16"/>
        <v>43313</v>
      </c>
      <c r="F2223" s="82">
        <f ca="1">IFERROR(__xludf.DUMMYFUNCTION("""COMPUTED_VALUE"""),0.708831018518518)</f>
        <v>0.70883101851851804</v>
      </c>
      <c r="G2223" s="83">
        <f t="shared" ca="1" si="17"/>
        <v>19</v>
      </c>
      <c r="H2223" s="83">
        <f ca="1">IFERROR(__xludf.DUMMYFUNCTION("""COMPUTED_VALUE"""),0)</f>
        <v>0</v>
      </c>
      <c r="I2223" s="83">
        <f ca="1">IFERROR(__xludf.DUMMYFUNCTION("""COMPUTED_VALUE"""),43)</f>
        <v>43</v>
      </c>
    </row>
    <row r="2224" spans="1:9">
      <c r="A2224" s="79">
        <v>270</v>
      </c>
      <c r="B2224" s="79">
        <v>5</v>
      </c>
      <c r="C2224" s="79">
        <v>275</v>
      </c>
      <c r="D2224" s="80">
        <v>43337.719236111108</v>
      </c>
      <c r="E2224" s="81">
        <f t="shared" ca="1" si="16"/>
        <v>43313</v>
      </c>
      <c r="F2224" s="82">
        <f ca="1">IFERROR(__xludf.DUMMYFUNCTION("""COMPUTED_VALUE"""),0.719236111111111)</f>
        <v>0.71923611111111097</v>
      </c>
      <c r="G2224" s="83">
        <f t="shared" ca="1" si="17"/>
        <v>19</v>
      </c>
      <c r="H2224" s="83">
        <f ca="1">IFERROR(__xludf.DUMMYFUNCTION("""COMPUTED_VALUE"""),15)</f>
        <v>15</v>
      </c>
      <c r="I2224" s="83">
        <f ca="1">IFERROR(__xludf.DUMMYFUNCTION("""COMPUTED_VALUE"""),42)</f>
        <v>42</v>
      </c>
    </row>
    <row r="2225" spans="1:9">
      <c r="A2225" s="79">
        <v>262</v>
      </c>
      <c r="B2225" s="79">
        <v>5</v>
      </c>
      <c r="C2225" s="79">
        <v>267</v>
      </c>
      <c r="D2225" s="80">
        <v>43337.729664351849</v>
      </c>
      <c r="E2225" s="81">
        <f t="shared" ca="1" si="16"/>
        <v>43313</v>
      </c>
      <c r="F2225" s="82">
        <f ca="1">IFERROR(__xludf.DUMMYFUNCTION("""COMPUTED_VALUE"""),0.729664351851851)</f>
        <v>0.72966435185185097</v>
      </c>
      <c r="G2225" s="83">
        <f t="shared" ca="1" si="17"/>
        <v>19</v>
      </c>
      <c r="H2225" s="83">
        <f ca="1">IFERROR(__xludf.DUMMYFUNCTION("""COMPUTED_VALUE"""),30)</f>
        <v>30</v>
      </c>
      <c r="I2225" s="83">
        <f ca="1">IFERROR(__xludf.DUMMYFUNCTION("""COMPUTED_VALUE"""),43)</f>
        <v>43</v>
      </c>
    </row>
    <row r="2226" spans="1:9">
      <c r="A2226" s="79">
        <v>289</v>
      </c>
      <c r="B2226" s="79">
        <v>3</v>
      </c>
      <c r="C2226" s="79">
        <v>292</v>
      </c>
      <c r="D2226" s="80">
        <v>43337.740069444444</v>
      </c>
      <c r="E2226" s="81">
        <f t="shared" ca="1" si="16"/>
        <v>43313</v>
      </c>
      <c r="F2226" s="82">
        <f ca="1">IFERROR(__xludf.DUMMYFUNCTION("""COMPUTED_VALUE"""),0.740069444444444)</f>
        <v>0.740069444444444</v>
      </c>
      <c r="G2226" s="83">
        <f t="shared" ca="1" si="17"/>
        <v>19</v>
      </c>
      <c r="H2226" s="83">
        <f ca="1">IFERROR(__xludf.DUMMYFUNCTION("""COMPUTED_VALUE"""),45)</f>
        <v>45</v>
      </c>
      <c r="I2226" s="83">
        <f ca="1">IFERROR(__xludf.DUMMYFUNCTION("""COMPUTED_VALUE"""),42)</f>
        <v>42</v>
      </c>
    </row>
    <row r="2227" spans="1:9">
      <c r="A2227" s="79">
        <v>250</v>
      </c>
      <c r="B2227" s="79">
        <v>4</v>
      </c>
      <c r="C2227" s="79">
        <v>254</v>
      </c>
      <c r="D2227" s="80">
        <v>43337.750497685185</v>
      </c>
      <c r="E2227" s="81">
        <f t="shared" ca="1" si="16"/>
        <v>43313</v>
      </c>
      <c r="F2227" s="82">
        <f ca="1">IFERROR(__xludf.DUMMYFUNCTION("""COMPUTED_VALUE"""),0.750497685185185)</f>
        <v>0.750497685185185</v>
      </c>
      <c r="G2227" s="83">
        <f t="shared" ca="1" si="17"/>
        <v>19</v>
      </c>
      <c r="H2227" s="83">
        <f ca="1">IFERROR(__xludf.DUMMYFUNCTION("""COMPUTED_VALUE"""),0)</f>
        <v>0</v>
      </c>
      <c r="I2227" s="83">
        <f ca="1">IFERROR(__xludf.DUMMYFUNCTION("""COMPUTED_VALUE"""),43)</f>
        <v>43</v>
      </c>
    </row>
    <row r="2228" spans="1:9">
      <c r="A2228" s="79">
        <v>321</v>
      </c>
      <c r="B2228" s="79">
        <v>1</v>
      </c>
      <c r="C2228" s="79">
        <v>322</v>
      </c>
      <c r="D2228" s="80">
        <v>43337.760914351849</v>
      </c>
      <c r="E2228" s="81">
        <f t="shared" ca="1" si="16"/>
        <v>43313</v>
      </c>
      <c r="F2228" s="82">
        <f ca="1">IFERROR(__xludf.DUMMYFUNCTION("""COMPUTED_VALUE"""),0.760914351851851)</f>
        <v>0.76091435185185097</v>
      </c>
      <c r="G2228" s="83">
        <f t="shared" ca="1" si="17"/>
        <v>19</v>
      </c>
      <c r="H2228" s="83">
        <f ca="1">IFERROR(__xludf.DUMMYFUNCTION("""COMPUTED_VALUE"""),15)</f>
        <v>15</v>
      </c>
      <c r="I2228" s="83">
        <f ca="1">IFERROR(__xludf.DUMMYFUNCTION("""COMPUTED_VALUE"""),43)</f>
        <v>43</v>
      </c>
    </row>
    <row r="2229" spans="1:9">
      <c r="A2229" s="79">
        <v>342</v>
      </c>
      <c r="B2229" s="79">
        <v>2</v>
      </c>
      <c r="C2229" s="79">
        <v>344</v>
      </c>
      <c r="D2229" s="80">
        <v>43337.771319444444</v>
      </c>
      <c r="E2229" s="81">
        <f t="shared" ca="1" si="16"/>
        <v>43313</v>
      </c>
      <c r="F2229" s="82">
        <f ca="1">IFERROR(__xludf.DUMMYFUNCTION("""COMPUTED_VALUE"""),0.771319444444444)</f>
        <v>0.771319444444444</v>
      </c>
      <c r="G2229" s="83">
        <f t="shared" ca="1" si="17"/>
        <v>19</v>
      </c>
      <c r="H2229" s="83">
        <f ca="1">IFERROR(__xludf.DUMMYFUNCTION("""COMPUTED_VALUE"""),30)</f>
        <v>30</v>
      </c>
      <c r="I2229" s="83">
        <f ca="1">IFERROR(__xludf.DUMMYFUNCTION("""COMPUTED_VALUE"""),42)</f>
        <v>42</v>
      </c>
    </row>
    <row r="2230" spans="1:9">
      <c r="A2230" s="79">
        <v>350</v>
      </c>
      <c r="B2230" s="79">
        <v>2</v>
      </c>
      <c r="C2230" s="79">
        <v>352</v>
      </c>
      <c r="D2230" s="80">
        <v>43337.781747685185</v>
      </c>
      <c r="E2230" s="81">
        <f t="shared" ca="1" si="16"/>
        <v>43313</v>
      </c>
      <c r="F2230" s="82">
        <f ca="1">IFERROR(__xludf.DUMMYFUNCTION("""COMPUTED_VALUE"""),0.781747685185185)</f>
        <v>0.781747685185185</v>
      </c>
      <c r="G2230" s="83">
        <f t="shared" ca="1" si="17"/>
        <v>19</v>
      </c>
      <c r="H2230" s="83">
        <f ca="1">IFERROR(__xludf.DUMMYFUNCTION("""COMPUTED_VALUE"""),45)</f>
        <v>45</v>
      </c>
      <c r="I2230" s="83">
        <f ca="1">IFERROR(__xludf.DUMMYFUNCTION("""COMPUTED_VALUE"""),43)</f>
        <v>43</v>
      </c>
    </row>
    <row r="2231" spans="1:9">
      <c r="A2231" s="79">
        <v>304</v>
      </c>
      <c r="B2231" s="79">
        <v>8</v>
      </c>
      <c r="C2231" s="79">
        <v>312</v>
      </c>
      <c r="D2231" s="80">
        <v>43337.792175925926</v>
      </c>
      <c r="E2231" s="81">
        <f t="shared" ca="1" si="16"/>
        <v>43313</v>
      </c>
      <c r="F2231" s="82">
        <f ca="1">IFERROR(__xludf.DUMMYFUNCTION("""COMPUTED_VALUE"""),0.792175925925925)</f>
        <v>0.79217592592592501</v>
      </c>
      <c r="G2231" s="83">
        <f t="shared" ca="1" si="17"/>
        <v>19</v>
      </c>
      <c r="H2231" s="83">
        <f ca="1">IFERROR(__xludf.DUMMYFUNCTION("""COMPUTED_VALUE"""),0)</f>
        <v>0</v>
      </c>
      <c r="I2231" s="83">
        <f ca="1">IFERROR(__xludf.DUMMYFUNCTION("""COMPUTED_VALUE"""),44)</f>
        <v>44</v>
      </c>
    </row>
    <row r="2232" spans="1:9">
      <c r="A2232" s="79">
        <v>350</v>
      </c>
      <c r="B2232" s="79">
        <v>5</v>
      </c>
      <c r="C2232" s="79">
        <v>355</v>
      </c>
      <c r="D2232" s="80">
        <v>43337.802581018521</v>
      </c>
      <c r="E2232" s="81">
        <f t="shared" ca="1" si="16"/>
        <v>43313</v>
      </c>
      <c r="F2232" s="82">
        <f ca="1">IFERROR(__xludf.DUMMYFUNCTION("""COMPUTED_VALUE"""),0.802581018518518)</f>
        <v>0.80258101851851804</v>
      </c>
      <c r="G2232" s="83">
        <f t="shared" ca="1" si="17"/>
        <v>19</v>
      </c>
      <c r="H2232" s="83">
        <f ca="1">IFERROR(__xludf.DUMMYFUNCTION("""COMPUTED_VALUE"""),15)</f>
        <v>15</v>
      </c>
      <c r="I2232" s="83">
        <f ca="1">IFERROR(__xludf.DUMMYFUNCTION("""COMPUTED_VALUE"""),43)</f>
        <v>43</v>
      </c>
    </row>
    <row r="2233" spans="1:9">
      <c r="A2233" s="79">
        <v>364</v>
      </c>
      <c r="B2233" s="79">
        <v>1</v>
      </c>
      <c r="C2233" s="79">
        <v>365</v>
      </c>
      <c r="D2233" s="80">
        <v>43337.812986111108</v>
      </c>
      <c r="E2233" s="81">
        <f t="shared" ca="1" si="16"/>
        <v>43313</v>
      </c>
      <c r="F2233" s="82">
        <f ca="1">IFERROR(__xludf.DUMMYFUNCTION("""COMPUTED_VALUE"""),0.812986111111111)</f>
        <v>0.81298611111111097</v>
      </c>
      <c r="G2233" s="83">
        <f t="shared" ca="1" si="17"/>
        <v>19</v>
      </c>
      <c r="H2233" s="83">
        <f ca="1">IFERROR(__xludf.DUMMYFUNCTION("""COMPUTED_VALUE"""),30)</f>
        <v>30</v>
      </c>
      <c r="I2233" s="83">
        <f ca="1">IFERROR(__xludf.DUMMYFUNCTION("""COMPUTED_VALUE"""),42)</f>
        <v>42</v>
      </c>
    </row>
    <row r="2234" spans="1:9">
      <c r="A2234" s="79">
        <v>334</v>
      </c>
      <c r="B2234" s="79">
        <v>1</v>
      </c>
      <c r="C2234" s="79">
        <v>335</v>
      </c>
      <c r="D2234" s="80">
        <v>43337.823414351849</v>
      </c>
      <c r="E2234" s="81">
        <f t="shared" ca="1" si="16"/>
        <v>43313</v>
      </c>
      <c r="F2234" s="82">
        <f ca="1">IFERROR(__xludf.DUMMYFUNCTION("""COMPUTED_VALUE"""),0.823414351851851)</f>
        <v>0.82341435185185097</v>
      </c>
      <c r="G2234" s="83">
        <f t="shared" ca="1" si="17"/>
        <v>19</v>
      </c>
      <c r="H2234" s="83">
        <f ca="1">IFERROR(__xludf.DUMMYFUNCTION("""COMPUTED_VALUE"""),45)</f>
        <v>45</v>
      </c>
      <c r="I2234" s="83">
        <f ca="1">IFERROR(__xludf.DUMMYFUNCTION("""COMPUTED_VALUE"""),43)</f>
        <v>43</v>
      </c>
    </row>
    <row r="2235" spans="1:9">
      <c r="A2235" s="79">
        <v>311</v>
      </c>
      <c r="B2235" s="79">
        <v>4</v>
      </c>
      <c r="C2235" s="79">
        <v>315</v>
      </c>
      <c r="D2235" s="80">
        <v>43337.833819444444</v>
      </c>
      <c r="E2235" s="81">
        <f t="shared" ca="1" si="16"/>
        <v>43313</v>
      </c>
      <c r="F2235" s="82">
        <f ca="1">IFERROR(__xludf.DUMMYFUNCTION("""COMPUTED_VALUE"""),0.833819444444444)</f>
        <v>0.833819444444444</v>
      </c>
      <c r="G2235" s="83">
        <f t="shared" ca="1" si="17"/>
        <v>19</v>
      </c>
      <c r="H2235" s="83">
        <f ca="1">IFERROR(__xludf.DUMMYFUNCTION("""COMPUTED_VALUE"""),0)</f>
        <v>0</v>
      </c>
      <c r="I2235" s="83">
        <f ca="1">IFERROR(__xludf.DUMMYFUNCTION("""COMPUTED_VALUE"""),42)</f>
        <v>42</v>
      </c>
    </row>
    <row r="2236" spans="1:9">
      <c r="A2236" s="79">
        <v>336</v>
      </c>
      <c r="B2236" s="79">
        <v>2</v>
      </c>
      <c r="C2236" s="79">
        <v>338</v>
      </c>
      <c r="D2236" s="80">
        <v>43337.844247685185</v>
      </c>
      <c r="E2236" s="81">
        <f t="shared" ca="1" si="16"/>
        <v>43313</v>
      </c>
      <c r="F2236" s="82">
        <f ca="1">IFERROR(__xludf.DUMMYFUNCTION("""COMPUTED_VALUE"""),0.844247685185185)</f>
        <v>0.844247685185185</v>
      </c>
      <c r="G2236" s="83">
        <f t="shared" ca="1" si="17"/>
        <v>19</v>
      </c>
      <c r="H2236" s="83">
        <f ca="1">IFERROR(__xludf.DUMMYFUNCTION("""COMPUTED_VALUE"""),15)</f>
        <v>15</v>
      </c>
      <c r="I2236" s="83">
        <f ca="1">IFERROR(__xludf.DUMMYFUNCTION("""COMPUTED_VALUE"""),43)</f>
        <v>43</v>
      </c>
    </row>
    <row r="2237" spans="1:9">
      <c r="A2237" s="79">
        <v>335</v>
      </c>
      <c r="B2237" s="79">
        <v>6</v>
      </c>
      <c r="C2237" s="79">
        <v>341</v>
      </c>
      <c r="D2237" s="80">
        <v>43337.85465277778</v>
      </c>
      <c r="E2237" s="81">
        <f t="shared" ca="1" si="16"/>
        <v>43313</v>
      </c>
      <c r="F2237" s="82">
        <f ca="1">IFERROR(__xludf.DUMMYFUNCTION("""COMPUTED_VALUE"""),0.854652777777777)</f>
        <v>0.85465277777777704</v>
      </c>
      <c r="G2237" s="83">
        <f t="shared" ca="1" si="17"/>
        <v>19</v>
      </c>
      <c r="H2237" s="83">
        <f ca="1">IFERROR(__xludf.DUMMYFUNCTION("""COMPUTED_VALUE"""),30)</f>
        <v>30</v>
      </c>
      <c r="I2237" s="83">
        <f ca="1">IFERROR(__xludf.DUMMYFUNCTION("""COMPUTED_VALUE"""),42)</f>
        <v>42</v>
      </c>
    </row>
    <row r="2238" spans="1:9">
      <c r="A2238" s="79">
        <v>344</v>
      </c>
      <c r="B2238" s="79">
        <v>3</v>
      </c>
      <c r="C2238" s="79">
        <v>347</v>
      </c>
      <c r="D2238" s="80">
        <v>43337.865069444444</v>
      </c>
      <c r="E2238" s="81">
        <f t="shared" ca="1" si="16"/>
        <v>43313</v>
      </c>
      <c r="F2238" s="82">
        <f ca="1">IFERROR(__xludf.DUMMYFUNCTION("""COMPUTED_VALUE"""),0.865069444444444)</f>
        <v>0.865069444444444</v>
      </c>
      <c r="G2238" s="83">
        <f t="shared" ca="1" si="17"/>
        <v>19</v>
      </c>
      <c r="H2238" s="83">
        <f ca="1">IFERROR(__xludf.DUMMYFUNCTION("""COMPUTED_VALUE"""),45)</f>
        <v>45</v>
      </c>
      <c r="I2238" s="83">
        <f ca="1">IFERROR(__xludf.DUMMYFUNCTION("""COMPUTED_VALUE"""),42)</f>
        <v>42</v>
      </c>
    </row>
    <row r="2239" spans="1:9">
      <c r="A2239" s="79">
        <v>346</v>
      </c>
      <c r="B2239" s="79">
        <v>1</v>
      </c>
      <c r="C2239" s="79">
        <v>347</v>
      </c>
      <c r="D2239" s="80">
        <v>43337.875497685185</v>
      </c>
      <c r="E2239" s="81">
        <f t="shared" ca="1" si="16"/>
        <v>43313</v>
      </c>
      <c r="F2239" s="82">
        <f ca="1">IFERROR(__xludf.DUMMYFUNCTION("""COMPUTED_VALUE"""),0.875497685185185)</f>
        <v>0.875497685185185</v>
      </c>
      <c r="G2239" s="83">
        <f t="shared" ca="1" si="17"/>
        <v>19</v>
      </c>
      <c r="H2239" s="83">
        <f ca="1">IFERROR(__xludf.DUMMYFUNCTION("""COMPUTED_VALUE"""),0)</f>
        <v>0</v>
      </c>
      <c r="I2239" s="83">
        <f ca="1">IFERROR(__xludf.DUMMYFUNCTION("""COMPUTED_VALUE"""),43)</f>
        <v>43</v>
      </c>
    </row>
    <row r="2240" spans="1:9">
      <c r="A2240" s="79">
        <v>373</v>
      </c>
      <c r="B2240" s="79">
        <v>1</v>
      </c>
      <c r="C2240" s="79">
        <v>374</v>
      </c>
      <c r="D2240" s="80">
        <v>43337.88590277778</v>
      </c>
      <c r="E2240" s="81">
        <f t="shared" ca="1" si="16"/>
        <v>43313</v>
      </c>
      <c r="F2240" s="82">
        <f ca="1">IFERROR(__xludf.DUMMYFUNCTION("""COMPUTED_VALUE"""),0.885902777777777)</f>
        <v>0.88590277777777704</v>
      </c>
      <c r="G2240" s="83">
        <f t="shared" ca="1" si="17"/>
        <v>19</v>
      </c>
      <c r="H2240" s="83">
        <f ca="1">IFERROR(__xludf.DUMMYFUNCTION("""COMPUTED_VALUE"""),15)</f>
        <v>15</v>
      </c>
      <c r="I2240" s="83">
        <f ca="1">IFERROR(__xludf.DUMMYFUNCTION("""COMPUTED_VALUE"""),42)</f>
        <v>42</v>
      </c>
    </row>
    <row r="2241" spans="1:9">
      <c r="A2241" s="79">
        <v>355</v>
      </c>
      <c r="B2241" s="79">
        <v>0</v>
      </c>
      <c r="C2241" s="79">
        <v>355</v>
      </c>
      <c r="D2241" s="80">
        <v>43337.896331018521</v>
      </c>
      <c r="E2241" s="81">
        <f t="shared" ca="1" si="16"/>
        <v>43313</v>
      </c>
      <c r="F2241" s="82">
        <f ca="1">IFERROR(__xludf.DUMMYFUNCTION("""COMPUTED_VALUE"""),0.896331018518518)</f>
        <v>0.89633101851851804</v>
      </c>
      <c r="G2241" s="83">
        <f t="shared" ca="1" si="17"/>
        <v>19</v>
      </c>
      <c r="H2241" s="83">
        <f ca="1">IFERROR(__xludf.DUMMYFUNCTION("""COMPUTED_VALUE"""),30)</f>
        <v>30</v>
      </c>
      <c r="I2241" s="83">
        <f ca="1">IFERROR(__xludf.DUMMYFUNCTION("""COMPUTED_VALUE"""),43)</f>
        <v>43</v>
      </c>
    </row>
    <row r="2242" spans="1:9">
      <c r="A2242" s="79">
        <v>445</v>
      </c>
      <c r="B2242" s="79">
        <v>1</v>
      </c>
      <c r="C2242" s="79">
        <v>438</v>
      </c>
      <c r="D2242" s="80">
        <v>43337.906736111108</v>
      </c>
      <c r="E2242" s="81">
        <f t="shared" ca="1" si="16"/>
        <v>43313</v>
      </c>
      <c r="F2242" s="82">
        <f ca="1">IFERROR(__xludf.DUMMYFUNCTION("""COMPUTED_VALUE"""),0.906736111111111)</f>
        <v>0.90673611111111097</v>
      </c>
      <c r="G2242" s="83">
        <f t="shared" ca="1" si="17"/>
        <v>19</v>
      </c>
      <c r="H2242" s="83">
        <f ca="1">IFERROR(__xludf.DUMMYFUNCTION("""COMPUTED_VALUE"""),45)</f>
        <v>45</v>
      </c>
      <c r="I2242" s="83">
        <f ca="1">IFERROR(__xludf.DUMMYFUNCTION("""COMPUTED_VALUE"""),42)</f>
        <v>42</v>
      </c>
    </row>
    <row r="2243" spans="1:9">
      <c r="A2243" s="79">
        <v>337</v>
      </c>
      <c r="B2243" s="79">
        <v>2</v>
      </c>
      <c r="C2243" s="79">
        <v>339</v>
      </c>
      <c r="D2243" s="80">
        <v>43337.917164351849</v>
      </c>
      <c r="E2243" s="81">
        <f t="shared" ca="1" si="16"/>
        <v>43313</v>
      </c>
      <c r="F2243" s="82">
        <f ca="1">IFERROR(__xludf.DUMMYFUNCTION("""COMPUTED_VALUE"""),0.917164351851851)</f>
        <v>0.91716435185185097</v>
      </c>
      <c r="G2243" s="83">
        <f t="shared" ca="1" si="17"/>
        <v>19</v>
      </c>
      <c r="H2243" s="83">
        <f ca="1">IFERROR(__xludf.DUMMYFUNCTION("""COMPUTED_VALUE"""),0)</f>
        <v>0</v>
      </c>
      <c r="I2243" s="83">
        <f ca="1">IFERROR(__xludf.DUMMYFUNCTION("""COMPUTED_VALUE"""),43)</f>
        <v>43</v>
      </c>
    </row>
    <row r="2244" spans="1:9">
      <c r="A2244" s="79">
        <v>352</v>
      </c>
      <c r="B2244" s="79">
        <v>3</v>
      </c>
      <c r="C2244" s="79">
        <v>355</v>
      </c>
      <c r="D2244" s="80">
        <v>43337.927569444444</v>
      </c>
      <c r="E2244" s="81">
        <f t="shared" ca="1" si="16"/>
        <v>43313</v>
      </c>
      <c r="F2244" s="82">
        <f ca="1">IFERROR(__xludf.DUMMYFUNCTION("""COMPUTED_VALUE"""),0.927569444444444)</f>
        <v>0.927569444444444</v>
      </c>
      <c r="G2244" s="83">
        <f t="shared" ca="1" si="17"/>
        <v>19</v>
      </c>
      <c r="H2244" s="83">
        <f ca="1">IFERROR(__xludf.DUMMYFUNCTION("""COMPUTED_VALUE"""),15)</f>
        <v>15</v>
      </c>
      <c r="I2244" s="83">
        <f ca="1">IFERROR(__xludf.DUMMYFUNCTION("""COMPUTED_VALUE"""),42)</f>
        <v>42</v>
      </c>
    </row>
    <row r="2245" spans="1:9">
      <c r="A2245" s="79">
        <v>366</v>
      </c>
      <c r="B2245" s="79">
        <v>2</v>
      </c>
      <c r="C2245" s="79">
        <v>368</v>
      </c>
      <c r="D2245" s="80">
        <v>43337.937986111108</v>
      </c>
      <c r="E2245" s="81">
        <f t="shared" ca="1" si="16"/>
        <v>43313</v>
      </c>
      <c r="F2245" s="82">
        <f ca="1">IFERROR(__xludf.DUMMYFUNCTION("""COMPUTED_VALUE"""),0.937986111111111)</f>
        <v>0.93798611111111097</v>
      </c>
      <c r="G2245" s="83">
        <f t="shared" ca="1" si="17"/>
        <v>19</v>
      </c>
      <c r="H2245" s="83">
        <f ca="1">IFERROR(__xludf.DUMMYFUNCTION("""COMPUTED_VALUE"""),30)</f>
        <v>30</v>
      </c>
      <c r="I2245" s="83">
        <f ca="1">IFERROR(__xludf.DUMMYFUNCTION("""COMPUTED_VALUE"""),42)</f>
        <v>42</v>
      </c>
    </row>
    <row r="2246" spans="1:9">
      <c r="A2246" s="79">
        <v>339</v>
      </c>
      <c r="B2246" s="79">
        <v>1</v>
      </c>
      <c r="C2246" s="79">
        <v>340</v>
      </c>
      <c r="D2246" s="80">
        <v>43337.94840277778</v>
      </c>
      <c r="E2246" s="81">
        <f t="shared" ca="1" si="16"/>
        <v>43313</v>
      </c>
      <c r="F2246" s="82">
        <f ca="1">IFERROR(__xludf.DUMMYFUNCTION("""COMPUTED_VALUE"""),0.948402777777777)</f>
        <v>0.94840277777777704</v>
      </c>
      <c r="G2246" s="83">
        <f t="shared" ca="1" si="17"/>
        <v>19</v>
      </c>
      <c r="H2246" s="83">
        <f ca="1">IFERROR(__xludf.DUMMYFUNCTION("""COMPUTED_VALUE"""),45)</f>
        <v>45</v>
      </c>
      <c r="I2246" s="83">
        <f ca="1">IFERROR(__xludf.DUMMYFUNCTION("""COMPUTED_VALUE"""),42)</f>
        <v>42</v>
      </c>
    </row>
    <row r="2247" spans="1:9">
      <c r="A2247" s="79">
        <v>347</v>
      </c>
      <c r="B2247" s="79">
        <v>2</v>
      </c>
      <c r="C2247" s="79">
        <v>349</v>
      </c>
      <c r="D2247" s="80">
        <v>43337.958819444444</v>
      </c>
      <c r="E2247" s="81">
        <f t="shared" ca="1" si="16"/>
        <v>43313</v>
      </c>
      <c r="F2247" s="82">
        <f ca="1">IFERROR(__xludf.DUMMYFUNCTION("""COMPUTED_VALUE"""),0.958819444444444)</f>
        <v>0.958819444444444</v>
      </c>
      <c r="G2247" s="83">
        <f t="shared" ca="1" si="17"/>
        <v>19</v>
      </c>
      <c r="H2247" s="83">
        <f ca="1">IFERROR(__xludf.DUMMYFUNCTION("""COMPUTED_VALUE"""),0)</f>
        <v>0</v>
      </c>
      <c r="I2247" s="83">
        <f ca="1">IFERROR(__xludf.DUMMYFUNCTION("""COMPUTED_VALUE"""),42)</f>
        <v>42</v>
      </c>
    </row>
    <row r="2248" spans="1:9">
      <c r="A2248" s="79">
        <v>372</v>
      </c>
      <c r="B2248" s="79">
        <v>5</v>
      </c>
      <c r="C2248" s="79">
        <v>377</v>
      </c>
      <c r="D2248" s="80">
        <v>43337.969236111108</v>
      </c>
      <c r="E2248" s="81">
        <f t="shared" ca="1" si="16"/>
        <v>43313</v>
      </c>
      <c r="F2248" s="82">
        <f ca="1">IFERROR(__xludf.DUMMYFUNCTION("""COMPUTED_VALUE"""),0.969236111111111)</f>
        <v>0.96923611111111097</v>
      </c>
      <c r="G2248" s="83">
        <f t="shared" ca="1" si="17"/>
        <v>19</v>
      </c>
      <c r="H2248" s="83">
        <f ca="1">IFERROR(__xludf.DUMMYFUNCTION("""COMPUTED_VALUE"""),15)</f>
        <v>15</v>
      </c>
      <c r="I2248" s="83">
        <f ca="1">IFERROR(__xludf.DUMMYFUNCTION("""COMPUTED_VALUE"""),42)</f>
        <v>42</v>
      </c>
    </row>
    <row r="2249" spans="1:9">
      <c r="A2249" s="79">
        <v>282</v>
      </c>
      <c r="B2249" s="79">
        <v>2</v>
      </c>
      <c r="C2249" s="79">
        <v>284</v>
      </c>
      <c r="D2249" s="80">
        <v>43337.97965277778</v>
      </c>
      <c r="E2249" s="81">
        <f t="shared" ca="1" si="16"/>
        <v>43313</v>
      </c>
      <c r="F2249" s="82">
        <f ca="1">IFERROR(__xludf.DUMMYFUNCTION("""COMPUTED_VALUE"""),0.979652777777777)</f>
        <v>0.97965277777777704</v>
      </c>
      <c r="G2249" s="83">
        <f t="shared" ca="1" si="17"/>
        <v>19</v>
      </c>
      <c r="H2249" s="83">
        <f ca="1">IFERROR(__xludf.DUMMYFUNCTION("""COMPUTED_VALUE"""),30)</f>
        <v>30</v>
      </c>
      <c r="I2249" s="83">
        <f ca="1">IFERROR(__xludf.DUMMYFUNCTION("""COMPUTED_VALUE"""),42)</f>
        <v>42</v>
      </c>
    </row>
    <row r="2250" spans="1:9">
      <c r="A2250" s="79">
        <v>310</v>
      </c>
      <c r="B2250" s="79">
        <v>2</v>
      </c>
      <c r="C2250" s="79">
        <v>302</v>
      </c>
      <c r="D2250" s="80">
        <v>43337.990069444444</v>
      </c>
      <c r="E2250" s="81">
        <f t="shared" ca="1" si="16"/>
        <v>43313</v>
      </c>
      <c r="F2250" s="82">
        <f ca="1">IFERROR(__xludf.DUMMYFUNCTION("""COMPUTED_VALUE"""),0.990069444444444)</f>
        <v>0.990069444444444</v>
      </c>
      <c r="G2250" s="83">
        <f t="shared" ca="1" si="17"/>
        <v>19</v>
      </c>
      <c r="H2250" s="83">
        <f ca="1">IFERROR(__xludf.DUMMYFUNCTION("""COMPUTED_VALUE"""),45)</f>
        <v>45</v>
      </c>
      <c r="I2250" s="83">
        <f ca="1">IFERROR(__xludf.DUMMYFUNCTION("""COMPUTED_VALUE"""),42)</f>
        <v>42</v>
      </c>
    </row>
    <row r="2251" spans="1:9">
      <c r="A2251" s="79">
        <v>247</v>
      </c>
      <c r="B2251" s="79">
        <v>0</v>
      </c>
      <c r="C2251" s="79">
        <v>247</v>
      </c>
      <c r="D2251" s="80">
        <v>43338.000486111108</v>
      </c>
      <c r="E2251" s="81">
        <f t="shared" ca="1" si="16"/>
        <v>43313</v>
      </c>
      <c r="F2251" s="82">
        <f ca="1">IFERROR(__xludf.DUMMYFUNCTION("""COMPUTED_VALUE"""),0.000486111111111111)</f>
        <v>4.8611111111111099E-4</v>
      </c>
      <c r="G2251" s="83">
        <f t="shared" ca="1" si="17"/>
        <v>19</v>
      </c>
      <c r="H2251" s="83">
        <f ca="1">IFERROR(__xludf.DUMMYFUNCTION("""COMPUTED_VALUE"""),0)</f>
        <v>0</v>
      </c>
      <c r="I2251" s="83">
        <f ca="1">IFERROR(__xludf.DUMMYFUNCTION("""COMPUTED_VALUE"""),42)</f>
        <v>42</v>
      </c>
    </row>
    <row r="2252" spans="1:9">
      <c r="A2252" s="79">
        <v>261</v>
      </c>
      <c r="B2252" s="79">
        <v>1</v>
      </c>
      <c r="C2252" s="79">
        <v>262</v>
      </c>
      <c r="D2252" s="80">
        <v>43338.01090277778</v>
      </c>
      <c r="E2252" s="81">
        <f t="shared" ca="1" si="16"/>
        <v>43313</v>
      </c>
      <c r="F2252" s="82">
        <f ca="1">IFERROR(__xludf.DUMMYFUNCTION("""COMPUTED_VALUE"""),0.0109027777777777)</f>
        <v>1.0902777777777701E-2</v>
      </c>
      <c r="G2252" s="83">
        <f t="shared" ca="1" si="17"/>
        <v>19</v>
      </c>
      <c r="H2252" s="83">
        <f ca="1">IFERROR(__xludf.DUMMYFUNCTION("""COMPUTED_VALUE"""),15)</f>
        <v>15</v>
      </c>
      <c r="I2252" s="83">
        <f ca="1">IFERROR(__xludf.DUMMYFUNCTION("""COMPUTED_VALUE"""),42)</f>
        <v>42</v>
      </c>
    </row>
    <row r="2253" spans="1:9">
      <c r="A2253" s="79">
        <v>228</v>
      </c>
      <c r="B2253" s="79">
        <v>2</v>
      </c>
      <c r="C2253" s="79">
        <v>230</v>
      </c>
      <c r="D2253" s="80">
        <v>43338.021319444444</v>
      </c>
      <c r="E2253" s="81">
        <f t="shared" ca="1" si="16"/>
        <v>43313</v>
      </c>
      <c r="F2253" s="82">
        <f ca="1">IFERROR(__xludf.DUMMYFUNCTION("""COMPUTED_VALUE"""),0.0213194444444444)</f>
        <v>2.1319444444444401E-2</v>
      </c>
      <c r="G2253" s="83">
        <f t="shared" ca="1" si="17"/>
        <v>19</v>
      </c>
      <c r="H2253" s="83">
        <f ca="1">IFERROR(__xludf.DUMMYFUNCTION("""COMPUTED_VALUE"""),30)</f>
        <v>30</v>
      </c>
      <c r="I2253" s="83">
        <f ca="1">IFERROR(__xludf.DUMMYFUNCTION("""COMPUTED_VALUE"""),42)</f>
        <v>42</v>
      </c>
    </row>
    <row r="2254" spans="1:9">
      <c r="A2254" s="79">
        <v>217</v>
      </c>
      <c r="B2254" s="79">
        <v>0</v>
      </c>
      <c r="C2254" s="79">
        <v>217</v>
      </c>
      <c r="D2254" s="80">
        <v>43338.031736111108</v>
      </c>
      <c r="E2254" s="81">
        <f t="shared" ca="1" si="16"/>
        <v>43313</v>
      </c>
      <c r="F2254" s="82">
        <f ca="1">IFERROR(__xludf.DUMMYFUNCTION("""COMPUTED_VALUE"""),0.0317361111111111)</f>
        <v>3.1736111111111097E-2</v>
      </c>
      <c r="G2254" s="83">
        <f t="shared" ca="1" si="17"/>
        <v>19</v>
      </c>
      <c r="H2254" s="83">
        <f ca="1">IFERROR(__xludf.DUMMYFUNCTION("""COMPUTED_VALUE"""),45)</f>
        <v>45</v>
      </c>
      <c r="I2254" s="83">
        <f ca="1">IFERROR(__xludf.DUMMYFUNCTION("""COMPUTED_VALUE"""),42)</f>
        <v>42</v>
      </c>
    </row>
    <row r="2255" spans="1:9">
      <c r="A2255" s="79">
        <v>177</v>
      </c>
      <c r="B2255" s="79">
        <v>2</v>
      </c>
      <c r="C2255" s="79">
        <v>179</v>
      </c>
      <c r="D2255" s="80">
        <v>43338.04215277778</v>
      </c>
      <c r="E2255" s="81">
        <f t="shared" ca="1" si="16"/>
        <v>43313</v>
      </c>
      <c r="F2255" s="82">
        <f ca="1">IFERROR(__xludf.DUMMYFUNCTION("""COMPUTED_VALUE"""),0.0421527777777777)</f>
        <v>4.2152777777777699E-2</v>
      </c>
      <c r="G2255" s="83">
        <f t="shared" ca="1" si="17"/>
        <v>19</v>
      </c>
      <c r="H2255" s="83">
        <f ca="1">IFERROR(__xludf.DUMMYFUNCTION("""COMPUTED_VALUE"""),0)</f>
        <v>0</v>
      </c>
      <c r="I2255" s="83">
        <f ca="1">IFERROR(__xludf.DUMMYFUNCTION("""COMPUTED_VALUE"""),42)</f>
        <v>42</v>
      </c>
    </row>
    <row r="2256" spans="1:9">
      <c r="A2256" s="79">
        <v>184</v>
      </c>
      <c r="B2256" s="79">
        <v>5</v>
      </c>
      <c r="C2256" s="79">
        <v>189</v>
      </c>
      <c r="D2256" s="80">
        <v>43338.052569444444</v>
      </c>
      <c r="E2256" s="81">
        <f t="shared" ca="1" si="16"/>
        <v>43313</v>
      </c>
      <c r="F2256" s="82">
        <f ca="1">IFERROR(__xludf.DUMMYFUNCTION("""COMPUTED_VALUE"""),0.0525694444444444)</f>
        <v>5.2569444444444398E-2</v>
      </c>
      <c r="G2256" s="83">
        <f t="shared" ca="1" si="17"/>
        <v>19</v>
      </c>
      <c r="H2256" s="83">
        <f ca="1">IFERROR(__xludf.DUMMYFUNCTION("""COMPUTED_VALUE"""),15)</f>
        <v>15</v>
      </c>
      <c r="I2256" s="83">
        <f ca="1">IFERROR(__xludf.DUMMYFUNCTION("""COMPUTED_VALUE"""),42)</f>
        <v>42</v>
      </c>
    </row>
    <row r="2257" spans="1:9">
      <c r="A2257" s="79">
        <v>205</v>
      </c>
      <c r="B2257" s="79">
        <v>1</v>
      </c>
      <c r="C2257" s="79">
        <v>206</v>
      </c>
      <c r="D2257" s="80">
        <v>43338.062986111108</v>
      </c>
      <c r="E2257" s="81">
        <f t="shared" ca="1" si="16"/>
        <v>43313</v>
      </c>
      <c r="F2257" s="82">
        <f ca="1">IFERROR(__xludf.DUMMYFUNCTION("""COMPUTED_VALUE"""),0.0629861111111111)</f>
        <v>6.2986111111111104E-2</v>
      </c>
      <c r="G2257" s="83">
        <f t="shared" ca="1" si="17"/>
        <v>19</v>
      </c>
      <c r="H2257" s="83">
        <f ca="1">IFERROR(__xludf.DUMMYFUNCTION("""COMPUTED_VALUE"""),30)</f>
        <v>30</v>
      </c>
      <c r="I2257" s="83">
        <f ca="1">IFERROR(__xludf.DUMMYFUNCTION("""COMPUTED_VALUE"""),42)</f>
        <v>42</v>
      </c>
    </row>
    <row r="2258" spans="1:9">
      <c r="A2258" s="79">
        <v>201</v>
      </c>
      <c r="B2258" s="79">
        <v>2</v>
      </c>
      <c r="C2258" s="79">
        <v>203</v>
      </c>
      <c r="D2258" s="80">
        <v>43338.07340277778</v>
      </c>
      <c r="E2258" s="81">
        <f t="shared" ca="1" si="16"/>
        <v>43313</v>
      </c>
      <c r="F2258" s="82">
        <f ca="1">IFERROR(__xludf.DUMMYFUNCTION("""COMPUTED_VALUE"""),0.0734027777777777)</f>
        <v>7.3402777777777706E-2</v>
      </c>
      <c r="G2258" s="83">
        <f t="shared" ca="1" si="17"/>
        <v>19</v>
      </c>
      <c r="H2258" s="83">
        <f ca="1">IFERROR(__xludf.DUMMYFUNCTION("""COMPUTED_VALUE"""),45)</f>
        <v>45</v>
      </c>
      <c r="I2258" s="83">
        <f ca="1">IFERROR(__xludf.DUMMYFUNCTION("""COMPUTED_VALUE"""),42)</f>
        <v>42</v>
      </c>
    </row>
    <row r="2259" spans="1:9">
      <c r="A2259" s="79">
        <v>189</v>
      </c>
      <c r="B2259" s="79">
        <v>2</v>
      </c>
      <c r="C2259" s="79">
        <v>191</v>
      </c>
      <c r="D2259" s="80">
        <v>43338.083819444444</v>
      </c>
      <c r="E2259" s="81">
        <f t="shared" ca="1" si="16"/>
        <v>43313</v>
      </c>
      <c r="F2259" s="82">
        <f ca="1">IFERROR(__xludf.DUMMYFUNCTION("""COMPUTED_VALUE"""),0.0838194444444444)</f>
        <v>8.3819444444444405E-2</v>
      </c>
      <c r="G2259" s="83">
        <f t="shared" ca="1" si="17"/>
        <v>19</v>
      </c>
      <c r="H2259" s="83">
        <f ca="1">IFERROR(__xludf.DUMMYFUNCTION("""COMPUTED_VALUE"""),0)</f>
        <v>0</v>
      </c>
      <c r="I2259" s="83">
        <f ca="1">IFERROR(__xludf.DUMMYFUNCTION("""COMPUTED_VALUE"""),42)</f>
        <v>42</v>
      </c>
    </row>
    <row r="2260" spans="1:9">
      <c r="A2260" s="79">
        <v>228</v>
      </c>
      <c r="B2260" s="79">
        <v>6</v>
      </c>
      <c r="C2260" s="79">
        <v>234</v>
      </c>
      <c r="D2260" s="80">
        <v>43338.094236111108</v>
      </c>
      <c r="E2260" s="81">
        <f t="shared" ca="1" si="16"/>
        <v>43313</v>
      </c>
      <c r="F2260" s="82">
        <f ca="1">IFERROR(__xludf.DUMMYFUNCTION("""COMPUTED_VALUE"""),0.0942361111111111)</f>
        <v>9.4236111111111104E-2</v>
      </c>
      <c r="G2260" s="83">
        <f t="shared" ca="1" si="17"/>
        <v>19</v>
      </c>
      <c r="H2260" s="83">
        <f ca="1">IFERROR(__xludf.DUMMYFUNCTION("""COMPUTED_VALUE"""),15)</f>
        <v>15</v>
      </c>
      <c r="I2260" s="83">
        <f ca="1">IFERROR(__xludf.DUMMYFUNCTION("""COMPUTED_VALUE"""),42)</f>
        <v>42</v>
      </c>
    </row>
    <row r="2261" spans="1:9">
      <c r="A2261" s="79">
        <v>210</v>
      </c>
      <c r="B2261" s="79">
        <v>4</v>
      </c>
      <c r="C2261" s="79">
        <v>214</v>
      </c>
      <c r="D2261" s="80">
        <v>43338.10465277778</v>
      </c>
      <c r="E2261" s="81">
        <f t="shared" ca="1" si="16"/>
        <v>43313</v>
      </c>
      <c r="F2261" s="82">
        <f ca="1">IFERROR(__xludf.DUMMYFUNCTION("""COMPUTED_VALUE"""),0.104652777777777)</f>
        <v>0.104652777777777</v>
      </c>
      <c r="G2261" s="83">
        <f t="shared" ca="1" si="17"/>
        <v>19</v>
      </c>
      <c r="H2261" s="83">
        <f ca="1">IFERROR(__xludf.DUMMYFUNCTION("""COMPUTED_VALUE"""),30)</f>
        <v>30</v>
      </c>
      <c r="I2261" s="83">
        <f ca="1">IFERROR(__xludf.DUMMYFUNCTION("""COMPUTED_VALUE"""),42)</f>
        <v>42</v>
      </c>
    </row>
    <row r="2262" spans="1:9">
      <c r="A2262" s="79">
        <v>187</v>
      </c>
      <c r="B2262" s="79">
        <v>1</v>
      </c>
      <c r="C2262" s="79">
        <v>188</v>
      </c>
      <c r="D2262" s="80">
        <v>43338.115057870367</v>
      </c>
      <c r="E2262" s="81">
        <f t="shared" ca="1" si="16"/>
        <v>43313</v>
      </c>
      <c r="F2262" s="82">
        <f ca="1">IFERROR(__xludf.DUMMYFUNCTION("""COMPUTED_VALUE"""),0.11505787037037)</f>
        <v>0.11505787037037001</v>
      </c>
      <c r="G2262" s="83">
        <f t="shared" ca="1" si="17"/>
        <v>19</v>
      </c>
      <c r="H2262" s="83">
        <f ca="1">IFERROR(__xludf.DUMMYFUNCTION("""COMPUTED_VALUE"""),45)</f>
        <v>45</v>
      </c>
      <c r="I2262" s="83">
        <f ca="1">IFERROR(__xludf.DUMMYFUNCTION("""COMPUTED_VALUE"""),41)</f>
        <v>41</v>
      </c>
    </row>
    <row r="2263" spans="1:9">
      <c r="A2263" s="79">
        <v>167</v>
      </c>
      <c r="B2263" s="79">
        <v>1</v>
      </c>
      <c r="C2263" s="79">
        <v>168</v>
      </c>
      <c r="D2263" s="80">
        <v>43338.125486111108</v>
      </c>
      <c r="E2263" s="81">
        <f t="shared" ca="1" si="16"/>
        <v>43313</v>
      </c>
      <c r="F2263" s="82">
        <f ca="1">IFERROR(__xludf.DUMMYFUNCTION("""COMPUTED_VALUE"""),0.125486111111111)</f>
        <v>0.12548611111111099</v>
      </c>
      <c r="G2263" s="83">
        <f t="shared" ca="1" si="17"/>
        <v>19</v>
      </c>
      <c r="H2263" s="83">
        <f ca="1">IFERROR(__xludf.DUMMYFUNCTION("""COMPUTED_VALUE"""),0)</f>
        <v>0</v>
      </c>
      <c r="I2263" s="83">
        <f ca="1">IFERROR(__xludf.DUMMYFUNCTION("""COMPUTED_VALUE"""),42)</f>
        <v>42</v>
      </c>
    </row>
    <row r="2264" spans="1:9">
      <c r="A2264" s="79">
        <v>169</v>
      </c>
      <c r="B2264" s="79">
        <v>0</v>
      </c>
      <c r="C2264" s="79">
        <v>169</v>
      </c>
      <c r="D2264" s="80">
        <v>43338.13590277778</v>
      </c>
      <c r="E2264" s="81">
        <f t="shared" ca="1" si="16"/>
        <v>43313</v>
      </c>
      <c r="F2264" s="82">
        <f ca="1">IFERROR(__xludf.DUMMYFUNCTION("""COMPUTED_VALUE"""),0.135902777777777)</f>
        <v>0.13590277777777701</v>
      </c>
      <c r="G2264" s="83">
        <f t="shared" ca="1" si="17"/>
        <v>19</v>
      </c>
      <c r="H2264" s="83">
        <f ca="1">IFERROR(__xludf.DUMMYFUNCTION("""COMPUTED_VALUE"""),15)</f>
        <v>15</v>
      </c>
      <c r="I2264" s="83">
        <f ca="1">IFERROR(__xludf.DUMMYFUNCTION("""COMPUTED_VALUE"""),42)</f>
        <v>42</v>
      </c>
    </row>
    <row r="2265" spans="1:9">
      <c r="A2265" s="79">
        <v>155</v>
      </c>
      <c r="B2265" s="79">
        <v>2</v>
      </c>
      <c r="C2265" s="79">
        <v>157</v>
      </c>
      <c r="D2265" s="80">
        <v>43338.146307870367</v>
      </c>
      <c r="E2265" s="81">
        <f t="shared" ca="1" si="16"/>
        <v>43313</v>
      </c>
      <c r="F2265" s="82">
        <f ca="1">IFERROR(__xludf.DUMMYFUNCTION("""COMPUTED_VALUE"""),0.14630787037037)</f>
        <v>0.14630787037036999</v>
      </c>
      <c r="G2265" s="83">
        <f t="shared" ca="1" si="17"/>
        <v>19</v>
      </c>
      <c r="H2265" s="83">
        <f ca="1">IFERROR(__xludf.DUMMYFUNCTION("""COMPUTED_VALUE"""),30)</f>
        <v>30</v>
      </c>
      <c r="I2265" s="83">
        <f ca="1">IFERROR(__xludf.DUMMYFUNCTION("""COMPUTED_VALUE"""),41)</f>
        <v>41</v>
      </c>
    </row>
    <row r="2266" spans="1:9">
      <c r="A2266" s="79">
        <v>105</v>
      </c>
      <c r="B2266" s="79">
        <v>1</v>
      </c>
      <c r="C2266" s="79">
        <v>106</v>
      </c>
      <c r="D2266" s="80">
        <v>43338.156736111108</v>
      </c>
      <c r="E2266" s="81">
        <f t="shared" ca="1" si="16"/>
        <v>43313</v>
      </c>
      <c r="F2266" s="82">
        <f ca="1">IFERROR(__xludf.DUMMYFUNCTION("""COMPUTED_VALUE"""),0.156736111111111)</f>
        <v>0.15673611111111099</v>
      </c>
      <c r="G2266" s="83">
        <f t="shared" ca="1" si="17"/>
        <v>19</v>
      </c>
      <c r="H2266" s="83">
        <f ca="1">IFERROR(__xludf.DUMMYFUNCTION("""COMPUTED_VALUE"""),45)</f>
        <v>45</v>
      </c>
      <c r="I2266" s="83">
        <f ca="1">IFERROR(__xludf.DUMMYFUNCTION("""COMPUTED_VALUE"""),42)</f>
        <v>42</v>
      </c>
    </row>
    <row r="2267" spans="1:9">
      <c r="A2267" s="79">
        <v>119</v>
      </c>
      <c r="B2267" s="79">
        <v>1</v>
      </c>
      <c r="C2267" s="79">
        <v>120</v>
      </c>
      <c r="D2267" s="80">
        <v>43338.16715277778</v>
      </c>
      <c r="E2267" s="81">
        <f t="shared" ca="1" si="16"/>
        <v>43313</v>
      </c>
      <c r="F2267" s="82">
        <f ca="1">IFERROR(__xludf.DUMMYFUNCTION("""COMPUTED_VALUE"""),0.167152777777777)</f>
        <v>0.16715277777777701</v>
      </c>
      <c r="G2267" s="83">
        <f t="shared" ca="1" si="17"/>
        <v>19</v>
      </c>
      <c r="H2267" s="83">
        <f ca="1">IFERROR(__xludf.DUMMYFUNCTION("""COMPUTED_VALUE"""),0)</f>
        <v>0</v>
      </c>
      <c r="I2267" s="83">
        <f ca="1">IFERROR(__xludf.DUMMYFUNCTION("""COMPUTED_VALUE"""),42)</f>
        <v>42</v>
      </c>
    </row>
    <row r="2268" spans="1:9">
      <c r="A2268" s="79">
        <v>103</v>
      </c>
      <c r="B2268" s="79">
        <v>1</v>
      </c>
      <c r="C2268" s="79">
        <v>104</v>
      </c>
      <c r="D2268" s="80">
        <v>43338.177569444444</v>
      </c>
      <c r="E2268" s="81">
        <f t="shared" ca="1" si="16"/>
        <v>43313</v>
      </c>
      <c r="F2268" s="82">
        <f ca="1">IFERROR(__xludf.DUMMYFUNCTION("""COMPUTED_VALUE"""),0.177569444444444)</f>
        <v>0.177569444444444</v>
      </c>
      <c r="G2268" s="83">
        <f t="shared" ca="1" si="17"/>
        <v>19</v>
      </c>
      <c r="H2268" s="83">
        <f ca="1">IFERROR(__xludf.DUMMYFUNCTION("""COMPUTED_VALUE"""),15)</f>
        <v>15</v>
      </c>
      <c r="I2268" s="83">
        <f ca="1">IFERROR(__xludf.DUMMYFUNCTION("""COMPUTED_VALUE"""),42)</f>
        <v>42</v>
      </c>
    </row>
    <row r="2269" spans="1:9">
      <c r="A2269" s="79">
        <v>108</v>
      </c>
      <c r="B2269" s="79">
        <v>2</v>
      </c>
      <c r="C2269" s="79">
        <v>110</v>
      </c>
      <c r="D2269" s="80">
        <v>43338.187974537039</v>
      </c>
      <c r="E2269" s="81">
        <f t="shared" ca="1" si="16"/>
        <v>43313</v>
      </c>
      <c r="F2269" s="82">
        <f ca="1">IFERROR(__xludf.DUMMYFUNCTION("""COMPUTED_VALUE"""),0.187974537037037)</f>
        <v>0.18797453703703701</v>
      </c>
      <c r="G2269" s="83">
        <f t="shared" ca="1" si="17"/>
        <v>19</v>
      </c>
      <c r="H2269" s="83">
        <f ca="1">IFERROR(__xludf.DUMMYFUNCTION("""COMPUTED_VALUE"""),30)</f>
        <v>30</v>
      </c>
      <c r="I2269" s="83">
        <f ca="1">IFERROR(__xludf.DUMMYFUNCTION("""COMPUTED_VALUE"""),41)</f>
        <v>41</v>
      </c>
    </row>
    <row r="2270" spans="1:9">
      <c r="A2270" s="79">
        <v>103</v>
      </c>
      <c r="B2270" s="79">
        <v>1</v>
      </c>
      <c r="C2270" s="79">
        <v>104</v>
      </c>
      <c r="D2270" s="80">
        <v>43338.19840277778</v>
      </c>
      <c r="E2270" s="81">
        <f t="shared" ca="1" si="16"/>
        <v>43313</v>
      </c>
      <c r="F2270" s="82">
        <f ca="1">IFERROR(__xludf.DUMMYFUNCTION("""COMPUTED_VALUE"""),0.198402777777777)</f>
        <v>0.19840277777777701</v>
      </c>
      <c r="G2270" s="83">
        <f t="shared" ca="1" si="17"/>
        <v>19</v>
      </c>
      <c r="H2270" s="83">
        <f ca="1">IFERROR(__xludf.DUMMYFUNCTION("""COMPUTED_VALUE"""),45)</f>
        <v>45</v>
      </c>
      <c r="I2270" s="83">
        <f ca="1">IFERROR(__xludf.DUMMYFUNCTION("""COMPUTED_VALUE"""),42)</f>
        <v>42</v>
      </c>
    </row>
    <row r="2271" spans="1:9">
      <c r="A2271" s="79">
        <v>107</v>
      </c>
      <c r="B2271" s="79">
        <v>0</v>
      </c>
      <c r="C2271" s="79">
        <v>107</v>
      </c>
      <c r="D2271" s="80">
        <v>43338.208819444444</v>
      </c>
      <c r="E2271" s="81">
        <f t="shared" ca="1" si="16"/>
        <v>43313</v>
      </c>
      <c r="F2271" s="82">
        <f ca="1">IFERROR(__xludf.DUMMYFUNCTION("""COMPUTED_VALUE"""),0.208819444444444)</f>
        <v>0.208819444444444</v>
      </c>
      <c r="G2271" s="83">
        <f t="shared" ca="1" si="17"/>
        <v>19</v>
      </c>
      <c r="H2271" s="83">
        <f ca="1">IFERROR(__xludf.DUMMYFUNCTION("""COMPUTED_VALUE"""),0)</f>
        <v>0</v>
      </c>
      <c r="I2271" s="83">
        <f ca="1">IFERROR(__xludf.DUMMYFUNCTION("""COMPUTED_VALUE"""),42)</f>
        <v>42</v>
      </c>
    </row>
    <row r="2272" spans="1:9">
      <c r="A2272" s="79">
        <v>120</v>
      </c>
      <c r="B2272" s="79">
        <v>0</v>
      </c>
      <c r="C2272" s="79">
        <v>120</v>
      </c>
      <c r="D2272" s="80">
        <v>43338.219224537039</v>
      </c>
      <c r="E2272" s="81">
        <f t="shared" ca="1" si="16"/>
        <v>43313</v>
      </c>
      <c r="F2272" s="82">
        <f ca="1">IFERROR(__xludf.DUMMYFUNCTION("""COMPUTED_VALUE"""),0.219224537037037)</f>
        <v>0.21922453703703701</v>
      </c>
      <c r="G2272" s="83">
        <f t="shared" ca="1" si="17"/>
        <v>19</v>
      </c>
      <c r="H2272" s="83">
        <f ca="1">IFERROR(__xludf.DUMMYFUNCTION("""COMPUTED_VALUE"""),15)</f>
        <v>15</v>
      </c>
      <c r="I2272" s="83">
        <f ca="1">IFERROR(__xludf.DUMMYFUNCTION("""COMPUTED_VALUE"""),41)</f>
        <v>41</v>
      </c>
    </row>
    <row r="2273" spans="1:9">
      <c r="A2273" s="79">
        <v>103</v>
      </c>
      <c r="B2273" s="79">
        <v>0</v>
      </c>
      <c r="C2273" s="79">
        <v>103</v>
      </c>
      <c r="D2273" s="80">
        <v>43338.22965277778</v>
      </c>
      <c r="E2273" s="81">
        <f t="shared" ca="1" si="16"/>
        <v>43313</v>
      </c>
      <c r="F2273" s="82">
        <f ca="1">IFERROR(__xludf.DUMMYFUNCTION("""COMPUTED_VALUE"""),0.229652777777777)</f>
        <v>0.22965277777777701</v>
      </c>
      <c r="G2273" s="83">
        <f t="shared" ca="1" si="17"/>
        <v>19</v>
      </c>
      <c r="H2273" s="83">
        <f ca="1">IFERROR(__xludf.DUMMYFUNCTION("""COMPUTED_VALUE"""),30)</f>
        <v>30</v>
      </c>
      <c r="I2273" s="83">
        <f ca="1">IFERROR(__xludf.DUMMYFUNCTION("""COMPUTED_VALUE"""),42)</f>
        <v>42</v>
      </c>
    </row>
    <row r="2274" spans="1:9">
      <c r="A2274" s="79">
        <v>117</v>
      </c>
      <c r="B2274" s="79">
        <v>4</v>
      </c>
      <c r="C2274" s="79">
        <v>121</v>
      </c>
      <c r="D2274" s="80">
        <v>43338.240057870367</v>
      </c>
      <c r="E2274" s="81">
        <f t="shared" ca="1" si="16"/>
        <v>43313</v>
      </c>
      <c r="F2274" s="82">
        <f ca="1">IFERROR(__xludf.DUMMYFUNCTION("""COMPUTED_VALUE"""),0.24005787037037)</f>
        <v>0.24005787037036999</v>
      </c>
      <c r="G2274" s="83">
        <f t="shared" ca="1" si="17"/>
        <v>19</v>
      </c>
      <c r="H2274" s="83">
        <f ca="1">IFERROR(__xludf.DUMMYFUNCTION("""COMPUTED_VALUE"""),45)</f>
        <v>45</v>
      </c>
      <c r="I2274" s="83">
        <f ca="1">IFERROR(__xludf.DUMMYFUNCTION("""COMPUTED_VALUE"""),41)</f>
        <v>41</v>
      </c>
    </row>
    <row r="2275" spans="1:9">
      <c r="A2275" s="79">
        <v>95</v>
      </c>
      <c r="B2275" s="79">
        <v>6</v>
      </c>
      <c r="C2275" s="79">
        <v>96</v>
      </c>
      <c r="D2275" s="80">
        <v>43338.250486111108</v>
      </c>
      <c r="E2275" s="81">
        <f t="shared" ca="1" si="16"/>
        <v>43313</v>
      </c>
      <c r="F2275" s="82">
        <f ca="1">IFERROR(__xludf.DUMMYFUNCTION("""COMPUTED_VALUE"""),0.250486111111111)</f>
        <v>0.25048611111111102</v>
      </c>
      <c r="G2275" s="83">
        <f t="shared" ca="1" si="17"/>
        <v>19</v>
      </c>
      <c r="H2275" s="83">
        <f ca="1">IFERROR(__xludf.DUMMYFUNCTION("""COMPUTED_VALUE"""),0)</f>
        <v>0</v>
      </c>
      <c r="I2275" s="83">
        <f ca="1">IFERROR(__xludf.DUMMYFUNCTION("""COMPUTED_VALUE"""),42)</f>
        <v>42</v>
      </c>
    </row>
    <row r="2276" spans="1:9">
      <c r="A2276" s="79">
        <v>91</v>
      </c>
      <c r="B2276" s="79">
        <v>2</v>
      </c>
      <c r="C2276" s="79">
        <v>83</v>
      </c>
      <c r="D2276" s="80">
        <v>43338.260891203703</v>
      </c>
      <c r="E2276" s="81">
        <f t="shared" ca="1" si="16"/>
        <v>43313</v>
      </c>
      <c r="F2276" s="82">
        <f ca="1">IFERROR(__xludf.DUMMYFUNCTION("""COMPUTED_VALUE"""),0.260891203703703)</f>
        <v>0.260891203703703</v>
      </c>
      <c r="G2276" s="83">
        <f t="shared" ca="1" si="17"/>
        <v>19</v>
      </c>
      <c r="H2276" s="83">
        <f ca="1">IFERROR(__xludf.DUMMYFUNCTION("""COMPUTED_VALUE"""),15)</f>
        <v>15</v>
      </c>
      <c r="I2276" s="83">
        <f ca="1">IFERROR(__xludf.DUMMYFUNCTION("""COMPUTED_VALUE"""),41)</f>
        <v>41</v>
      </c>
    </row>
    <row r="2277" spans="1:9">
      <c r="A2277" s="79">
        <v>74</v>
      </c>
      <c r="B2277" s="79">
        <v>3</v>
      </c>
      <c r="C2277" s="79">
        <v>73</v>
      </c>
      <c r="D2277" s="80">
        <v>43338.273796296293</v>
      </c>
      <c r="E2277" s="81">
        <f t="shared" ca="1" si="16"/>
        <v>43313</v>
      </c>
      <c r="F2277" s="82">
        <f ca="1">IFERROR(__xludf.DUMMYFUNCTION("""COMPUTED_VALUE"""),0.273796296296296)</f>
        <v>0.27379629629629598</v>
      </c>
      <c r="G2277" s="83">
        <f t="shared" ca="1" si="17"/>
        <v>19</v>
      </c>
      <c r="H2277" s="83">
        <f ca="1">IFERROR(__xludf.DUMMYFUNCTION("""COMPUTED_VALUE"""),34)</f>
        <v>34</v>
      </c>
      <c r="I2277" s="83">
        <f ca="1">IFERROR(__xludf.DUMMYFUNCTION("""COMPUTED_VALUE"""),16)</f>
        <v>16</v>
      </c>
    </row>
    <row r="2278" spans="1:9">
      <c r="A2278" s="79">
        <v>59</v>
      </c>
      <c r="B2278" s="79">
        <v>1</v>
      </c>
      <c r="C2278" s="79">
        <v>60</v>
      </c>
      <c r="D2278" s="80">
        <v>43338.281736111108</v>
      </c>
      <c r="E2278" s="81">
        <f t="shared" ca="1" si="16"/>
        <v>43313</v>
      </c>
      <c r="F2278" s="82">
        <f ca="1">IFERROR(__xludf.DUMMYFUNCTION("""COMPUTED_VALUE"""),0.281736111111111)</f>
        <v>0.28173611111111102</v>
      </c>
      <c r="G2278" s="83">
        <f t="shared" ca="1" si="17"/>
        <v>19</v>
      </c>
      <c r="H2278" s="83">
        <f ca="1">IFERROR(__xludf.DUMMYFUNCTION("""COMPUTED_VALUE"""),45)</f>
        <v>45</v>
      </c>
      <c r="I2278" s="83">
        <f ca="1">IFERROR(__xludf.DUMMYFUNCTION("""COMPUTED_VALUE"""),42)</f>
        <v>42</v>
      </c>
    </row>
    <row r="2279" spans="1:9">
      <c r="A2279" s="79">
        <v>53</v>
      </c>
      <c r="B2279" s="79">
        <v>0</v>
      </c>
      <c r="C2279" s="79">
        <v>53</v>
      </c>
      <c r="D2279" s="80">
        <v>43338.292164351849</v>
      </c>
      <c r="E2279" s="81">
        <f t="shared" ca="1" si="16"/>
        <v>43313</v>
      </c>
      <c r="F2279" s="82">
        <f ca="1">IFERROR(__xludf.DUMMYFUNCTION("""COMPUTED_VALUE"""),0.292164351851851)</f>
        <v>0.29216435185185102</v>
      </c>
      <c r="G2279" s="83">
        <f t="shared" ca="1" si="17"/>
        <v>19</v>
      </c>
      <c r="H2279" s="83">
        <f ca="1">IFERROR(__xludf.DUMMYFUNCTION("""COMPUTED_VALUE"""),0)</f>
        <v>0</v>
      </c>
      <c r="I2279" s="83">
        <f ca="1">IFERROR(__xludf.DUMMYFUNCTION("""COMPUTED_VALUE"""),43)</f>
        <v>43</v>
      </c>
    </row>
    <row r="2280" spans="1:9">
      <c r="A2280" s="79">
        <v>62</v>
      </c>
      <c r="B2280" s="79">
        <v>1</v>
      </c>
      <c r="C2280" s="79">
        <v>63</v>
      </c>
      <c r="D2280" s="80">
        <v>43338.302581018521</v>
      </c>
      <c r="E2280" s="81">
        <f t="shared" ca="1" si="16"/>
        <v>43313</v>
      </c>
      <c r="F2280" s="82">
        <f ca="1">IFERROR(__xludf.DUMMYFUNCTION("""COMPUTED_VALUE"""),0.302581018518518)</f>
        <v>0.30258101851851799</v>
      </c>
      <c r="G2280" s="83">
        <f t="shared" ca="1" si="17"/>
        <v>19</v>
      </c>
      <c r="H2280" s="83">
        <f ca="1">IFERROR(__xludf.DUMMYFUNCTION("""COMPUTED_VALUE"""),15)</f>
        <v>15</v>
      </c>
      <c r="I2280" s="83">
        <f ca="1">IFERROR(__xludf.DUMMYFUNCTION("""COMPUTED_VALUE"""),43)</f>
        <v>43</v>
      </c>
    </row>
    <row r="2281" spans="1:9">
      <c r="A2281" s="79">
        <v>61</v>
      </c>
      <c r="B2281" s="79">
        <v>0</v>
      </c>
      <c r="C2281" s="79">
        <v>61</v>
      </c>
      <c r="D2281" s="80">
        <v>43338.312997685185</v>
      </c>
      <c r="E2281" s="81">
        <f t="shared" ca="1" si="16"/>
        <v>43313</v>
      </c>
      <c r="F2281" s="82">
        <f ca="1">IFERROR(__xludf.DUMMYFUNCTION("""COMPUTED_VALUE"""),0.312997685185185)</f>
        <v>0.312997685185185</v>
      </c>
      <c r="G2281" s="83">
        <f t="shared" ca="1" si="17"/>
        <v>19</v>
      </c>
      <c r="H2281" s="83">
        <f ca="1">IFERROR(__xludf.DUMMYFUNCTION("""COMPUTED_VALUE"""),30)</f>
        <v>30</v>
      </c>
      <c r="I2281" s="83">
        <f ca="1">IFERROR(__xludf.DUMMYFUNCTION("""COMPUTED_VALUE"""),43)</f>
        <v>43</v>
      </c>
    </row>
    <row r="2282" spans="1:9">
      <c r="A2282" s="79">
        <v>60</v>
      </c>
      <c r="B2282" s="79">
        <v>0</v>
      </c>
      <c r="C2282" s="79">
        <v>60</v>
      </c>
      <c r="D2282" s="80">
        <v>43338.323414351849</v>
      </c>
      <c r="E2282" s="81">
        <f t="shared" ca="1" si="16"/>
        <v>43313</v>
      </c>
      <c r="F2282" s="82">
        <f ca="1">IFERROR(__xludf.DUMMYFUNCTION("""COMPUTED_VALUE"""),0.323414351851851)</f>
        <v>0.32341435185185102</v>
      </c>
      <c r="G2282" s="83">
        <f t="shared" ca="1" si="17"/>
        <v>19</v>
      </c>
      <c r="H2282" s="83">
        <f ca="1">IFERROR(__xludf.DUMMYFUNCTION("""COMPUTED_VALUE"""),45)</f>
        <v>45</v>
      </c>
      <c r="I2282" s="83">
        <f ca="1">IFERROR(__xludf.DUMMYFUNCTION("""COMPUTED_VALUE"""),43)</f>
        <v>43</v>
      </c>
    </row>
    <row r="2283" spans="1:9">
      <c r="A2283" s="79">
        <v>68</v>
      </c>
      <c r="B2283" s="79">
        <v>1</v>
      </c>
      <c r="C2283" s="79">
        <v>69</v>
      </c>
      <c r="D2283" s="80">
        <v>43338.33384259259</v>
      </c>
      <c r="E2283" s="81">
        <f t="shared" ca="1" si="16"/>
        <v>43313</v>
      </c>
      <c r="F2283" s="82">
        <f ca="1">IFERROR(__xludf.DUMMYFUNCTION("""COMPUTED_VALUE"""),0.333842592592592)</f>
        <v>0.33384259259259202</v>
      </c>
      <c r="G2283" s="83">
        <f t="shared" ca="1" si="17"/>
        <v>19</v>
      </c>
      <c r="H2283" s="83">
        <f ca="1">IFERROR(__xludf.DUMMYFUNCTION("""COMPUTED_VALUE"""),0)</f>
        <v>0</v>
      </c>
      <c r="I2283" s="83">
        <f ca="1">IFERROR(__xludf.DUMMYFUNCTION("""COMPUTED_VALUE"""),44)</f>
        <v>44</v>
      </c>
    </row>
    <row r="2284" spans="1:9">
      <c r="A2284" s="79">
        <v>49</v>
      </c>
      <c r="B2284" s="79">
        <v>1</v>
      </c>
      <c r="C2284" s="79">
        <v>50</v>
      </c>
      <c r="D2284" s="80">
        <v>43338.344247685185</v>
      </c>
      <c r="E2284" s="81">
        <f t="shared" ca="1" si="16"/>
        <v>43313</v>
      </c>
      <c r="F2284" s="82">
        <f ca="1">IFERROR(__xludf.DUMMYFUNCTION("""COMPUTED_VALUE"""),0.344247685185185)</f>
        <v>0.344247685185185</v>
      </c>
      <c r="G2284" s="83">
        <f t="shared" ca="1" si="17"/>
        <v>19</v>
      </c>
      <c r="H2284" s="83">
        <f ca="1">IFERROR(__xludf.DUMMYFUNCTION("""COMPUTED_VALUE"""),15)</f>
        <v>15</v>
      </c>
      <c r="I2284" s="83">
        <f ca="1">IFERROR(__xludf.DUMMYFUNCTION("""COMPUTED_VALUE"""),43)</f>
        <v>43</v>
      </c>
    </row>
    <row r="2285" spans="1:9">
      <c r="A2285" s="79">
        <v>92</v>
      </c>
      <c r="B2285" s="79">
        <v>1</v>
      </c>
      <c r="C2285" s="79">
        <v>93</v>
      </c>
      <c r="D2285" s="80">
        <v>43338.354664351849</v>
      </c>
      <c r="E2285" s="81">
        <f t="shared" ca="1" si="16"/>
        <v>43313</v>
      </c>
      <c r="F2285" s="82">
        <f ca="1">IFERROR(__xludf.DUMMYFUNCTION("""COMPUTED_VALUE"""),0.354664351851851)</f>
        <v>0.35466435185185102</v>
      </c>
      <c r="G2285" s="83">
        <f t="shared" ca="1" si="17"/>
        <v>19</v>
      </c>
      <c r="H2285" s="83">
        <f ca="1">IFERROR(__xludf.DUMMYFUNCTION("""COMPUTED_VALUE"""),30)</f>
        <v>30</v>
      </c>
      <c r="I2285" s="83">
        <f ca="1">IFERROR(__xludf.DUMMYFUNCTION("""COMPUTED_VALUE"""),43)</f>
        <v>43</v>
      </c>
    </row>
    <row r="2286" spans="1:9">
      <c r="A2286" s="79">
        <v>77</v>
      </c>
      <c r="B2286" s="79">
        <v>0</v>
      </c>
      <c r="C2286" s="79">
        <v>77</v>
      </c>
      <c r="D2286" s="80">
        <v>43338.36509259259</v>
      </c>
      <c r="E2286" s="81">
        <f t="shared" ca="1" si="16"/>
        <v>43313</v>
      </c>
      <c r="F2286" s="82">
        <f ca="1">IFERROR(__xludf.DUMMYFUNCTION("""COMPUTED_VALUE"""),0.365092592592592)</f>
        <v>0.36509259259259202</v>
      </c>
      <c r="G2286" s="83">
        <f t="shared" ca="1" si="17"/>
        <v>19</v>
      </c>
      <c r="H2286" s="83">
        <f ca="1">IFERROR(__xludf.DUMMYFUNCTION("""COMPUTED_VALUE"""),45)</f>
        <v>45</v>
      </c>
      <c r="I2286" s="83">
        <f ca="1">IFERROR(__xludf.DUMMYFUNCTION("""COMPUTED_VALUE"""),44)</f>
        <v>44</v>
      </c>
    </row>
    <row r="2287" spans="1:9">
      <c r="A2287" s="79">
        <v>59</v>
      </c>
      <c r="B2287" s="79">
        <v>0</v>
      </c>
      <c r="C2287" s="79">
        <v>59</v>
      </c>
      <c r="D2287" s="80">
        <v>43338.375497685185</v>
      </c>
      <c r="E2287" s="81">
        <f t="shared" ca="1" si="16"/>
        <v>43313</v>
      </c>
      <c r="F2287" s="82">
        <f ca="1">IFERROR(__xludf.DUMMYFUNCTION("""COMPUTED_VALUE"""),0.375497685185185)</f>
        <v>0.375497685185185</v>
      </c>
      <c r="G2287" s="83">
        <f t="shared" ca="1" si="17"/>
        <v>19</v>
      </c>
      <c r="H2287" s="83">
        <f ca="1">IFERROR(__xludf.DUMMYFUNCTION("""COMPUTED_VALUE"""),0)</f>
        <v>0</v>
      </c>
      <c r="I2287" s="83">
        <f ca="1">IFERROR(__xludf.DUMMYFUNCTION("""COMPUTED_VALUE"""),43)</f>
        <v>43</v>
      </c>
    </row>
    <row r="2288" spans="1:9">
      <c r="A2288" s="79">
        <v>62</v>
      </c>
      <c r="B2288" s="79">
        <v>1</v>
      </c>
      <c r="C2288" s="79">
        <v>63</v>
      </c>
      <c r="D2288" s="80">
        <v>43338.38590277778</v>
      </c>
      <c r="E2288" s="81">
        <f t="shared" ca="1" si="16"/>
        <v>43313</v>
      </c>
      <c r="F2288" s="82">
        <f ca="1">IFERROR(__xludf.DUMMYFUNCTION("""COMPUTED_VALUE"""),0.385902777777777)</f>
        <v>0.38590277777777698</v>
      </c>
      <c r="G2288" s="83">
        <f t="shared" ca="1" si="17"/>
        <v>19</v>
      </c>
      <c r="H2288" s="83">
        <f ca="1">IFERROR(__xludf.DUMMYFUNCTION("""COMPUTED_VALUE"""),15)</f>
        <v>15</v>
      </c>
      <c r="I2288" s="83">
        <f ca="1">IFERROR(__xludf.DUMMYFUNCTION("""COMPUTED_VALUE"""),42)</f>
        <v>42</v>
      </c>
    </row>
    <row r="2289" spans="1:9">
      <c r="A2289" s="79">
        <v>87</v>
      </c>
      <c r="B2289" s="79">
        <v>1</v>
      </c>
      <c r="C2289" s="79">
        <v>88</v>
      </c>
      <c r="D2289" s="80">
        <v>43338.396331018521</v>
      </c>
      <c r="E2289" s="81">
        <f t="shared" ca="1" si="16"/>
        <v>43313</v>
      </c>
      <c r="F2289" s="82">
        <f ca="1">IFERROR(__xludf.DUMMYFUNCTION("""COMPUTED_VALUE"""),0.396331018518518)</f>
        <v>0.39633101851851799</v>
      </c>
      <c r="G2289" s="83">
        <f t="shared" ca="1" si="17"/>
        <v>19</v>
      </c>
      <c r="H2289" s="83">
        <f ca="1">IFERROR(__xludf.DUMMYFUNCTION("""COMPUTED_VALUE"""),30)</f>
        <v>30</v>
      </c>
      <c r="I2289" s="83">
        <f ca="1">IFERROR(__xludf.DUMMYFUNCTION("""COMPUTED_VALUE"""),43)</f>
        <v>43</v>
      </c>
    </row>
    <row r="2290" spans="1:9">
      <c r="A2290" s="79">
        <v>81</v>
      </c>
      <c r="B2290" s="79">
        <v>0</v>
      </c>
      <c r="C2290" s="79">
        <v>81</v>
      </c>
      <c r="D2290" s="80">
        <v>43338.406747685185</v>
      </c>
      <c r="E2290" s="81">
        <f t="shared" ca="1" si="16"/>
        <v>43313</v>
      </c>
      <c r="F2290" s="82">
        <f ca="1">IFERROR(__xludf.DUMMYFUNCTION("""COMPUTED_VALUE"""),0.406747685185185)</f>
        <v>0.406747685185185</v>
      </c>
      <c r="G2290" s="83">
        <f t="shared" ca="1" si="17"/>
        <v>19</v>
      </c>
      <c r="H2290" s="83">
        <f ca="1">IFERROR(__xludf.DUMMYFUNCTION("""COMPUTED_VALUE"""),45)</f>
        <v>45</v>
      </c>
      <c r="I2290" s="83">
        <f ca="1">IFERROR(__xludf.DUMMYFUNCTION("""COMPUTED_VALUE"""),43)</f>
        <v>43</v>
      </c>
    </row>
    <row r="2291" spans="1:9">
      <c r="A2291" s="79">
        <v>70</v>
      </c>
      <c r="B2291" s="79">
        <v>0</v>
      </c>
      <c r="C2291" s="79">
        <v>70</v>
      </c>
      <c r="D2291" s="80">
        <v>43338.417164351849</v>
      </c>
      <c r="E2291" s="81">
        <f t="shared" ca="1" si="16"/>
        <v>43313</v>
      </c>
      <c r="F2291" s="82">
        <f ca="1">IFERROR(__xludf.DUMMYFUNCTION("""COMPUTED_VALUE"""),0.417164351851851)</f>
        <v>0.41716435185185102</v>
      </c>
      <c r="G2291" s="83">
        <f t="shared" ca="1" si="17"/>
        <v>19</v>
      </c>
      <c r="H2291" s="83">
        <f ca="1">IFERROR(__xludf.DUMMYFUNCTION("""COMPUTED_VALUE"""),0)</f>
        <v>0</v>
      </c>
      <c r="I2291" s="83">
        <f ca="1">IFERROR(__xludf.DUMMYFUNCTION("""COMPUTED_VALUE"""),43)</f>
        <v>43</v>
      </c>
    </row>
    <row r="2292" spans="1:9">
      <c r="A2292" s="79">
        <v>66</v>
      </c>
      <c r="B2292" s="79">
        <v>0</v>
      </c>
      <c r="C2292" s="79">
        <v>66</v>
      </c>
      <c r="D2292" s="80">
        <v>43338.427581018521</v>
      </c>
      <c r="E2292" s="81">
        <f t="shared" ca="1" si="16"/>
        <v>43313</v>
      </c>
      <c r="F2292" s="82">
        <f ca="1">IFERROR(__xludf.DUMMYFUNCTION("""COMPUTED_VALUE"""),0.427581018518518)</f>
        <v>0.42758101851851799</v>
      </c>
      <c r="G2292" s="83">
        <f t="shared" ca="1" si="17"/>
        <v>19</v>
      </c>
      <c r="H2292" s="83">
        <f ca="1">IFERROR(__xludf.DUMMYFUNCTION("""COMPUTED_VALUE"""),15)</f>
        <v>15</v>
      </c>
      <c r="I2292" s="83">
        <f ca="1">IFERROR(__xludf.DUMMYFUNCTION("""COMPUTED_VALUE"""),43)</f>
        <v>43</v>
      </c>
    </row>
    <row r="2293" spans="1:9">
      <c r="A2293" s="79">
        <v>75</v>
      </c>
      <c r="B2293" s="79">
        <v>0</v>
      </c>
      <c r="C2293" s="79">
        <v>75</v>
      </c>
      <c r="D2293" s="80">
        <v>43338.437997685185</v>
      </c>
      <c r="E2293" s="81">
        <f t="shared" ca="1" si="16"/>
        <v>43313</v>
      </c>
      <c r="F2293" s="82">
        <f ca="1">IFERROR(__xludf.DUMMYFUNCTION("""COMPUTED_VALUE"""),0.437997685185185)</f>
        <v>0.437997685185185</v>
      </c>
      <c r="G2293" s="83">
        <f t="shared" ca="1" si="17"/>
        <v>19</v>
      </c>
      <c r="H2293" s="83">
        <f ca="1">IFERROR(__xludf.DUMMYFUNCTION("""COMPUTED_VALUE"""),30)</f>
        <v>30</v>
      </c>
      <c r="I2293" s="83">
        <f ca="1">IFERROR(__xludf.DUMMYFUNCTION("""COMPUTED_VALUE"""),43)</f>
        <v>43</v>
      </c>
    </row>
    <row r="2294" spans="1:9">
      <c r="A2294" s="79">
        <v>108</v>
      </c>
      <c r="B2294" s="79">
        <v>0</v>
      </c>
      <c r="C2294" s="79">
        <v>108</v>
      </c>
      <c r="D2294" s="80">
        <v>43338.448414351849</v>
      </c>
      <c r="E2294" s="81">
        <f t="shared" ca="1" si="16"/>
        <v>43313</v>
      </c>
      <c r="F2294" s="82">
        <f ca="1">IFERROR(__xludf.DUMMYFUNCTION("""COMPUTED_VALUE"""),0.448414351851851)</f>
        <v>0.44841435185185102</v>
      </c>
      <c r="G2294" s="83">
        <f t="shared" ca="1" si="17"/>
        <v>19</v>
      </c>
      <c r="H2294" s="83">
        <f ca="1">IFERROR(__xludf.DUMMYFUNCTION("""COMPUTED_VALUE"""),45)</f>
        <v>45</v>
      </c>
      <c r="I2294" s="83">
        <f ca="1">IFERROR(__xludf.DUMMYFUNCTION("""COMPUTED_VALUE"""),43)</f>
        <v>43</v>
      </c>
    </row>
    <row r="2295" spans="1:9">
      <c r="A2295" s="79">
        <v>82</v>
      </c>
      <c r="B2295" s="79">
        <v>0</v>
      </c>
      <c r="C2295" s="79">
        <v>78</v>
      </c>
      <c r="D2295" s="80">
        <v>43338.45884259259</v>
      </c>
      <c r="E2295" s="81">
        <f t="shared" ca="1" si="16"/>
        <v>43313</v>
      </c>
      <c r="F2295" s="82">
        <f ca="1">IFERROR(__xludf.DUMMYFUNCTION("""COMPUTED_VALUE"""),0.458842592592592)</f>
        <v>0.45884259259259202</v>
      </c>
      <c r="G2295" s="83">
        <f t="shared" ca="1" si="17"/>
        <v>19</v>
      </c>
      <c r="H2295" s="83">
        <f ca="1">IFERROR(__xludf.DUMMYFUNCTION("""COMPUTED_VALUE"""),0)</f>
        <v>0</v>
      </c>
      <c r="I2295" s="83">
        <f ca="1">IFERROR(__xludf.DUMMYFUNCTION("""COMPUTED_VALUE"""),44)</f>
        <v>44</v>
      </c>
    </row>
    <row r="2296" spans="1:9">
      <c r="A2296" s="79">
        <v>83</v>
      </c>
      <c r="B2296" s="79">
        <v>0</v>
      </c>
      <c r="C2296" s="79">
        <v>83</v>
      </c>
      <c r="D2296" s="80">
        <v>43338.469236111108</v>
      </c>
      <c r="E2296" s="81">
        <f t="shared" ca="1" si="16"/>
        <v>43313</v>
      </c>
      <c r="F2296" s="82">
        <f ca="1">IFERROR(__xludf.DUMMYFUNCTION("""COMPUTED_VALUE"""),0.469236111111111)</f>
        <v>0.46923611111111102</v>
      </c>
      <c r="G2296" s="83">
        <f t="shared" ca="1" si="17"/>
        <v>19</v>
      </c>
      <c r="H2296" s="83">
        <f ca="1">IFERROR(__xludf.DUMMYFUNCTION("""COMPUTED_VALUE"""),15)</f>
        <v>15</v>
      </c>
      <c r="I2296" s="83">
        <f ca="1">IFERROR(__xludf.DUMMYFUNCTION("""COMPUTED_VALUE"""),42)</f>
        <v>42</v>
      </c>
    </row>
    <row r="2297" spans="1:9">
      <c r="A2297" s="79">
        <v>91</v>
      </c>
      <c r="B2297" s="79">
        <v>0</v>
      </c>
      <c r="C2297" s="79">
        <v>91</v>
      </c>
      <c r="D2297" s="80">
        <v>43338.479664351849</v>
      </c>
      <c r="E2297" s="81">
        <f t="shared" ref="E2297:E2834" ca="1" si="18">IFERROR(__xludf.DUMMYFUNCTION("SPLIT(D2, "" "")"),43313)</f>
        <v>43313</v>
      </c>
      <c r="F2297" s="82">
        <f ca="1">IFERROR(__xludf.DUMMYFUNCTION("""COMPUTED_VALUE"""),0.479664351851851)</f>
        <v>0.47966435185185102</v>
      </c>
      <c r="G2297" s="83">
        <f t="shared" ref="G2297:G2834" ca="1" si="19">IFERROR(__xludf.DUMMYFUNCTION("SPLIT(F2, "":"")"),19)</f>
        <v>19</v>
      </c>
      <c r="H2297" s="83">
        <f ca="1">IFERROR(__xludf.DUMMYFUNCTION("""COMPUTED_VALUE"""),30)</f>
        <v>30</v>
      </c>
      <c r="I2297" s="83">
        <f ca="1">IFERROR(__xludf.DUMMYFUNCTION("""COMPUTED_VALUE"""),43)</f>
        <v>43</v>
      </c>
    </row>
    <row r="2298" spans="1:9">
      <c r="A2298" s="79">
        <v>137</v>
      </c>
      <c r="B2298" s="79">
        <v>0</v>
      </c>
      <c r="C2298" s="79">
        <v>137</v>
      </c>
      <c r="D2298" s="80">
        <v>43338.490081018521</v>
      </c>
      <c r="E2298" s="81">
        <f t="shared" ca="1" si="18"/>
        <v>43313</v>
      </c>
      <c r="F2298" s="82">
        <f ca="1">IFERROR(__xludf.DUMMYFUNCTION("""COMPUTED_VALUE"""),0.490081018518518)</f>
        <v>0.49008101851851799</v>
      </c>
      <c r="G2298" s="83">
        <f t="shared" ca="1" si="19"/>
        <v>19</v>
      </c>
      <c r="H2298" s="83">
        <f ca="1">IFERROR(__xludf.DUMMYFUNCTION("""COMPUTED_VALUE"""),45)</f>
        <v>45</v>
      </c>
      <c r="I2298" s="83">
        <f ca="1">IFERROR(__xludf.DUMMYFUNCTION("""COMPUTED_VALUE"""),43)</f>
        <v>43</v>
      </c>
    </row>
    <row r="2299" spans="1:9">
      <c r="A2299" s="79">
        <v>119</v>
      </c>
      <c r="B2299" s="79">
        <v>0</v>
      </c>
      <c r="C2299" s="79">
        <v>119</v>
      </c>
      <c r="D2299" s="80">
        <v>43338.500497685185</v>
      </c>
      <c r="E2299" s="81">
        <f t="shared" ca="1" si="18"/>
        <v>43313</v>
      </c>
      <c r="F2299" s="82">
        <f ca="1">IFERROR(__xludf.DUMMYFUNCTION("""COMPUTED_VALUE"""),0.500497685185185)</f>
        <v>0.500497685185185</v>
      </c>
      <c r="G2299" s="83">
        <f t="shared" ca="1" si="19"/>
        <v>19</v>
      </c>
      <c r="H2299" s="83">
        <f ca="1">IFERROR(__xludf.DUMMYFUNCTION("""COMPUTED_VALUE"""),0)</f>
        <v>0</v>
      </c>
      <c r="I2299" s="83">
        <f ca="1">IFERROR(__xludf.DUMMYFUNCTION("""COMPUTED_VALUE"""),43)</f>
        <v>43</v>
      </c>
    </row>
    <row r="2300" spans="1:9">
      <c r="A2300" s="79">
        <v>119</v>
      </c>
      <c r="B2300" s="79">
        <v>0</v>
      </c>
      <c r="C2300" s="79">
        <v>119</v>
      </c>
      <c r="D2300" s="80">
        <v>43338.510914351849</v>
      </c>
      <c r="E2300" s="81">
        <f t="shared" ca="1" si="18"/>
        <v>43313</v>
      </c>
      <c r="F2300" s="82">
        <f ca="1">IFERROR(__xludf.DUMMYFUNCTION("""COMPUTED_VALUE"""),0.510914351851851)</f>
        <v>0.51091435185185097</v>
      </c>
      <c r="G2300" s="83">
        <f t="shared" ca="1" si="19"/>
        <v>19</v>
      </c>
      <c r="H2300" s="83">
        <f ca="1">IFERROR(__xludf.DUMMYFUNCTION("""COMPUTED_VALUE"""),15)</f>
        <v>15</v>
      </c>
      <c r="I2300" s="83">
        <f ca="1">IFERROR(__xludf.DUMMYFUNCTION("""COMPUTED_VALUE"""),43)</f>
        <v>43</v>
      </c>
    </row>
    <row r="2301" spans="1:9">
      <c r="A2301" s="79">
        <v>138</v>
      </c>
      <c r="B2301" s="79">
        <v>1</v>
      </c>
      <c r="C2301" s="79">
        <v>139</v>
      </c>
      <c r="D2301" s="80">
        <v>43338.521319444444</v>
      </c>
      <c r="E2301" s="81">
        <f t="shared" ca="1" si="18"/>
        <v>43313</v>
      </c>
      <c r="F2301" s="82">
        <f ca="1">IFERROR(__xludf.DUMMYFUNCTION("""COMPUTED_VALUE"""),0.521319444444444)</f>
        <v>0.521319444444444</v>
      </c>
      <c r="G2301" s="83">
        <f t="shared" ca="1" si="19"/>
        <v>19</v>
      </c>
      <c r="H2301" s="83">
        <f ca="1">IFERROR(__xludf.DUMMYFUNCTION("""COMPUTED_VALUE"""),30)</f>
        <v>30</v>
      </c>
      <c r="I2301" s="83">
        <f ca="1">IFERROR(__xludf.DUMMYFUNCTION("""COMPUTED_VALUE"""),42)</f>
        <v>42</v>
      </c>
    </row>
    <row r="2302" spans="1:9">
      <c r="A2302" s="79">
        <v>185</v>
      </c>
      <c r="B2302" s="79">
        <v>0</v>
      </c>
      <c r="C2302" s="79">
        <v>185</v>
      </c>
      <c r="D2302" s="80">
        <v>43338.531747685185</v>
      </c>
      <c r="E2302" s="81">
        <f t="shared" ca="1" si="18"/>
        <v>43313</v>
      </c>
      <c r="F2302" s="82">
        <f ca="1">IFERROR(__xludf.DUMMYFUNCTION("""COMPUTED_VALUE"""),0.531747685185185)</f>
        <v>0.531747685185185</v>
      </c>
      <c r="G2302" s="83">
        <f t="shared" ca="1" si="19"/>
        <v>19</v>
      </c>
      <c r="H2302" s="83">
        <f ca="1">IFERROR(__xludf.DUMMYFUNCTION("""COMPUTED_VALUE"""),45)</f>
        <v>45</v>
      </c>
      <c r="I2302" s="83">
        <f ca="1">IFERROR(__xludf.DUMMYFUNCTION("""COMPUTED_VALUE"""),43)</f>
        <v>43</v>
      </c>
    </row>
    <row r="2303" spans="1:9">
      <c r="A2303" s="79">
        <v>151</v>
      </c>
      <c r="B2303" s="79">
        <v>0</v>
      </c>
      <c r="C2303" s="79">
        <v>151</v>
      </c>
      <c r="D2303" s="80">
        <v>43338.542164351849</v>
      </c>
      <c r="E2303" s="81">
        <f t="shared" ca="1" si="18"/>
        <v>43313</v>
      </c>
      <c r="F2303" s="82">
        <f ca="1">IFERROR(__xludf.DUMMYFUNCTION("""COMPUTED_VALUE"""),0.542164351851851)</f>
        <v>0.54216435185185097</v>
      </c>
      <c r="G2303" s="83">
        <f t="shared" ca="1" si="19"/>
        <v>19</v>
      </c>
      <c r="H2303" s="83">
        <f ca="1">IFERROR(__xludf.DUMMYFUNCTION("""COMPUTED_VALUE"""),0)</f>
        <v>0</v>
      </c>
      <c r="I2303" s="83">
        <f ca="1">IFERROR(__xludf.DUMMYFUNCTION("""COMPUTED_VALUE"""),43)</f>
        <v>43</v>
      </c>
    </row>
    <row r="2304" spans="1:9">
      <c r="A2304" s="79">
        <v>170</v>
      </c>
      <c r="B2304" s="79">
        <v>0</v>
      </c>
      <c r="C2304" s="79">
        <v>170</v>
      </c>
      <c r="D2304" s="80">
        <v>43338.552569444444</v>
      </c>
      <c r="E2304" s="81">
        <f t="shared" ca="1" si="18"/>
        <v>43313</v>
      </c>
      <c r="F2304" s="82">
        <f ca="1">IFERROR(__xludf.DUMMYFUNCTION("""COMPUTED_VALUE"""),0.552569444444444)</f>
        <v>0.552569444444444</v>
      </c>
      <c r="G2304" s="83">
        <f t="shared" ca="1" si="19"/>
        <v>19</v>
      </c>
      <c r="H2304" s="83">
        <f ca="1">IFERROR(__xludf.DUMMYFUNCTION("""COMPUTED_VALUE"""),15)</f>
        <v>15</v>
      </c>
      <c r="I2304" s="83">
        <f ca="1">IFERROR(__xludf.DUMMYFUNCTION("""COMPUTED_VALUE"""),42)</f>
        <v>42</v>
      </c>
    </row>
    <row r="2305" spans="1:9">
      <c r="A2305" s="79">
        <v>172</v>
      </c>
      <c r="B2305" s="79">
        <v>1</v>
      </c>
      <c r="C2305" s="79">
        <v>173</v>
      </c>
      <c r="D2305" s="80">
        <v>43338.562997685185</v>
      </c>
      <c r="E2305" s="81">
        <f t="shared" ca="1" si="18"/>
        <v>43313</v>
      </c>
      <c r="F2305" s="82">
        <f ca="1">IFERROR(__xludf.DUMMYFUNCTION("""COMPUTED_VALUE"""),0.562997685185185)</f>
        <v>0.562997685185185</v>
      </c>
      <c r="G2305" s="83">
        <f t="shared" ca="1" si="19"/>
        <v>19</v>
      </c>
      <c r="H2305" s="83">
        <f ca="1">IFERROR(__xludf.DUMMYFUNCTION("""COMPUTED_VALUE"""),30)</f>
        <v>30</v>
      </c>
      <c r="I2305" s="83">
        <f ca="1">IFERROR(__xludf.DUMMYFUNCTION("""COMPUTED_VALUE"""),43)</f>
        <v>43</v>
      </c>
    </row>
    <row r="2306" spans="1:9">
      <c r="A2306" s="79">
        <v>216</v>
      </c>
      <c r="B2306" s="79">
        <v>1</v>
      </c>
      <c r="C2306" s="79">
        <v>217</v>
      </c>
      <c r="D2306" s="80">
        <v>43338.57340277778</v>
      </c>
      <c r="E2306" s="81">
        <f t="shared" ca="1" si="18"/>
        <v>43313</v>
      </c>
      <c r="F2306" s="82">
        <f ca="1">IFERROR(__xludf.DUMMYFUNCTION("""COMPUTED_VALUE"""),0.573402777777777)</f>
        <v>0.57340277777777704</v>
      </c>
      <c r="G2306" s="83">
        <f t="shared" ca="1" si="19"/>
        <v>19</v>
      </c>
      <c r="H2306" s="83">
        <f ca="1">IFERROR(__xludf.DUMMYFUNCTION("""COMPUTED_VALUE"""),45)</f>
        <v>45</v>
      </c>
      <c r="I2306" s="83">
        <f ca="1">IFERROR(__xludf.DUMMYFUNCTION("""COMPUTED_VALUE"""),42)</f>
        <v>42</v>
      </c>
    </row>
    <row r="2307" spans="1:9">
      <c r="A2307" s="79">
        <v>239</v>
      </c>
      <c r="B2307" s="79">
        <v>4</v>
      </c>
      <c r="C2307" s="79">
        <v>243</v>
      </c>
      <c r="D2307" s="80">
        <v>43338.58384259259</v>
      </c>
      <c r="E2307" s="81">
        <f t="shared" ca="1" si="18"/>
        <v>43313</v>
      </c>
      <c r="F2307" s="82">
        <f ca="1">IFERROR(__xludf.DUMMYFUNCTION("""COMPUTED_VALUE"""),0.583842592592592)</f>
        <v>0.58384259259259197</v>
      </c>
      <c r="G2307" s="83">
        <f t="shared" ca="1" si="19"/>
        <v>19</v>
      </c>
      <c r="H2307" s="83">
        <f ca="1">IFERROR(__xludf.DUMMYFUNCTION("""COMPUTED_VALUE"""),0)</f>
        <v>0</v>
      </c>
      <c r="I2307" s="83">
        <f ca="1">IFERROR(__xludf.DUMMYFUNCTION("""COMPUTED_VALUE"""),44)</f>
        <v>44</v>
      </c>
    </row>
    <row r="2308" spans="1:9">
      <c r="A2308" s="79">
        <v>205</v>
      </c>
      <c r="B2308" s="79">
        <v>2</v>
      </c>
      <c r="C2308" s="79">
        <v>207</v>
      </c>
      <c r="D2308" s="80">
        <v>43338.594247685185</v>
      </c>
      <c r="E2308" s="81">
        <f t="shared" ca="1" si="18"/>
        <v>43313</v>
      </c>
      <c r="F2308" s="82">
        <f ca="1">IFERROR(__xludf.DUMMYFUNCTION("""COMPUTED_VALUE"""),0.594247685185185)</f>
        <v>0.594247685185185</v>
      </c>
      <c r="G2308" s="83">
        <f t="shared" ca="1" si="19"/>
        <v>19</v>
      </c>
      <c r="H2308" s="83">
        <f ca="1">IFERROR(__xludf.DUMMYFUNCTION("""COMPUTED_VALUE"""),15)</f>
        <v>15</v>
      </c>
      <c r="I2308" s="83">
        <f ca="1">IFERROR(__xludf.DUMMYFUNCTION("""COMPUTED_VALUE"""),43)</f>
        <v>43</v>
      </c>
    </row>
    <row r="2309" spans="1:9">
      <c r="A2309" s="79">
        <v>264</v>
      </c>
      <c r="B2309" s="79">
        <v>2</v>
      </c>
      <c r="C2309" s="79">
        <v>266</v>
      </c>
      <c r="D2309" s="80">
        <v>43338.60465277778</v>
      </c>
      <c r="E2309" s="81">
        <f t="shared" ca="1" si="18"/>
        <v>43313</v>
      </c>
      <c r="F2309" s="82">
        <f ca="1">IFERROR(__xludf.DUMMYFUNCTION("""COMPUTED_VALUE"""),0.604652777777777)</f>
        <v>0.60465277777777704</v>
      </c>
      <c r="G2309" s="83">
        <f t="shared" ca="1" si="19"/>
        <v>19</v>
      </c>
      <c r="H2309" s="83">
        <f ca="1">IFERROR(__xludf.DUMMYFUNCTION("""COMPUTED_VALUE"""),30)</f>
        <v>30</v>
      </c>
      <c r="I2309" s="83">
        <f ca="1">IFERROR(__xludf.DUMMYFUNCTION("""COMPUTED_VALUE"""),42)</f>
        <v>42</v>
      </c>
    </row>
    <row r="2310" spans="1:9">
      <c r="A2310" s="79">
        <v>289</v>
      </c>
      <c r="B2310" s="79">
        <v>3</v>
      </c>
      <c r="C2310" s="79">
        <v>292</v>
      </c>
      <c r="D2310" s="80">
        <v>43338.615081018521</v>
      </c>
      <c r="E2310" s="81">
        <f t="shared" ca="1" si="18"/>
        <v>43313</v>
      </c>
      <c r="F2310" s="82">
        <f ca="1">IFERROR(__xludf.DUMMYFUNCTION("""COMPUTED_VALUE"""),0.615081018518518)</f>
        <v>0.61508101851851804</v>
      </c>
      <c r="G2310" s="83">
        <f t="shared" ca="1" si="19"/>
        <v>19</v>
      </c>
      <c r="H2310" s="83">
        <f ca="1">IFERROR(__xludf.DUMMYFUNCTION("""COMPUTED_VALUE"""),45)</f>
        <v>45</v>
      </c>
      <c r="I2310" s="83">
        <f ca="1">IFERROR(__xludf.DUMMYFUNCTION("""COMPUTED_VALUE"""),43)</f>
        <v>43</v>
      </c>
    </row>
    <row r="2311" spans="1:9">
      <c r="A2311" s="79">
        <v>243</v>
      </c>
      <c r="B2311" s="79">
        <v>1</v>
      </c>
      <c r="C2311" s="79">
        <v>244</v>
      </c>
      <c r="D2311" s="80">
        <v>43338.625497685185</v>
      </c>
      <c r="E2311" s="81">
        <f t="shared" ca="1" si="18"/>
        <v>43313</v>
      </c>
      <c r="F2311" s="82">
        <f ca="1">IFERROR(__xludf.DUMMYFUNCTION("""COMPUTED_VALUE"""),0.625497685185185)</f>
        <v>0.625497685185185</v>
      </c>
      <c r="G2311" s="83">
        <f t="shared" ca="1" si="19"/>
        <v>19</v>
      </c>
      <c r="H2311" s="83">
        <f ca="1">IFERROR(__xludf.DUMMYFUNCTION("""COMPUTED_VALUE"""),0)</f>
        <v>0</v>
      </c>
      <c r="I2311" s="83">
        <f ca="1">IFERROR(__xludf.DUMMYFUNCTION("""COMPUTED_VALUE"""),43)</f>
        <v>43</v>
      </c>
    </row>
    <row r="2312" spans="1:9">
      <c r="A2312" s="79">
        <v>263</v>
      </c>
      <c r="B2312" s="79">
        <v>2</v>
      </c>
      <c r="C2312" s="79">
        <v>265</v>
      </c>
      <c r="D2312" s="80">
        <v>43338.635914351849</v>
      </c>
      <c r="E2312" s="81">
        <f t="shared" ca="1" si="18"/>
        <v>43313</v>
      </c>
      <c r="F2312" s="82">
        <f ca="1">IFERROR(__xludf.DUMMYFUNCTION("""COMPUTED_VALUE"""),0.635914351851851)</f>
        <v>0.63591435185185097</v>
      </c>
      <c r="G2312" s="83">
        <f t="shared" ca="1" si="19"/>
        <v>19</v>
      </c>
      <c r="H2312" s="83">
        <f ca="1">IFERROR(__xludf.DUMMYFUNCTION("""COMPUTED_VALUE"""),15)</f>
        <v>15</v>
      </c>
      <c r="I2312" s="83">
        <f ca="1">IFERROR(__xludf.DUMMYFUNCTION("""COMPUTED_VALUE"""),43)</f>
        <v>43</v>
      </c>
    </row>
    <row r="2313" spans="1:9">
      <c r="A2313" s="79">
        <v>290</v>
      </c>
      <c r="B2313" s="79">
        <v>2</v>
      </c>
      <c r="C2313" s="79">
        <v>285</v>
      </c>
      <c r="D2313" s="80">
        <v>43338.646331018521</v>
      </c>
      <c r="E2313" s="81">
        <f t="shared" ca="1" si="18"/>
        <v>43313</v>
      </c>
      <c r="F2313" s="82">
        <f ca="1">IFERROR(__xludf.DUMMYFUNCTION("""COMPUTED_VALUE"""),0.646331018518518)</f>
        <v>0.64633101851851804</v>
      </c>
      <c r="G2313" s="83">
        <f t="shared" ca="1" si="19"/>
        <v>19</v>
      </c>
      <c r="H2313" s="83">
        <f ca="1">IFERROR(__xludf.DUMMYFUNCTION("""COMPUTED_VALUE"""),30)</f>
        <v>30</v>
      </c>
      <c r="I2313" s="83">
        <f ca="1">IFERROR(__xludf.DUMMYFUNCTION("""COMPUTED_VALUE"""),43)</f>
        <v>43</v>
      </c>
    </row>
    <row r="2314" spans="1:9">
      <c r="A2314" s="79">
        <v>297</v>
      </c>
      <c r="B2314" s="79">
        <v>3</v>
      </c>
      <c r="C2314" s="79">
        <v>300</v>
      </c>
      <c r="D2314" s="80">
        <v>43338.656736111108</v>
      </c>
      <c r="E2314" s="81">
        <f t="shared" ca="1" si="18"/>
        <v>43313</v>
      </c>
      <c r="F2314" s="82">
        <f ca="1">IFERROR(__xludf.DUMMYFUNCTION("""COMPUTED_VALUE"""),0.656736111111111)</f>
        <v>0.65673611111111097</v>
      </c>
      <c r="G2314" s="83">
        <f t="shared" ca="1" si="19"/>
        <v>19</v>
      </c>
      <c r="H2314" s="83">
        <f ca="1">IFERROR(__xludf.DUMMYFUNCTION("""COMPUTED_VALUE"""),45)</f>
        <v>45</v>
      </c>
      <c r="I2314" s="83">
        <f ca="1">IFERROR(__xludf.DUMMYFUNCTION("""COMPUTED_VALUE"""),42)</f>
        <v>42</v>
      </c>
    </row>
    <row r="2315" spans="1:9">
      <c r="A2315" s="79">
        <v>288</v>
      </c>
      <c r="B2315" s="79">
        <v>3</v>
      </c>
      <c r="C2315" s="79">
        <v>291</v>
      </c>
      <c r="D2315" s="80">
        <v>43338.667164351849</v>
      </c>
      <c r="E2315" s="81">
        <f t="shared" ca="1" si="18"/>
        <v>43313</v>
      </c>
      <c r="F2315" s="82">
        <f ca="1">IFERROR(__xludf.DUMMYFUNCTION("""COMPUTED_VALUE"""),0.667164351851851)</f>
        <v>0.66716435185185097</v>
      </c>
      <c r="G2315" s="83">
        <f t="shared" ca="1" si="19"/>
        <v>19</v>
      </c>
      <c r="H2315" s="83">
        <f ca="1">IFERROR(__xludf.DUMMYFUNCTION("""COMPUTED_VALUE"""),0)</f>
        <v>0</v>
      </c>
      <c r="I2315" s="83">
        <f ca="1">IFERROR(__xludf.DUMMYFUNCTION("""COMPUTED_VALUE"""),43)</f>
        <v>43</v>
      </c>
    </row>
    <row r="2316" spans="1:9">
      <c r="A2316" s="79">
        <v>308</v>
      </c>
      <c r="B2316" s="79">
        <v>2</v>
      </c>
      <c r="C2316" s="79">
        <v>310</v>
      </c>
      <c r="D2316" s="80">
        <v>43338.677569444444</v>
      </c>
      <c r="E2316" s="81">
        <f t="shared" ca="1" si="18"/>
        <v>43313</v>
      </c>
      <c r="F2316" s="82">
        <f ca="1">IFERROR(__xludf.DUMMYFUNCTION("""COMPUTED_VALUE"""),0.677569444444444)</f>
        <v>0.677569444444444</v>
      </c>
      <c r="G2316" s="83">
        <f t="shared" ca="1" si="19"/>
        <v>19</v>
      </c>
      <c r="H2316" s="83">
        <f ca="1">IFERROR(__xludf.DUMMYFUNCTION("""COMPUTED_VALUE"""),15)</f>
        <v>15</v>
      </c>
      <c r="I2316" s="83">
        <f ca="1">IFERROR(__xludf.DUMMYFUNCTION("""COMPUTED_VALUE"""),42)</f>
        <v>42</v>
      </c>
    </row>
    <row r="2317" spans="1:9">
      <c r="A2317" s="79">
        <v>264</v>
      </c>
      <c r="B2317" s="79">
        <v>6</v>
      </c>
      <c r="C2317" s="79">
        <v>270</v>
      </c>
      <c r="D2317" s="80">
        <v>43338.687986111108</v>
      </c>
      <c r="E2317" s="81">
        <f t="shared" ca="1" si="18"/>
        <v>43313</v>
      </c>
      <c r="F2317" s="82">
        <f ca="1">IFERROR(__xludf.DUMMYFUNCTION("""COMPUTED_VALUE"""),0.687986111111111)</f>
        <v>0.68798611111111097</v>
      </c>
      <c r="G2317" s="83">
        <f t="shared" ca="1" si="19"/>
        <v>19</v>
      </c>
      <c r="H2317" s="83">
        <f ca="1">IFERROR(__xludf.DUMMYFUNCTION("""COMPUTED_VALUE"""),30)</f>
        <v>30</v>
      </c>
      <c r="I2317" s="83">
        <f ca="1">IFERROR(__xludf.DUMMYFUNCTION("""COMPUTED_VALUE"""),42)</f>
        <v>42</v>
      </c>
    </row>
    <row r="2318" spans="1:9">
      <c r="A2318" s="79">
        <v>288</v>
      </c>
      <c r="B2318" s="79">
        <v>5</v>
      </c>
      <c r="C2318" s="79">
        <v>293</v>
      </c>
      <c r="D2318" s="80">
        <v>43338.69840277778</v>
      </c>
      <c r="E2318" s="81">
        <f t="shared" ca="1" si="18"/>
        <v>43313</v>
      </c>
      <c r="F2318" s="82">
        <f ca="1">IFERROR(__xludf.DUMMYFUNCTION("""COMPUTED_VALUE"""),0.698402777777777)</f>
        <v>0.69840277777777704</v>
      </c>
      <c r="G2318" s="83">
        <f t="shared" ca="1" si="19"/>
        <v>19</v>
      </c>
      <c r="H2318" s="83">
        <f ca="1">IFERROR(__xludf.DUMMYFUNCTION("""COMPUTED_VALUE"""),45)</f>
        <v>45</v>
      </c>
      <c r="I2318" s="83">
        <f ca="1">IFERROR(__xludf.DUMMYFUNCTION("""COMPUTED_VALUE"""),42)</f>
        <v>42</v>
      </c>
    </row>
    <row r="2319" spans="1:9">
      <c r="A2319" s="79">
        <v>225</v>
      </c>
      <c r="B2319" s="79">
        <v>2</v>
      </c>
      <c r="C2319" s="79">
        <v>227</v>
      </c>
      <c r="D2319" s="80">
        <v>43338.708819444444</v>
      </c>
      <c r="E2319" s="81">
        <f t="shared" ca="1" si="18"/>
        <v>43313</v>
      </c>
      <c r="F2319" s="82">
        <f ca="1">IFERROR(__xludf.DUMMYFUNCTION("""COMPUTED_VALUE"""),0.708819444444444)</f>
        <v>0.708819444444444</v>
      </c>
      <c r="G2319" s="83">
        <f t="shared" ca="1" si="19"/>
        <v>19</v>
      </c>
      <c r="H2319" s="83">
        <f ca="1">IFERROR(__xludf.DUMMYFUNCTION("""COMPUTED_VALUE"""),0)</f>
        <v>0</v>
      </c>
      <c r="I2319" s="83">
        <f ca="1">IFERROR(__xludf.DUMMYFUNCTION("""COMPUTED_VALUE"""),42)</f>
        <v>42</v>
      </c>
    </row>
    <row r="2320" spans="1:9">
      <c r="A2320" s="79">
        <v>274</v>
      </c>
      <c r="B2320" s="79">
        <v>3</v>
      </c>
      <c r="C2320" s="79">
        <v>277</v>
      </c>
      <c r="D2320" s="80">
        <v>43338.719247685185</v>
      </c>
      <c r="E2320" s="81">
        <f t="shared" ca="1" si="18"/>
        <v>43313</v>
      </c>
      <c r="F2320" s="82">
        <f ca="1">IFERROR(__xludf.DUMMYFUNCTION("""COMPUTED_VALUE"""),0.719247685185185)</f>
        <v>0.719247685185185</v>
      </c>
      <c r="G2320" s="83">
        <f t="shared" ca="1" si="19"/>
        <v>19</v>
      </c>
      <c r="H2320" s="83">
        <f ca="1">IFERROR(__xludf.DUMMYFUNCTION("""COMPUTED_VALUE"""),15)</f>
        <v>15</v>
      </c>
      <c r="I2320" s="83">
        <f ca="1">IFERROR(__xludf.DUMMYFUNCTION("""COMPUTED_VALUE"""),43)</f>
        <v>43</v>
      </c>
    </row>
    <row r="2321" spans="1:9">
      <c r="A2321" s="79">
        <v>261</v>
      </c>
      <c r="B2321" s="79">
        <v>2</v>
      </c>
      <c r="C2321" s="79">
        <v>263</v>
      </c>
      <c r="D2321" s="80">
        <v>43338.72965277778</v>
      </c>
      <c r="E2321" s="81">
        <f t="shared" ca="1" si="18"/>
        <v>43313</v>
      </c>
      <c r="F2321" s="82">
        <f ca="1">IFERROR(__xludf.DUMMYFUNCTION("""COMPUTED_VALUE"""),0.729652777777777)</f>
        <v>0.72965277777777704</v>
      </c>
      <c r="G2321" s="83">
        <f t="shared" ca="1" si="19"/>
        <v>19</v>
      </c>
      <c r="H2321" s="83">
        <f ca="1">IFERROR(__xludf.DUMMYFUNCTION("""COMPUTED_VALUE"""),30)</f>
        <v>30</v>
      </c>
      <c r="I2321" s="83">
        <f ca="1">IFERROR(__xludf.DUMMYFUNCTION("""COMPUTED_VALUE"""),42)</f>
        <v>42</v>
      </c>
    </row>
    <row r="2322" spans="1:9">
      <c r="A2322" s="79">
        <v>263</v>
      </c>
      <c r="B2322" s="79">
        <v>4</v>
      </c>
      <c r="C2322" s="79">
        <v>267</v>
      </c>
      <c r="D2322" s="80">
        <v>43338.740081018521</v>
      </c>
      <c r="E2322" s="81">
        <f t="shared" ca="1" si="18"/>
        <v>43313</v>
      </c>
      <c r="F2322" s="82">
        <f ca="1">IFERROR(__xludf.DUMMYFUNCTION("""COMPUTED_VALUE"""),0.740081018518518)</f>
        <v>0.74008101851851804</v>
      </c>
      <c r="G2322" s="83">
        <f t="shared" ca="1" si="19"/>
        <v>19</v>
      </c>
      <c r="H2322" s="83">
        <f ca="1">IFERROR(__xludf.DUMMYFUNCTION("""COMPUTED_VALUE"""),45)</f>
        <v>45</v>
      </c>
      <c r="I2322" s="83">
        <f ca="1">IFERROR(__xludf.DUMMYFUNCTION("""COMPUTED_VALUE"""),43)</f>
        <v>43</v>
      </c>
    </row>
    <row r="2323" spans="1:9">
      <c r="A2323" s="79">
        <v>256</v>
      </c>
      <c r="B2323" s="79">
        <v>3</v>
      </c>
      <c r="C2323" s="79">
        <v>259</v>
      </c>
      <c r="D2323" s="80">
        <v>43338.750497685185</v>
      </c>
      <c r="E2323" s="81">
        <f t="shared" ca="1" si="18"/>
        <v>43313</v>
      </c>
      <c r="F2323" s="82">
        <f ca="1">IFERROR(__xludf.DUMMYFUNCTION("""COMPUTED_VALUE"""),0.750497685185185)</f>
        <v>0.750497685185185</v>
      </c>
      <c r="G2323" s="83">
        <f t="shared" ca="1" si="19"/>
        <v>19</v>
      </c>
      <c r="H2323" s="83">
        <f ca="1">IFERROR(__xludf.DUMMYFUNCTION("""COMPUTED_VALUE"""),0)</f>
        <v>0</v>
      </c>
      <c r="I2323" s="83">
        <f ca="1">IFERROR(__xludf.DUMMYFUNCTION("""COMPUTED_VALUE"""),43)</f>
        <v>43</v>
      </c>
    </row>
    <row r="2324" spans="1:9">
      <c r="A2324" s="79">
        <v>266</v>
      </c>
      <c r="B2324" s="79">
        <v>3</v>
      </c>
      <c r="C2324" s="79">
        <v>269</v>
      </c>
      <c r="D2324" s="80">
        <v>43338.76090277778</v>
      </c>
      <c r="E2324" s="81">
        <f t="shared" ca="1" si="18"/>
        <v>43313</v>
      </c>
      <c r="F2324" s="82">
        <f ca="1">IFERROR(__xludf.DUMMYFUNCTION("""COMPUTED_VALUE"""),0.760902777777777)</f>
        <v>0.76090277777777704</v>
      </c>
      <c r="G2324" s="83">
        <f t="shared" ca="1" si="19"/>
        <v>19</v>
      </c>
      <c r="H2324" s="83">
        <f ca="1">IFERROR(__xludf.DUMMYFUNCTION("""COMPUTED_VALUE"""),15)</f>
        <v>15</v>
      </c>
      <c r="I2324" s="83">
        <f ca="1">IFERROR(__xludf.DUMMYFUNCTION("""COMPUTED_VALUE"""),42)</f>
        <v>42</v>
      </c>
    </row>
    <row r="2325" spans="1:9">
      <c r="A2325" s="79">
        <v>322</v>
      </c>
      <c r="B2325" s="79">
        <v>0</v>
      </c>
      <c r="C2325" s="79">
        <v>322</v>
      </c>
      <c r="D2325" s="80">
        <v>43338.771331018521</v>
      </c>
      <c r="E2325" s="81">
        <f t="shared" ca="1" si="18"/>
        <v>43313</v>
      </c>
      <c r="F2325" s="82">
        <f ca="1">IFERROR(__xludf.DUMMYFUNCTION("""COMPUTED_VALUE"""),0.771331018518518)</f>
        <v>0.77133101851851804</v>
      </c>
      <c r="G2325" s="83">
        <f t="shared" ca="1" si="19"/>
        <v>19</v>
      </c>
      <c r="H2325" s="83">
        <f ca="1">IFERROR(__xludf.DUMMYFUNCTION("""COMPUTED_VALUE"""),30)</f>
        <v>30</v>
      </c>
      <c r="I2325" s="83">
        <f ca="1">IFERROR(__xludf.DUMMYFUNCTION("""COMPUTED_VALUE"""),43)</f>
        <v>43</v>
      </c>
    </row>
    <row r="2326" spans="1:9">
      <c r="A2326" s="79">
        <v>328</v>
      </c>
      <c r="B2326" s="79">
        <v>2</v>
      </c>
      <c r="C2326" s="79">
        <v>330</v>
      </c>
      <c r="D2326" s="80">
        <v>43338.781736111108</v>
      </c>
      <c r="E2326" s="81">
        <f t="shared" ca="1" si="18"/>
        <v>43313</v>
      </c>
      <c r="F2326" s="82">
        <f ca="1">IFERROR(__xludf.DUMMYFUNCTION("""COMPUTED_VALUE"""),0.781736111111111)</f>
        <v>0.78173611111111097</v>
      </c>
      <c r="G2326" s="83">
        <f t="shared" ca="1" si="19"/>
        <v>19</v>
      </c>
      <c r="H2326" s="83">
        <f ca="1">IFERROR(__xludf.DUMMYFUNCTION("""COMPUTED_VALUE"""),45)</f>
        <v>45</v>
      </c>
      <c r="I2326" s="83">
        <f ca="1">IFERROR(__xludf.DUMMYFUNCTION("""COMPUTED_VALUE"""),42)</f>
        <v>42</v>
      </c>
    </row>
    <row r="2327" spans="1:9">
      <c r="A2327" s="79">
        <v>311</v>
      </c>
      <c r="B2327" s="79">
        <v>2</v>
      </c>
      <c r="C2327" s="79">
        <v>313</v>
      </c>
      <c r="D2327" s="80">
        <v>43338.792164351849</v>
      </c>
      <c r="E2327" s="81">
        <f t="shared" ca="1" si="18"/>
        <v>43313</v>
      </c>
      <c r="F2327" s="82">
        <f ca="1">IFERROR(__xludf.DUMMYFUNCTION("""COMPUTED_VALUE"""),0.792164351851851)</f>
        <v>0.79216435185185097</v>
      </c>
      <c r="G2327" s="83">
        <f t="shared" ca="1" si="19"/>
        <v>19</v>
      </c>
      <c r="H2327" s="83">
        <f ca="1">IFERROR(__xludf.DUMMYFUNCTION("""COMPUTED_VALUE"""),0)</f>
        <v>0</v>
      </c>
      <c r="I2327" s="83">
        <f ca="1">IFERROR(__xludf.DUMMYFUNCTION("""COMPUTED_VALUE"""),43)</f>
        <v>43</v>
      </c>
    </row>
    <row r="2328" spans="1:9">
      <c r="A2328" s="79">
        <v>352</v>
      </c>
      <c r="B2328" s="79">
        <v>5</v>
      </c>
      <c r="C2328" s="79">
        <v>357</v>
      </c>
      <c r="D2328" s="80">
        <v>43338.802569444444</v>
      </c>
      <c r="E2328" s="81">
        <f t="shared" ca="1" si="18"/>
        <v>43313</v>
      </c>
      <c r="F2328" s="82">
        <f ca="1">IFERROR(__xludf.DUMMYFUNCTION("""COMPUTED_VALUE"""),0.802569444444444)</f>
        <v>0.802569444444444</v>
      </c>
      <c r="G2328" s="83">
        <f t="shared" ca="1" si="19"/>
        <v>19</v>
      </c>
      <c r="H2328" s="83">
        <f ca="1">IFERROR(__xludf.DUMMYFUNCTION("""COMPUTED_VALUE"""),15)</f>
        <v>15</v>
      </c>
      <c r="I2328" s="83">
        <f ca="1">IFERROR(__xludf.DUMMYFUNCTION("""COMPUTED_VALUE"""),42)</f>
        <v>42</v>
      </c>
    </row>
    <row r="2329" spans="1:9">
      <c r="A2329" s="79">
        <v>337</v>
      </c>
      <c r="B2329" s="79">
        <v>0</v>
      </c>
      <c r="C2329" s="79">
        <v>335</v>
      </c>
      <c r="D2329" s="80">
        <v>43338.812986111108</v>
      </c>
      <c r="E2329" s="81">
        <f t="shared" ca="1" si="18"/>
        <v>43313</v>
      </c>
      <c r="F2329" s="82">
        <f ca="1">IFERROR(__xludf.DUMMYFUNCTION("""COMPUTED_VALUE"""),0.812986111111111)</f>
        <v>0.81298611111111097</v>
      </c>
      <c r="G2329" s="83">
        <f t="shared" ca="1" si="19"/>
        <v>19</v>
      </c>
      <c r="H2329" s="83">
        <f ca="1">IFERROR(__xludf.DUMMYFUNCTION("""COMPUTED_VALUE"""),30)</f>
        <v>30</v>
      </c>
      <c r="I2329" s="83">
        <f ca="1">IFERROR(__xludf.DUMMYFUNCTION("""COMPUTED_VALUE"""),42)</f>
        <v>42</v>
      </c>
    </row>
    <row r="2330" spans="1:9">
      <c r="A2330" s="79">
        <v>358</v>
      </c>
      <c r="B2330" s="79">
        <v>1</v>
      </c>
      <c r="C2330" s="79">
        <v>357</v>
      </c>
      <c r="D2330" s="80">
        <v>43338.823414351849</v>
      </c>
      <c r="E2330" s="81">
        <f t="shared" ca="1" si="18"/>
        <v>43313</v>
      </c>
      <c r="F2330" s="82">
        <f ca="1">IFERROR(__xludf.DUMMYFUNCTION("""COMPUTED_VALUE"""),0.823414351851851)</f>
        <v>0.82341435185185097</v>
      </c>
      <c r="G2330" s="83">
        <f t="shared" ca="1" si="19"/>
        <v>19</v>
      </c>
      <c r="H2330" s="83">
        <f ca="1">IFERROR(__xludf.DUMMYFUNCTION("""COMPUTED_VALUE"""),45)</f>
        <v>45</v>
      </c>
      <c r="I2330" s="83">
        <f ca="1">IFERROR(__xludf.DUMMYFUNCTION("""COMPUTED_VALUE"""),43)</f>
        <v>43</v>
      </c>
    </row>
    <row r="2331" spans="1:9">
      <c r="A2331" s="79">
        <v>348</v>
      </c>
      <c r="B2331" s="79">
        <v>3</v>
      </c>
      <c r="C2331" s="79">
        <v>351</v>
      </c>
      <c r="D2331" s="80">
        <v>43338.833819444444</v>
      </c>
      <c r="E2331" s="81">
        <f t="shared" ca="1" si="18"/>
        <v>43313</v>
      </c>
      <c r="F2331" s="82">
        <f ca="1">IFERROR(__xludf.DUMMYFUNCTION("""COMPUTED_VALUE"""),0.833819444444444)</f>
        <v>0.833819444444444</v>
      </c>
      <c r="G2331" s="83">
        <f t="shared" ca="1" si="19"/>
        <v>19</v>
      </c>
      <c r="H2331" s="83">
        <f ca="1">IFERROR(__xludf.DUMMYFUNCTION("""COMPUTED_VALUE"""),0)</f>
        <v>0</v>
      </c>
      <c r="I2331" s="83">
        <f ca="1">IFERROR(__xludf.DUMMYFUNCTION("""COMPUTED_VALUE"""),42)</f>
        <v>42</v>
      </c>
    </row>
    <row r="2332" spans="1:9">
      <c r="A2332" s="79">
        <v>342</v>
      </c>
      <c r="B2332" s="79">
        <v>6</v>
      </c>
      <c r="C2332" s="79">
        <v>348</v>
      </c>
      <c r="D2332" s="80">
        <v>43338.844236111108</v>
      </c>
      <c r="E2332" s="81">
        <f t="shared" ca="1" si="18"/>
        <v>43313</v>
      </c>
      <c r="F2332" s="82">
        <f ca="1">IFERROR(__xludf.DUMMYFUNCTION("""COMPUTED_VALUE"""),0.844236111111111)</f>
        <v>0.84423611111111097</v>
      </c>
      <c r="G2332" s="83">
        <f t="shared" ca="1" si="19"/>
        <v>19</v>
      </c>
      <c r="H2332" s="83">
        <f ca="1">IFERROR(__xludf.DUMMYFUNCTION("""COMPUTED_VALUE"""),15)</f>
        <v>15</v>
      </c>
      <c r="I2332" s="83">
        <f ca="1">IFERROR(__xludf.DUMMYFUNCTION("""COMPUTED_VALUE"""),42)</f>
        <v>42</v>
      </c>
    </row>
    <row r="2333" spans="1:9">
      <c r="A2333" s="79">
        <v>382</v>
      </c>
      <c r="B2333" s="79">
        <v>5</v>
      </c>
      <c r="C2333" s="79">
        <v>387</v>
      </c>
      <c r="D2333" s="80">
        <v>43338.85465277778</v>
      </c>
      <c r="E2333" s="81">
        <f t="shared" ca="1" si="18"/>
        <v>43313</v>
      </c>
      <c r="F2333" s="82">
        <f ca="1">IFERROR(__xludf.DUMMYFUNCTION("""COMPUTED_VALUE"""),0.854652777777777)</f>
        <v>0.85465277777777704</v>
      </c>
      <c r="G2333" s="83">
        <f t="shared" ca="1" si="19"/>
        <v>19</v>
      </c>
      <c r="H2333" s="83">
        <f ca="1">IFERROR(__xludf.DUMMYFUNCTION("""COMPUTED_VALUE"""),30)</f>
        <v>30</v>
      </c>
      <c r="I2333" s="83">
        <f ca="1">IFERROR(__xludf.DUMMYFUNCTION("""COMPUTED_VALUE"""),42)</f>
        <v>42</v>
      </c>
    </row>
    <row r="2334" spans="1:9">
      <c r="A2334" s="79">
        <v>404</v>
      </c>
      <c r="B2334" s="79">
        <v>2</v>
      </c>
      <c r="C2334" s="79">
        <v>406</v>
      </c>
      <c r="D2334" s="80">
        <v>43338.865069444444</v>
      </c>
      <c r="E2334" s="81">
        <f t="shared" ca="1" si="18"/>
        <v>43313</v>
      </c>
      <c r="F2334" s="82">
        <f ca="1">IFERROR(__xludf.DUMMYFUNCTION("""COMPUTED_VALUE"""),0.865069444444444)</f>
        <v>0.865069444444444</v>
      </c>
      <c r="G2334" s="83">
        <f t="shared" ca="1" si="19"/>
        <v>19</v>
      </c>
      <c r="H2334" s="83">
        <f ca="1">IFERROR(__xludf.DUMMYFUNCTION("""COMPUTED_VALUE"""),45)</f>
        <v>45</v>
      </c>
      <c r="I2334" s="83">
        <f ca="1">IFERROR(__xludf.DUMMYFUNCTION("""COMPUTED_VALUE"""),42)</f>
        <v>42</v>
      </c>
    </row>
    <row r="2335" spans="1:9">
      <c r="A2335" s="79">
        <v>339</v>
      </c>
      <c r="B2335" s="79">
        <v>7</v>
      </c>
      <c r="C2335" s="79">
        <v>346</v>
      </c>
      <c r="D2335" s="80">
        <v>43338.875497685185</v>
      </c>
      <c r="E2335" s="81">
        <f t="shared" ca="1" si="18"/>
        <v>43313</v>
      </c>
      <c r="F2335" s="82">
        <f ca="1">IFERROR(__xludf.DUMMYFUNCTION("""COMPUTED_VALUE"""),0.875497685185185)</f>
        <v>0.875497685185185</v>
      </c>
      <c r="G2335" s="83">
        <f t="shared" ca="1" si="19"/>
        <v>19</v>
      </c>
      <c r="H2335" s="83">
        <f ca="1">IFERROR(__xludf.DUMMYFUNCTION("""COMPUTED_VALUE"""),0)</f>
        <v>0</v>
      </c>
      <c r="I2335" s="83">
        <f ca="1">IFERROR(__xludf.DUMMYFUNCTION("""COMPUTED_VALUE"""),43)</f>
        <v>43</v>
      </c>
    </row>
    <row r="2336" spans="1:9">
      <c r="A2336" s="79">
        <v>392</v>
      </c>
      <c r="B2336" s="79">
        <v>6</v>
      </c>
      <c r="C2336" s="79">
        <v>398</v>
      </c>
      <c r="D2336" s="80">
        <v>43338.88590277778</v>
      </c>
      <c r="E2336" s="81">
        <f t="shared" ca="1" si="18"/>
        <v>43313</v>
      </c>
      <c r="F2336" s="82">
        <f ca="1">IFERROR(__xludf.DUMMYFUNCTION("""COMPUTED_VALUE"""),0.885902777777777)</f>
        <v>0.88590277777777704</v>
      </c>
      <c r="G2336" s="83">
        <f t="shared" ca="1" si="19"/>
        <v>19</v>
      </c>
      <c r="H2336" s="83">
        <f ca="1">IFERROR(__xludf.DUMMYFUNCTION("""COMPUTED_VALUE"""),15)</f>
        <v>15</v>
      </c>
      <c r="I2336" s="83">
        <f ca="1">IFERROR(__xludf.DUMMYFUNCTION("""COMPUTED_VALUE"""),42)</f>
        <v>42</v>
      </c>
    </row>
    <row r="2337" spans="1:9">
      <c r="A2337" s="79">
        <v>383</v>
      </c>
      <c r="B2337" s="79">
        <v>1</v>
      </c>
      <c r="C2337" s="79">
        <v>384</v>
      </c>
      <c r="D2337" s="80">
        <v>43338.896319444444</v>
      </c>
      <c r="E2337" s="81">
        <f t="shared" ca="1" si="18"/>
        <v>43313</v>
      </c>
      <c r="F2337" s="82">
        <f ca="1">IFERROR(__xludf.DUMMYFUNCTION("""COMPUTED_VALUE"""),0.896319444444444)</f>
        <v>0.896319444444444</v>
      </c>
      <c r="G2337" s="83">
        <f t="shared" ca="1" si="19"/>
        <v>19</v>
      </c>
      <c r="H2337" s="83">
        <f ca="1">IFERROR(__xludf.DUMMYFUNCTION("""COMPUTED_VALUE"""),30)</f>
        <v>30</v>
      </c>
      <c r="I2337" s="83">
        <f ca="1">IFERROR(__xludf.DUMMYFUNCTION("""COMPUTED_VALUE"""),42)</f>
        <v>42</v>
      </c>
    </row>
    <row r="2338" spans="1:9">
      <c r="A2338" s="79">
        <v>416</v>
      </c>
      <c r="B2338" s="79">
        <v>3</v>
      </c>
      <c r="C2338" s="79">
        <v>419</v>
      </c>
      <c r="D2338" s="80">
        <v>43338.906724537039</v>
      </c>
      <c r="E2338" s="81">
        <f t="shared" ca="1" si="18"/>
        <v>43313</v>
      </c>
      <c r="F2338" s="82">
        <f ca="1">IFERROR(__xludf.DUMMYFUNCTION("""COMPUTED_VALUE"""),0.906724537037037)</f>
        <v>0.90672453703703704</v>
      </c>
      <c r="G2338" s="83">
        <f t="shared" ca="1" si="19"/>
        <v>19</v>
      </c>
      <c r="H2338" s="83">
        <f ca="1">IFERROR(__xludf.DUMMYFUNCTION("""COMPUTED_VALUE"""),45)</f>
        <v>45</v>
      </c>
      <c r="I2338" s="83">
        <f ca="1">IFERROR(__xludf.DUMMYFUNCTION("""COMPUTED_VALUE"""),41)</f>
        <v>41</v>
      </c>
    </row>
    <row r="2339" spans="1:9">
      <c r="A2339" s="79">
        <v>347</v>
      </c>
      <c r="B2339" s="79">
        <v>1</v>
      </c>
      <c r="C2339" s="79">
        <v>348</v>
      </c>
      <c r="D2339" s="80">
        <v>43338.91715277778</v>
      </c>
      <c r="E2339" s="81">
        <f t="shared" ca="1" si="18"/>
        <v>43313</v>
      </c>
      <c r="F2339" s="82">
        <f ca="1">IFERROR(__xludf.DUMMYFUNCTION("""COMPUTED_VALUE"""),0.917152777777777)</f>
        <v>0.91715277777777704</v>
      </c>
      <c r="G2339" s="83">
        <f t="shared" ca="1" si="19"/>
        <v>19</v>
      </c>
      <c r="H2339" s="83">
        <f ca="1">IFERROR(__xludf.DUMMYFUNCTION("""COMPUTED_VALUE"""),0)</f>
        <v>0</v>
      </c>
      <c r="I2339" s="83">
        <f ca="1">IFERROR(__xludf.DUMMYFUNCTION("""COMPUTED_VALUE"""),42)</f>
        <v>42</v>
      </c>
    </row>
    <row r="2340" spans="1:9">
      <c r="A2340" s="79">
        <v>380</v>
      </c>
      <c r="B2340" s="79">
        <v>6</v>
      </c>
      <c r="C2340" s="79">
        <v>386</v>
      </c>
      <c r="D2340" s="80">
        <v>43338.927569444444</v>
      </c>
      <c r="E2340" s="81">
        <f t="shared" ca="1" si="18"/>
        <v>43313</v>
      </c>
      <c r="F2340" s="82">
        <f ca="1">IFERROR(__xludf.DUMMYFUNCTION("""COMPUTED_VALUE"""),0.927569444444444)</f>
        <v>0.927569444444444</v>
      </c>
      <c r="G2340" s="83">
        <f t="shared" ca="1" si="19"/>
        <v>19</v>
      </c>
      <c r="H2340" s="83">
        <f ca="1">IFERROR(__xludf.DUMMYFUNCTION("""COMPUTED_VALUE"""),15)</f>
        <v>15</v>
      </c>
      <c r="I2340" s="83">
        <f ca="1">IFERROR(__xludf.DUMMYFUNCTION("""COMPUTED_VALUE"""),42)</f>
        <v>42</v>
      </c>
    </row>
    <row r="2341" spans="1:9">
      <c r="A2341" s="79">
        <v>379</v>
      </c>
      <c r="B2341" s="79">
        <v>3</v>
      </c>
      <c r="C2341" s="79">
        <v>382</v>
      </c>
      <c r="D2341" s="80">
        <v>43338.937997685185</v>
      </c>
      <c r="E2341" s="81">
        <f t="shared" ca="1" si="18"/>
        <v>43313</v>
      </c>
      <c r="F2341" s="82">
        <f ca="1">IFERROR(__xludf.DUMMYFUNCTION("""COMPUTED_VALUE"""),0.937997685185185)</f>
        <v>0.937997685185185</v>
      </c>
      <c r="G2341" s="83">
        <f t="shared" ca="1" si="19"/>
        <v>19</v>
      </c>
      <c r="H2341" s="83">
        <f ca="1">IFERROR(__xludf.DUMMYFUNCTION("""COMPUTED_VALUE"""),30)</f>
        <v>30</v>
      </c>
      <c r="I2341" s="83">
        <f ca="1">IFERROR(__xludf.DUMMYFUNCTION("""COMPUTED_VALUE"""),43)</f>
        <v>43</v>
      </c>
    </row>
    <row r="2342" spans="1:9">
      <c r="A2342" s="79">
        <v>369</v>
      </c>
      <c r="B2342" s="79">
        <v>3</v>
      </c>
      <c r="C2342" s="79">
        <v>372</v>
      </c>
      <c r="D2342" s="80">
        <v>43338.94840277778</v>
      </c>
      <c r="E2342" s="81">
        <f t="shared" ca="1" si="18"/>
        <v>43313</v>
      </c>
      <c r="F2342" s="82">
        <f ca="1">IFERROR(__xludf.DUMMYFUNCTION("""COMPUTED_VALUE"""),0.948402777777777)</f>
        <v>0.94840277777777704</v>
      </c>
      <c r="G2342" s="83">
        <f t="shared" ca="1" si="19"/>
        <v>19</v>
      </c>
      <c r="H2342" s="83">
        <f ca="1">IFERROR(__xludf.DUMMYFUNCTION("""COMPUTED_VALUE"""),45)</f>
        <v>45</v>
      </c>
      <c r="I2342" s="83">
        <f ca="1">IFERROR(__xludf.DUMMYFUNCTION("""COMPUTED_VALUE"""),42)</f>
        <v>42</v>
      </c>
    </row>
    <row r="2343" spans="1:9">
      <c r="A2343" s="79">
        <v>345</v>
      </c>
      <c r="B2343" s="79">
        <v>5</v>
      </c>
      <c r="C2343" s="79">
        <v>350</v>
      </c>
      <c r="D2343" s="80">
        <v>43338.958807870367</v>
      </c>
      <c r="E2343" s="81">
        <f t="shared" ca="1" si="18"/>
        <v>43313</v>
      </c>
      <c r="F2343" s="82">
        <f ca="1">IFERROR(__xludf.DUMMYFUNCTION("""COMPUTED_VALUE"""),0.95880787037037)</f>
        <v>0.95880787037036996</v>
      </c>
      <c r="G2343" s="83">
        <f t="shared" ca="1" si="19"/>
        <v>19</v>
      </c>
      <c r="H2343" s="83">
        <f ca="1">IFERROR(__xludf.DUMMYFUNCTION("""COMPUTED_VALUE"""),0)</f>
        <v>0</v>
      </c>
      <c r="I2343" s="83">
        <f ca="1">IFERROR(__xludf.DUMMYFUNCTION("""COMPUTED_VALUE"""),41)</f>
        <v>41</v>
      </c>
    </row>
    <row r="2344" spans="1:9">
      <c r="A2344" s="79">
        <v>340</v>
      </c>
      <c r="B2344" s="79">
        <v>4</v>
      </c>
      <c r="C2344" s="79">
        <v>344</v>
      </c>
      <c r="D2344" s="80">
        <v>43338.969236111108</v>
      </c>
      <c r="E2344" s="81">
        <f t="shared" ca="1" si="18"/>
        <v>43313</v>
      </c>
      <c r="F2344" s="82">
        <f ca="1">IFERROR(__xludf.DUMMYFUNCTION("""COMPUTED_VALUE"""),0.969236111111111)</f>
        <v>0.96923611111111097</v>
      </c>
      <c r="G2344" s="83">
        <f t="shared" ca="1" si="19"/>
        <v>19</v>
      </c>
      <c r="H2344" s="83">
        <f ca="1">IFERROR(__xludf.DUMMYFUNCTION("""COMPUTED_VALUE"""),15)</f>
        <v>15</v>
      </c>
      <c r="I2344" s="83">
        <f ca="1">IFERROR(__xludf.DUMMYFUNCTION("""COMPUTED_VALUE"""),42)</f>
        <v>42</v>
      </c>
    </row>
    <row r="2345" spans="1:9">
      <c r="A2345" s="79">
        <v>309</v>
      </c>
      <c r="B2345" s="79">
        <v>2</v>
      </c>
      <c r="C2345" s="79">
        <v>311</v>
      </c>
      <c r="D2345" s="80">
        <v>43338.97965277778</v>
      </c>
      <c r="E2345" s="81">
        <f t="shared" ca="1" si="18"/>
        <v>43313</v>
      </c>
      <c r="F2345" s="82">
        <f ca="1">IFERROR(__xludf.DUMMYFUNCTION("""COMPUTED_VALUE"""),0.979652777777777)</f>
        <v>0.97965277777777704</v>
      </c>
      <c r="G2345" s="83">
        <f t="shared" ca="1" si="19"/>
        <v>19</v>
      </c>
      <c r="H2345" s="83">
        <f ca="1">IFERROR(__xludf.DUMMYFUNCTION("""COMPUTED_VALUE"""),30)</f>
        <v>30</v>
      </c>
      <c r="I2345" s="83">
        <f ca="1">IFERROR(__xludf.DUMMYFUNCTION("""COMPUTED_VALUE"""),42)</f>
        <v>42</v>
      </c>
    </row>
    <row r="2346" spans="1:9">
      <c r="A2346" s="79">
        <v>264</v>
      </c>
      <c r="B2346" s="79">
        <v>0</v>
      </c>
      <c r="C2346" s="79">
        <v>264</v>
      </c>
      <c r="D2346" s="80">
        <v>43338.990057870367</v>
      </c>
      <c r="E2346" s="81">
        <f t="shared" ca="1" si="18"/>
        <v>43313</v>
      </c>
      <c r="F2346" s="82">
        <f ca="1">IFERROR(__xludf.DUMMYFUNCTION("""COMPUTED_VALUE"""),0.99005787037037)</f>
        <v>0.99005787037036996</v>
      </c>
      <c r="G2346" s="83">
        <f t="shared" ca="1" si="19"/>
        <v>19</v>
      </c>
      <c r="H2346" s="83">
        <f ca="1">IFERROR(__xludf.DUMMYFUNCTION("""COMPUTED_VALUE"""),45)</f>
        <v>45</v>
      </c>
      <c r="I2346" s="83">
        <f ca="1">IFERROR(__xludf.DUMMYFUNCTION("""COMPUTED_VALUE"""),41)</f>
        <v>41</v>
      </c>
    </row>
    <row r="2347" spans="1:9">
      <c r="A2347" s="79">
        <v>268</v>
      </c>
      <c r="B2347" s="79">
        <v>1</v>
      </c>
      <c r="C2347" s="79">
        <v>269</v>
      </c>
      <c r="D2347" s="80">
        <v>43339.000497685185</v>
      </c>
      <c r="E2347" s="81">
        <f t="shared" ca="1" si="18"/>
        <v>43313</v>
      </c>
      <c r="F2347" s="82">
        <f ca="1">IFERROR(__xludf.DUMMYFUNCTION("""COMPUTED_VALUE"""),0.000497685185185185)</f>
        <v>4.9768518518518499E-4</v>
      </c>
      <c r="G2347" s="83">
        <f t="shared" ca="1" si="19"/>
        <v>19</v>
      </c>
      <c r="H2347" s="83">
        <f ca="1">IFERROR(__xludf.DUMMYFUNCTION("""COMPUTED_VALUE"""),0)</f>
        <v>0</v>
      </c>
      <c r="I2347" s="83">
        <f ca="1">IFERROR(__xludf.DUMMYFUNCTION("""COMPUTED_VALUE"""),43)</f>
        <v>43</v>
      </c>
    </row>
    <row r="2348" spans="1:9">
      <c r="A2348" s="79">
        <v>242</v>
      </c>
      <c r="B2348" s="79">
        <v>1</v>
      </c>
      <c r="C2348" s="79">
        <v>243</v>
      </c>
      <c r="D2348" s="80">
        <v>43339.010891203703</v>
      </c>
      <c r="E2348" s="81">
        <f t="shared" ca="1" si="18"/>
        <v>43313</v>
      </c>
      <c r="F2348" s="82">
        <f ca="1">IFERROR(__xludf.DUMMYFUNCTION("""COMPUTED_VALUE"""),0.0108912037037037)</f>
        <v>1.08912037037037E-2</v>
      </c>
      <c r="G2348" s="83">
        <f t="shared" ca="1" si="19"/>
        <v>19</v>
      </c>
      <c r="H2348" s="83">
        <f ca="1">IFERROR(__xludf.DUMMYFUNCTION("""COMPUTED_VALUE"""),15)</f>
        <v>15</v>
      </c>
      <c r="I2348" s="83">
        <f ca="1">IFERROR(__xludf.DUMMYFUNCTION("""COMPUTED_VALUE"""),41)</f>
        <v>41</v>
      </c>
    </row>
    <row r="2349" spans="1:9">
      <c r="A2349" s="79">
        <v>197</v>
      </c>
      <c r="B2349" s="79">
        <v>2</v>
      </c>
      <c r="C2349" s="79">
        <v>199</v>
      </c>
      <c r="D2349" s="80">
        <v>43339.021319444444</v>
      </c>
      <c r="E2349" s="81">
        <f t="shared" ca="1" si="18"/>
        <v>43313</v>
      </c>
      <c r="F2349" s="82">
        <f ca="1">IFERROR(__xludf.DUMMYFUNCTION("""COMPUTED_VALUE"""),0.0213194444444444)</f>
        <v>2.1319444444444401E-2</v>
      </c>
      <c r="G2349" s="83">
        <f t="shared" ca="1" si="19"/>
        <v>19</v>
      </c>
      <c r="H2349" s="83">
        <f ca="1">IFERROR(__xludf.DUMMYFUNCTION("""COMPUTED_VALUE"""),30)</f>
        <v>30</v>
      </c>
      <c r="I2349" s="83">
        <f ca="1">IFERROR(__xludf.DUMMYFUNCTION("""COMPUTED_VALUE"""),42)</f>
        <v>42</v>
      </c>
    </row>
    <row r="2350" spans="1:9">
      <c r="A2350" s="79">
        <v>196</v>
      </c>
      <c r="B2350" s="79">
        <v>3</v>
      </c>
      <c r="C2350" s="79">
        <v>198</v>
      </c>
      <c r="D2350" s="80">
        <v>43339.031736111108</v>
      </c>
      <c r="E2350" s="81">
        <f t="shared" ca="1" si="18"/>
        <v>43313</v>
      </c>
      <c r="F2350" s="82">
        <f ca="1">IFERROR(__xludf.DUMMYFUNCTION("""COMPUTED_VALUE"""),0.0317361111111111)</f>
        <v>3.1736111111111097E-2</v>
      </c>
      <c r="G2350" s="83">
        <f t="shared" ca="1" si="19"/>
        <v>19</v>
      </c>
      <c r="H2350" s="83">
        <f ca="1">IFERROR(__xludf.DUMMYFUNCTION("""COMPUTED_VALUE"""),45)</f>
        <v>45</v>
      </c>
      <c r="I2350" s="83">
        <f ca="1">IFERROR(__xludf.DUMMYFUNCTION("""COMPUTED_VALUE"""),42)</f>
        <v>42</v>
      </c>
    </row>
    <row r="2351" spans="1:9">
      <c r="A2351" s="79">
        <v>200</v>
      </c>
      <c r="B2351" s="79">
        <v>2</v>
      </c>
      <c r="C2351" s="79">
        <v>202</v>
      </c>
      <c r="D2351" s="80">
        <v>43339.04215277778</v>
      </c>
      <c r="E2351" s="81">
        <f t="shared" ca="1" si="18"/>
        <v>43313</v>
      </c>
      <c r="F2351" s="82">
        <f ca="1">IFERROR(__xludf.DUMMYFUNCTION("""COMPUTED_VALUE"""),0.0421527777777777)</f>
        <v>4.2152777777777699E-2</v>
      </c>
      <c r="G2351" s="83">
        <f t="shared" ca="1" si="19"/>
        <v>19</v>
      </c>
      <c r="H2351" s="83">
        <f ca="1">IFERROR(__xludf.DUMMYFUNCTION("""COMPUTED_VALUE"""),0)</f>
        <v>0</v>
      </c>
      <c r="I2351" s="83">
        <f ca="1">IFERROR(__xludf.DUMMYFUNCTION("""COMPUTED_VALUE"""),42)</f>
        <v>42</v>
      </c>
    </row>
    <row r="2352" spans="1:9">
      <c r="A2352" s="79">
        <v>234</v>
      </c>
      <c r="B2352" s="79">
        <v>3</v>
      </c>
      <c r="C2352" s="79">
        <v>237</v>
      </c>
      <c r="D2352" s="80">
        <v>43339.052569444444</v>
      </c>
      <c r="E2352" s="81">
        <f t="shared" ca="1" si="18"/>
        <v>43313</v>
      </c>
      <c r="F2352" s="82">
        <f ca="1">IFERROR(__xludf.DUMMYFUNCTION("""COMPUTED_VALUE"""),0.0525694444444444)</f>
        <v>5.2569444444444398E-2</v>
      </c>
      <c r="G2352" s="83">
        <f t="shared" ca="1" si="19"/>
        <v>19</v>
      </c>
      <c r="H2352" s="83">
        <f ca="1">IFERROR(__xludf.DUMMYFUNCTION("""COMPUTED_VALUE"""),15)</f>
        <v>15</v>
      </c>
      <c r="I2352" s="83">
        <f ca="1">IFERROR(__xludf.DUMMYFUNCTION("""COMPUTED_VALUE"""),42)</f>
        <v>42</v>
      </c>
    </row>
    <row r="2353" spans="1:9">
      <c r="A2353" s="79">
        <v>201</v>
      </c>
      <c r="B2353" s="79">
        <v>1</v>
      </c>
      <c r="C2353" s="79">
        <v>202</v>
      </c>
      <c r="D2353" s="80">
        <v>43339.062986111108</v>
      </c>
      <c r="E2353" s="81">
        <f t="shared" ca="1" si="18"/>
        <v>43313</v>
      </c>
      <c r="F2353" s="82">
        <f ca="1">IFERROR(__xludf.DUMMYFUNCTION("""COMPUTED_VALUE"""),0.0629861111111111)</f>
        <v>6.2986111111111104E-2</v>
      </c>
      <c r="G2353" s="83">
        <f t="shared" ca="1" si="19"/>
        <v>19</v>
      </c>
      <c r="H2353" s="83">
        <f ca="1">IFERROR(__xludf.DUMMYFUNCTION("""COMPUTED_VALUE"""),30)</f>
        <v>30</v>
      </c>
      <c r="I2353" s="83">
        <f ca="1">IFERROR(__xludf.DUMMYFUNCTION("""COMPUTED_VALUE"""),42)</f>
        <v>42</v>
      </c>
    </row>
    <row r="2354" spans="1:9">
      <c r="A2354" s="79">
        <v>192</v>
      </c>
      <c r="B2354" s="79">
        <v>1</v>
      </c>
      <c r="C2354" s="79">
        <v>192</v>
      </c>
      <c r="D2354" s="80">
        <v>43339.073391203703</v>
      </c>
      <c r="E2354" s="81">
        <f t="shared" ca="1" si="18"/>
        <v>43313</v>
      </c>
      <c r="F2354" s="82">
        <f ca="1">IFERROR(__xludf.DUMMYFUNCTION("""COMPUTED_VALUE"""),0.0733912037037037)</f>
        <v>7.3391203703703695E-2</v>
      </c>
      <c r="G2354" s="83">
        <f t="shared" ca="1" si="19"/>
        <v>19</v>
      </c>
      <c r="H2354" s="83">
        <f ca="1">IFERROR(__xludf.DUMMYFUNCTION("""COMPUTED_VALUE"""),45)</f>
        <v>45</v>
      </c>
      <c r="I2354" s="83">
        <f ca="1">IFERROR(__xludf.DUMMYFUNCTION("""COMPUTED_VALUE"""),41)</f>
        <v>41</v>
      </c>
    </row>
    <row r="2355" spans="1:9">
      <c r="A2355" s="79">
        <v>191</v>
      </c>
      <c r="B2355" s="79">
        <v>2</v>
      </c>
      <c r="C2355" s="79">
        <v>186</v>
      </c>
      <c r="D2355" s="80">
        <v>43339.083831018521</v>
      </c>
      <c r="E2355" s="81">
        <f t="shared" ca="1" si="18"/>
        <v>43313</v>
      </c>
      <c r="F2355" s="82">
        <f ca="1">IFERROR(__xludf.DUMMYFUNCTION("""COMPUTED_VALUE"""),0.0838310185185185)</f>
        <v>8.3831018518518499E-2</v>
      </c>
      <c r="G2355" s="83">
        <f t="shared" ca="1" si="19"/>
        <v>19</v>
      </c>
      <c r="H2355" s="83">
        <f ca="1">IFERROR(__xludf.DUMMYFUNCTION("""COMPUTED_VALUE"""),0)</f>
        <v>0</v>
      </c>
      <c r="I2355" s="83">
        <f ca="1">IFERROR(__xludf.DUMMYFUNCTION("""COMPUTED_VALUE"""),43)</f>
        <v>43</v>
      </c>
    </row>
    <row r="2356" spans="1:9">
      <c r="A2356" s="79">
        <v>201</v>
      </c>
      <c r="B2356" s="79">
        <v>1</v>
      </c>
      <c r="C2356" s="79">
        <v>202</v>
      </c>
      <c r="D2356" s="80">
        <v>43339.094236111108</v>
      </c>
      <c r="E2356" s="81">
        <f t="shared" ca="1" si="18"/>
        <v>43313</v>
      </c>
      <c r="F2356" s="82">
        <f ca="1">IFERROR(__xludf.DUMMYFUNCTION("""COMPUTED_VALUE"""),0.0942361111111111)</f>
        <v>9.4236111111111104E-2</v>
      </c>
      <c r="G2356" s="83">
        <f t="shared" ca="1" si="19"/>
        <v>19</v>
      </c>
      <c r="H2356" s="83">
        <f ca="1">IFERROR(__xludf.DUMMYFUNCTION("""COMPUTED_VALUE"""),15)</f>
        <v>15</v>
      </c>
      <c r="I2356" s="83">
        <f ca="1">IFERROR(__xludf.DUMMYFUNCTION("""COMPUTED_VALUE"""),42)</f>
        <v>42</v>
      </c>
    </row>
    <row r="2357" spans="1:9">
      <c r="A2357" s="79">
        <v>198</v>
      </c>
      <c r="B2357" s="79">
        <v>0</v>
      </c>
      <c r="C2357" s="79">
        <v>198</v>
      </c>
      <c r="D2357" s="80">
        <v>43339.104641203703</v>
      </c>
      <c r="E2357" s="81">
        <f t="shared" ca="1" si="18"/>
        <v>43313</v>
      </c>
      <c r="F2357" s="82">
        <f ca="1">IFERROR(__xludf.DUMMYFUNCTION("""COMPUTED_VALUE"""),0.104641203703703)</f>
        <v>0.104641203703703</v>
      </c>
      <c r="G2357" s="83">
        <f t="shared" ca="1" si="19"/>
        <v>19</v>
      </c>
      <c r="H2357" s="83">
        <f ca="1">IFERROR(__xludf.DUMMYFUNCTION("""COMPUTED_VALUE"""),30)</f>
        <v>30</v>
      </c>
      <c r="I2357" s="83">
        <f ca="1">IFERROR(__xludf.DUMMYFUNCTION("""COMPUTED_VALUE"""),41)</f>
        <v>41</v>
      </c>
    </row>
    <row r="2358" spans="1:9">
      <c r="A2358" s="79">
        <v>137</v>
      </c>
      <c r="B2358" s="79">
        <v>2</v>
      </c>
      <c r="C2358" s="79">
        <v>139</v>
      </c>
      <c r="D2358" s="80">
        <v>43339.115069444444</v>
      </c>
      <c r="E2358" s="81">
        <f t="shared" ca="1" si="18"/>
        <v>43313</v>
      </c>
      <c r="F2358" s="82">
        <f ca="1">IFERROR(__xludf.DUMMYFUNCTION("""COMPUTED_VALUE"""),0.115069444444444)</f>
        <v>0.115069444444444</v>
      </c>
      <c r="G2358" s="83">
        <f t="shared" ca="1" si="19"/>
        <v>19</v>
      </c>
      <c r="H2358" s="83">
        <f ca="1">IFERROR(__xludf.DUMMYFUNCTION("""COMPUTED_VALUE"""),45)</f>
        <v>45</v>
      </c>
      <c r="I2358" s="83">
        <f ca="1">IFERROR(__xludf.DUMMYFUNCTION("""COMPUTED_VALUE"""),42)</f>
        <v>42</v>
      </c>
    </row>
    <row r="2359" spans="1:9">
      <c r="A2359" s="79">
        <v>139</v>
      </c>
      <c r="B2359" s="79">
        <v>4</v>
      </c>
      <c r="C2359" s="79">
        <v>143</v>
      </c>
      <c r="D2359" s="80">
        <v>43339.125474537039</v>
      </c>
      <c r="E2359" s="81">
        <f t="shared" ca="1" si="18"/>
        <v>43313</v>
      </c>
      <c r="F2359" s="82">
        <f ca="1">IFERROR(__xludf.DUMMYFUNCTION("""COMPUTED_VALUE"""),0.125474537037037)</f>
        <v>0.12547453703703701</v>
      </c>
      <c r="G2359" s="83">
        <f t="shared" ca="1" si="19"/>
        <v>19</v>
      </c>
      <c r="H2359" s="83">
        <f ca="1">IFERROR(__xludf.DUMMYFUNCTION("""COMPUTED_VALUE"""),0)</f>
        <v>0</v>
      </c>
      <c r="I2359" s="83">
        <f ca="1">IFERROR(__xludf.DUMMYFUNCTION("""COMPUTED_VALUE"""),41)</f>
        <v>41</v>
      </c>
    </row>
    <row r="2360" spans="1:9">
      <c r="A2360" s="79">
        <v>128</v>
      </c>
      <c r="B2360" s="79">
        <v>3</v>
      </c>
      <c r="C2360" s="79">
        <v>131</v>
      </c>
      <c r="D2360" s="80">
        <v>43339.13590277778</v>
      </c>
      <c r="E2360" s="81">
        <f t="shared" ca="1" si="18"/>
        <v>43313</v>
      </c>
      <c r="F2360" s="82">
        <f ca="1">IFERROR(__xludf.DUMMYFUNCTION("""COMPUTED_VALUE"""),0.135902777777777)</f>
        <v>0.13590277777777701</v>
      </c>
      <c r="G2360" s="83">
        <f t="shared" ca="1" si="19"/>
        <v>19</v>
      </c>
      <c r="H2360" s="83">
        <f ca="1">IFERROR(__xludf.DUMMYFUNCTION("""COMPUTED_VALUE"""),15)</f>
        <v>15</v>
      </c>
      <c r="I2360" s="83">
        <f ca="1">IFERROR(__xludf.DUMMYFUNCTION("""COMPUTED_VALUE"""),42)</f>
        <v>42</v>
      </c>
    </row>
    <row r="2361" spans="1:9">
      <c r="A2361" s="79">
        <v>94</v>
      </c>
      <c r="B2361" s="79">
        <v>3</v>
      </c>
      <c r="C2361" s="79">
        <v>97</v>
      </c>
      <c r="D2361" s="80">
        <v>43339.146319444444</v>
      </c>
      <c r="E2361" s="81">
        <f t="shared" ca="1" si="18"/>
        <v>43313</v>
      </c>
      <c r="F2361" s="82">
        <f ca="1">IFERROR(__xludf.DUMMYFUNCTION("""COMPUTED_VALUE"""),0.146319444444444)</f>
        <v>0.146319444444444</v>
      </c>
      <c r="G2361" s="83">
        <f t="shared" ca="1" si="19"/>
        <v>19</v>
      </c>
      <c r="H2361" s="83">
        <f ca="1">IFERROR(__xludf.DUMMYFUNCTION("""COMPUTED_VALUE"""),30)</f>
        <v>30</v>
      </c>
      <c r="I2361" s="83">
        <f ca="1">IFERROR(__xludf.DUMMYFUNCTION("""COMPUTED_VALUE"""),42)</f>
        <v>42</v>
      </c>
    </row>
    <row r="2362" spans="1:9">
      <c r="A2362" s="79">
        <v>85</v>
      </c>
      <c r="B2362" s="79">
        <v>1</v>
      </c>
      <c r="C2362" s="79">
        <v>86</v>
      </c>
      <c r="D2362" s="80">
        <v>43339.156736111108</v>
      </c>
      <c r="E2362" s="81">
        <f t="shared" ca="1" si="18"/>
        <v>43313</v>
      </c>
      <c r="F2362" s="82">
        <f ca="1">IFERROR(__xludf.DUMMYFUNCTION("""COMPUTED_VALUE"""),0.156736111111111)</f>
        <v>0.15673611111111099</v>
      </c>
      <c r="G2362" s="83">
        <f t="shared" ca="1" si="19"/>
        <v>19</v>
      </c>
      <c r="H2362" s="83">
        <f ca="1">IFERROR(__xludf.DUMMYFUNCTION("""COMPUTED_VALUE"""),45)</f>
        <v>45</v>
      </c>
      <c r="I2362" s="83">
        <f ca="1">IFERROR(__xludf.DUMMYFUNCTION("""COMPUTED_VALUE"""),42)</f>
        <v>42</v>
      </c>
    </row>
    <row r="2363" spans="1:9">
      <c r="A2363" s="79">
        <v>66</v>
      </c>
      <c r="B2363" s="79">
        <v>1</v>
      </c>
      <c r="C2363" s="79">
        <v>67</v>
      </c>
      <c r="D2363" s="80">
        <v>43339.16715277778</v>
      </c>
      <c r="E2363" s="81">
        <f t="shared" ca="1" si="18"/>
        <v>43313</v>
      </c>
      <c r="F2363" s="82">
        <f ca="1">IFERROR(__xludf.DUMMYFUNCTION("""COMPUTED_VALUE"""),0.167152777777777)</f>
        <v>0.16715277777777701</v>
      </c>
      <c r="G2363" s="83">
        <f t="shared" ca="1" si="19"/>
        <v>19</v>
      </c>
      <c r="H2363" s="83">
        <f ca="1">IFERROR(__xludf.DUMMYFUNCTION("""COMPUTED_VALUE"""),0)</f>
        <v>0</v>
      </c>
      <c r="I2363" s="83">
        <f ca="1">IFERROR(__xludf.DUMMYFUNCTION("""COMPUTED_VALUE"""),42)</f>
        <v>42</v>
      </c>
    </row>
    <row r="2364" spans="1:9">
      <c r="A2364" s="79">
        <v>31</v>
      </c>
      <c r="B2364" s="79">
        <v>1</v>
      </c>
      <c r="C2364" s="79">
        <v>32</v>
      </c>
      <c r="D2364" s="80">
        <v>43339.177557870367</v>
      </c>
      <c r="E2364" s="81">
        <f t="shared" ca="1" si="18"/>
        <v>43313</v>
      </c>
      <c r="F2364" s="82">
        <f ca="1">IFERROR(__xludf.DUMMYFUNCTION("""COMPUTED_VALUE"""),0.17755787037037)</f>
        <v>0.17755787037036999</v>
      </c>
      <c r="G2364" s="83">
        <f t="shared" ca="1" si="19"/>
        <v>19</v>
      </c>
      <c r="H2364" s="83">
        <f ca="1">IFERROR(__xludf.DUMMYFUNCTION("""COMPUTED_VALUE"""),15)</f>
        <v>15</v>
      </c>
      <c r="I2364" s="83">
        <f ca="1">IFERROR(__xludf.DUMMYFUNCTION("""COMPUTED_VALUE"""),41)</f>
        <v>41</v>
      </c>
    </row>
    <row r="2365" spans="1:9">
      <c r="A2365" s="79">
        <v>16</v>
      </c>
      <c r="B2365" s="79">
        <v>0</v>
      </c>
      <c r="C2365" s="79">
        <v>16</v>
      </c>
      <c r="D2365" s="80">
        <v>43339.187986111108</v>
      </c>
      <c r="E2365" s="81">
        <f t="shared" ca="1" si="18"/>
        <v>43313</v>
      </c>
      <c r="F2365" s="82">
        <f ca="1">IFERROR(__xludf.DUMMYFUNCTION("""COMPUTED_VALUE"""),0.187986111111111)</f>
        <v>0.18798611111111099</v>
      </c>
      <c r="G2365" s="83">
        <f t="shared" ca="1" si="19"/>
        <v>19</v>
      </c>
      <c r="H2365" s="83">
        <f ca="1">IFERROR(__xludf.DUMMYFUNCTION("""COMPUTED_VALUE"""),30)</f>
        <v>30</v>
      </c>
      <c r="I2365" s="83">
        <f ca="1">IFERROR(__xludf.DUMMYFUNCTION("""COMPUTED_VALUE"""),42)</f>
        <v>42</v>
      </c>
    </row>
    <row r="2366" spans="1:9">
      <c r="A2366" s="79">
        <v>12</v>
      </c>
      <c r="B2366" s="79">
        <v>0</v>
      </c>
      <c r="C2366" s="79">
        <v>12</v>
      </c>
      <c r="D2366" s="80">
        <v>43339.198391203703</v>
      </c>
      <c r="E2366" s="81">
        <f t="shared" ca="1" si="18"/>
        <v>43313</v>
      </c>
      <c r="F2366" s="82">
        <f ca="1">IFERROR(__xludf.DUMMYFUNCTION("""COMPUTED_VALUE"""),0.198391203703703)</f>
        <v>0.198391203703703</v>
      </c>
      <c r="G2366" s="83">
        <f t="shared" ca="1" si="19"/>
        <v>19</v>
      </c>
      <c r="H2366" s="83">
        <f ca="1">IFERROR(__xludf.DUMMYFUNCTION("""COMPUTED_VALUE"""),45)</f>
        <v>45</v>
      </c>
      <c r="I2366" s="83">
        <f ca="1">IFERROR(__xludf.DUMMYFUNCTION("""COMPUTED_VALUE"""),41)</f>
        <v>41</v>
      </c>
    </row>
    <row r="2367" spans="1:9">
      <c r="A2367" s="79">
        <v>11</v>
      </c>
      <c r="B2367" s="79">
        <v>0</v>
      </c>
      <c r="C2367" s="79">
        <v>11</v>
      </c>
      <c r="D2367" s="80">
        <v>43339.208819444444</v>
      </c>
      <c r="E2367" s="81">
        <f t="shared" ca="1" si="18"/>
        <v>43313</v>
      </c>
      <c r="F2367" s="82">
        <f ca="1">IFERROR(__xludf.DUMMYFUNCTION("""COMPUTED_VALUE"""),0.208819444444444)</f>
        <v>0.208819444444444</v>
      </c>
      <c r="G2367" s="83">
        <f t="shared" ca="1" si="19"/>
        <v>19</v>
      </c>
      <c r="H2367" s="83">
        <f ca="1">IFERROR(__xludf.DUMMYFUNCTION("""COMPUTED_VALUE"""),0)</f>
        <v>0</v>
      </c>
      <c r="I2367" s="83">
        <f ca="1">IFERROR(__xludf.DUMMYFUNCTION("""COMPUTED_VALUE"""),42)</f>
        <v>42</v>
      </c>
    </row>
    <row r="2368" spans="1:9">
      <c r="A2368" s="79">
        <v>11</v>
      </c>
      <c r="B2368" s="79">
        <v>0</v>
      </c>
      <c r="C2368" s="79">
        <v>11</v>
      </c>
      <c r="D2368" s="80">
        <v>43339.219224537039</v>
      </c>
      <c r="E2368" s="81">
        <f t="shared" ca="1" si="18"/>
        <v>43313</v>
      </c>
      <c r="F2368" s="82">
        <f ca="1">IFERROR(__xludf.DUMMYFUNCTION("""COMPUTED_VALUE"""),0.219224537037037)</f>
        <v>0.21922453703703701</v>
      </c>
      <c r="G2368" s="83">
        <f t="shared" ca="1" si="19"/>
        <v>19</v>
      </c>
      <c r="H2368" s="83">
        <f ca="1">IFERROR(__xludf.DUMMYFUNCTION("""COMPUTED_VALUE"""),15)</f>
        <v>15</v>
      </c>
      <c r="I2368" s="83">
        <f ca="1">IFERROR(__xludf.DUMMYFUNCTION("""COMPUTED_VALUE"""),41)</f>
        <v>41</v>
      </c>
    </row>
    <row r="2369" spans="1:9">
      <c r="A2369" s="79">
        <v>11</v>
      </c>
      <c r="B2369" s="79">
        <v>0</v>
      </c>
      <c r="C2369" s="79">
        <v>11</v>
      </c>
      <c r="D2369" s="80">
        <v>43339.22965277778</v>
      </c>
      <c r="E2369" s="81">
        <f t="shared" ca="1" si="18"/>
        <v>43313</v>
      </c>
      <c r="F2369" s="82">
        <f ca="1">IFERROR(__xludf.DUMMYFUNCTION("""COMPUTED_VALUE"""),0.229652777777777)</f>
        <v>0.22965277777777701</v>
      </c>
      <c r="G2369" s="83">
        <f t="shared" ca="1" si="19"/>
        <v>19</v>
      </c>
      <c r="H2369" s="83">
        <f ca="1">IFERROR(__xludf.DUMMYFUNCTION("""COMPUTED_VALUE"""),30)</f>
        <v>30</v>
      </c>
      <c r="I2369" s="83">
        <f ca="1">IFERROR(__xludf.DUMMYFUNCTION("""COMPUTED_VALUE"""),42)</f>
        <v>42</v>
      </c>
    </row>
    <row r="2370" spans="1:9">
      <c r="A2370" s="79">
        <v>11</v>
      </c>
      <c r="B2370" s="79">
        <v>0</v>
      </c>
      <c r="C2370" s="79">
        <v>11</v>
      </c>
      <c r="D2370" s="80">
        <v>43339.240057870367</v>
      </c>
      <c r="E2370" s="81">
        <f t="shared" ca="1" si="18"/>
        <v>43313</v>
      </c>
      <c r="F2370" s="82">
        <f ca="1">IFERROR(__xludf.DUMMYFUNCTION("""COMPUTED_VALUE"""),0.24005787037037)</f>
        <v>0.24005787037036999</v>
      </c>
      <c r="G2370" s="83">
        <f t="shared" ca="1" si="19"/>
        <v>19</v>
      </c>
      <c r="H2370" s="83">
        <f ca="1">IFERROR(__xludf.DUMMYFUNCTION("""COMPUTED_VALUE"""),45)</f>
        <v>45</v>
      </c>
      <c r="I2370" s="83">
        <f ca="1">IFERROR(__xludf.DUMMYFUNCTION("""COMPUTED_VALUE"""),41)</f>
        <v>41</v>
      </c>
    </row>
    <row r="2371" spans="1:9">
      <c r="A2371" s="79">
        <v>10</v>
      </c>
      <c r="B2371" s="79">
        <v>0</v>
      </c>
      <c r="C2371" s="79">
        <v>10</v>
      </c>
      <c r="D2371" s="80">
        <v>43339.250474537039</v>
      </c>
      <c r="E2371" s="81">
        <f t="shared" ca="1" si="18"/>
        <v>43313</v>
      </c>
      <c r="F2371" s="82">
        <f ca="1">IFERROR(__xludf.DUMMYFUNCTION("""COMPUTED_VALUE"""),0.250474537037037)</f>
        <v>0.25047453703703698</v>
      </c>
      <c r="G2371" s="83">
        <f t="shared" ca="1" si="19"/>
        <v>19</v>
      </c>
      <c r="H2371" s="83">
        <f ca="1">IFERROR(__xludf.DUMMYFUNCTION("""COMPUTED_VALUE"""),0)</f>
        <v>0</v>
      </c>
      <c r="I2371" s="83">
        <f ca="1">IFERROR(__xludf.DUMMYFUNCTION("""COMPUTED_VALUE"""),41)</f>
        <v>41</v>
      </c>
    </row>
    <row r="2372" spans="1:9">
      <c r="A2372" s="79">
        <v>10</v>
      </c>
      <c r="B2372" s="79">
        <v>0</v>
      </c>
      <c r="C2372" s="79">
        <v>10</v>
      </c>
      <c r="D2372" s="80">
        <v>43339.260891203703</v>
      </c>
      <c r="E2372" s="81">
        <f t="shared" ca="1" si="18"/>
        <v>43313</v>
      </c>
      <c r="F2372" s="82">
        <f ca="1">IFERROR(__xludf.DUMMYFUNCTION("""COMPUTED_VALUE"""),0.260891203703703)</f>
        <v>0.260891203703703</v>
      </c>
      <c r="G2372" s="83">
        <f t="shared" ca="1" si="19"/>
        <v>19</v>
      </c>
      <c r="H2372" s="83">
        <f ca="1">IFERROR(__xludf.DUMMYFUNCTION("""COMPUTED_VALUE"""),15)</f>
        <v>15</v>
      </c>
      <c r="I2372" s="83">
        <f ca="1">IFERROR(__xludf.DUMMYFUNCTION("""COMPUTED_VALUE"""),41)</f>
        <v>41</v>
      </c>
    </row>
    <row r="2373" spans="1:9">
      <c r="A2373" s="79">
        <v>19</v>
      </c>
      <c r="B2373" s="79">
        <v>0</v>
      </c>
      <c r="C2373" s="79">
        <v>10</v>
      </c>
      <c r="D2373" s="80">
        <v>43339.273715277777</v>
      </c>
      <c r="E2373" s="81">
        <f t="shared" ca="1" si="18"/>
        <v>43313</v>
      </c>
      <c r="F2373" s="82">
        <f ca="1">IFERROR(__xludf.DUMMYFUNCTION("""COMPUTED_VALUE"""),0.273715277777777)</f>
        <v>0.27371527777777699</v>
      </c>
      <c r="G2373" s="83">
        <f t="shared" ca="1" si="19"/>
        <v>19</v>
      </c>
      <c r="H2373" s="83">
        <f ca="1">IFERROR(__xludf.DUMMYFUNCTION("""COMPUTED_VALUE"""),34)</f>
        <v>34</v>
      </c>
      <c r="I2373" s="83">
        <f ca="1">IFERROR(__xludf.DUMMYFUNCTION("""COMPUTED_VALUE"""),9)</f>
        <v>9</v>
      </c>
    </row>
    <row r="2374" spans="1:9">
      <c r="A2374" s="79">
        <v>10</v>
      </c>
      <c r="B2374" s="79">
        <v>0</v>
      </c>
      <c r="C2374" s="79">
        <v>10</v>
      </c>
      <c r="D2374" s="80">
        <v>43339.281724537039</v>
      </c>
      <c r="E2374" s="81">
        <f t="shared" ca="1" si="18"/>
        <v>43313</v>
      </c>
      <c r="F2374" s="82">
        <f ca="1">IFERROR(__xludf.DUMMYFUNCTION("""COMPUTED_VALUE"""),0.281724537037037)</f>
        <v>0.28172453703703698</v>
      </c>
      <c r="G2374" s="83">
        <f t="shared" ca="1" si="19"/>
        <v>19</v>
      </c>
      <c r="H2374" s="83">
        <f ca="1">IFERROR(__xludf.DUMMYFUNCTION("""COMPUTED_VALUE"""),45)</f>
        <v>45</v>
      </c>
      <c r="I2374" s="83">
        <f ca="1">IFERROR(__xludf.DUMMYFUNCTION("""COMPUTED_VALUE"""),41)</f>
        <v>41</v>
      </c>
    </row>
    <row r="2375" spans="1:9">
      <c r="A2375" s="79">
        <v>21</v>
      </c>
      <c r="B2375" s="79">
        <v>0</v>
      </c>
      <c r="C2375" s="79">
        <v>21</v>
      </c>
      <c r="D2375" s="80">
        <v>43339.292141203703</v>
      </c>
      <c r="E2375" s="81">
        <f t="shared" ca="1" si="18"/>
        <v>43313</v>
      </c>
      <c r="F2375" s="82">
        <f ca="1">IFERROR(__xludf.DUMMYFUNCTION("""COMPUTED_VALUE"""),0.292141203703703)</f>
        <v>0.292141203703703</v>
      </c>
      <c r="G2375" s="83">
        <f t="shared" ca="1" si="19"/>
        <v>19</v>
      </c>
      <c r="H2375" s="83">
        <f ca="1">IFERROR(__xludf.DUMMYFUNCTION("""COMPUTED_VALUE"""),0)</f>
        <v>0</v>
      </c>
      <c r="I2375" s="83">
        <f ca="1">IFERROR(__xludf.DUMMYFUNCTION("""COMPUTED_VALUE"""),41)</f>
        <v>41</v>
      </c>
    </row>
    <row r="2376" spans="1:9">
      <c r="A2376" s="79">
        <v>34</v>
      </c>
      <c r="B2376" s="79">
        <v>0</v>
      </c>
      <c r="C2376" s="79">
        <v>34</v>
      </c>
      <c r="D2376" s="80">
        <v>43339.302581018521</v>
      </c>
      <c r="E2376" s="81">
        <f t="shared" ca="1" si="18"/>
        <v>43313</v>
      </c>
      <c r="F2376" s="82">
        <f ca="1">IFERROR(__xludf.DUMMYFUNCTION("""COMPUTED_VALUE"""),0.302581018518518)</f>
        <v>0.30258101851851799</v>
      </c>
      <c r="G2376" s="83">
        <f t="shared" ca="1" si="19"/>
        <v>19</v>
      </c>
      <c r="H2376" s="83">
        <f ca="1">IFERROR(__xludf.DUMMYFUNCTION("""COMPUTED_VALUE"""),15)</f>
        <v>15</v>
      </c>
      <c r="I2376" s="83">
        <f ca="1">IFERROR(__xludf.DUMMYFUNCTION("""COMPUTED_VALUE"""),43)</f>
        <v>43</v>
      </c>
    </row>
    <row r="2377" spans="1:9">
      <c r="A2377" s="79">
        <v>33</v>
      </c>
      <c r="B2377" s="79">
        <v>0</v>
      </c>
      <c r="C2377" s="79">
        <v>33</v>
      </c>
      <c r="D2377" s="80">
        <v>43339.312997685185</v>
      </c>
      <c r="E2377" s="81">
        <f t="shared" ca="1" si="18"/>
        <v>43313</v>
      </c>
      <c r="F2377" s="82">
        <f ca="1">IFERROR(__xludf.DUMMYFUNCTION("""COMPUTED_VALUE"""),0.312997685185185)</f>
        <v>0.312997685185185</v>
      </c>
      <c r="G2377" s="83">
        <f t="shared" ca="1" si="19"/>
        <v>19</v>
      </c>
      <c r="H2377" s="83">
        <f ca="1">IFERROR(__xludf.DUMMYFUNCTION("""COMPUTED_VALUE"""),30)</f>
        <v>30</v>
      </c>
      <c r="I2377" s="83">
        <f ca="1">IFERROR(__xludf.DUMMYFUNCTION("""COMPUTED_VALUE"""),43)</f>
        <v>43</v>
      </c>
    </row>
    <row r="2378" spans="1:9">
      <c r="A2378" s="79">
        <v>52</v>
      </c>
      <c r="B2378" s="79">
        <v>0</v>
      </c>
      <c r="C2378" s="79">
        <v>51</v>
      </c>
      <c r="D2378" s="80">
        <v>43339.323425925926</v>
      </c>
      <c r="E2378" s="81">
        <f t="shared" ca="1" si="18"/>
        <v>43313</v>
      </c>
      <c r="F2378" s="82">
        <f ca="1">IFERROR(__xludf.DUMMYFUNCTION("""COMPUTED_VALUE"""),0.323425925925925)</f>
        <v>0.32342592592592501</v>
      </c>
      <c r="G2378" s="83">
        <f t="shared" ca="1" si="19"/>
        <v>19</v>
      </c>
      <c r="H2378" s="83">
        <f ca="1">IFERROR(__xludf.DUMMYFUNCTION("""COMPUTED_VALUE"""),45)</f>
        <v>45</v>
      </c>
      <c r="I2378" s="83">
        <f ca="1">IFERROR(__xludf.DUMMYFUNCTION("""COMPUTED_VALUE"""),44)</f>
        <v>44</v>
      </c>
    </row>
    <row r="2379" spans="1:9">
      <c r="A2379" s="79">
        <v>49</v>
      </c>
      <c r="B2379" s="79">
        <v>0</v>
      </c>
      <c r="C2379" s="79">
        <v>49</v>
      </c>
      <c r="D2379" s="80">
        <v>43339.33384259259</v>
      </c>
      <c r="E2379" s="81">
        <f t="shared" ca="1" si="18"/>
        <v>43313</v>
      </c>
      <c r="F2379" s="82">
        <f ca="1">IFERROR(__xludf.DUMMYFUNCTION("""COMPUTED_VALUE"""),0.333842592592592)</f>
        <v>0.33384259259259202</v>
      </c>
      <c r="G2379" s="83">
        <f t="shared" ca="1" si="19"/>
        <v>19</v>
      </c>
      <c r="H2379" s="83">
        <f ca="1">IFERROR(__xludf.DUMMYFUNCTION("""COMPUTED_VALUE"""),0)</f>
        <v>0</v>
      </c>
      <c r="I2379" s="83">
        <f ca="1">IFERROR(__xludf.DUMMYFUNCTION("""COMPUTED_VALUE"""),44)</f>
        <v>44</v>
      </c>
    </row>
    <row r="2380" spans="1:9">
      <c r="A2380" s="79">
        <v>63</v>
      </c>
      <c r="B2380" s="79">
        <v>0</v>
      </c>
      <c r="C2380" s="79">
        <v>63</v>
      </c>
      <c r="D2380" s="80">
        <v>43339.344247685185</v>
      </c>
      <c r="E2380" s="81">
        <f t="shared" ca="1" si="18"/>
        <v>43313</v>
      </c>
      <c r="F2380" s="82">
        <f ca="1">IFERROR(__xludf.DUMMYFUNCTION("""COMPUTED_VALUE"""),0.344247685185185)</f>
        <v>0.344247685185185</v>
      </c>
      <c r="G2380" s="83">
        <f t="shared" ca="1" si="19"/>
        <v>19</v>
      </c>
      <c r="H2380" s="83">
        <f ca="1">IFERROR(__xludf.DUMMYFUNCTION("""COMPUTED_VALUE"""),15)</f>
        <v>15</v>
      </c>
      <c r="I2380" s="83">
        <f ca="1">IFERROR(__xludf.DUMMYFUNCTION("""COMPUTED_VALUE"""),43)</f>
        <v>43</v>
      </c>
    </row>
    <row r="2381" spans="1:9">
      <c r="A2381" s="79">
        <v>104</v>
      </c>
      <c r="B2381" s="79">
        <v>0</v>
      </c>
      <c r="C2381" s="79">
        <v>104</v>
      </c>
      <c r="D2381" s="80">
        <v>43339.354664351849</v>
      </c>
      <c r="E2381" s="81">
        <f t="shared" ca="1" si="18"/>
        <v>43313</v>
      </c>
      <c r="F2381" s="82">
        <f ca="1">IFERROR(__xludf.DUMMYFUNCTION("""COMPUTED_VALUE"""),0.354664351851851)</f>
        <v>0.35466435185185102</v>
      </c>
      <c r="G2381" s="83">
        <f t="shared" ca="1" si="19"/>
        <v>19</v>
      </c>
      <c r="H2381" s="83">
        <f ca="1">IFERROR(__xludf.DUMMYFUNCTION("""COMPUTED_VALUE"""),30)</f>
        <v>30</v>
      </c>
      <c r="I2381" s="83">
        <f ca="1">IFERROR(__xludf.DUMMYFUNCTION("""COMPUTED_VALUE"""),43)</f>
        <v>43</v>
      </c>
    </row>
    <row r="2382" spans="1:9">
      <c r="A2382" s="79">
        <v>150</v>
      </c>
      <c r="B2382" s="79">
        <v>2</v>
      </c>
      <c r="C2382" s="79">
        <v>152</v>
      </c>
      <c r="D2382" s="80">
        <v>43339.365069444444</v>
      </c>
      <c r="E2382" s="81">
        <f t="shared" ca="1" si="18"/>
        <v>43313</v>
      </c>
      <c r="F2382" s="82">
        <f ca="1">IFERROR(__xludf.DUMMYFUNCTION("""COMPUTED_VALUE"""),0.365069444444444)</f>
        <v>0.365069444444444</v>
      </c>
      <c r="G2382" s="83">
        <f t="shared" ca="1" si="19"/>
        <v>19</v>
      </c>
      <c r="H2382" s="83">
        <f ca="1">IFERROR(__xludf.DUMMYFUNCTION("""COMPUTED_VALUE"""),45)</f>
        <v>45</v>
      </c>
      <c r="I2382" s="83">
        <f ca="1">IFERROR(__xludf.DUMMYFUNCTION("""COMPUTED_VALUE"""),42)</f>
        <v>42</v>
      </c>
    </row>
    <row r="2383" spans="1:9">
      <c r="A2383" s="79">
        <v>144</v>
      </c>
      <c r="B2383" s="79">
        <v>1</v>
      </c>
      <c r="C2383" s="79">
        <v>145</v>
      </c>
      <c r="D2383" s="80">
        <v>43339.375497685185</v>
      </c>
      <c r="E2383" s="81">
        <f t="shared" ca="1" si="18"/>
        <v>43313</v>
      </c>
      <c r="F2383" s="82">
        <f ca="1">IFERROR(__xludf.DUMMYFUNCTION("""COMPUTED_VALUE"""),0.375497685185185)</f>
        <v>0.375497685185185</v>
      </c>
      <c r="G2383" s="83">
        <f t="shared" ca="1" si="19"/>
        <v>19</v>
      </c>
      <c r="H2383" s="83">
        <f ca="1">IFERROR(__xludf.DUMMYFUNCTION("""COMPUTED_VALUE"""),0)</f>
        <v>0</v>
      </c>
      <c r="I2383" s="83">
        <f ca="1">IFERROR(__xludf.DUMMYFUNCTION("""COMPUTED_VALUE"""),43)</f>
        <v>43</v>
      </c>
    </row>
    <row r="2384" spans="1:9">
      <c r="A2384" s="79">
        <v>212</v>
      </c>
      <c r="B2384" s="79">
        <v>1</v>
      </c>
      <c r="C2384" s="79">
        <v>213</v>
      </c>
      <c r="D2384" s="80">
        <v>43339.38590277778</v>
      </c>
      <c r="E2384" s="81">
        <f t="shared" ca="1" si="18"/>
        <v>43313</v>
      </c>
      <c r="F2384" s="82">
        <f ca="1">IFERROR(__xludf.DUMMYFUNCTION("""COMPUTED_VALUE"""),0.385902777777777)</f>
        <v>0.38590277777777698</v>
      </c>
      <c r="G2384" s="83">
        <f t="shared" ca="1" si="19"/>
        <v>19</v>
      </c>
      <c r="H2384" s="83">
        <f ca="1">IFERROR(__xludf.DUMMYFUNCTION("""COMPUTED_VALUE"""),15)</f>
        <v>15</v>
      </c>
      <c r="I2384" s="83">
        <f ca="1">IFERROR(__xludf.DUMMYFUNCTION("""COMPUTED_VALUE"""),42)</f>
        <v>42</v>
      </c>
    </row>
    <row r="2385" spans="1:9">
      <c r="A2385" s="79">
        <v>331</v>
      </c>
      <c r="B2385" s="79">
        <v>4</v>
      </c>
      <c r="C2385" s="79">
        <v>335</v>
      </c>
      <c r="D2385" s="80">
        <v>43339.396331018521</v>
      </c>
      <c r="E2385" s="81">
        <f t="shared" ca="1" si="18"/>
        <v>43313</v>
      </c>
      <c r="F2385" s="82">
        <f ca="1">IFERROR(__xludf.DUMMYFUNCTION("""COMPUTED_VALUE"""),0.396331018518518)</f>
        <v>0.39633101851851799</v>
      </c>
      <c r="G2385" s="83">
        <f t="shared" ca="1" si="19"/>
        <v>19</v>
      </c>
      <c r="H2385" s="83">
        <f ca="1">IFERROR(__xludf.DUMMYFUNCTION("""COMPUTED_VALUE"""),30)</f>
        <v>30</v>
      </c>
      <c r="I2385" s="83">
        <f ca="1">IFERROR(__xludf.DUMMYFUNCTION("""COMPUTED_VALUE"""),43)</f>
        <v>43</v>
      </c>
    </row>
    <row r="2386" spans="1:9">
      <c r="A2386" s="79">
        <v>633</v>
      </c>
      <c r="B2386" s="79">
        <v>8</v>
      </c>
      <c r="C2386" s="79">
        <v>641</v>
      </c>
      <c r="D2386" s="80">
        <v>43339.406736111108</v>
      </c>
      <c r="E2386" s="81">
        <f t="shared" ca="1" si="18"/>
        <v>43313</v>
      </c>
      <c r="F2386" s="82">
        <f ca="1">IFERROR(__xludf.DUMMYFUNCTION("""COMPUTED_VALUE"""),0.406736111111111)</f>
        <v>0.40673611111111102</v>
      </c>
      <c r="G2386" s="83">
        <f t="shared" ca="1" si="19"/>
        <v>19</v>
      </c>
      <c r="H2386" s="83">
        <f ca="1">IFERROR(__xludf.DUMMYFUNCTION("""COMPUTED_VALUE"""),45)</f>
        <v>45</v>
      </c>
      <c r="I2386" s="83">
        <f ca="1">IFERROR(__xludf.DUMMYFUNCTION("""COMPUTED_VALUE"""),42)</f>
        <v>42</v>
      </c>
    </row>
    <row r="2387" spans="1:9">
      <c r="A2387" s="79">
        <v>548</v>
      </c>
      <c r="B2387" s="79">
        <v>7</v>
      </c>
      <c r="C2387" s="79">
        <v>555</v>
      </c>
      <c r="D2387" s="80">
        <v>43339.417164351849</v>
      </c>
      <c r="E2387" s="81">
        <f t="shared" ca="1" si="18"/>
        <v>43313</v>
      </c>
      <c r="F2387" s="82">
        <f ca="1">IFERROR(__xludf.DUMMYFUNCTION("""COMPUTED_VALUE"""),0.417164351851851)</f>
        <v>0.41716435185185102</v>
      </c>
      <c r="G2387" s="83">
        <f t="shared" ca="1" si="19"/>
        <v>19</v>
      </c>
      <c r="H2387" s="83">
        <f ca="1">IFERROR(__xludf.DUMMYFUNCTION("""COMPUTED_VALUE"""),0)</f>
        <v>0</v>
      </c>
      <c r="I2387" s="83">
        <f ca="1">IFERROR(__xludf.DUMMYFUNCTION("""COMPUTED_VALUE"""),43)</f>
        <v>43</v>
      </c>
    </row>
    <row r="2388" spans="1:9">
      <c r="A2388" s="79">
        <v>519</v>
      </c>
      <c r="B2388" s="79">
        <v>10</v>
      </c>
      <c r="C2388" s="79">
        <v>529</v>
      </c>
      <c r="D2388" s="80">
        <v>43339.427569444444</v>
      </c>
      <c r="E2388" s="81">
        <f t="shared" ca="1" si="18"/>
        <v>43313</v>
      </c>
      <c r="F2388" s="82">
        <f ca="1">IFERROR(__xludf.DUMMYFUNCTION("""COMPUTED_VALUE"""),0.427569444444444)</f>
        <v>0.427569444444444</v>
      </c>
      <c r="G2388" s="83">
        <f t="shared" ca="1" si="19"/>
        <v>19</v>
      </c>
      <c r="H2388" s="83">
        <f ca="1">IFERROR(__xludf.DUMMYFUNCTION("""COMPUTED_VALUE"""),15)</f>
        <v>15</v>
      </c>
      <c r="I2388" s="83">
        <f ca="1">IFERROR(__xludf.DUMMYFUNCTION("""COMPUTED_VALUE"""),42)</f>
        <v>42</v>
      </c>
    </row>
    <row r="2389" spans="1:9">
      <c r="A2389" s="79">
        <v>633</v>
      </c>
      <c r="B2389" s="79">
        <v>17</v>
      </c>
      <c r="C2389" s="79">
        <v>650</v>
      </c>
      <c r="D2389" s="80">
        <v>43339.437997685185</v>
      </c>
      <c r="E2389" s="81">
        <f t="shared" ca="1" si="18"/>
        <v>43313</v>
      </c>
      <c r="F2389" s="82">
        <f ca="1">IFERROR(__xludf.DUMMYFUNCTION("""COMPUTED_VALUE"""),0.437997685185185)</f>
        <v>0.437997685185185</v>
      </c>
      <c r="G2389" s="83">
        <f t="shared" ca="1" si="19"/>
        <v>19</v>
      </c>
      <c r="H2389" s="83">
        <f ca="1">IFERROR(__xludf.DUMMYFUNCTION("""COMPUTED_VALUE"""),30)</f>
        <v>30</v>
      </c>
      <c r="I2389" s="83">
        <f ca="1">IFERROR(__xludf.DUMMYFUNCTION("""COMPUTED_VALUE"""),43)</f>
        <v>43</v>
      </c>
    </row>
    <row r="2390" spans="1:9">
      <c r="A2390" s="79">
        <v>697</v>
      </c>
      <c r="B2390" s="79">
        <v>18</v>
      </c>
      <c r="C2390" s="79">
        <v>715</v>
      </c>
      <c r="D2390" s="80">
        <v>43339.44840277778</v>
      </c>
      <c r="E2390" s="81">
        <f t="shared" ca="1" si="18"/>
        <v>43313</v>
      </c>
      <c r="F2390" s="82">
        <f ca="1">IFERROR(__xludf.DUMMYFUNCTION("""COMPUTED_VALUE"""),0.448402777777777)</f>
        <v>0.44840277777777698</v>
      </c>
      <c r="G2390" s="83">
        <f t="shared" ca="1" si="19"/>
        <v>19</v>
      </c>
      <c r="H2390" s="83">
        <f ca="1">IFERROR(__xludf.DUMMYFUNCTION("""COMPUTED_VALUE"""),45)</f>
        <v>45</v>
      </c>
      <c r="I2390" s="83">
        <f ca="1">IFERROR(__xludf.DUMMYFUNCTION("""COMPUTED_VALUE"""),42)</f>
        <v>42</v>
      </c>
    </row>
    <row r="2391" spans="1:9">
      <c r="A2391" s="79">
        <v>538</v>
      </c>
      <c r="B2391" s="79">
        <v>20</v>
      </c>
      <c r="C2391" s="79">
        <v>558</v>
      </c>
      <c r="D2391" s="80">
        <v>43339.458831018521</v>
      </c>
      <c r="E2391" s="81">
        <f t="shared" ca="1" si="18"/>
        <v>43313</v>
      </c>
      <c r="F2391" s="82">
        <f ca="1">IFERROR(__xludf.DUMMYFUNCTION("""COMPUTED_VALUE"""),0.458831018518518)</f>
        <v>0.45883101851851799</v>
      </c>
      <c r="G2391" s="83">
        <f t="shared" ca="1" si="19"/>
        <v>19</v>
      </c>
      <c r="H2391" s="83">
        <f ca="1">IFERROR(__xludf.DUMMYFUNCTION("""COMPUTED_VALUE"""),0)</f>
        <v>0</v>
      </c>
      <c r="I2391" s="83">
        <f ca="1">IFERROR(__xludf.DUMMYFUNCTION("""COMPUTED_VALUE"""),43)</f>
        <v>43</v>
      </c>
    </row>
    <row r="2392" spans="1:9">
      <c r="A2392" s="79">
        <v>419</v>
      </c>
      <c r="B2392" s="79">
        <v>14</v>
      </c>
      <c r="C2392" s="79">
        <v>433</v>
      </c>
      <c r="D2392" s="80">
        <v>43339.469247685185</v>
      </c>
      <c r="E2392" s="81">
        <f t="shared" ca="1" si="18"/>
        <v>43313</v>
      </c>
      <c r="F2392" s="82">
        <f ca="1">IFERROR(__xludf.DUMMYFUNCTION("""COMPUTED_VALUE"""),0.469247685185185)</f>
        <v>0.469247685185185</v>
      </c>
      <c r="G2392" s="83">
        <f t="shared" ca="1" si="19"/>
        <v>19</v>
      </c>
      <c r="H2392" s="83">
        <f ca="1">IFERROR(__xludf.DUMMYFUNCTION("""COMPUTED_VALUE"""),15)</f>
        <v>15</v>
      </c>
      <c r="I2392" s="83">
        <f ca="1">IFERROR(__xludf.DUMMYFUNCTION("""COMPUTED_VALUE"""),43)</f>
        <v>43</v>
      </c>
    </row>
    <row r="2393" spans="1:9">
      <c r="A2393" s="79">
        <v>364</v>
      </c>
      <c r="B2393" s="79">
        <v>13</v>
      </c>
      <c r="C2393" s="79">
        <v>377</v>
      </c>
      <c r="D2393" s="80">
        <v>43339.479664351849</v>
      </c>
      <c r="E2393" s="81">
        <f t="shared" ca="1" si="18"/>
        <v>43313</v>
      </c>
      <c r="F2393" s="82">
        <f ca="1">IFERROR(__xludf.DUMMYFUNCTION("""COMPUTED_VALUE"""),0.479664351851851)</f>
        <v>0.47966435185185102</v>
      </c>
      <c r="G2393" s="83">
        <f t="shared" ca="1" si="19"/>
        <v>19</v>
      </c>
      <c r="H2393" s="83">
        <f ca="1">IFERROR(__xludf.DUMMYFUNCTION("""COMPUTED_VALUE"""),30)</f>
        <v>30</v>
      </c>
      <c r="I2393" s="83">
        <f ca="1">IFERROR(__xludf.DUMMYFUNCTION("""COMPUTED_VALUE"""),43)</f>
        <v>43</v>
      </c>
    </row>
    <row r="2394" spans="1:9">
      <c r="A2394" s="79">
        <v>367</v>
      </c>
      <c r="B2394" s="79">
        <v>13</v>
      </c>
      <c r="C2394" s="79">
        <v>380</v>
      </c>
      <c r="D2394" s="80">
        <v>43339.490069444444</v>
      </c>
      <c r="E2394" s="81">
        <f t="shared" ca="1" si="18"/>
        <v>43313</v>
      </c>
      <c r="F2394" s="82">
        <f ca="1">IFERROR(__xludf.DUMMYFUNCTION("""COMPUTED_VALUE"""),0.490069444444444)</f>
        <v>0.490069444444444</v>
      </c>
      <c r="G2394" s="83">
        <f t="shared" ca="1" si="19"/>
        <v>19</v>
      </c>
      <c r="H2394" s="83">
        <f ca="1">IFERROR(__xludf.DUMMYFUNCTION("""COMPUTED_VALUE"""),45)</f>
        <v>45</v>
      </c>
      <c r="I2394" s="83">
        <f ca="1">IFERROR(__xludf.DUMMYFUNCTION("""COMPUTED_VALUE"""),42)</f>
        <v>42</v>
      </c>
    </row>
    <row r="2395" spans="1:9">
      <c r="A2395" s="79">
        <v>292</v>
      </c>
      <c r="B2395" s="79">
        <v>9</v>
      </c>
      <c r="C2395" s="79">
        <v>301</v>
      </c>
      <c r="D2395" s="80">
        <v>43339.500497685185</v>
      </c>
      <c r="E2395" s="81">
        <f t="shared" ca="1" si="18"/>
        <v>43313</v>
      </c>
      <c r="F2395" s="82">
        <f ca="1">IFERROR(__xludf.DUMMYFUNCTION("""COMPUTED_VALUE"""),0.500497685185185)</f>
        <v>0.500497685185185</v>
      </c>
      <c r="G2395" s="83">
        <f t="shared" ca="1" si="19"/>
        <v>19</v>
      </c>
      <c r="H2395" s="83">
        <f ca="1">IFERROR(__xludf.DUMMYFUNCTION("""COMPUTED_VALUE"""),0)</f>
        <v>0</v>
      </c>
      <c r="I2395" s="83">
        <f ca="1">IFERROR(__xludf.DUMMYFUNCTION("""COMPUTED_VALUE"""),43)</f>
        <v>43</v>
      </c>
    </row>
    <row r="2396" spans="1:9">
      <c r="A2396" s="79">
        <v>253</v>
      </c>
      <c r="B2396" s="79">
        <v>7</v>
      </c>
      <c r="C2396" s="79">
        <v>260</v>
      </c>
      <c r="D2396" s="80">
        <v>43339.51090277778</v>
      </c>
      <c r="E2396" s="81">
        <f t="shared" ca="1" si="18"/>
        <v>43313</v>
      </c>
      <c r="F2396" s="82">
        <f ca="1">IFERROR(__xludf.DUMMYFUNCTION("""COMPUTED_VALUE"""),0.510902777777777)</f>
        <v>0.51090277777777704</v>
      </c>
      <c r="G2396" s="83">
        <f t="shared" ca="1" si="19"/>
        <v>19</v>
      </c>
      <c r="H2396" s="83">
        <f ca="1">IFERROR(__xludf.DUMMYFUNCTION("""COMPUTED_VALUE"""),15)</f>
        <v>15</v>
      </c>
      <c r="I2396" s="83">
        <f ca="1">IFERROR(__xludf.DUMMYFUNCTION("""COMPUTED_VALUE"""),42)</f>
        <v>42</v>
      </c>
    </row>
    <row r="2397" spans="1:9">
      <c r="A2397" s="79">
        <v>281</v>
      </c>
      <c r="B2397" s="79">
        <v>9</v>
      </c>
      <c r="C2397" s="79">
        <v>290</v>
      </c>
      <c r="D2397" s="80">
        <v>43339.521331018521</v>
      </c>
      <c r="E2397" s="81">
        <f t="shared" ca="1" si="18"/>
        <v>43313</v>
      </c>
      <c r="F2397" s="82">
        <f ca="1">IFERROR(__xludf.DUMMYFUNCTION("""COMPUTED_VALUE"""),0.521331018518518)</f>
        <v>0.52133101851851804</v>
      </c>
      <c r="G2397" s="83">
        <f t="shared" ca="1" si="19"/>
        <v>19</v>
      </c>
      <c r="H2397" s="83">
        <f ca="1">IFERROR(__xludf.DUMMYFUNCTION("""COMPUTED_VALUE"""),30)</f>
        <v>30</v>
      </c>
      <c r="I2397" s="83">
        <f ca="1">IFERROR(__xludf.DUMMYFUNCTION("""COMPUTED_VALUE"""),43)</f>
        <v>43</v>
      </c>
    </row>
    <row r="2398" spans="1:9">
      <c r="A2398" s="79">
        <v>294</v>
      </c>
      <c r="B2398" s="79">
        <v>9</v>
      </c>
      <c r="C2398" s="79">
        <v>303</v>
      </c>
      <c r="D2398" s="80">
        <v>43339.531736111108</v>
      </c>
      <c r="E2398" s="81">
        <f t="shared" ca="1" si="18"/>
        <v>43313</v>
      </c>
      <c r="F2398" s="82">
        <f ca="1">IFERROR(__xludf.DUMMYFUNCTION("""COMPUTED_VALUE"""),0.531736111111111)</f>
        <v>0.53173611111111097</v>
      </c>
      <c r="G2398" s="83">
        <f t="shared" ca="1" si="19"/>
        <v>19</v>
      </c>
      <c r="H2398" s="83">
        <f ca="1">IFERROR(__xludf.DUMMYFUNCTION("""COMPUTED_VALUE"""),45)</f>
        <v>45</v>
      </c>
      <c r="I2398" s="83">
        <f ca="1">IFERROR(__xludf.DUMMYFUNCTION("""COMPUTED_VALUE"""),42)</f>
        <v>42</v>
      </c>
    </row>
    <row r="2399" spans="1:9">
      <c r="A2399" s="79">
        <v>273</v>
      </c>
      <c r="B2399" s="79">
        <v>8</v>
      </c>
      <c r="C2399" s="79">
        <v>281</v>
      </c>
      <c r="D2399" s="80">
        <v>43339.542164351849</v>
      </c>
      <c r="E2399" s="81">
        <f t="shared" ca="1" si="18"/>
        <v>43313</v>
      </c>
      <c r="F2399" s="82">
        <f ca="1">IFERROR(__xludf.DUMMYFUNCTION("""COMPUTED_VALUE"""),0.542164351851851)</f>
        <v>0.54216435185185097</v>
      </c>
      <c r="G2399" s="83">
        <f t="shared" ca="1" si="19"/>
        <v>19</v>
      </c>
      <c r="H2399" s="83">
        <f ca="1">IFERROR(__xludf.DUMMYFUNCTION("""COMPUTED_VALUE"""),0)</f>
        <v>0</v>
      </c>
      <c r="I2399" s="83">
        <f ca="1">IFERROR(__xludf.DUMMYFUNCTION("""COMPUTED_VALUE"""),43)</f>
        <v>43</v>
      </c>
    </row>
    <row r="2400" spans="1:9">
      <c r="A2400" s="79">
        <v>277</v>
      </c>
      <c r="B2400" s="79">
        <v>7</v>
      </c>
      <c r="C2400" s="79">
        <v>284</v>
      </c>
      <c r="D2400" s="80">
        <v>43339.552569444444</v>
      </c>
      <c r="E2400" s="81">
        <f t="shared" ca="1" si="18"/>
        <v>43313</v>
      </c>
      <c r="F2400" s="82">
        <f ca="1">IFERROR(__xludf.DUMMYFUNCTION("""COMPUTED_VALUE"""),0.552569444444444)</f>
        <v>0.552569444444444</v>
      </c>
      <c r="G2400" s="83">
        <f t="shared" ca="1" si="19"/>
        <v>19</v>
      </c>
      <c r="H2400" s="83">
        <f ca="1">IFERROR(__xludf.DUMMYFUNCTION("""COMPUTED_VALUE"""),15)</f>
        <v>15</v>
      </c>
      <c r="I2400" s="83">
        <f ca="1">IFERROR(__xludf.DUMMYFUNCTION("""COMPUTED_VALUE"""),42)</f>
        <v>42</v>
      </c>
    </row>
    <row r="2401" spans="1:9">
      <c r="A2401" s="79">
        <v>251</v>
      </c>
      <c r="B2401" s="79">
        <v>6</v>
      </c>
      <c r="C2401" s="79">
        <v>257</v>
      </c>
      <c r="D2401" s="80">
        <v>43339.562986111108</v>
      </c>
      <c r="E2401" s="81">
        <f t="shared" ca="1" si="18"/>
        <v>43313</v>
      </c>
      <c r="F2401" s="82">
        <f ca="1">IFERROR(__xludf.DUMMYFUNCTION("""COMPUTED_VALUE"""),0.562986111111111)</f>
        <v>0.56298611111111097</v>
      </c>
      <c r="G2401" s="83">
        <f t="shared" ca="1" si="19"/>
        <v>19</v>
      </c>
      <c r="H2401" s="83">
        <f ca="1">IFERROR(__xludf.DUMMYFUNCTION("""COMPUTED_VALUE"""),30)</f>
        <v>30</v>
      </c>
      <c r="I2401" s="83">
        <f ca="1">IFERROR(__xludf.DUMMYFUNCTION("""COMPUTED_VALUE"""),42)</f>
        <v>42</v>
      </c>
    </row>
    <row r="2402" spans="1:9">
      <c r="A2402" s="79">
        <v>296</v>
      </c>
      <c r="B2402" s="79">
        <v>6</v>
      </c>
      <c r="C2402" s="79">
        <v>302</v>
      </c>
      <c r="D2402" s="80">
        <v>43339.57340277778</v>
      </c>
      <c r="E2402" s="81">
        <f t="shared" ca="1" si="18"/>
        <v>43313</v>
      </c>
      <c r="F2402" s="82">
        <f ca="1">IFERROR(__xludf.DUMMYFUNCTION("""COMPUTED_VALUE"""),0.573402777777777)</f>
        <v>0.57340277777777704</v>
      </c>
      <c r="G2402" s="83">
        <f t="shared" ca="1" si="19"/>
        <v>19</v>
      </c>
      <c r="H2402" s="83">
        <f ca="1">IFERROR(__xludf.DUMMYFUNCTION("""COMPUTED_VALUE"""),45)</f>
        <v>45</v>
      </c>
      <c r="I2402" s="83">
        <f ca="1">IFERROR(__xludf.DUMMYFUNCTION("""COMPUTED_VALUE"""),42)</f>
        <v>42</v>
      </c>
    </row>
    <row r="2403" spans="1:9">
      <c r="A2403" s="79">
        <v>303</v>
      </c>
      <c r="B2403" s="79">
        <v>9</v>
      </c>
      <c r="C2403" s="79">
        <v>312</v>
      </c>
      <c r="D2403" s="80">
        <v>43339.583819444444</v>
      </c>
      <c r="E2403" s="81">
        <f t="shared" ca="1" si="18"/>
        <v>43313</v>
      </c>
      <c r="F2403" s="82">
        <f ca="1">IFERROR(__xludf.DUMMYFUNCTION("""COMPUTED_VALUE"""),0.583819444444444)</f>
        <v>0.583819444444444</v>
      </c>
      <c r="G2403" s="83">
        <f t="shared" ca="1" si="19"/>
        <v>19</v>
      </c>
      <c r="H2403" s="83">
        <f ca="1">IFERROR(__xludf.DUMMYFUNCTION("""COMPUTED_VALUE"""),0)</f>
        <v>0</v>
      </c>
      <c r="I2403" s="83">
        <f ca="1">IFERROR(__xludf.DUMMYFUNCTION("""COMPUTED_VALUE"""),42)</f>
        <v>42</v>
      </c>
    </row>
    <row r="2404" spans="1:9">
      <c r="A2404" s="79">
        <v>287</v>
      </c>
      <c r="B2404" s="79">
        <v>9</v>
      </c>
      <c r="C2404" s="79">
        <v>296</v>
      </c>
      <c r="D2404" s="80">
        <v>43339.594236111108</v>
      </c>
      <c r="E2404" s="81">
        <f t="shared" ca="1" si="18"/>
        <v>43313</v>
      </c>
      <c r="F2404" s="82">
        <f ca="1">IFERROR(__xludf.DUMMYFUNCTION("""COMPUTED_VALUE"""),0.594236111111111)</f>
        <v>0.59423611111111097</v>
      </c>
      <c r="G2404" s="83">
        <f t="shared" ca="1" si="19"/>
        <v>19</v>
      </c>
      <c r="H2404" s="83">
        <f ca="1">IFERROR(__xludf.DUMMYFUNCTION("""COMPUTED_VALUE"""),15)</f>
        <v>15</v>
      </c>
      <c r="I2404" s="83">
        <f ca="1">IFERROR(__xludf.DUMMYFUNCTION("""COMPUTED_VALUE"""),42)</f>
        <v>42</v>
      </c>
    </row>
    <row r="2405" spans="1:9">
      <c r="A2405" s="79">
        <v>302</v>
      </c>
      <c r="B2405" s="79">
        <v>10</v>
      </c>
      <c r="C2405" s="79">
        <v>310</v>
      </c>
      <c r="D2405" s="80">
        <v>43339.604664351849</v>
      </c>
      <c r="E2405" s="81">
        <f t="shared" ca="1" si="18"/>
        <v>43313</v>
      </c>
      <c r="F2405" s="82">
        <f ca="1">IFERROR(__xludf.DUMMYFUNCTION("""COMPUTED_VALUE"""),0.604664351851851)</f>
        <v>0.60466435185185097</v>
      </c>
      <c r="G2405" s="83">
        <f t="shared" ca="1" si="19"/>
        <v>19</v>
      </c>
      <c r="H2405" s="83">
        <f ca="1">IFERROR(__xludf.DUMMYFUNCTION("""COMPUTED_VALUE"""),30)</f>
        <v>30</v>
      </c>
      <c r="I2405" s="83">
        <f ca="1">IFERROR(__xludf.DUMMYFUNCTION("""COMPUTED_VALUE"""),43)</f>
        <v>43</v>
      </c>
    </row>
    <row r="2406" spans="1:9">
      <c r="A2406" s="79">
        <v>333</v>
      </c>
      <c r="B2406" s="79">
        <v>7</v>
      </c>
      <c r="C2406" s="79">
        <v>335</v>
      </c>
      <c r="D2406" s="80">
        <v>43339.615069444444</v>
      </c>
      <c r="E2406" s="81">
        <f t="shared" ca="1" si="18"/>
        <v>43313</v>
      </c>
      <c r="F2406" s="82">
        <f ca="1">IFERROR(__xludf.DUMMYFUNCTION("""COMPUTED_VALUE"""),0.615069444444444)</f>
        <v>0.615069444444444</v>
      </c>
      <c r="G2406" s="83">
        <f t="shared" ca="1" si="19"/>
        <v>19</v>
      </c>
      <c r="H2406" s="83">
        <f ca="1">IFERROR(__xludf.DUMMYFUNCTION("""COMPUTED_VALUE"""),45)</f>
        <v>45</v>
      </c>
      <c r="I2406" s="83">
        <f ca="1">IFERROR(__xludf.DUMMYFUNCTION("""COMPUTED_VALUE"""),42)</f>
        <v>42</v>
      </c>
    </row>
    <row r="2407" spans="1:9">
      <c r="A2407" s="79">
        <v>285</v>
      </c>
      <c r="B2407" s="79">
        <v>8</v>
      </c>
      <c r="C2407" s="79">
        <v>293</v>
      </c>
      <c r="D2407" s="80">
        <v>43339.625486111108</v>
      </c>
      <c r="E2407" s="81">
        <f t="shared" ca="1" si="18"/>
        <v>43313</v>
      </c>
      <c r="F2407" s="82">
        <f ca="1">IFERROR(__xludf.DUMMYFUNCTION("""COMPUTED_VALUE"""),0.625486111111111)</f>
        <v>0.62548611111111097</v>
      </c>
      <c r="G2407" s="83">
        <f t="shared" ca="1" si="19"/>
        <v>19</v>
      </c>
      <c r="H2407" s="83">
        <f ca="1">IFERROR(__xludf.DUMMYFUNCTION("""COMPUTED_VALUE"""),0)</f>
        <v>0</v>
      </c>
      <c r="I2407" s="83">
        <f ca="1">IFERROR(__xludf.DUMMYFUNCTION("""COMPUTED_VALUE"""),42)</f>
        <v>42</v>
      </c>
    </row>
    <row r="2408" spans="1:9">
      <c r="A2408" s="79">
        <v>345</v>
      </c>
      <c r="B2408" s="79">
        <v>12</v>
      </c>
      <c r="C2408" s="79">
        <v>357</v>
      </c>
      <c r="D2408" s="80">
        <v>43339.635914351849</v>
      </c>
      <c r="E2408" s="81">
        <f t="shared" ca="1" si="18"/>
        <v>43313</v>
      </c>
      <c r="F2408" s="82">
        <f ca="1">IFERROR(__xludf.DUMMYFUNCTION("""COMPUTED_VALUE"""),0.635914351851851)</f>
        <v>0.63591435185185097</v>
      </c>
      <c r="G2408" s="83">
        <f t="shared" ca="1" si="19"/>
        <v>19</v>
      </c>
      <c r="H2408" s="83">
        <f ca="1">IFERROR(__xludf.DUMMYFUNCTION("""COMPUTED_VALUE"""),15)</f>
        <v>15</v>
      </c>
      <c r="I2408" s="83">
        <f ca="1">IFERROR(__xludf.DUMMYFUNCTION("""COMPUTED_VALUE"""),43)</f>
        <v>43</v>
      </c>
    </row>
    <row r="2409" spans="1:9">
      <c r="A2409" s="79">
        <v>352</v>
      </c>
      <c r="B2409" s="79">
        <v>12</v>
      </c>
      <c r="C2409" s="79">
        <v>364</v>
      </c>
      <c r="D2409" s="80">
        <v>43339.646319444444</v>
      </c>
      <c r="E2409" s="81">
        <f t="shared" ca="1" si="18"/>
        <v>43313</v>
      </c>
      <c r="F2409" s="82">
        <f ca="1">IFERROR(__xludf.DUMMYFUNCTION("""COMPUTED_VALUE"""),0.646319444444444)</f>
        <v>0.646319444444444</v>
      </c>
      <c r="G2409" s="83">
        <f t="shared" ca="1" si="19"/>
        <v>19</v>
      </c>
      <c r="H2409" s="83">
        <f ca="1">IFERROR(__xludf.DUMMYFUNCTION("""COMPUTED_VALUE"""),30)</f>
        <v>30</v>
      </c>
      <c r="I2409" s="83">
        <f ca="1">IFERROR(__xludf.DUMMYFUNCTION("""COMPUTED_VALUE"""),42)</f>
        <v>42</v>
      </c>
    </row>
    <row r="2410" spans="1:9">
      <c r="A2410" s="79">
        <v>422</v>
      </c>
      <c r="B2410" s="79">
        <v>10</v>
      </c>
      <c r="C2410" s="79">
        <v>432</v>
      </c>
      <c r="D2410" s="80">
        <v>43339.656736111108</v>
      </c>
      <c r="E2410" s="81">
        <f t="shared" ca="1" si="18"/>
        <v>43313</v>
      </c>
      <c r="F2410" s="82">
        <f ca="1">IFERROR(__xludf.DUMMYFUNCTION("""COMPUTED_VALUE"""),0.656736111111111)</f>
        <v>0.65673611111111097</v>
      </c>
      <c r="G2410" s="83">
        <f t="shared" ca="1" si="19"/>
        <v>19</v>
      </c>
      <c r="H2410" s="83">
        <f ca="1">IFERROR(__xludf.DUMMYFUNCTION("""COMPUTED_VALUE"""),45)</f>
        <v>45</v>
      </c>
      <c r="I2410" s="83">
        <f ca="1">IFERROR(__xludf.DUMMYFUNCTION("""COMPUTED_VALUE"""),42)</f>
        <v>42</v>
      </c>
    </row>
    <row r="2411" spans="1:9">
      <c r="A2411" s="79">
        <v>375</v>
      </c>
      <c r="B2411" s="79">
        <v>8</v>
      </c>
      <c r="C2411" s="79">
        <v>383</v>
      </c>
      <c r="D2411" s="80">
        <v>43339.66715277778</v>
      </c>
      <c r="E2411" s="81">
        <f t="shared" ca="1" si="18"/>
        <v>43313</v>
      </c>
      <c r="F2411" s="82">
        <f ca="1">IFERROR(__xludf.DUMMYFUNCTION("""COMPUTED_VALUE"""),0.667152777777777)</f>
        <v>0.66715277777777704</v>
      </c>
      <c r="G2411" s="83">
        <f t="shared" ca="1" si="19"/>
        <v>19</v>
      </c>
      <c r="H2411" s="83">
        <f ca="1">IFERROR(__xludf.DUMMYFUNCTION("""COMPUTED_VALUE"""),0)</f>
        <v>0</v>
      </c>
      <c r="I2411" s="83">
        <f ca="1">IFERROR(__xludf.DUMMYFUNCTION("""COMPUTED_VALUE"""),42)</f>
        <v>42</v>
      </c>
    </row>
    <row r="2412" spans="1:9">
      <c r="A2412" s="79">
        <v>454</v>
      </c>
      <c r="B2412" s="79">
        <v>13</v>
      </c>
      <c r="C2412" s="79">
        <v>467</v>
      </c>
      <c r="D2412" s="80">
        <v>43339.677569444444</v>
      </c>
      <c r="E2412" s="81">
        <f t="shared" ca="1" si="18"/>
        <v>43313</v>
      </c>
      <c r="F2412" s="82">
        <f ca="1">IFERROR(__xludf.DUMMYFUNCTION("""COMPUTED_VALUE"""),0.677569444444444)</f>
        <v>0.677569444444444</v>
      </c>
      <c r="G2412" s="83">
        <f t="shared" ca="1" si="19"/>
        <v>19</v>
      </c>
      <c r="H2412" s="83">
        <f ca="1">IFERROR(__xludf.DUMMYFUNCTION("""COMPUTED_VALUE"""),15)</f>
        <v>15</v>
      </c>
      <c r="I2412" s="83">
        <f ca="1">IFERROR(__xludf.DUMMYFUNCTION("""COMPUTED_VALUE"""),42)</f>
        <v>42</v>
      </c>
    </row>
    <row r="2413" spans="1:9">
      <c r="A2413" s="79">
        <v>401</v>
      </c>
      <c r="B2413" s="79">
        <v>11</v>
      </c>
      <c r="C2413" s="79">
        <v>412</v>
      </c>
      <c r="D2413" s="80">
        <v>43339.687986111108</v>
      </c>
      <c r="E2413" s="81">
        <f t="shared" ca="1" si="18"/>
        <v>43313</v>
      </c>
      <c r="F2413" s="82">
        <f ca="1">IFERROR(__xludf.DUMMYFUNCTION("""COMPUTED_VALUE"""),0.687986111111111)</f>
        <v>0.68798611111111097</v>
      </c>
      <c r="G2413" s="83">
        <f t="shared" ca="1" si="19"/>
        <v>19</v>
      </c>
      <c r="H2413" s="83">
        <f ca="1">IFERROR(__xludf.DUMMYFUNCTION("""COMPUTED_VALUE"""),30)</f>
        <v>30</v>
      </c>
      <c r="I2413" s="83">
        <f ca="1">IFERROR(__xludf.DUMMYFUNCTION("""COMPUTED_VALUE"""),42)</f>
        <v>42</v>
      </c>
    </row>
    <row r="2414" spans="1:9">
      <c r="A2414" s="79">
        <v>445</v>
      </c>
      <c r="B2414" s="79">
        <v>17</v>
      </c>
      <c r="C2414" s="79">
        <v>462</v>
      </c>
      <c r="D2414" s="80">
        <v>43339.69840277778</v>
      </c>
      <c r="E2414" s="81">
        <f t="shared" ca="1" si="18"/>
        <v>43313</v>
      </c>
      <c r="F2414" s="82">
        <f ca="1">IFERROR(__xludf.DUMMYFUNCTION("""COMPUTED_VALUE"""),0.698402777777777)</f>
        <v>0.69840277777777704</v>
      </c>
      <c r="G2414" s="83">
        <f t="shared" ca="1" si="19"/>
        <v>19</v>
      </c>
      <c r="H2414" s="83">
        <f ca="1">IFERROR(__xludf.DUMMYFUNCTION("""COMPUTED_VALUE"""),45)</f>
        <v>45</v>
      </c>
      <c r="I2414" s="83">
        <f ca="1">IFERROR(__xludf.DUMMYFUNCTION("""COMPUTED_VALUE"""),42)</f>
        <v>42</v>
      </c>
    </row>
    <row r="2415" spans="1:9">
      <c r="A2415" s="79">
        <v>375</v>
      </c>
      <c r="B2415" s="79">
        <v>15</v>
      </c>
      <c r="C2415" s="79">
        <v>390</v>
      </c>
      <c r="D2415" s="80">
        <v>43339.708819444444</v>
      </c>
      <c r="E2415" s="81">
        <f t="shared" ca="1" si="18"/>
        <v>43313</v>
      </c>
      <c r="F2415" s="82">
        <f ca="1">IFERROR(__xludf.DUMMYFUNCTION("""COMPUTED_VALUE"""),0.708819444444444)</f>
        <v>0.708819444444444</v>
      </c>
      <c r="G2415" s="83">
        <f t="shared" ca="1" si="19"/>
        <v>19</v>
      </c>
      <c r="H2415" s="83">
        <f ca="1">IFERROR(__xludf.DUMMYFUNCTION("""COMPUTED_VALUE"""),0)</f>
        <v>0</v>
      </c>
      <c r="I2415" s="83">
        <f ca="1">IFERROR(__xludf.DUMMYFUNCTION("""COMPUTED_VALUE"""),42)</f>
        <v>42</v>
      </c>
    </row>
    <row r="2416" spans="1:9">
      <c r="A2416" s="79">
        <v>600</v>
      </c>
      <c r="B2416" s="79">
        <v>13</v>
      </c>
      <c r="C2416" s="79">
        <v>613</v>
      </c>
      <c r="D2416" s="80">
        <v>43339.719236111108</v>
      </c>
      <c r="E2416" s="81">
        <f t="shared" ca="1" si="18"/>
        <v>43313</v>
      </c>
      <c r="F2416" s="82">
        <f ca="1">IFERROR(__xludf.DUMMYFUNCTION("""COMPUTED_VALUE"""),0.719236111111111)</f>
        <v>0.71923611111111097</v>
      </c>
      <c r="G2416" s="83">
        <f t="shared" ca="1" si="19"/>
        <v>19</v>
      </c>
      <c r="H2416" s="83">
        <f ca="1">IFERROR(__xludf.DUMMYFUNCTION("""COMPUTED_VALUE"""),15)</f>
        <v>15</v>
      </c>
      <c r="I2416" s="83">
        <f ca="1">IFERROR(__xludf.DUMMYFUNCTION("""COMPUTED_VALUE"""),42)</f>
        <v>42</v>
      </c>
    </row>
    <row r="2417" spans="1:9">
      <c r="A2417" s="79">
        <v>499</v>
      </c>
      <c r="B2417" s="79">
        <v>5</v>
      </c>
      <c r="C2417" s="79">
        <v>502</v>
      </c>
      <c r="D2417" s="80">
        <v>43339.729641203703</v>
      </c>
      <c r="E2417" s="81">
        <f t="shared" ca="1" si="18"/>
        <v>43313</v>
      </c>
      <c r="F2417" s="82">
        <f ca="1">IFERROR(__xludf.DUMMYFUNCTION("""COMPUTED_VALUE"""),0.729641203703703)</f>
        <v>0.729641203703703</v>
      </c>
      <c r="G2417" s="83">
        <f t="shared" ca="1" si="19"/>
        <v>19</v>
      </c>
      <c r="H2417" s="83">
        <f ca="1">IFERROR(__xludf.DUMMYFUNCTION("""COMPUTED_VALUE"""),30)</f>
        <v>30</v>
      </c>
      <c r="I2417" s="83">
        <f ca="1">IFERROR(__xludf.DUMMYFUNCTION("""COMPUTED_VALUE"""),41)</f>
        <v>41</v>
      </c>
    </row>
    <row r="2418" spans="1:9">
      <c r="A2418" s="79">
        <v>460</v>
      </c>
      <c r="B2418" s="79">
        <v>7</v>
      </c>
      <c r="C2418" s="79">
        <v>467</v>
      </c>
      <c r="D2418" s="80">
        <v>43339.740069444444</v>
      </c>
      <c r="E2418" s="81">
        <f t="shared" ca="1" si="18"/>
        <v>43313</v>
      </c>
      <c r="F2418" s="82">
        <f ca="1">IFERROR(__xludf.DUMMYFUNCTION("""COMPUTED_VALUE"""),0.740069444444444)</f>
        <v>0.740069444444444</v>
      </c>
      <c r="G2418" s="83">
        <f t="shared" ca="1" si="19"/>
        <v>19</v>
      </c>
      <c r="H2418" s="83">
        <f ca="1">IFERROR(__xludf.DUMMYFUNCTION("""COMPUTED_VALUE"""),45)</f>
        <v>45</v>
      </c>
      <c r="I2418" s="83">
        <f ca="1">IFERROR(__xludf.DUMMYFUNCTION("""COMPUTED_VALUE"""),42)</f>
        <v>42</v>
      </c>
    </row>
    <row r="2419" spans="1:9">
      <c r="A2419" s="79">
        <v>382</v>
      </c>
      <c r="B2419" s="79">
        <v>5</v>
      </c>
      <c r="C2419" s="79">
        <v>387</v>
      </c>
      <c r="D2419" s="80">
        <v>43339.750486111108</v>
      </c>
      <c r="E2419" s="81">
        <f t="shared" ca="1" si="18"/>
        <v>43313</v>
      </c>
      <c r="F2419" s="82">
        <f ca="1">IFERROR(__xludf.DUMMYFUNCTION("""COMPUTED_VALUE"""),0.750486111111111)</f>
        <v>0.75048611111111097</v>
      </c>
      <c r="G2419" s="83">
        <f t="shared" ca="1" si="19"/>
        <v>19</v>
      </c>
      <c r="H2419" s="83">
        <f ca="1">IFERROR(__xludf.DUMMYFUNCTION("""COMPUTED_VALUE"""),0)</f>
        <v>0</v>
      </c>
      <c r="I2419" s="83">
        <f ca="1">IFERROR(__xludf.DUMMYFUNCTION("""COMPUTED_VALUE"""),42)</f>
        <v>42</v>
      </c>
    </row>
    <row r="2420" spans="1:9">
      <c r="A2420" s="79">
        <v>505</v>
      </c>
      <c r="B2420" s="79">
        <v>5</v>
      </c>
      <c r="C2420" s="79">
        <v>510</v>
      </c>
      <c r="D2420" s="80">
        <v>43339.76090277778</v>
      </c>
      <c r="E2420" s="81">
        <f t="shared" ca="1" si="18"/>
        <v>43313</v>
      </c>
      <c r="F2420" s="82">
        <f ca="1">IFERROR(__xludf.DUMMYFUNCTION("""COMPUTED_VALUE"""),0.760902777777777)</f>
        <v>0.76090277777777704</v>
      </c>
      <c r="G2420" s="83">
        <f t="shared" ca="1" si="19"/>
        <v>19</v>
      </c>
      <c r="H2420" s="83">
        <f ca="1">IFERROR(__xludf.DUMMYFUNCTION("""COMPUTED_VALUE"""),15)</f>
        <v>15</v>
      </c>
      <c r="I2420" s="83">
        <f ca="1">IFERROR(__xludf.DUMMYFUNCTION("""COMPUTED_VALUE"""),42)</f>
        <v>42</v>
      </c>
    </row>
    <row r="2421" spans="1:9">
      <c r="A2421" s="79">
        <v>439</v>
      </c>
      <c r="B2421" s="79">
        <v>3</v>
      </c>
      <c r="C2421" s="79">
        <v>442</v>
      </c>
      <c r="D2421" s="80">
        <v>43339.771331018521</v>
      </c>
      <c r="E2421" s="81">
        <f t="shared" ca="1" si="18"/>
        <v>43313</v>
      </c>
      <c r="F2421" s="82">
        <f ca="1">IFERROR(__xludf.DUMMYFUNCTION("""COMPUTED_VALUE"""),0.771331018518518)</f>
        <v>0.77133101851851804</v>
      </c>
      <c r="G2421" s="83">
        <f t="shared" ca="1" si="19"/>
        <v>19</v>
      </c>
      <c r="H2421" s="83">
        <f ca="1">IFERROR(__xludf.DUMMYFUNCTION("""COMPUTED_VALUE"""),30)</f>
        <v>30</v>
      </c>
      <c r="I2421" s="83">
        <f ca="1">IFERROR(__xludf.DUMMYFUNCTION("""COMPUTED_VALUE"""),43)</f>
        <v>43</v>
      </c>
    </row>
    <row r="2422" spans="1:9">
      <c r="A2422" s="79">
        <v>450</v>
      </c>
      <c r="B2422" s="79">
        <v>3</v>
      </c>
      <c r="C2422" s="79">
        <v>453</v>
      </c>
      <c r="D2422" s="80">
        <v>43339.781736111108</v>
      </c>
      <c r="E2422" s="81">
        <f t="shared" ca="1" si="18"/>
        <v>43313</v>
      </c>
      <c r="F2422" s="82">
        <f ca="1">IFERROR(__xludf.DUMMYFUNCTION("""COMPUTED_VALUE"""),0.781736111111111)</f>
        <v>0.78173611111111097</v>
      </c>
      <c r="G2422" s="83">
        <f t="shared" ca="1" si="19"/>
        <v>19</v>
      </c>
      <c r="H2422" s="83">
        <f ca="1">IFERROR(__xludf.DUMMYFUNCTION("""COMPUTED_VALUE"""),45)</f>
        <v>45</v>
      </c>
      <c r="I2422" s="83">
        <f ca="1">IFERROR(__xludf.DUMMYFUNCTION("""COMPUTED_VALUE"""),42)</f>
        <v>42</v>
      </c>
    </row>
    <row r="2423" spans="1:9">
      <c r="A2423" s="79">
        <v>430</v>
      </c>
      <c r="B2423" s="79">
        <v>4</v>
      </c>
      <c r="C2423" s="79">
        <v>434</v>
      </c>
      <c r="D2423" s="80">
        <v>43339.792141203703</v>
      </c>
      <c r="E2423" s="81">
        <f t="shared" ca="1" si="18"/>
        <v>43313</v>
      </c>
      <c r="F2423" s="82">
        <f ca="1">IFERROR(__xludf.DUMMYFUNCTION("""COMPUTED_VALUE"""),0.792141203703703)</f>
        <v>0.792141203703703</v>
      </c>
      <c r="G2423" s="83">
        <f t="shared" ca="1" si="19"/>
        <v>19</v>
      </c>
      <c r="H2423" s="83">
        <f ca="1">IFERROR(__xludf.DUMMYFUNCTION("""COMPUTED_VALUE"""),0)</f>
        <v>0</v>
      </c>
      <c r="I2423" s="83">
        <f ca="1">IFERROR(__xludf.DUMMYFUNCTION("""COMPUTED_VALUE"""),41)</f>
        <v>41</v>
      </c>
    </row>
    <row r="2424" spans="1:9">
      <c r="A2424" s="79">
        <v>557</v>
      </c>
      <c r="B2424" s="79">
        <v>4</v>
      </c>
      <c r="C2424" s="79">
        <v>561</v>
      </c>
      <c r="D2424" s="80">
        <v>43339.802569444444</v>
      </c>
      <c r="E2424" s="81">
        <f t="shared" ca="1" si="18"/>
        <v>43313</v>
      </c>
      <c r="F2424" s="82">
        <f ca="1">IFERROR(__xludf.DUMMYFUNCTION("""COMPUTED_VALUE"""),0.802569444444444)</f>
        <v>0.802569444444444</v>
      </c>
      <c r="G2424" s="83">
        <f t="shared" ca="1" si="19"/>
        <v>19</v>
      </c>
      <c r="H2424" s="83">
        <f ca="1">IFERROR(__xludf.DUMMYFUNCTION("""COMPUTED_VALUE"""),15)</f>
        <v>15</v>
      </c>
      <c r="I2424" s="83">
        <f ca="1">IFERROR(__xludf.DUMMYFUNCTION("""COMPUTED_VALUE"""),42)</f>
        <v>42</v>
      </c>
    </row>
    <row r="2425" spans="1:9">
      <c r="A2425" s="79">
        <v>569</v>
      </c>
      <c r="B2425" s="79">
        <v>5</v>
      </c>
      <c r="C2425" s="79">
        <v>574</v>
      </c>
      <c r="D2425" s="80">
        <v>43339.812986111108</v>
      </c>
      <c r="E2425" s="81">
        <f t="shared" ca="1" si="18"/>
        <v>43313</v>
      </c>
      <c r="F2425" s="82">
        <f ca="1">IFERROR(__xludf.DUMMYFUNCTION("""COMPUTED_VALUE"""),0.812986111111111)</f>
        <v>0.81298611111111097</v>
      </c>
      <c r="G2425" s="83">
        <f t="shared" ca="1" si="19"/>
        <v>19</v>
      </c>
      <c r="H2425" s="83">
        <f ca="1">IFERROR(__xludf.DUMMYFUNCTION("""COMPUTED_VALUE"""),30)</f>
        <v>30</v>
      </c>
      <c r="I2425" s="83">
        <f ca="1">IFERROR(__xludf.DUMMYFUNCTION("""COMPUTED_VALUE"""),42)</f>
        <v>42</v>
      </c>
    </row>
    <row r="2426" spans="1:9">
      <c r="A2426" s="79">
        <v>688</v>
      </c>
      <c r="B2426" s="79">
        <v>3</v>
      </c>
      <c r="C2426" s="79">
        <v>691</v>
      </c>
      <c r="D2426" s="80">
        <v>43339.82340277778</v>
      </c>
      <c r="E2426" s="81">
        <f t="shared" ca="1" si="18"/>
        <v>43313</v>
      </c>
      <c r="F2426" s="82">
        <f ca="1">IFERROR(__xludf.DUMMYFUNCTION("""COMPUTED_VALUE"""),0.823402777777777)</f>
        <v>0.82340277777777704</v>
      </c>
      <c r="G2426" s="83">
        <f t="shared" ca="1" si="19"/>
        <v>19</v>
      </c>
      <c r="H2426" s="83">
        <f ca="1">IFERROR(__xludf.DUMMYFUNCTION("""COMPUTED_VALUE"""),45)</f>
        <v>45</v>
      </c>
      <c r="I2426" s="83">
        <f ca="1">IFERROR(__xludf.DUMMYFUNCTION("""COMPUTED_VALUE"""),42)</f>
        <v>42</v>
      </c>
    </row>
    <row r="2427" spans="1:9">
      <c r="A2427" s="79">
        <v>618</v>
      </c>
      <c r="B2427" s="79">
        <v>6</v>
      </c>
      <c r="C2427" s="79">
        <v>624</v>
      </c>
      <c r="D2427" s="80">
        <v>43339.833819444444</v>
      </c>
      <c r="E2427" s="81">
        <f t="shared" ca="1" si="18"/>
        <v>43313</v>
      </c>
      <c r="F2427" s="82">
        <f ca="1">IFERROR(__xludf.DUMMYFUNCTION("""COMPUTED_VALUE"""),0.833819444444444)</f>
        <v>0.833819444444444</v>
      </c>
      <c r="G2427" s="83">
        <f t="shared" ca="1" si="19"/>
        <v>19</v>
      </c>
      <c r="H2427" s="83">
        <f ca="1">IFERROR(__xludf.DUMMYFUNCTION("""COMPUTED_VALUE"""),0)</f>
        <v>0</v>
      </c>
      <c r="I2427" s="83">
        <f ca="1">IFERROR(__xludf.DUMMYFUNCTION("""COMPUTED_VALUE"""),42)</f>
        <v>42</v>
      </c>
    </row>
    <row r="2428" spans="1:9">
      <c r="A2428" s="79">
        <v>854</v>
      </c>
      <c r="B2428" s="79">
        <v>9</v>
      </c>
      <c r="C2428" s="79">
        <v>863</v>
      </c>
      <c r="D2428" s="80">
        <v>43339.844236111108</v>
      </c>
      <c r="E2428" s="81">
        <f t="shared" ca="1" si="18"/>
        <v>43313</v>
      </c>
      <c r="F2428" s="82">
        <f ca="1">IFERROR(__xludf.DUMMYFUNCTION("""COMPUTED_VALUE"""),0.844236111111111)</f>
        <v>0.84423611111111097</v>
      </c>
      <c r="G2428" s="83">
        <f t="shared" ca="1" si="19"/>
        <v>19</v>
      </c>
      <c r="H2428" s="83">
        <f ca="1">IFERROR(__xludf.DUMMYFUNCTION("""COMPUTED_VALUE"""),15)</f>
        <v>15</v>
      </c>
      <c r="I2428" s="83">
        <f ca="1">IFERROR(__xludf.DUMMYFUNCTION("""COMPUTED_VALUE"""),42)</f>
        <v>42</v>
      </c>
    </row>
    <row r="2429" spans="1:9">
      <c r="A2429" s="79">
        <v>814</v>
      </c>
      <c r="B2429" s="79">
        <v>12</v>
      </c>
      <c r="C2429" s="79">
        <v>825</v>
      </c>
      <c r="D2429" s="80">
        <v>43339.85465277778</v>
      </c>
      <c r="E2429" s="81">
        <f t="shared" ca="1" si="18"/>
        <v>43313</v>
      </c>
      <c r="F2429" s="82">
        <f ca="1">IFERROR(__xludf.DUMMYFUNCTION("""COMPUTED_VALUE"""),0.854652777777777)</f>
        <v>0.85465277777777704</v>
      </c>
      <c r="G2429" s="83">
        <f t="shared" ca="1" si="19"/>
        <v>19</v>
      </c>
      <c r="H2429" s="83">
        <f ca="1">IFERROR(__xludf.DUMMYFUNCTION("""COMPUTED_VALUE"""),30)</f>
        <v>30</v>
      </c>
      <c r="I2429" s="83">
        <f ca="1">IFERROR(__xludf.DUMMYFUNCTION("""COMPUTED_VALUE"""),42)</f>
        <v>42</v>
      </c>
    </row>
    <row r="2430" spans="1:9">
      <c r="A2430" s="79">
        <v>777</v>
      </c>
      <c r="B2430" s="79">
        <v>5</v>
      </c>
      <c r="C2430" s="79">
        <v>782</v>
      </c>
      <c r="D2430" s="80">
        <v>43339.865069444444</v>
      </c>
      <c r="E2430" s="81">
        <f t="shared" ca="1" si="18"/>
        <v>43313</v>
      </c>
      <c r="F2430" s="82">
        <f ca="1">IFERROR(__xludf.DUMMYFUNCTION("""COMPUTED_VALUE"""),0.865069444444444)</f>
        <v>0.865069444444444</v>
      </c>
      <c r="G2430" s="83">
        <f t="shared" ca="1" si="19"/>
        <v>19</v>
      </c>
      <c r="H2430" s="83">
        <f ca="1">IFERROR(__xludf.DUMMYFUNCTION("""COMPUTED_VALUE"""),45)</f>
        <v>45</v>
      </c>
      <c r="I2430" s="83">
        <f ca="1">IFERROR(__xludf.DUMMYFUNCTION("""COMPUTED_VALUE"""),42)</f>
        <v>42</v>
      </c>
    </row>
    <row r="2431" spans="1:9">
      <c r="A2431" s="79">
        <v>691</v>
      </c>
      <c r="B2431" s="79">
        <v>10</v>
      </c>
      <c r="C2431" s="79">
        <v>701</v>
      </c>
      <c r="D2431" s="80">
        <v>43339.875486111108</v>
      </c>
      <c r="E2431" s="81">
        <f t="shared" ca="1" si="18"/>
        <v>43313</v>
      </c>
      <c r="F2431" s="82">
        <f ca="1">IFERROR(__xludf.DUMMYFUNCTION("""COMPUTED_VALUE"""),0.875486111111111)</f>
        <v>0.87548611111111097</v>
      </c>
      <c r="G2431" s="83">
        <f t="shared" ca="1" si="19"/>
        <v>19</v>
      </c>
      <c r="H2431" s="83">
        <f ca="1">IFERROR(__xludf.DUMMYFUNCTION("""COMPUTED_VALUE"""),0)</f>
        <v>0</v>
      </c>
      <c r="I2431" s="83">
        <f ca="1">IFERROR(__xludf.DUMMYFUNCTION("""COMPUTED_VALUE"""),42)</f>
        <v>42</v>
      </c>
    </row>
    <row r="2432" spans="1:9">
      <c r="A2432" s="79">
        <v>741</v>
      </c>
      <c r="B2432" s="79">
        <v>4</v>
      </c>
      <c r="C2432" s="79">
        <v>745</v>
      </c>
      <c r="D2432" s="80">
        <v>43339.88590277778</v>
      </c>
      <c r="E2432" s="81">
        <f t="shared" ca="1" si="18"/>
        <v>43313</v>
      </c>
      <c r="F2432" s="82">
        <f ca="1">IFERROR(__xludf.DUMMYFUNCTION("""COMPUTED_VALUE"""),0.885902777777777)</f>
        <v>0.88590277777777704</v>
      </c>
      <c r="G2432" s="83">
        <f t="shared" ca="1" si="19"/>
        <v>19</v>
      </c>
      <c r="H2432" s="83">
        <f ca="1">IFERROR(__xludf.DUMMYFUNCTION("""COMPUTED_VALUE"""),15)</f>
        <v>15</v>
      </c>
      <c r="I2432" s="83">
        <f ca="1">IFERROR(__xludf.DUMMYFUNCTION("""COMPUTED_VALUE"""),42)</f>
        <v>42</v>
      </c>
    </row>
    <row r="2433" spans="1:9">
      <c r="A2433" s="79">
        <v>670</v>
      </c>
      <c r="B2433" s="79">
        <v>4</v>
      </c>
      <c r="C2433" s="79">
        <v>673</v>
      </c>
      <c r="D2433" s="80">
        <v>43339.896319444444</v>
      </c>
      <c r="E2433" s="81">
        <f t="shared" ca="1" si="18"/>
        <v>43313</v>
      </c>
      <c r="F2433" s="82">
        <f ca="1">IFERROR(__xludf.DUMMYFUNCTION("""COMPUTED_VALUE"""),0.896319444444444)</f>
        <v>0.896319444444444</v>
      </c>
      <c r="G2433" s="83">
        <f t="shared" ca="1" si="19"/>
        <v>19</v>
      </c>
      <c r="H2433" s="83">
        <f ca="1">IFERROR(__xludf.DUMMYFUNCTION("""COMPUTED_VALUE"""),30)</f>
        <v>30</v>
      </c>
      <c r="I2433" s="83">
        <f ca="1">IFERROR(__xludf.DUMMYFUNCTION("""COMPUTED_VALUE"""),42)</f>
        <v>42</v>
      </c>
    </row>
    <row r="2434" spans="1:9">
      <c r="A2434" s="79">
        <v>624</v>
      </c>
      <c r="B2434" s="79">
        <v>2</v>
      </c>
      <c r="C2434" s="79">
        <v>626</v>
      </c>
      <c r="D2434" s="80">
        <v>43339.906724537039</v>
      </c>
      <c r="E2434" s="81">
        <f t="shared" ca="1" si="18"/>
        <v>43313</v>
      </c>
      <c r="F2434" s="82">
        <f ca="1">IFERROR(__xludf.DUMMYFUNCTION("""COMPUTED_VALUE"""),0.906724537037037)</f>
        <v>0.90672453703703704</v>
      </c>
      <c r="G2434" s="83">
        <f t="shared" ca="1" si="19"/>
        <v>19</v>
      </c>
      <c r="H2434" s="83">
        <f ca="1">IFERROR(__xludf.DUMMYFUNCTION("""COMPUTED_VALUE"""),45)</f>
        <v>45</v>
      </c>
      <c r="I2434" s="83">
        <f ca="1">IFERROR(__xludf.DUMMYFUNCTION("""COMPUTED_VALUE"""),41)</f>
        <v>41</v>
      </c>
    </row>
    <row r="2435" spans="1:9">
      <c r="A2435" s="79">
        <v>585</v>
      </c>
      <c r="B2435" s="79">
        <v>7</v>
      </c>
      <c r="C2435" s="79">
        <v>592</v>
      </c>
      <c r="D2435" s="80">
        <v>43339.91715277778</v>
      </c>
      <c r="E2435" s="81">
        <f t="shared" ca="1" si="18"/>
        <v>43313</v>
      </c>
      <c r="F2435" s="82">
        <f ca="1">IFERROR(__xludf.DUMMYFUNCTION("""COMPUTED_VALUE"""),0.917152777777777)</f>
        <v>0.91715277777777704</v>
      </c>
      <c r="G2435" s="83">
        <f t="shared" ca="1" si="19"/>
        <v>19</v>
      </c>
      <c r="H2435" s="83">
        <f ca="1">IFERROR(__xludf.DUMMYFUNCTION("""COMPUTED_VALUE"""),0)</f>
        <v>0</v>
      </c>
      <c r="I2435" s="83">
        <f ca="1">IFERROR(__xludf.DUMMYFUNCTION("""COMPUTED_VALUE"""),42)</f>
        <v>42</v>
      </c>
    </row>
    <row r="2436" spans="1:9">
      <c r="A2436" s="79">
        <v>621</v>
      </c>
      <c r="B2436" s="79">
        <v>6</v>
      </c>
      <c r="C2436" s="79">
        <v>627</v>
      </c>
      <c r="D2436" s="80">
        <v>43339.927557870367</v>
      </c>
      <c r="E2436" s="81">
        <f t="shared" ca="1" si="18"/>
        <v>43313</v>
      </c>
      <c r="F2436" s="82">
        <f ca="1">IFERROR(__xludf.DUMMYFUNCTION("""COMPUTED_VALUE"""),0.92755787037037)</f>
        <v>0.92755787037036996</v>
      </c>
      <c r="G2436" s="83">
        <f t="shared" ca="1" si="19"/>
        <v>19</v>
      </c>
      <c r="H2436" s="83">
        <f ca="1">IFERROR(__xludf.DUMMYFUNCTION("""COMPUTED_VALUE"""),15)</f>
        <v>15</v>
      </c>
      <c r="I2436" s="83">
        <f ca="1">IFERROR(__xludf.DUMMYFUNCTION("""COMPUTED_VALUE"""),41)</f>
        <v>41</v>
      </c>
    </row>
    <row r="2437" spans="1:9">
      <c r="A2437" s="79">
        <v>584</v>
      </c>
      <c r="B2437" s="79">
        <v>0</v>
      </c>
      <c r="C2437" s="79">
        <v>584</v>
      </c>
      <c r="D2437" s="80">
        <v>43339.937986111108</v>
      </c>
      <c r="E2437" s="81">
        <f t="shared" ca="1" si="18"/>
        <v>43313</v>
      </c>
      <c r="F2437" s="82">
        <f ca="1">IFERROR(__xludf.DUMMYFUNCTION("""COMPUTED_VALUE"""),0.937986111111111)</f>
        <v>0.93798611111111097</v>
      </c>
      <c r="G2437" s="83">
        <f t="shared" ca="1" si="19"/>
        <v>19</v>
      </c>
      <c r="H2437" s="83">
        <f ca="1">IFERROR(__xludf.DUMMYFUNCTION("""COMPUTED_VALUE"""),30)</f>
        <v>30</v>
      </c>
      <c r="I2437" s="83">
        <f ca="1">IFERROR(__xludf.DUMMYFUNCTION("""COMPUTED_VALUE"""),42)</f>
        <v>42</v>
      </c>
    </row>
    <row r="2438" spans="1:9">
      <c r="A2438" s="79">
        <v>488</v>
      </c>
      <c r="B2438" s="79">
        <v>6</v>
      </c>
      <c r="C2438" s="79">
        <v>494</v>
      </c>
      <c r="D2438" s="80">
        <v>43339.948391203703</v>
      </c>
      <c r="E2438" s="81">
        <f t="shared" ca="1" si="18"/>
        <v>43313</v>
      </c>
      <c r="F2438" s="82">
        <f ca="1">IFERROR(__xludf.DUMMYFUNCTION("""COMPUTED_VALUE"""),0.948391203703703)</f>
        <v>0.948391203703703</v>
      </c>
      <c r="G2438" s="83">
        <f t="shared" ca="1" si="19"/>
        <v>19</v>
      </c>
      <c r="H2438" s="83">
        <f ca="1">IFERROR(__xludf.DUMMYFUNCTION("""COMPUTED_VALUE"""),45)</f>
        <v>45</v>
      </c>
      <c r="I2438" s="83">
        <f ca="1">IFERROR(__xludf.DUMMYFUNCTION("""COMPUTED_VALUE"""),41)</f>
        <v>41</v>
      </c>
    </row>
    <row r="2439" spans="1:9">
      <c r="A2439" s="79">
        <v>495</v>
      </c>
      <c r="B2439" s="79">
        <v>3</v>
      </c>
      <c r="C2439" s="79">
        <v>498</v>
      </c>
      <c r="D2439" s="80">
        <v>43339.958819444444</v>
      </c>
      <c r="E2439" s="81">
        <f t="shared" ca="1" si="18"/>
        <v>43313</v>
      </c>
      <c r="F2439" s="82">
        <f ca="1">IFERROR(__xludf.DUMMYFUNCTION("""COMPUTED_VALUE"""),0.958819444444444)</f>
        <v>0.958819444444444</v>
      </c>
      <c r="G2439" s="83">
        <f t="shared" ca="1" si="19"/>
        <v>19</v>
      </c>
      <c r="H2439" s="83">
        <f ca="1">IFERROR(__xludf.DUMMYFUNCTION("""COMPUTED_VALUE"""),0)</f>
        <v>0</v>
      </c>
      <c r="I2439" s="83">
        <f ca="1">IFERROR(__xludf.DUMMYFUNCTION("""COMPUTED_VALUE"""),42)</f>
        <v>42</v>
      </c>
    </row>
    <row r="2440" spans="1:9">
      <c r="A2440" s="79">
        <v>455</v>
      </c>
      <c r="B2440" s="79">
        <v>6</v>
      </c>
      <c r="C2440" s="79">
        <v>454</v>
      </c>
      <c r="D2440" s="80">
        <v>43339.969224537039</v>
      </c>
      <c r="E2440" s="81">
        <f t="shared" ca="1" si="18"/>
        <v>43313</v>
      </c>
      <c r="F2440" s="82">
        <f ca="1">IFERROR(__xludf.DUMMYFUNCTION("""COMPUTED_VALUE"""),0.969224537037037)</f>
        <v>0.96922453703703704</v>
      </c>
      <c r="G2440" s="83">
        <f t="shared" ca="1" si="19"/>
        <v>19</v>
      </c>
      <c r="H2440" s="83">
        <f ca="1">IFERROR(__xludf.DUMMYFUNCTION("""COMPUTED_VALUE"""),15)</f>
        <v>15</v>
      </c>
      <c r="I2440" s="83">
        <f ca="1">IFERROR(__xludf.DUMMYFUNCTION("""COMPUTED_VALUE"""),41)</f>
        <v>41</v>
      </c>
    </row>
    <row r="2441" spans="1:9">
      <c r="A2441" s="79">
        <v>413</v>
      </c>
      <c r="B2441" s="79">
        <v>4</v>
      </c>
      <c r="C2441" s="79">
        <v>417</v>
      </c>
      <c r="D2441" s="80">
        <v>43339.979641203703</v>
      </c>
      <c r="E2441" s="81">
        <f t="shared" ca="1" si="18"/>
        <v>43313</v>
      </c>
      <c r="F2441" s="82">
        <f ca="1">IFERROR(__xludf.DUMMYFUNCTION("""COMPUTED_VALUE"""),0.979641203703703)</f>
        <v>0.979641203703703</v>
      </c>
      <c r="G2441" s="83">
        <f t="shared" ca="1" si="19"/>
        <v>19</v>
      </c>
      <c r="H2441" s="83">
        <f ca="1">IFERROR(__xludf.DUMMYFUNCTION("""COMPUTED_VALUE"""),30)</f>
        <v>30</v>
      </c>
      <c r="I2441" s="83">
        <f ca="1">IFERROR(__xludf.DUMMYFUNCTION("""COMPUTED_VALUE"""),41)</f>
        <v>41</v>
      </c>
    </row>
    <row r="2442" spans="1:9">
      <c r="A2442" s="79">
        <v>330</v>
      </c>
      <c r="B2442" s="79">
        <v>2</v>
      </c>
      <c r="C2442" s="79">
        <v>332</v>
      </c>
      <c r="D2442" s="80">
        <v>43339.990069444444</v>
      </c>
      <c r="E2442" s="81">
        <f t="shared" ca="1" si="18"/>
        <v>43313</v>
      </c>
      <c r="F2442" s="82">
        <f ca="1">IFERROR(__xludf.DUMMYFUNCTION("""COMPUTED_VALUE"""),0.990069444444444)</f>
        <v>0.990069444444444</v>
      </c>
      <c r="G2442" s="83">
        <f t="shared" ca="1" si="19"/>
        <v>19</v>
      </c>
      <c r="H2442" s="83">
        <f ca="1">IFERROR(__xludf.DUMMYFUNCTION("""COMPUTED_VALUE"""),45)</f>
        <v>45</v>
      </c>
      <c r="I2442" s="83">
        <f ca="1">IFERROR(__xludf.DUMMYFUNCTION("""COMPUTED_VALUE"""),42)</f>
        <v>42</v>
      </c>
    </row>
    <row r="2443" spans="1:9">
      <c r="A2443" s="79">
        <v>302</v>
      </c>
      <c r="B2443" s="79">
        <v>3</v>
      </c>
      <c r="C2443" s="79">
        <v>305</v>
      </c>
      <c r="D2443" s="80">
        <v>43340.000486111108</v>
      </c>
      <c r="E2443" s="81">
        <f t="shared" ca="1" si="18"/>
        <v>43313</v>
      </c>
      <c r="F2443" s="82">
        <f ca="1">IFERROR(__xludf.DUMMYFUNCTION("""COMPUTED_VALUE"""),0.000486111111111111)</f>
        <v>4.8611111111111099E-4</v>
      </c>
      <c r="G2443" s="83">
        <f t="shared" ca="1" si="19"/>
        <v>19</v>
      </c>
      <c r="H2443" s="83">
        <f ca="1">IFERROR(__xludf.DUMMYFUNCTION("""COMPUTED_VALUE"""),0)</f>
        <v>0</v>
      </c>
      <c r="I2443" s="83">
        <f ca="1">IFERROR(__xludf.DUMMYFUNCTION("""COMPUTED_VALUE"""),42)</f>
        <v>42</v>
      </c>
    </row>
    <row r="2444" spans="1:9">
      <c r="A2444" s="79">
        <v>339</v>
      </c>
      <c r="B2444" s="79">
        <v>3</v>
      </c>
      <c r="C2444" s="79">
        <v>342</v>
      </c>
      <c r="D2444" s="80">
        <v>43340.010891203703</v>
      </c>
      <c r="E2444" s="81">
        <f t="shared" ca="1" si="18"/>
        <v>43313</v>
      </c>
      <c r="F2444" s="82">
        <f ca="1">IFERROR(__xludf.DUMMYFUNCTION("""COMPUTED_VALUE"""),0.0108912037037037)</f>
        <v>1.08912037037037E-2</v>
      </c>
      <c r="G2444" s="83">
        <f t="shared" ca="1" si="19"/>
        <v>19</v>
      </c>
      <c r="H2444" s="83">
        <f ca="1">IFERROR(__xludf.DUMMYFUNCTION("""COMPUTED_VALUE"""),15)</f>
        <v>15</v>
      </c>
      <c r="I2444" s="83">
        <f ca="1">IFERROR(__xludf.DUMMYFUNCTION("""COMPUTED_VALUE"""),41)</f>
        <v>41</v>
      </c>
    </row>
    <row r="2445" spans="1:9">
      <c r="A2445" s="79">
        <v>285</v>
      </c>
      <c r="B2445" s="79">
        <v>2</v>
      </c>
      <c r="C2445" s="79">
        <v>287</v>
      </c>
      <c r="D2445" s="80">
        <v>43340.021307870367</v>
      </c>
      <c r="E2445" s="81">
        <f t="shared" ca="1" si="18"/>
        <v>43313</v>
      </c>
      <c r="F2445" s="82">
        <f ca="1">IFERROR(__xludf.DUMMYFUNCTION("""COMPUTED_VALUE"""),0.0213078703703703)</f>
        <v>2.13078703703703E-2</v>
      </c>
      <c r="G2445" s="83">
        <f t="shared" ca="1" si="19"/>
        <v>19</v>
      </c>
      <c r="H2445" s="83">
        <f ca="1">IFERROR(__xludf.DUMMYFUNCTION("""COMPUTED_VALUE"""),30)</f>
        <v>30</v>
      </c>
      <c r="I2445" s="83">
        <f ca="1">IFERROR(__xludf.DUMMYFUNCTION("""COMPUTED_VALUE"""),41)</f>
        <v>41</v>
      </c>
    </row>
    <row r="2446" spans="1:9">
      <c r="A2446" s="79">
        <v>247</v>
      </c>
      <c r="B2446" s="79">
        <v>1</v>
      </c>
      <c r="C2446" s="79">
        <v>248</v>
      </c>
      <c r="D2446" s="80">
        <v>43340.031724537039</v>
      </c>
      <c r="E2446" s="81">
        <f t="shared" ca="1" si="18"/>
        <v>43313</v>
      </c>
      <c r="F2446" s="82">
        <f ca="1">IFERROR(__xludf.DUMMYFUNCTION("""COMPUTED_VALUE"""),0.031724537037037)</f>
        <v>3.1724537037037003E-2</v>
      </c>
      <c r="G2446" s="83">
        <f t="shared" ca="1" si="19"/>
        <v>19</v>
      </c>
      <c r="H2446" s="83">
        <f ca="1">IFERROR(__xludf.DUMMYFUNCTION("""COMPUTED_VALUE"""),45)</f>
        <v>45</v>
      </c>
      <c r="I2446" s="83">
        <f ca="1">IFERROR(__xludf.DUMMYFUNCTION("""COMPUTED_VALUE"""),41)</f>
        <v>41</v>
      </c>
    </row>
    <row r="2447" spans="1:9">
      <c r="A2447" s="79">
        <v>255</v>
      </c>
      <c r="B2447" s="79">
        <v>5</v>
      </c>
      <c r="C2447" s="79">
        <v>260</v>
      </c>
      <c r="D2447" s="80">
        <v>43340.042141203703</v>
      </c>
      <c r="E2447" s="81">
        <f t="shared" ca="1" si="18"/>
        <v>43313</v>
      </c>
      <c r="F2447" s="82">
        <f ca="1">IFERROR(__xludf.DUMMYFUNCTION("""COMPUTED_VALUE"""),0.0421412037037037)</f>
        <v>4.2141203703703702E-2</v>
      </c>
      <c r="G2447" s="83">
        <f t="shared" ca="1" si="19"/>
        <v>19</v>
      </c>
      <c r="H2447" s="83">
        <f ca="1">IFERROR(__xludf.DUMMYFUNCTION("""COMPUTED_VALUE"""),0)</f>
        <v>0</v>
      </c>
      <c r="I2447" s="83">
        <f ca="1">IFERROR(__xludf.DUMMYFUNCTION("""COMPUTED_VALUE"""),41)</f>
        <v>41</v>
      </c>
    </row>
    <row r="2448" spans="1:9">
      <c r="A2448" s="79">
        <v>244</v>
      </c>
      <c r="B2448" s="79">
        <v>6</v>
      </c>
      <c r="C2448" s="79">
        <v>250</v>
      </c>
      <c r="D2448" s="80">
        <v>43340.052557870367</v>
      </c>
      <c r="E2448" s="81">
        <f t="shared" ca="1" si="18"/>
        <v>43313</v>
      </c>
      <c r="F2448" s="82">
        <f ca="1">IFERROR(__xludf.DUMMYFUNCTION("""COMPUTED_VALUE"""),0.0525578703703703)</f>
        <v>5.2557870370370303E-2</v>
      </c>
      <c r="G2448" s="83">
        <f t="shared" ca="1" si="19"/>
        <v>19</v>
      </c>
      <c r="H2448" s="83">
        <f ca="1">IFERROR(__xludf.DUMMYFUNCTION("""COMPUTED_VALUE"""),15)</f>
        <v>15</v>
      </c>
      <c r="I2448" s="83">
        <f ca="1">IFERROR(__xludf.DUMMYFUNCTION("""COMPUTED_VALUE"""),41)</f>
        <v>41</v>
      </c>
    </row>
    <row r="2449" spans="1:9">
      <c r="A2449" s="79">
        <v>233</v>
      </c>
      <c r="B2449" s="79">
        <v>7</v>
      </c>
      <c r="C2449" s="79">
        <v>240</v>
      </c>
      <c r="D2449" s="80">
        <v>43340.062974537039</v>
      </c>
      <c r="E2449" s="81">
        <f t="shared" ca="1" si="18"/>
        <v>43313</v>
      </c>
      <c r="F2449" s="82">
        <f ca="1">IFERROR(__xludf.DUMMYFUNCTION("""COMPUTED_VALUE"""),0.062974537037037)</f>
        <v>6.2974537037036996E-2</v>
      </c>
      <c r="G2449" s="83">
        <f t="shared" ca="1" si="19"/>
        <v>19</v>
      </c>
      <c r="H2449" s="83">
        <f ca="1">IFERROR(__xludf.DUMMYFUNCTION("""COMPUTED_VALUE"""),30)</f>
        <v>30</v>
      </c>
      <c r="I2449" s="83">
        <f ca="1">IFERROR(__xludf.DUMMYFUNCTION("""COMPUTED_VALUE"""),41)</f>
        <v>41</v>
      </c>
    </row>
    <row r="2450" spans="1:9">
      <c r="A2450" s="79">
        <v>218</v>
      </c>
      <c r="B2450" s="79">
        <v>2</v>
      </c>
      <c r="C2450" s="79">
        <v>220</v>
      </c>
      <c r="D2450" s="80">
        <v>43340.07340277778</v>
      </c>
      <c r="E2450" s="81">
        <f t="shared" ca="1" si="18"/>
        <v>43313</v>
      </c>
      <c r="F2450" s="82">
        <f ca="1">IFERROR(__xludf.DUMMYFUNCTION("""COMPUTED_VALUE"""),0.0734027777777777)</f>
        <v>7.3402777777777706E-2</v>
      </c>
      <c r="G2450" s="83">
        <f t="shared" ca="1" si="19"/>
        <v>19</v>
      </c>
      <c r="H2450" s="83">
        <f ca="1">IFERROR(__xludf.DUMMYFUNCTION("""COMPUTED_VALUE"""),45)</f>
        <v>45</v>
      </c>
      <c r="I2450" s="83">
        <f ca="1">IFERROR(__xludf.DUMMYFUNCTION("""COMPUTED_VALUE"""),42)</f>
        <v>42</v>
      </c>
    </row>
    <row r="2451" spans="1:9">
      <c r="A2451" s="79">
        <v>214</v>
      </c>
      <c r="B2451" s="79">
        <v>2</v>
      </c>
      <c r="C2451" s="79">
        <v>216</v>
      </c>
      <c r="D2451" s="80">
        <v>43340.083819444444</v>
      </c>
      <c r="E2451" s="81">
        <f t="shared" ca="1" si="18"/>
        <v>43313</v>
      </c>
      <c r="F2451" s="82">
        <f ca="1">IFERROR(__xludf.DUMMYFUNCTION("""COMPUTED_VALUE"""),0.0838194444444444)</f>
        <v>8.3819444444444405E-2</v>
      </c>
      <c r="G2451" s="83">
        <f t="shared" ca="1" si="19"/>
        <v>19</v>
      </c>
      <c r="H2451" s="83">
        <f ca="1">IFERROR(__xludf.DUMMYFUNCTION("""COMPUTED_VALUE"""),0)</f>
        <v>0</v>
      </c>
      <c r="I2451" s="83">
        <f ca="1">IFERROR(__xludf.DUMMYFUNCTION("""COMPUTED_VALUE"""),42)</f>
        <v>42</v>
      </c>
    </row>
    <row r="2452" spans="1:9">
      <c r="A2452" s="79">
        <v>238</v>
      </c>
      <c r="B2452" s="79">
        <v>0</v>
      </c>
      <c r="C2452" s="79">
        <v>238</v>
      </c>
      <c r="D2452" s="80">
        <v>43340.094236111108</v>
      </c>
      <c r="E2452" s="81">
        <f t="shared" ca="1" si="18"/>
        <v>43313</v>
      </c>
      <c r="F2452" s="82">
        <f ca="1">IFERROR(__xludf.DUMMYFUNCTION("""COMPUTED_VALUE"""),0.0942361111111111)</f>
        <v>9.4236111111111104E-2</v>
      </c>
      <c r="G2452" s="83">
        <f t="shared" ca="1" si="19"/>
        <v>19</v>
      </c>
      <c r="H2452" s="83">
        <f ca="1">IFERROR(__xludf.DUMMYFUNCTION("""COMPUTED_VALUE"""),15)</f>
        <v>15</v>
      </c>
      <c r="I2452" s="83">
        <f ca="1">IFERROR(__xludf.DUMMYFUNCTION("""COMPUTED_VALUE"""),42)</f>
        <v>42</v>
      </c>
    </row>
    <row r="2453" spans="1:9">
      <c r="A2453" s="79">
        <v>196</v>
      </c>
      <c r="B2453" s="79">
        <v>2</v>
      </c>
      <c r="C2453" s="79">
        <v>198</v>
      </c>
      <c r="D2453" s="80">
        <v>43340.104641203703</v>
      </c>
      <c r="E2453" s="81">
        <f t="shared" ca="1" si="18"/>
        <v>43313</v>
      </c>
      <c r="F2453" s="82">
        <f ca="1">IFERROR(__xludf.DUMMYFUNCTION("""COMPUTED_VALUE"""),0.104641203703703)</f>
        <v>0.104641203703703</v>
      </c>
      <c r="G2453" s="83">
        <f t="shared" ca="1" si="19"/>
        <v>19</v>
      </c>
      <c r="H2453" s="83">
        <f ca="1">IFERROR(__xludf.DUMMYFUNCTION("""COMPUTED_VALUE"""),30)</f>
        <v>30</v>
      </c>
      <c r="I2453" s="83">
        <f ca="1">IFERROR(__xludf.DUMMYFUNCTION("""COMPUTED_VALUE"""),41)</f>
        <v>41</v>
      </c>
    </row>
    <row r="2454" spans="1:9">
      <c r="A2454" s="79">
        <v>183</v>
      </c>
      <c r="B2454" s="79">
        <v>0</v>
      </c>
      <c r="C2454" s="79">
        <v>183</v>
      </c>
      <c r="D2454" s="80">
        <v>43340.115057870367</v>
      </c>
      <c r="E2454" s="81">
        <f t="shared" ca="1" si="18"/>
        <v>43313</v>
      </c>
      <c r="F2454" s="82">
        <f ca="1">IFERROR(__xludf.DUMMYFUNCTION("""COMPUTED_VALUE"""),0.11505787037037)</f>
        <v>0.11505787037037001</v>
      </c>
      <c r="G2454" s="83">
        <f t="shared" ca="1" si="19"/>
        <v>19</v>
      </c>
      <c r="H2454" s="83">
        <f ca="1">IFERROR(__xludf.DUMMYFUNCTION("""COMPUTED_VALUE"""),45)</f>
        <v>45</v>
      </c>
      <c r="I2454" s="83">
        <f ca="1">IFERROR(__xludf.DUMMYFUNCTION("""COMPUTED_VALUE"""),41)</f>
        <v>41</v>
      </c>
    </row>
    <row r="2455" spans="1:9">
      <c r="A2455" s="79">
        <v>167</v>
      </c>
      <c r="B2455" s="79">
        <v>2</v>
      </c>
      <c r="C2455" s="79">
        <v>169</v>
      </c>
      <c r="D2455" s="80">
        <v>43340.125474537039</v>
      </c>
      <c r="E2455" s="81">
        <f t="shared" ca="1" si="18"/>
        <v>43313</v>
      </c>
      <c r="F2455" s="82">
        <f ca="1">IFERROR(__xludf.DUMMYFUNCTION("""COMPUTED_VALUE"""),0.125474537037037)</f>
        <v>0.12547453703703701</v>
      </c>
      <c r="G2455" s="83">
        <f t="shared" ca="1" si="19"/>
        <v>19</v>
      </c>
      <c r="H2455" s="83">
        <f ca="1">IFERROR(__xludf.DUMMYFUNCTION("""COMPUTED_VALUE"""),0)</f>
        <v>0</v>
      </c>
      <c r="I2455" s="83">
        <f ca="1">IFERROR(__xludf.DUMMYFUNCTION("""COMPUTED_VALUE"""),41)</f>
        <v>41</v>
      </c>
    </row>
    <row r="2456" spans="1:9">
      <c r="A2456" s="79">
        <v>154</v>
      </c>
      <c r="B2456" s="79">
        <v>3</v>
      </c>
      <c r="C2456" s="79">
        <v>157</v>
      </c>
      <c r="D2456" s="80">
        <v>43340.135891203703</v>
      </c>
      <c r="E2456" s="81">
        <f t="shared" ca="1" si="18"/>
        <v>43313</v>
      </c>
      <c r="F2456" s="82">
        <f ca="1">IFERROR(__xludf.DUMMYFUNCTION("""COMPUTED_VALUE"""),0.135891203703703)</f>
        <v>0.135891203703703</v>
      </c>
      <c r="G2456" s="83">
        <f t="shared" ca="1" si="19"/>
        <v>19</v>
      </c>
      <c r="H2456" s="83">
        <f ca="1">IFERROR(__xludf.DUMMYFUNCTION("""COMPUTED_VALUE"""),15)</f>
        <v>15</v>
      </c>
      <c r="I2456" s="83">
        <f ca="1">IFERROR(__xludf.DUMMYFUNCTION("""COMPUTED_VALUE"""),41)</f>
        <v>41</v>
      </c>
    </row>
    <row r="2457" spans="1:9">
      <c r="A2457" s="79">
        <v>137</v>
      </c>
      <c r="B2457" s="79">
        <v>0</v>
      </c>
      <c r="C2457" s="79">
        <v>137</v>
      </c>
      <c r="D2457" s="80">
        <v>43340.146307870367</v>
      </c>
      <c r="E2457" s="81">
        <f t="shared" ca="1" si="18"/>
        <v>43313</v>
      </c>
      <c r="F2457" s="82">
        <f ca="1">IFERROR(__xludf.DUMMYFUNCTION("""COMPUTED_VALUE"""),0.14630787037037)</f>
        <v>0.14630787037036999</v>
      </c>
      <c r="G2457" s="83">
        <f t="shared" ca="1" si="19"/>
        <v>19</v>
      </c>
      <c r="H2457" s="83">
        <f ca="1">IFERROR(__xludf.DUMMYFUNCTION("""COMPUTED_VALUE"""),30)</f>
        <v>30</v>
      </c>
      <c r="I2457" s="83">
        <f ca="1">IFERROR(__xludf.DUMMYFUNCTION("""COMPUTED_VALUE"""),41)</f>
        <v>41</v>
      </c>
    </row>
    <row r="2458" spans="1:9">
      <c r="A2458" s="79">
        <v>120</v>
      </c>
      <c r="B2458" s="79">
        <v>3</v>
      </c>
      <c r="C2458" s="79">
        <v>123</v>
      </c>
      <c r="D2458" s="80">
        <v>43340.156724537039</v>
      </c>
      <c r="E2458" s="81">
        <f t="shared" ca="1" si="18"/>
        <v>43313</v>
      </c>
      <c r="F2458" s="82">
        <f ca="1">IFERROR(__xludf.DUMMYFUNCTION("""COMPUTED_VALUE"""),0.156724537037037)</f>
        <v>0.15672453703703701</v>
      </c>
      <c r="G2458" s="83">
        <f t="shared" ca="1" si="19"/>
        <v>19</v>
      </c>
      <c r="H2458" s="83">
        <f ca="1">IFERROR(__xludf.DUMMYFUNCTION("""COMPUTED_VALUE"""),45)</f>
        <v>45</v>
      </c>
      <c r="I2458" s="83">
        <f ca="1">IFERROR(__xludf.DUMMYFUNCTION("""COMPUTED_VALUE"""),41)</f>
        <v>41</v>
      </c>
    </row>
    <row r="2459" spans="1:9">
      <c r="A2459" s="79">
        <v>101</v>
      </c>
      <c r="B2459" s="79">
        <v>2</v>
      </c>
      <c r="C2459" s="79">
        <v>103</v>
      </c>
      <c r="D2459" s="80">
        <v>43340.167141203703</v>
      </c>
      <c r="E2459" s="81">
        <f t="shared" ca="1" si="18"/>
        <v>43313</v>
      </c>
      <c r="F2459" s="82">
        <f ca="1">IFERROR(__xludf.DUMMYFUNCTION("""COMPUTED_VALUE"""),0.167141203703703)</f>
        <v>0.167141203703703</v>
      </c>
      <c r="G2459" s="83">
        <f t="shared" ca="1" si="19"/>
        <v>19</v>
      </c>
      <c r="H2459" s="83">
        <f ca="1">IFERROR(__xludf.DUMMYFUNCTION("""COMPUTED_VALUE"""),0)</f>
        <v>0</v>
      </c>
      <c r="I2459" s="83">
        <f ca="1">IFERROR(__xludf.DUMMYFUNCTION("""COMPUTED_VALUE"""),41)</f>
        <v>41</v>
      </c>
    </row>
    <row r="2460" spans="1:9">
      <c r="A2460" s="79">
        <v>38</v>
      </c>
      <c r="B2460" s="79">
        <v>2</v>
      </c>
      <c r="C2460" s="79">
        <v>40</v>
      </c>
      <c r="D2460" s="80">
        <v>43340.177557870367</v>
      </c>
      <c r="E2460" s="81">
        <f t="shared" ca="1" si="18"/>
        <v>43313</v>
      </c>
      <c r="F2460" s="82">
        <f ca="1">IFERROR(__xludf.DUMMYFUNCTION("""COMPUTED_VALUE"""),0.17755787037037)</f>
        <v>0.17755787037036999</v>
      </c>
      <c r="G2460" s="83">
        <f t="shared" ca="1" si="19"/>
        <v>19</v>
      </c>
      <c r="H2460" s="83">
        <f ca="1">IFERROR(__xludf.DUMMYFUNCTION("""COMPUTED_VALUE"""),15)</f>
        <v>15</v>
      </c>
      <c r="I2460" s="83">
        <f ca="1">IFERROR(__xludf.DUMMYFUNCTION("""COMPUTED_VALUE"""),41)</f>
        <v>41</v>
      </c>
    </row>
    <row r="2461" spans="1:9">
      <c r="A2461" s="79">
        <v>24</v>
      </c>
      <c r="B2461" s="79">
        <v>1</v>
      </c>
      <c r="C2461" s="79">
        <v>25</v>
      </c>
      <c r="D2461" s="80">
        <v>43340.187974537039</v>
      </c>
      <c r="E2461" s="81">
        <f t="shared" ca="1" si="18"/>
        <v>43313</v>
      </c>
      <c r="F2461" s="82">
        <f ca="1">IFERROR(__xludf.DUMMYFUNCTION("""COMPUTED_VALUE"""),0.187974537037037)</f>
        <v>0.18797453703703701</v>
      </c>
      <c r="G2461" s="83">
        <f t="shared" ca="1" si="19"/>
        <v>19</v>
      </c>
      <c r="H2461" s="83">
        <f ca="1">IFERROR(__xludf.DUMMYFUNCTION("""COMPUTED_VALUE"""),30)</f>
        <v>30</v>
      </c>
      <c r="I2461" s="83">
        <f ca="1">IFERROR(__xludf.DUMMYFUNCTION("""COMPUTED_VALUE"""),41)</f>
        <v>41</v>
      </c>
    </row>
    <row r="2462" spans="1:9">
      <c r="A2462" s="79">
        <v>21</v>
      </c>
      <c r="B2462" s="79">
        <v>1</v>
      </c>
      <c r="C2462" s="79">
        <v>22</v>
      </c>
      <c r="D2462" s="80">
        <v>43340.198391203703</v>
      </c>
      <c r="E2462" s="81">
        <f t="shared" ca="1" si="18"/>
        <v>43313</v>
      </c>
      <c r="F2462" s="82">
        <f ca="1">IFERROR(__xludf.DUMMYFUNCTION("""COMPUTED_VALUE"""),0.198391203703703)</f>
        <v>0.198391203703703</v>
      </c>
      <c r="G2462" s="83">
        <f t="shared" ca="1" si="19"/>
        <v>19</v>
      </c>
      <c r="H2462" s="83">
        <f ca="1">IFERROR(__xludf.DUMMYFUNCTION("""COMPUTED_VALUE"""),45)</f>
        <v>45</v>
      </c>
      <c r="I2462" s="83">
        <f ca="1">IFERROR(__xludf.DUMMYFUNCTION("""COMPUTED_VALUE"""),41)</f>
        <v>41</v>
      </c>
    </row>
    <row r="2463" spans="1:9">
      <c r="A2463" s="79">
        <v>21</v>
      </c>
      <c r="B2463" s="79">
        <v>1</v>
      </c>
      <c r="C2463" s="79">
        <v>22</v>
      </c>
      <c r="D2463" s="80">
        <v>43340.208807870367</v>
      </c>
      <c r="E2463" s="81">
        <f t="shared" ca="1" si="18"/>
        <v>43313</v>
      </c>
      <c r="F2463" s="82">
        <f ca="1">IFERROR(__xludf.DUMMYFUNCTION("""COMPUTED_VALUE"""),0.20880787037037)</f>
        <v>0.20880787037036999</v>
      </c>
      <c r="G2463" s="83">
        <f t="shared" ca="1" si="19"/>
        <v>19</v>
      </c>
      <c r="H2463" s="83">
        <f ca="1">IFERROR(__xludf.DUMMYFUNCTION("""COMPUTED_VALUE"""),0)</f>
        <v>0</v>
      </c>
      <c r="I2463" s="83">
        <f ca="1">IFERROR(__xludf.DUMMYFUNCTION("""COMPUTED_VALUE"""),41)</f>
        <v>41</v>
      </c>
    </row>
    <row r="2464" spans="1:9">
      <c r="A2464" s="79">
        <v>20</v>
      </c>
      <c r="B2464" s="79">
        <v>0</v>
      </c>
      <c r="C2464" s="79">
        <v>20</v>
      </c>
      <c r="D2464" s="80">
        <v>43340.219224537039</v>
      </c>
      <c r="E2464" s="81">
        <f t="shared" ca="1" si="18"/>
        <v>43313</v>
      </c>
      <c r="F2464" s="82">
        <f ca="1">IFERROR(__xludf.DUMMYFUNCTION("""COMPUTED_VALUE"""),0.219224537037037)</f>
        <v>0.21922453703703701</v>
      </c>
      <c r="G2464" s="83">
        <f t="shared" ca="1" si="19"/>
        <v>19</v>
      </c>
      <c r="H2464" s="83">
        <f ca="1">IFERROR(__xludf.DUMMYFUNCTION("""COMPUTED_VALUE"""),15)</f>
        <v>15</v>
      </c>
      <c r="I2464" s="83">
        <f ca="1">IFERROR(__xludf.DUMMYFUNCTION("""COMPUTED_VALUE"""),41)</f>
        <v>41</v>
      </c>
    </row>
    <row r="2465" spans="1:9">
      <c r="A2465" s="79">
        <v>19</v>
      </c>
      <c r="B2465" s="79">
        <v>0</v>
      </c>
      <c r="C2465" s="79">
        <v>19</v>
      </c>
      <c r="D2465" s="80">
        <v>43340.229641203703</v>
      </c>
      <c r="E2465" s="81">
        <f t="shared" ca="1" si="18"/>
        <v>43313</v>
      </c>
      <c r="F2465" s="82">
        <f ca="1">IFERROR(__xludf.DUMMYFUNCTION("""COMPUTED_VALUE"""),0.229641203703703)</f>
        <v>0.229641203703703</v>
      </c>
      <c r="G2465" s="83">
        <f t="shared" ca="1" si="19"/>
        <v>19</v>
      </c>
      <c r="H2465" s="83">
        <f ca="1">IFERROR(__xludf.DUMMYFUNCTION("""COMPUTED_VALUE"""),30)</f>
        <v>30</v>
      </c>
      <c r="I2465" s="83">
        <f ca="1">IFERROR(__xludf.DUMMYFUNCTION("""COMPUTED_VALUE"""),41)</f>
        <v>41</v>
      </c>
    </row>
    <row r="2466" spans="1:9">
      <c r="A2466" s="79">
        <v>17</v>
      </c>
      <c r="B2466" s="79">
        <v>0</v>
      </c>
      <c r="C2466" s="79">
        <v>17</v>
      </c>
      <c r="D2466" s="80">
        <v>43340.240046296298</v>
      </c>
      <c r="E2466" s="81">
        <f t="shared" ca="1" si="18"/>
        <v>43313</v>
      </c>
      <c r="F2466" s="82">
        <f ca="1">IFERROR(__xludf.DUMMYFUNCTION("""COMPUTED_VALUE"""),0.240046296296296)</f>
        <v>0.24004629629629601</v>
      </c>
      <c r="G2466" s="83">
        <f t="shared" ca="1" si="19"/>
        <v>19</v>
      </c>
      <c r="H2466" s="83">
        <f ca="1">IFERROR(__xludf.DUMMYFUNCTION("""COMPUTED_VALUE"""),45)</f>
        <v>45</v>
      </c>
      <c r="I2466" s="83">
        <f ca="1">IFERROR(__xludf.DUMMYFUNCTION("""COMPUTED_VALUE"""),40)</f>
        <v>40</v>
      </c>
    </row>
    <row r="2467" spans="1:9">
      <c r="A2467" s="79">
        <v>17</v>
      </c>
      <c r="B2467" s="79">
        <v>0</v>
      </c>
      <c r="C2467" s="79">
        <v>17</v>
      </c>
      <c r="D2467" s="80">
        <v>43340.250474537039</v>
      </c>
      <c r="E2467" s="81">
        <f t="shared" ca="1" si="18"/>
        <v>43313</v>
      </c>
      <c r="F2467" s="82">
        <f ca="1">IFERROR(__xludf.DUMMYFUNCTION("""COMPUTED_VALUE"""),0.250474537037037)</f>
        <v>0.25047453703703698</v>
      </c>
      <c r="G2467" s="83">
        <f t="shared" ca="1" si="19"/>
        <v>19</v>
      </c>
      <c r="H2467" s="83">
        <f ca="1">IFERROR(__xludf.DUMMYFUNCTION("""COMPUTED_VALUE"""),0)</f>
        <v>0</v>
      </c>
      <c r="I2467" s="83">
        <f ca="1">IFERROR(__xludf.DUMMYFUNCTION("""COMPUTED_VALUE"""),41)</f>
        <v>41</v>
      </c>
    </row>
    <row r="2468" spans="1:9">
      <c r="A2468" s="79">
        <v>17</v>
      </c>
      <c r="B2468" s="79">
        <v>0</v>
      </c>
      <c r="C2468" s="79">
        <v>17</v>
      </c>
      <c r="D2468" s="80">
        <v>43340.260891203703</v>
      </c>
      <c r="E2468" s="81">
        <f t="shared" ca="1" si="18"/>
        <v>43313</v>
      </c>
      <c r="F2468" s="82">
        <f ca="1">IFERROR(__xludf.DUMMYFUNCTION("""COMPUTED_VALUE"""),0.260891203703703)</f>
        <v>0.260891203703703</v>
      </c>
      <c r="G2468" s="83">
        <f t="shared" ca="1" si="19"/>
        <v>19</v>
      </c>
      <c r="H2468" s="83">
        <f ca="1">IFERROR(__xludf.DUMMYFUNCTION("""COMPUTED_VALUE"""),15)</f>
        <v>15</v>
      </c>
      <c r="I2468" s="83">
        <f ca="1">IFERROR(__xludf.DUMMYFUNCTION("""COMPUTED_VALUE"""),41)</f>
        <v>41</v>
      </c>
    </row>
    <row r="2469" spans="1:9">
      <c r="A2469" s="79">
        <v>17</v>
      </c>
      <c r="B2469" s="79">
        <v>0</v>
      </c>
      <c r="C2469" s="79">
        <v>17</v>
      </c>
      <c r="D2469" s="80">
        <v>43340.273645833331</v>
      </c>
      <c r="E2469" s="81">
        <f t="shared" ca="1" si="18"/>
        <v>43313</v>
      </c>
      <c r="F2469" s="82">
        <f ca="1">IFERROR(__xludf.DUMMYFUNCTION("""COMPUTED_VALUE"""),0.273645833333333)</f>
        <v>0.27364583333333298</v>
      </c>
      <c r="G2469" s="83">
        <f t="shared" ca="1" si="19"/>
        <v>19</v>
      </c>
      <c r="H2469" s="83">
        <f ca="1">IFERROR(__xludf.DUMMYFUNCTION("""COMPUTED_VALUE"""),34)</f>
        <v>34</v>
      </c>
      <c r="I2469" s="83">
        <f ca="1">IFERROR(__xludf.DUMMYFUNCTION("""COMPUTED_VALUE"""),3)</f>
        <v>3</v>
      </c>
    </row>
    <row r="2470" spans="1:9">
      <c r="A2470" s="79">
        <v>17</v>
      </c>
      <c r="B2470" s="79">
        <v>0</v>
      </c>
      <c r="C2470" s="79">
        <v>17</v>
      </c>
      <c r="D2470" s="80">
        <v>43340.281712962962</v>
      </c>
      <c r="E2470" s="81">
        <f t="shared" ca="1" si="18"/>
        <v>43313</v>
      </c>
      <c r="F2470" s="82">
        <f ca="1">IFERROR(__xludf.DUMMYFUNCTION("""COMPUTED_VALUE"""),0.281712962962962)</f>
        <v>0.281712962962962</v>
      </c>
      <c r="G2470" s="83">
        <f t="shared" ca="1" si="19"/>
        <v>19</v>
      </c>
      <c r="H2470" s="83">
        <f ca="1">IFERROR(__xludf.DUMMYFUNCTION("""COMPUTED_VALUE"""),45)</f>
        <v>45</v>
      </c>
      <c r="I2470" s="83">
        <f ca="1">IFERROR(__xludf.DUMMYFUNCTION("""COMPUTED_VALUE"""),40)</f>
        <v>40</v>
      </c>
    </row>
    <row r="2471" spans="1:9">
      <c r="A2471" s="79">
        <v>28</v>
      </c>
      <c r="B2471" s="79">
        <v>0</v>
      </c>
      <c r="C2471" s="79">
        <v>25</v>
      </c>
      <c r="D2471" s="80">
        <v>43340.292141203703</v>
      </c>
      <c r="E2471" s="81">
        <f t="shared" ca="1" si="18"/>
        <v>43313</v>
      </c>
      <c r="F2471" s="82">
        <f ca="1">IFERROR(__xludf.DUMMYFUNCTION("""COMPUTED_VALUE"""),0.292141203703703)</f>
        <v>0.292141203703703</v>
      </c>
      <c r="G2471" s="83">
        <f t="shared" ca="1" si="19"/>
        <v>19</v>
      </c>
      <c r="H2471" s="83">
        <f ca="1">IFERROR(__xludf.DUMMYFUNCTION("""COMPUTED_VALUE"""),0)</f>
        <v>0</v>
      </c>
      <c r="I2471" s="83">
        <f ca="1">IFERROR(__xludf.DUMMYFUNCTION("""COMPUTED_VALUE"""),41)</f>
        <v>41</v>
      </c>
    </row>
    <row r="2472" spans="1:9">
      <c r="A2472" s="79">
        <v>45</v>
      </c>
      <c r="B2472" s="79">
        <v>0</v>
      </c>
      <c r="C2472" s="79">
        <v>45</v>
      </c>
      <c r="D2472" s="80">
        <v>43340.302569444444</v>
      </c>
      <c r="E2472" s="81">
        <f t="shared" ca="1" si="18"/>
        <v>43313</v>
      </c>
      <c r="F2472" s="82">
        <f ca="1">IFERROR(__xludf.DUMMYFUNCTION("""COMPUTED_VALUE"""),0.302569444444444)</f>
        <v>0.302569444444444</v>
      </c>
      <c r="G2472" s="83">
        <f t="shared" ca="1" si="19"/>
        <v>19</v>
      </c>
      <c r="H2472" s="83">
        <f ca="1">IFERROR(__xludf.DUMMYFUNCTION("""COMPUTED_VALUE"""),15)</f>
        <v>15</v>
      </c>
      <c r="I2472" s="83">
        <f ca="1">IFERROR(__xludf.DUMMYFUNCTION("""COMPUTED_VALUE"""),42)</f>
        <v>42</v>
      </c>
    </row>
    <row r="2473" spans="1:9">
      <c r="A2473" s="79">
        <v>52</v>
      </c>
      <c r="B2473" s="79">
        <v>0</v>
      </c>
      <c r="C2473" s="79">
        <v>52</v>
      </c>
      <c r="D2473" s="80">
        <v>43340.312986111108</v>
      </c>
      <c r="E2473" s="81">
        <f t="shared" ca="1" si="18"/>
        <v>43313</v>
      </c>
      <c r="F2473" s="82">
        <f ca="1">IFERROR(__xludf.DUMMYFUNCTION("""COMPUTED_VALUE"""),0.312986111111111)</f>
        <v>0.31298611111111102</v>
      </c>
      <c r="G2473" s="83">
        <f t="shared" ca="1" si="19"/>
        <v>19</v>
      </c>
      <c r="H2473" s="83">
        <f ca="1">IFERROR(__xludf.DUMMYFUNCTION("""COMPUTED_VALUE"""),30)</f>
        <v>30</v>
      </c>
      <c r="I2473" s="83">
        <f ca="1">IFERROR(__xludf.DUMMYFUNCTION("""COMPUTED_VALUE"""),42)</f>
        <v>42</v>
      </c>
    </row>
    <row r="2474" spans="1:9">
      <c r="A2474" s="79">
        <v>57</v>
      </c>
      <c r="B2474" s="79">
        <v>0</v>
      </c>
      <c r="C2474" s="79">
        <v>57</v>
      </c>
      <c r="D2474" s="80">
        <v>43340.32340277778</v>
      </c>
      <c r="E2474" s="81">
        <f t="shared" ca="1" si="18"/>
        <v>43313</v>
      </c>
      <c r="F2474" s="82">
        <f ca="1">IFERROR(__xludf.DUMMYFUNCTION("""COMPUTED_VALUE"""),0.323402777777777)</f>
        <v>0.32340277777777698</v>
      </c>
      <c r="G2474" s="83">
        <f t="shared" ca="1" si="19"/>
        <v>19</v>
      </c>
      <c r="H2474" s="83">
        <f ca="1">IFERROR(__xludf.DUMMYFUNCTION("""COMPUTED_VALUE"""),45)</f>
        <v>45</v>
      </c>
      <c r="I2474" s="83">
        <f ca="1">IFERROR(__xludf.DUMMYFUNCTION("""COMPUTED_VALUE"""),42)</f>
        <v>42</v>
      </c>
    </row>
    <row r="2475" spans="1:9">
      <c r="A2475" s="79">
        <v>50</v>
      </c>
      <c r="B2475" s="79">
        <v>0</v>
      </c>
      <c r="C2475" s="79">
        <v>50</v>
      </c>
      <c r="D2475" s="80">
        <v>43340.333819444444</v>
      </c>
      <c r="E2475" s="81">
        <f t="shared" ca="1" si="18"/>
        <v>43313</v>
      </c>
      <c r="F2475" s="82">
        <f ca="1">IFERROR(__xludf.DUMMYFUNCTION("""COMPUTED_VALUE"""),0.333819444444444)</f>
        <v>0.333819444444444</v>
      </c>
      <c r="G2475" s="83">
        <f t="shared" ca="1" si="19"/>
        <v>19</v>
      </c>
      <c r="H2475" s="83">
        <f ca="1">IFERROR(__xludf.DUMMYFUNCTION("""COMPUTED_VALUE"""),0)</f>
        <v>0</v>
      </c>
      <c r="I2475" s="83">
        <f ca="1">IFERROR(__xludf.DUMMYFUNCTION("""COMPUTED_VALUE"""),42)</f>
        <v>42</v>
      </c>
    </row>
    <row r="2476" spans="1:9">
      <c r="A2476" s="79">
        <v>68</v>
      </c>
      <c r="B2476" s="79">
        <v>0</v>
      </c>
      <c r="C2476" s="79">
        <v>68</v>
      </c>
      <c r="D2476" s="80">
        <v>43340.344236111108</v>
      </c>
      <c r="E2476" s="81">
        <f t="shared" ca="1" si="18"/>
        <v>43313</v>
      </c>
      <c r="F2476" s="82">
        <f ca="1">IFERROR(__xludf.DUMMYFUNCTION("""COMPUTED_VALUE"""),0.344236111111111)</f>
        <v>0.34423611111111102</v>
      </c>
      <c r="G2476" s="83">
        <f t="shared" ca="1" si="19"/>
        <v>19</v>
      </c>
      <c r="H2476" s="83">
        <f ca="1">IFERROR(__xludf.DUMMYFUNCTION("""COMPUTED_VALUE"""),15)</f>
        <v>15</v>
      </c>
      <c r="I2476" s="83">
        <f ca="1">IFERROR(__xludf.DUMMYFUNCTION("""COMPUTED_VALUE"""),42)</f>
        <v>42</v>
      </c>
    </row>
    <row r="2477" spans="1:9">
      <c r="A2477" s="79">
        <v>120</v>
      </c>
      <c r="B2477" s="79">
        <v>0</v>
      </c>
      <c r="C2477" s="79">
        <v>120</v>
      </c>
      <c r="D2477" s="80">
        <v>43340.354664351849</v>
      </c>
      <c r="E2477" s="81">
        <f t="shared" ca="1" si="18"/>
        <v>43313</v>
      </c>
      <c r="F2477" s="82">
        <f ca="1">IFERROR(__xludf.DUMMYFUNCTION("""COMPUTED_VALUE"""),0.354664351851851)</f>
        <v>0.35466435185185102</v>
      </c>
      <c r="G2477" s="83">
        <f t="shared" ca="1" si="19"/>
        <v>19</v>
      </c>
      <c r="H2477" s="83">
        <f ca="1">IFERROR(__xludf.DUMMYFUNCTION("""COMPUTED_VALUE"""),30)</f>
        <v>30</v>
      </c>
      <c r="I2477" s="83">
        <f ca="1">IFERROR(__xludf.DUMMYFUNCTION("""COMPUTED_VALUE"""),43)</f>
        <v>43</v>
      </c>
    </row>
    <row r="2478" spans="1:9">
      <c r="A2478" s="79">
        <v>179</v>
      </c>
      <c r="B2478" s="79">
        <v>0</v>
      </c>
      <c r="C2478" s="79">
        <v>179</v>
      </c>
      <c r="D2478" s="80">
        <v>43340.365069444444</v>
      </c>
      <c r="E2478" s="81">
        <f t="shared" ca="1" si="18"/>
        <v>43313</v>
      </c>
      <c r="F2478" s="82">
        <f ca="1">IFERROR(__xludf.DUMMYFUNCTION("""COMPUTED_VALUE"""),0.365069444444444)</f>
        <v>0.365069444444444</v>
      </c>
      <c r="G2478" s="83">
        <f t="shared" ca="1" si="19"/>
        <v>19</v>
      </c>
      <c r="H2478" s="83">
        <f ca="1">IFERROR(__xludf.DUMMYFUNCTION("""COMPUTED_VALUE"""),45)</f>
        <v>45</v>
      </c>
      <c r="I2478" s="83">
        <f ca="1">IFERROR(__xludf.DUMMYFUNCTION("""COMPUTED_VALUE"""),42)</f>
        <v>42</v>
      </c>
    </row>
    <row r="2479" spans="1:9">
      <c r="A2479" s="79">
        <v>135</v>
      </c>
      <c r="B2479" s="79">
        <v>1</v>
      </c>
      <c r="C2479" s="79">
        <v>136</v>
      </c>
      <c r="D2479" s="80">
        <v>43340.375486111108</v>
      </c>
      <c r="E2479" s="81">
        <f t="shared" ca="1" si="18"/>
        <v>43313</v>
      </c>
      <c r="F2479" s="82">
        <f ca="1">IFERROR(__xludf.DUMMYFUNCTION("""COMPUTED_VALUE"""),0.375486111111111)</f>
        <v>0.37548611111111102</v>
      </c>
      <c r="G2479" s="83">
        <f t="shared" ca="1" si="19"/>
        <v>19</v>
      </c>
      <c r="H2479" s="83">
        <f ca="1">IFERROR(__xludf.DUMMYFUNCTION("""COMPUTED_VALUE"""),0)</f>
        <v>0</v>
      </c>
      <c r="I2479" s="83">
        <f ca="1">IFERROR(__xludf.DUMMYFUNCTION("""COMPUTED_VALUE"""),42)</f>
        <v>42</v>
      </c>
    </row>
    <row r="2480" spans="1:9">
      <c r="A2480" s="79">
        <v>232</v>
      </c>
      <c r="B2480" s="79">
        <v>3</v>
      </c>
      <c r="C2480" s="79">
        <v>235</v>
      </c>
      <c r="D2480" s="80">
        <v>43340.38590277778</v>
      </c>
      <c r="E2480" s="81">
        <f t="shared" ca="1" si="18"/>
        <v>43313</v>
      </c>
      <c r="F2480" s="82">
        <f ca="1">IFERROR(__xludf.DUMMYFUNCTION("""COMPUTED_VALUE"""),0.385902777777777)</f>
        <v>0.38590277777777698</v>
      </c>
      <c r="G2480" s="83">
        <f t="shared" ca="1" si="19"/>
        <v>19</v>
      </c>
      <c r="H2480" s="83">
        <f ca="1">IFERROR(__xludf.DUMMYFUNCTION("""COMPUTED_VALUE"""),15)</f>
        <v>15</v>
      </c>
      <c r="I2480" s="83">
        <f ca="1">IFERROR(__xludf.DUMMYFUNCTION("""COMPUTED_VALUE"""),42)</f>
        <v>42</v>
      </c>
    </row>
    <row r="2481" spans="1:9">
      <c r="A2481" s="79">
        <v>387</v>
      </c>
      <c r="B2481" s="79">
        <v>3</v>
      </c>
      <c r="C2481" s="79">
        <v>390</v>
      </c>
      <c r="D2481" s="80">
        <v>43340.396319444444</v>
      </c>
      <c r="E2481" s="81">
        <f t="shared" ca="1" si="18"/>
        <v>43313</v>
      </c>
      <c r="F2481" s="82">
        <f ca="1">IFERROR(__xludf.DUMMYFUNCTION("""COMPUTED_VALUE"""),0.396319444444444)</f>
        <v>0.396319444444444</v>
      </c>
      <c r="G2481" s="83">
        <f t="shared" ca="1" si="19"/>
        <v>19</v>
      </c>
      <c r="H2481" s="83">
        <f ca="1">IFERROR(__xludf.DUMMYFUNCTION("""COMPUTED_VALUE"""),30)</f>
        <v>30</v>
      </c>
      <c r="I2481" s="83">
        <f ca="1">IFERROR(__xludf.DUMMYFUNCTION("""COMPUTED_VALUE"""),42)</f>
        <v>42</v>
      </c>
    </row>
    <row r="2482" spans="1:9">
      <c r="A2482" s="79">
        <v>702</v>
      </c>
      <c r="B2482" s="79">
        <v>5</v>
      </c>
      <c r="C2482" s="79">
        <v>707</v>
      </c>
      <c r="D2482" s="80">
        <v>43340.406736111108</v>
      </c>
      <c r="E2482" s="81">
        <f t="shared" ca="1" si="18"/>
        <v>43313</v>
      </c>
      <c r="F2482" s="82">
        <f ca="1">IFERROR(__xludf.DUMMYFUNCTION("""COMPUTED_VALUE"""),0.406736111111111)</f>
        <v>0.40673611111111102</v>
      </c>
      <c r="G2482" s="83">
        <f t="shared" ca="1" si="19"/>
        <v>19</v>
      </c>
      <c r="H2482" s="83">
        <f ca="1">IFERROR(__xludf.DUMMYFUNCTION("""COMPUTED_VALUE"""),45)</f>
        <v>45</v>
      </c>
      <c r="I2482" s="83">
        <f ca="1">IFERROR(__xludf.DUMMYFUNCTION("""COMPUTED_VALUE"""),42)</f>
        <v>42</v>
      </c>
    </row>
    <row r="2483" spans="1:9">
      <c r="A2483" s="79">
        <v>613</v>
      </c>
      <c r="B2483" s="79">
        <v>7</v>
      </c>
      <c r="C2483" s="79">
        <v>620</v>
      </c>
      <c r="D2483" s="80">
        <v>43340.41715277778</v>
      </c>
      <c r="E2483" s="81">
        <f t="shared" ca="1" si="18"/>
        <v>43313</v>
      </c>
      <c r="F2483" s="82">
        <f ca="1">IFERROR(__xludf.DUMMYFUNCTION("""COMPUTED_VALUE"""),0.417152777777777)</f>
        <v>0.41715277777777698</v>
      </c>
      <c r="G2483" s="83">
        <f t="shared" ca="1" si="19"/>
        <v>19</v>
      </c>
      <c r="H2483" s="83">
        <f ca="1">IFERROR(__xludf.DUMMYFUNCTION("""COMPUTED_VALUE"""),0)</f>
        <v>0</v>
      </c>
      <c r="I2483" s="83">
        <f ca="1">IFERROR(__xludf.DUMMYFUNCTION("""COMPUTED_VALUE"""),42)</f>
        <v>42</v>
      </c>
    </row>
    <row r="2484" spans="1:9">
      <c r="A2484" s="79">
        <v>585</v>
      </c>
      <c r="B2484" s="79">
        <v>13</v>
      </c>
      <c r="C2484" s="79">
        <v>598</v>
      </c>
      <c r="D2484" s="80">
        <v>43340.427569444444</v>
      </c>
      <c r="E2484" s="81">
        <f t="shared" ca="1" si="18"/>
        <v>43313</v>
      </c>
      <c r="F2484" s="82">
        <f ca="1">IFERROR(__xludf.DUMMYFUNCTION("""COMPUTED_VALUE"""),0.427569444444444)</f>
        <v>0.427569444444444</v>
      </c>
      <c r="G2484" s="83">
        <f t="shared" ca="1" si="19"/>
        <v>19</v>
      </c>
      <c r="H2484" s="83">
        <f ca="1">IFERROR(__xludf.DUMMYFUNCTION("""COMPUTED_VALUE"""),15)</f>
        <v>15</v>
      </c>
      <c r="I2484" s="83">
        <f ca="1">IFERROR(__xludf.DUMMYFUNCTION("""COMPUTED_VALUE"""),42)</f>
        <v>42</v>
      </c>
    </row>
    <row r="2485" spans="1:9">
      <c r="A2485" s="79">
        <v>645</v>
      </c>
      <c r="B2485" s="79">
        <v>20</v>
      </c>
      <c r="C2485" s="79">
        <v>663</v>
      </c>
      <c r="D2485" s="80">
        <v>43340.437986111108</v>
      </c>
      <c r="E2485" s="81">
        <f t="shared" ca="1" si="18"/>
        <v>43313</v>
      </c>
      <c r="F2485" s="82">
        <f ca="1">IFERROR(__xludf.DUMMYFUNCTION("""COMPUTED_VALUE"""),0.437986111111111)</f>
        <v>0.43798611111111102</v>
      </c>
      <c r="G2485" s="83">
        <f t="shared" ca="1" si="19"/>
        <v>19</v>
      </c>
      <c r="H2485" s="83">
        <f ca="1">IFERROR(__xludf.DUMMYFUNCTION("""COMPUTED_VALUE"""),30)</f>
        <v>30</v>
      </c>
      <c r="I2485" s="83">
        <f ca="1">IFERROR(__xludf.DUMMYFUNCTION("""COMPUTED_VALUE"""),42)</f>
        <v>42</v>
      </c>
    </row>
    <row r="2486" spans="1:9">
      <c r="A2486" s="79">
        <v>786</v>
      </c>
      <c r="B2486" s="79">
        <v>20</v>
      </c>
      <c r="C2486" s="79">
        <v>806</v>
      </c>
      <c r="D2486" s="80">
        <v>43340.44840277778</v>
      </c>
      <c r="E2486" s="81">
        <f t="shared" ca="1" si="18"/>
        <v>43313</v>
      </c>
      <c r="F2486" s="82">
        <f ca="1">IFERROR(__xludf.DUMMYFUNCTION("""COMPUTED_VALUE"""),0.448402777777777)</f>
        <v>0.44840277777777698</v>
      </c>
      <c r="G2486" s="83">
        <f t="shared" ca="1" si="19"/>
        <v>19</v>
      </c>
      <c r="H2486" s="83">
        <f ca="1">IFERROR(__xludf.DUMMYFUNCTION("""COMPUTED_VALUE"""),45)</f>
        <v>45</v>
      </c>
      <c r="I2486" s="83">
        <f ca="1">IFERROR(__xludf.DUMMYFUNCTION("""COMPUTED_VALUE"""),42)</f>
        <v>42</v>
      </c>
    </row>
    <row r="2487" spans="1:9">
      <c r="A2487" s="79">
        <v>630</v>
      </c>
      <c r="B2487" s="79">
        <v>16</v>
      </c>
      <c r="C2487" s="79">
        <v>646</v>
      </c>
      <c r="D2487" s="80">
        <v>43340.458819444444</v>
      </c>
      <c r="E2487" s="81">
        <f t="shared" ca="1" si="18"/>
        <v>43313</v>
      </c>
      <c r="F2487" s="82">
        <f ca="1">IFERROR(__xludf.DUMMYFUNCTION("""COMPUTED_VALUE"""),0.458819444444444)</f>
        <v>0.458819444444444</v>
      </c>
      <c r="G2487" s="83">
        <f t="shared" ca="1" si="19"/>
        <v>19</v>
      </c>
      <c r="H2487" s="83">
        <f ca="1">IFERROR(__xludf.DUMMYFUNCTION("""COMPUTED_VALUE"""),0)</f>
        <v>0</v>
      </c>
      <c r="I2487" s="83">
        <f ca="1">IFERROR(__xludf.DUMMYFUNCTION("""COMPUTED_VALUE"""),42)</f>
        <v>42</v>
      </c>
    </row>
    <row r="2488" spans="1:9">
      <c r="A2488" s="79">
        <v>507</v>
      </c>
      <c r="B2488" s="79">
        <v>9</v>
      </c>
      <c r="C2488" s="79">
        <v>516</v>
      </c>
      <c r="D2488" s="80">
        <v>43340.469236111108</v>
      </c>
      <c r="E2488" s="81">
        <f t="shared" ca="1" si="18"/>
        <v>43313</v>
      </c>
      <c r="F2488" s="82">
        <f ca="1">IFERROR(__xludf.DUMMYFUNCTION("""COMPUTED_VALUE"""),0.469236111111111)</f>
        <v>0.46923611111111102</v>
      </c>
      <c r="G2488" s="83">
        <f t="shared" ca="1" si="19"/>
        <v>19</v>
      </c>
      <c r="H2488" s="83">
        <f ca="1">IFERROR(__xludf.DUMMYFUNCTION("""COMPUTED_VALUE"""),15)</f>
        <v>15</v>
      </c>
      <c r="I2488" s="83">
        <f ca="1">IFERROR(__xludf.DUMMYFUNCTION("""COMPUTED_VALUE"""),42)</f>
        <v>42</v>
      </c>
    </row>
    <row r="2489" spans="1:9">
      <c r="A2489" s="79">
        <v>466</v>
      </c>
      <c r="B2489" s="79">
        <v>10</v>
      </c>
      <c r="C2489" s="79">
        <v>476</v>
      </c>
      <c r="D2489" s="80">
        <v>43340.47965277778</v>
      </c>
      <c r="E2489" s="81">
        <f t="shared" ca="1" si="18"/>
        <v>43313</v>
      </c>
      <c r="F2489" s="82">
        <f ca="1">IFERROR(__xludf.DUMMYFUNCTION("""COMPUTED_VALUE"""),0.479652777777777)</f>
        <v>0.47965277777777698</v>
      </c>
      <c r="G2489" s="83">
        <f t="shared" ca="1" si="19"/>
        <v>19</v>
      </c>
      <c r="H2489" s="83">
        <f ca="1">IFERROR(__xludf.DUMMYFUNCTION("""COMPUTED_VALUE"""),30)</f>
        <v>30</v>
      </c>
      <c r="I2489" s="83">
        <f ca="1">IFERROR(__xludf.DUMMYFUNCTION("""COMPUTED_VALUE"""),42)</f>
        <v>42</v>
      </c>
    </row>
    <row r="2490" spans="1:9">
      <c r="A2490" s="79">
        <v>443</v>
      </c>
      <c r="B2490" s="79">
        <v>6</v>
      </c>
      <c r="C2490" s="79">
        <v>449</v>
      </c>
      <c r="D2490" s="80">
        <v>43340.490057870367</v>
      </c>
      <c r="E2490" s="81">
        <f t="shared" ca="1" si="18"/>
        <v>43313</v>
      </c>
      <c r="F2490" s="82">
        <f ca="1">IFERROR(__xludf.DUMMYFUNCTION("""COMPUTED_VALUE"""),0.49005787037037)</f>
        <v>0.49005787037037002</v>
      </c>
      <c r="G2490" s="83">
        <f t="shared" ca="1" si="19"/>
        <v>19</v>
      </c>
      <c r="H2490" s="83">
        <f ca="1">IFERROR(__xludf.DUMMYFUNCTION("""COMPUTED_VALUE"""),45)</f>
        <v>45</v>
      </c>
      <c r="I2490" s="83">
        <f ca="1">IFERROR(__xludf.DUMMYFUNCTION("""COMPUTED_VALUE"""),41)</f>
        <v>41</v>
      </c>
    </row>
    <row r="2491" spans="1:9">
      <c r="A2491" s="79">
        <v>303</v>
      </c>
      <c r="B2491" s="79">
        <v>4</v>
      </c>
      <c r="C2491" s="79">
        <v>307</v>
      </c>
      <c r="D2491" s="80">
        <v>43340.500486111108</v>
      </c>
      <c r="E2491" s="81">
        <f t="shared" ca="1" si="18"/>
        <v>43313</v>
      </c>
      <c r="F2491" s="82">
        <f ca="1">IFERROR(__xludf.DUMMYFUNCTION("""COMPUTED_VALUE"""),0.500486111111111)</f>
        <v>0.50048611111111097</v>
      </c>
      <c r="G2491" s="83">
        <f t="shared" ca="1" si="19"/>
        <v>19</v>
      </c>
      <c r="H2491" s="83">
        <f ca="1">IFERROR(__xludf.DUMMYFUNCTION("""COMPUTED_VALUE"""),0)</f>
        <v>0</v>
      </c>
      <c r="I2491" s="83">
        <f ca="1">IFERROR(__xludf.DUMMYFUNCTION("""COMPUTED_VALUE"""),42)</f>
        <v>42</v>
      </c>
    </row>
    <row r="2492" spans="1:9">
      <c r="A2492" s="79">
        <v>297</v>
      </c>
      <c r="B2492" s="79">
        <v>10</v>
      </c>
      <c r="C2492" s="79">
        <v>307</v>
      </c>
      <c r="D2492" s="80">
        <v>43340.51090277778</v>
      </c>
      <c r="E2492" s="81">
        <f t="shared" ca="1" si="18"/>
        <v>43313</v>
      </c>
      <c r="F2492" s="82">
        <f ca="1">IFERROR(__xludf.DUMMYFUNCTION("""COMPUTED_VALUE"""),0.510902777777777)</f>
        <v>0.51090277777777704</v>
      </c>
      <c r="G2492" s="83">
        <f t="shared" ca="1" si="19"/>
        <v>19</v>
      </c>
      <c r="H2492" s="83">
        <f ca="1">IFERROR(__xludf.DUMMYFUNCTION("""COMPUTED_VALUE"""),15)</f>
        <v>15</v>
      </c>
      <c r="I2492" s="83">
        <f ca="1">IFERROR(__xludf.DUMMYFUNCTION("""COMPUTED_VALUE"""),42)</f>
        <v>42</v>
      </c>
    </row>
    <row r="2493" spans="1:9">
      <c r="A2493" s="79">
        <v>312</v>
      </c>
      <c r="B2493" s="79">
        <v>8</v>
      </c>
      <c r="C2493" s="79">
        <v>320</v>
      </c>
      <c r="D2493" s="80">
        <v>43340.521319444444</v>
      </c>
      <c r="E2493" s="81">
        <f t="shared" ca="1" si="18"/>
        <v>43313</v>
      </c>
      <c r="F2493" s="82">
        <f ca="1">IFERROR(__xludf.DUMMYFUNCTION("""COMPUTED_VALUE"""),0.521319444444444)</f>
        <v>0.521319444444444</v>
      </c>
      <c r="G2493" s="83">
        <f t="shared" ca="1" si="19"/>
        <v>19</v>
      </c>
      <c r="H2493" s="83">
        <f ca="1">IFERROR(__xludf.DUMMYFUNCTION("""COMPUTED_VALUE"""),30)</f>
        <v>30</v>
      </c>
      <c r="I2493" s="83">
        <f ca="1">IFERROR(__xludf.DUMMYFUNCTION("""COMPUTED_VALUE"""),42)</f>
        <v>42</v>
      </c>
    </row>
    <row r="2494" spans="1:9">
      <c r="A2494" s="79">
        <v>326</v>
      </c>
      <c r="B2494" s="79">
        <v>3</v>
      </c>
      <c r="C2494" s="79">
        <v>329</v>
      </c>
      <c r="D2494" s="80">
        <v>43340.531724537039</v>
      </c>
      <c r="E2494" s="81">
        <f t="shared" ca="1" si="18"/>
        <v>43313</v>
      </c>
      <c r="F2494" s="82">
        <f ca="1">IFERROR(__xludf.DUMMYFUNCTION("""COMPUTED_VALUE"""),0.531724537037037)</f>
        <v>0.53172453703703704</v>
      </c>
      <c r="G2494" s="83">
        <f t="shared" ca="1" si="19"/>
        <v>19</v>
      </c>
      <c r="H2494" s="83">
        <f ca="1">IFERROR(__xludf.DUMMYFUNCTION("""COMPUTED_VALUE"""),45)</f>
        <v>45</v>
      </c>
      <c r="I2494" s="83">
        <f ca="1">IFERROR(__xludf.DUMMYFUNCTION("""COMPUTED_VALUE"""),41)</f>
        <v>41</v>
      </c>
    </row>
    <row r="2495" spans="1:9">
      <c r="A2495" s="79">
        <v>294</v>
      </c>
      <c r="B2495" s="79">
        <v>3</v>
      </c>
      <c r="C2495" s="79">
        <v>297</v>
      </c>
      <c r="D2495" s="80">
        <v>43340.54215277778</v>
      </c>
      <c r="E2495" s="81">
        <f t="shared" ca="1" si="18"/>
        <v>43313</v>
      </c>
      <c r="F2495" s="82">
        <f ca="1">IFERROR(__xludf.DUMMYFUNCTION("""COMPUTED_VALUE"""),0.542152777777777)</f>
        <v>0.54215277777777704</v>
      </c>
      <c r="G2495" s="83">
        <f t="shared" ca="1" si="19"/>
        <v>19</v>
      </c>
      <c r="H2495" s="83">
        <f ca="1">IFERROR(__xludf.DUMMYFUNCTION("""COMPUTED_VALUE"""),0)</f>
        <v>0</v>
      </c>
      <c r="I2495" s="83">
        <f ca="1">IFERROR(__xludf.DUMMYFUNCTION("""COMPUTED_VALUE"""),42)</f>
        <v>42</v>
      </c>
    </row>
    <row r="2496" spans="1:9">
      <c r="A2496" s="79">
        <v>304</v>
      </c>
      <c r="B2496" s="79">
        <v>1</v>
      </c>
      <c r="C2496" s="79">
        <v>305</v>
      </c>
      <c r="D2496" s="80">
        <v>43340.552557870367</v>
      </c>
      <c r="E2496" s="81">
        <f t="shared" ca="1" si="18"/>
        <v>43313</v>
      </c>
      <c r="F2496" s="82">
        <f ca="1">IFERROR(__xludf.DUMMYFUNCTION("""COMPUTED_VALUE"""),0.55255787037037)</f>
        <v>0.55255787037036996</v>
      </c>
      <c r="G2496" s="83">
        <f t="shared" ca="1" si="19"/>
        <v>19</v>
      </c>
      <c r="H2496" s="83">
        <f ca="1">IFERROR(__xludf.DUMMYFUNCTION("""COMPUTED_VALUE"""),15)</f>
        <v>15</v>
      </c>
      <c r="I2496" s="83">
        <f ca="1">IFERROR(__xludf.DUMMYFUNCTION("""COMPUTED_VALUE"""),41)</f>
        <v>41</v>
      </c>
    </row>
    <row r="2497" spans="1:9">
      <c r="A2497" s="79">
        <v>311</v>
      </c>
      <c r="B2497" s="79">
        <v>3</v>
      </c>
      <c r="C2497" s="79">
        <v>314</v>
      </c>
      <c r="D2497" s="80">
        <v>43340.562986111108</v>
      </c>
      <c r="E2497" s="81">
        <f t="shared" ca="1" si="18"/>
        <v>43313</v>
      </c>
      <c r="F2497" s="82">
        <f ca="1">IFERROR(__xludf.DUMMYFUNCTION("""COMPUTED_VALUE"""),0.562986111111111)</f>
        <v>0.56298611111111097</v>
      </c>
      <c r="G2497" s="83">
        <f t="shared" ca="1" si="19"/>
        <v>19</v>
      </c>
      <c r="H2497" s="83">
        <f ca="1">IFERROR(__xludf.DUMMYFUNCTION("""COMPUTED_VALUE"""),30)</f>
        <v>30</v>
      </c>
      <c r="I2497" s="83">
        <f ca="1">IFERROR(__xludf.DUMMYFUNCTION("""COMPUTED_VALUE"""),42)</f>
        <v>42</v>
      </c>
    </row>
    <row r="2498" spans="1:9">
      <c r="A2498" s="79">
        <v>346</v>
      </c>
      <c r="B2498" s="79">
        <v>3</v>
      </c>
      <c r="C2498" s="79">
        <v>349</v>
      </c>
      <c r="D2498" s="80">
        <v>43340.57340277778</v>
      </c>
      <c r="E2498" s="81">
        <f t="shared" ca="1" si="18"/>
        <v>43313</v>
      </c>
      <c r="F2498" s="82">
        <f ca="1">IFERROR(__xludf.DUMMYFUNCTION("""COMPUTED_VALUE"""),0.573402777777777)</f>
        <v>0.57340277777777704</v>
      </c>
      <c r="G2498" s="83">
        <f t="shared" ca="1" si="19"/>
        <v>19</v>
      </c>
      <c r="H2498" s="83">
        <f ca="1">IFERROR(__xludf.DUMMYFUNCTION("""COMPUTED_VALUE"""),45)</f>
        <v>45</v>
      </c>
      <c r="I2498" s="83">
        <f ca="1">IFERROR(__xludf.DUMMYFUNCTION("""COMPUTED_VALUE"""),42)</f>
        <v>42</v>
      </c>
    </row>
    <row r="2499" spans="1:9">
      <c r="A2499" s="79">
        <v>269</v>
      </c>
      <c r="B2499" s="79">
        <v>3</v>
      </c>
      <c r="C2499" s="79">
        <v>272</v>
      </c>
      <c r="D2499" s="80">
        <v>43340.583819444444</v>
      </c>
      <c r="E2499" s="81">
        <f t="shared" ca="1" si="18"/>
        <v>43313</v>
      </c>
      <c r="F2499" s="82">
        <f ca="1">IFERROR(__xludf.DUMMYFUNCTION("""COMPUTED_VALUE"""),0.583819444444444)</f>
        <v>0.583819444444444</v>
      </c>
      <c r="G2499" s="83">
        <f t="shared" ca="1" si="19"/>
        <v>19</v>
      </c>
      <c r="H2499" s="83">
        <f ca="1">IFERROR(__xludf.DUMMYFUNCTION("""COMPUTED_VALUE"""),0)</f>
        <v>0</v>
      </c>
      <c r="I2499" s="83">
        <f ca="1">IFERROR(__xludf.DUMMYFUNCTION("""COMPUTED_VALUE"""),42)</f>
        <v>42</v>
      </c>
    </row>
    <row r="2500" spans="1:9">
      <c r="A2500" s="79">
        <v>318</v>
      </c>
      <c r="B2500" s="79">
        <v>2</v>
      </c>
      <c r="C2500" s="79">
        <v>320</v>
      </c>
      <c r="D2500" s="80">
        <v>43340.594224537039</v>
      </c>
      <c r="E2500" s="81">
        <f t="shared" ca="1" si="18"/>
        <v>43313</v>
      </c>
      <c r="F2500" s="82">
        <f ca="1">IFERROR(__xludf.DUMMYFUNCTION("""COMPUTED_VALUE"""),0.594224537037037)</f>
        <v>0.59422453703703704</v>
      </c>
      <c r="G2500" s="83">
        <f t="shared" ca="1" si="19"/>
        <v>19</v>
      </c>
      <c r="H2500" s="83">
        <f ca="1">IFERROR(__xludf.DUMMYFUNCTION("""COMPUTED_VALUE"""),15)</f>
        <v>15</v>
      </c>
      <c r="I2500" s="83">
        <f ca="1">IFERROR(__xludf.DUMMYFUNCTION("""COMPUTED_VALUE"""),41)</f>
        <v>41</v>
      </c>
    </row>
    <row r="2501" spans="1:9">
      <c r="A2501" s="79">
        <v>296</v>
      </c>
      <c r="B2501" s="79">
        <v>4</v>
      </c>
      <c r="C2501" s="79">
        <v>300</v>
      </c>
      <c r="D2501" s="80">
        <v>43340.60465277778</v>
      </c>
      <c r="E2501" s="81">
        <f t="shared" ca="1" si="18"/>
        <v>43313</v>
      </c>
      <c r="F2501" s="82">
        <f ca="1">IFERROR(__xludf.DUMMYFUNCTION("""COMPUTED_VALUE"""),0.604652777777777)</f>
        <v>0.60465277777777704</v>
      </c>
      <c r="G2501" s="83">
        <f t="shared" ca="1" si="19"/>
        <v>19</v>
      </c>
      <c r="H2501" s="83">
        <f ca="1">IFERROR(__xludf.DUMMYFUNCTION("""COMPUTED_VALUE"""),30)</f>
        <v>30</v>
      </c>
      <c r="I2501" s="83">
        <f ca="1">IFERROR(__xludf.DUMMYFUNCTION("""COMPUTED_VALUE"""),42)</f>
        <v>42</v>
      </c>
    </row>
    <row r="2502" spans="1:9">
      <c r="A2502" s="79">
        <v>321</v>
      </c>
      <c r="B2502" s="79">
        <v>5</v>
      </c>
      <c r="C2502" s="79">
        <v>326</v>
      </c>
      <c r="D2502" s="80">
        <v>43340.615057870367</v>
      </c>
      <c r="E2502" s="81">
        <f t="shared" ca="1" si="18"/>
        <v>43313</v>
      </c>
      <c r="F2502" s="82">
        <f ca="1">IFERROR(__xludf.DUMMYFUNCTION("""COMPUTED_VALUE"""),0.61505787037037)</f>
        <v>0.61505787037036996</v>
      </c>
      <c r="G2502" s="83">
        <f t="shared" ca="1" si="19"/>
        <v>19</v>
      </c>
      <c r="H2502" s="83">
        <f ca="1">IFERROR(__xludf.DUMMYFUNCTION("""COMPUTED_VALUE"""),45)</f>
        <v>45</v>
      </c>
      <c r="I2502" s="83">
        <f ca="1">IFERROR(__xludf.DUMMYFUNCTION("""COMPUTED_VALUE"""),41)</f>
        <v>41</v>
      </c>
    </row>
    <row r="2503" spans="1:9">
      <c r="A2503" s="79">
        <v>338</v>
      </c>
      <c r="B2503" s="79">
        <v>8</v>
      </c>
      <c r="C2503" s="79">
        <v>346</v>
      </c>
      <c r="D2503" s="80">
        <v>43340.625486111108</v>
      </c>
      <c r="E2503" s="81">
        <f t="shared" ca="1" si="18"/>
        <v>43313</v>
      </c>
      <c r="F2503" s="82">
        <f ca="1">IFERROR(__xludf.DUMMYFUNCTION("""COMPUTED_VALUE"""),0.625486111111111)</f>
        <v>0.62548611111111097</v>
      </c>
      <c r="G2503" s="83">
        <f t="shared" ca="1" si="19"/>
        <v>19</v>
      </c>
      <c r="H2503" s="83">
        <f ca="1">IFERROR(__xludf.DUMMYFUNCTION("""COMPUTED_VALUE"""),0)</f>
        <v>0</v>
      </c>
      <c r="I2503" s="83">
        <f ca="1">IFERROR(__xludf.DUMMYFUNCTION("""COMPUTED_VALUE"""),42)</f>
        <v>42</v>
      </c>
    </row>
    <row r="2504" spans="1:9">
      <c r="A2504" s="79">
        <v>394</v>
      </c>
      <c r="B2504" s="79">
        <v>10</v>
      </c>
      <c r="C2504" s="79">
        <v>404</v>
      </c>
      <c r="D2504" s="80">
        <v>43340.635891203703</v>
      </c>
      <c r="E2504" s="81">
        <f t="shared" ca="1" si="18"/>
        <v>43313</v>
      </c>
      <c r="F2504" s="82">
        <f ca="1">IFERROR(__xludf.DUMMYFUNCTION("""COMPUTED_VALUE"""),0.635891203703703)</f>
        <v>0.635891203703703</v>
      </c>
      <c r="G2504" s="83">
        <f t="shared" ca="1" si="19"/>
        <v>19</v>
      </c>
      <c r="H2504" s="83">
        <f ca="1">IFERROR(__xludf.DUMMYFUNCTION("""COMPUTED_VALUE"""),15)</f>
        <v>15</v>
      </c>
      <c r="I2504" s="83">
        <f ca="1">IFERROR(__xludf.DUMMYFUNCTION("""COMPUTED_VALUE"""),41)</f>
        <v>41</v>
      </c>
    </row>
    <row r="2505" spans="1:9">
      <c r="A2505" s="79">
        <v>381</v>
      </c>
      <c r="B2505" s="79">
        <v>9</v>
      </c>
      <c r="C2505" s="79">
        <v>387</v>
      </c>
      <c r="D2505" s="80">
        <v>43340.646319444444</v>
      </c>
      <c r="E2505" s="81">
        <f t="shared" ca="1" si="18"/>
        <v>43313</v>
      </c>
      <c r="F2505" s="82">
        <f ca="1">IFERROR(__xludf.DUMMYFUNCTION("""COMPUTED_VALUE"""),0.646319444444444)</f>
        <v>0.646319444444444</v>
      </c>
      <c r="G2505" s="83">
        <f t="shared" ca="1" si="19"/>
        <v>19</v>
      </c>
      <c r="H2505" s="83">
        <f ca="1">IFERROR(__xludf.DUMMYFUNCTION("""COMPUTED_VALUE"""),30)</f>
        <v>30</v>
      </c>
      <c r="I2505" s="83">
        <f ca="1">IFERROR(__xludf.DUMMYFUNCTION("""COMPUTED_VALUE"""),42)</f>
        <v>42</v>
      </c>
    </row>
    <row r="2506" spans="1:9">
      <c r="A2506" s="79">
        <v>417</v>
      </c>
      <c r="B2506" s="79">
        <v>7</v>
      </c>
      <c r="C2506" s="79">
        <v>424</v>
      </c>
      <c r="D2506" s="80">
        <v>43340.656724537039</v>
      </c>
      <c r="E2506" s="81">
        <f t="shared" ca="1" si="18"/>
        <v>43313</v>
      </c>
      <c r="F2506" s="82">
        <f ca="1">IFERROR(__xludf.DUMMYFUNCTION("""COMPUTED_VALUE"""),0.656724537037037)</f>
        <v>0.65672453703703704</v>
      </c>
      <c r="G2506" s="83">
        <f t="shared" ca="1" si="19"/>
        <v>19</v>
      </c>
      <c r="H2506" s="83">
        <f ca="1">IFERROR(__xludf.DUMMYFUNCTION("""COMPUTED_VALUE"""),45)</f>
        <v>45</v>
      </c>
      <c r="I2506" s="83">
        <f ca="1">IFERROR(__xludf.DUMMYFUNCTION("""COMPUTED_VALUE"""),41)</f>
        <v>41</v>
      </c>
    </row>
    <row r="2507" spans="1:9">
      <c r="A2507" s="79">
        <v>393</v>
      </c>
      <c r="B2507" s="79">
        <v>5</v>
      </c>
      <c r="C2507" s="79">
        <v>398</v>
      </c>
      <c r="D2507" s="80">
        <v>43340.66715277778</v>
      </c>
      <c r="E2507" s="81">
        <f t="shared" ca="1" si="18"/>
        <v>43313</v>
      </c>
      <c r="F2507" s="82">
        <f ca="1">IFERROR(__xludf.DUMMYFUNCTION("""COMPUTED_VALUE"""),0.667152777777777)</f>
        <v>0.66715277777777704</v>
      </c>
      <c r="G2507" s="83">
        <f t="shared" ca="1" si="19"/>
        <v>19</v>
      </c>
      <c r="H2507" s="83">
        <f ca="1">IFERROR(__xludf.DUMMYFUNCTION("""COMPUTED_VALUE"""),0)</f>
        <v>0</v>
      </c>
      <c r="I2507" s="83">
        <f ca="1">IFERROR(__xludf.DUMMYFUNCTION("""COMPUTED_VALUE"""),42)</f>
        <v>42</v>
      </c>
    </row>
    <row r="2508" spans="1:9">
      <c r="A2508" s="79">
        <v>465</v>
      </c>
      <c r="B2508" s="79">
        <v>4</v>
      </c>
      <c r="C2508" s="79">
        <v>469</v>
      </c>
      <c r="D2508" s="80">
        <v>43340.677557870367</v>
      </c>
      <c r="E2508" s="81">
        <f t="shared" ca="1" si="18"/>
        <v>43313</v>
      </c>
      <c r="F2508" s="82">
        <f ca="1">IFERROR(__xludf.DUMMYFUNCTION("""COMPUTED_VALUE"""),0.67755787037037)</f>
        <v>0.67755787037036996</v>
      </c>
      <c r="G2508" s="83">
        <f t="shared" ca="1" si="19"/>
        <v>19</v>
      </c>
      <c r="H2508" s="83">
        <f ca="1">IFERROR(__xludf.DUMMYFUNCTION("""COMPUTED_VALUE"""),15)</f>
        <v>15</v>
      </c>
      <c r="I2508" s="83">
        <f ca="1">IFERROR(__xludf.DUMMYFUNCTION("""COMPUTED_VALUE"""),41)</f>
        <v>41</v>
      </c>
    </row>
    <row r="2509" spans="1:9">
      <c r="A2509" s="79">
        <v>447</v>
      </c>
      <c r="B2509" s="79">
        <v>7</v>
      </c>
      <c r="C2509" s="79">
        <v>454</v>
      </c>
      <c r="D2509" s="80">
        <v>43340.687986111108</v>
      </c>
      <c r="E2509" s="81">
        <f t="shared" ca="1" si="18"/>
        <v>43313</v>
      </c>
      <c r="F2509" s="82">
        <f ca="1">IFERROR(__xludf.DUMMYFUNCTION("""COMPUTED_VALUE"""),0.687986111111111)</f>
        <v>0.68798611111111097</v>
      </c>
      <c r="G2509" s="83">
        <f t="shared" ca="1" si="19"/>
        <v>19</v>
      </c>
      <c r="H2509" s="83">
        <f ca="1">IFERROR(__xludf.DUMMYFUNCTION("""COMPUTED_VALUE"""),30)</f>
        <v>30</v>
      </c>
      <c r="I2509" s="83">
        <f ca="1">IFERROR(__xludf.DUMMYFUNCTION("""COMPUTED_VALUE"""),42)</f>
        <v>42</v>
      </c>
    </row>
    <row r="2510" spans="1:9">
      <c r="A2510" s="79">
        <v>435</v>
      </c>
      <c r="B2510" s="79">
        <v>9</v>
      </c>
      <c r="C2510" s="79">
        <v>444</v>
      </c>
      <c r="D2510" s="80">
        <v>43340.698391203703</v>
      </c>
      <c r="E2510" s="81">
        <f t="shared" ca="1" si="18"/>
        <v>43313</v>
      </c>
      <c r="F2510" s="82">
        <f ca="1">IFERROR(__xludf.DUMMYFUNCTION("""COMPUTED_VALUE"""),0.698391203703703)</f>
        <v>0.698391203703703</v>
      </c>
      <c r="G2510" s="83">
        <f t="shared" ca="1" si="19"/>
        <v>19</v>
      </c>
      <c r="H2510" s="83">
        <f ca="1">IFERROR(__xludf.DUMMYFUNCTION("""COMPUTED_VALUE"""),45)</f>
        <v>45</v>
      </c>
      <c r="I2510" s="83">
        <f ca="1">IFERROR(__xludf.DUMMYFUNCTION("""COMPUTED_VALUE"""),41)</f>
        <v>41</v>
      </c>
    </row>
    <row r="2511" spans="1:9">
      <c r="A2511" s="79">
        <v>401</v>
      </c>
      <c r="B2511" s="79">
        <v>5</v>
      </c>
      <c r="C2511" s="79">
        <v>406</v>
      </c>
      <c r="D2511" s="80">
        <v>43340.708819444444</v>
      </c>
      <c r="E2511" s="81">
        <f t="shared" ca="1" si="18"/>
        <v>43313</v>
      </c>
      <c r="F2511" s="82">
        <f ca="1">IFERROR(__xludf.DUMMYFUNCTION("""COMPUTED_VALUE"""),0.708819444444444)</f>
        <v>0.708819444444444</v>
      </c>
      <c r="G2511" s="83">
        <f t="shared" ca="1" si="19"/>
        <v>19</v>
      </c>
      <c r="H2511" s="83">
        <f ca="1">IFERROR(__xludf.DUMMYFUNCTION("""COMPUTED_VALUE"""),0)</f>
        <v>0</v>
      </c>
      <c r="I2511" s="83">
        <f ca="1">IFERROR(__xludf.DUMMYFUNCTION("""COMPUTED_VALUE"""),42)</f>
        <v>42</v>
      </c>
    </row>
    <row r="2512" spans="1:9">
      <c r="A2512" s="79">
        <v>638</v>
      </c>
      <c r="B2512" s="79">
        <v>10</v>
      </c>
      <c r="C2512" s="79">
        <v>648</v>
      </c>
      <c r="D2512" s="80">
        <v>43340.719224537039</v>
      </c>
      <c r="E2512" s="81">
        <f t="shared" ca="1" si="18"/>
        <v>43313</v>
      </c>
      <c r="F2512" s="82">
        <f ca="1">IFERROR(__xludf.DUMMYFUNCTION("""COMPUTED_VALUE"""),0.719224537037037)</f>
        <v>0.71922453703703704</v>
      </c>
      <c r="G2512" s="83">
        <f t="shared" ca="1" si="19"/>
        <v>19</v>
      </c>
      <c r="H2512" s="83">
        <f ca="1">IFERROR(__xludf.DUMMYFUNCTION("""COMPUTED_VALUE"""),15)</f>
        <v>15</v>
      </c>
      <c r="I2512" s="83">
        <f ca="1">IFERROR(__xludf.DUMMYFUNCTION("""COMPUTED_VALUE"""),41)</f>
        <v>41</v>
      </c>
    </row>
    <row r="2513" spans="1:9">
      <c r="A2513" s="79">
        <v>535</v>
      </c>
      <c r="B2513" s="79">
        <v>9</v>
      </c>
      <c r="C2513" s="79">
        <v>544</v>
      </c>
      <c r="D2513" s="80">
        <v>43340.729641203703</v>
      </c>
      <c r="E2513" s="81">
        <f t="shared" ca="1" si="18"/>
        <v>43313</v>
      </c>
      <c r="F2513" s="82">
        <f ca="1">IFERROR(__xludf.DUMMYFUNCTION("""COMPUTED_VALUE"""),0.729641203703703)</f>
        <v>0.729641203703703</v>
      </c>
      <c r="G2513" s="83">
        <f t="shared" ca="1" si="19"/>
        <v>19</v>
      </c>
      <c r="H2513" s="83">
        <f ca="1">IFERROR(__xludf.DUMMYFUNCTION("""COMPUTED_VALUE"""),30)</f>
        <v>30</v>
      </c>
      <c r="I2513" s="83">
        <f ca="1">IFERROR(__xludf.DUMMYFUNCTION("""COMPUTED_VALUE"""),41)</f>
        <v>41</v>
      </c>
    </row>
    <row r="2514" spans="1:9">
      <c r="A2514" s="79">
        <v>509</v>
      </c>
      <c r="B2514" s="79">
        <v>8</v>
      </c>
      <c r="C2514" s="79">
        <v>517</v>
      </c>
      <c r="D2514" s="80">
        <v>43340.740057870367</v>
      </c>
      <c r="E2514" s="81">
        <f t="shared" ca="1" si="18"/>
        <v>43313</v>
      </c>
      <c r="F2514" s="82">
        <f ca="1">IFERROR(__xludf.DUMMYFUNCTION("""COMPUTED_VALUE"""),0.74005787037037)</f>
        <v>0.74005787037036996</v>
      </c>
      <c r="G2514" s="83">
        <f t="shared" ca="1" si="19"/>
        <v>19</v>
      </c>
      <c r="H2514" s="83">
        <f ca="1">IFERROR(__xludf.DUMMYFUNCTION("""COMPUTED_VALUE"""),45)</f>
        <v>45</v>
      </c>
      <c r="I2514" s="83">
        <f ca="1">IFERROR(__xludf.DUMMYFUNCTION("""COMPUTED_VALUE"""),41)</f>
        <v>41</v>
      </c>
    </row>
    <row r="2515" spans="1:9">
      <c r="A2515" s="79">
        <v>439</v>
      </c>
      <c r="B2515" s="79">
        <v>7</v>
      </c>
      <c r="C2515" s="79">
        <v>446</v>
      </c>
      <c r="D2515" s="80">
        <v>43340.750474537039</v>
      </c>
      <c r="E2515" s="81">
        <f t="shared" ca="1" si="18"/>
        <v>43313</v>
      </c>
      <c r="F2515" s="82">
        <f ca="1">IFERROR(__xludf.DUMMYFUNCTION("""COMPUTED_VALUE"""),0.750474537037037)</f>
        <v>0.75047453703703704</v>
      </c>
      <c r="G2515" s="83">
        <f t="shared" ca="1" si="19"/>
        <v>19</v>
      </c>
      <c r="H2515" s="83">
        <f ca="1">IFERROR(__xludf.DUMMYFUNCTION("""COMPUTED_VALUE"""),0)</f>
        <v>0</v>
      </c>
      <c r="I2515" s="83">
        <f ca="1">IFERROR(__xludf.DUMMYFUNCTION("""COMPUTED_VALUE"""),41)</f>
        <v>41</v>
      </c>
    </row>
    <row r="2516" spans="1:9">
      <c r="A2516" s="79">
        <v>477</v>
      </c>
      <c r="B2516" s="79">
        <v>7</v>
      </c>
      <c r="C2516" s="79">
        <v>484</v>
      </c>
      <c r="D2516" s="80">
        <v>43340.760891203703</v>
      </c>
      <c r="E2516" s="81">
        <f t="shared" ca="1" si="18"/>
        <v>43313</v>
      </c>
      <c r="F2516" s="82">
        <f ca="1">IFERROR(__xludf.DUMMYFUNCTION("""COMPUTED_VALUE"""),0.760891203703703)</f>
        <v>0.760891203703703</v>
      </c>
      <c r="G2516" s="83">
        <f t="shared" ca="1" si="19"/>
        <v>19</v>
      </c>
      <c r="H2516" s="83">
        <f ca="1">IFERROR(__xludf.DUMMYFUNCTION("""COMPUTED_VALUE"""),15)</f>
        <v>15</v>
      </c>
      <c r="I2516" s="83">
        <f ca="1">IFERROR(__xludf.DUMMYFUNCTION("""COMPUTED_VALUE"""),41)</f>
        <v>41</v>
      </c>
    </row>
    <row r="2517" spans="1:9">
      <c r="A2517" s="79">
        <v>410</v>
      </c>
      <c r="B2517" s="79">
        <v>6</v>
      </c>
      <c r="C2517" s="79">
        <v>416</v>
      </c>
      <c r="D2517" s="80">
        <v>43340.771319444444</v>
      </c>
      <c r="E2517" s="81">
        <f t="shared" ca="1" si="18"/>
        <v>43313</v>
      </c>
      <c r="F2517" s="82">
        <f ca="1">IFERROR(__xludf.DUMMYFUNCTION("""COMPUTED_VALUE"""),0.771319444444444)</f>
        <v>0.771319444444444</v>
      </c>
      <c r="G2517" s="83">
        <f t="shared" ca="1" si="19"/>
        <v>19</v>
      </c>
      <c r="H2517" s="83">
        <f ca="1">IFERROR(__xludf.DUMMYFUNCTION("""COMPUTED_VALUE"""),30)</f>
        <v>30</v>
      </c>
      <c r="I2517" s="83">
        <f ca="1">IFERROR(__xludf.DUMMYFUNCTION("""COMPUTED_VALUE"""),42)</f>
        <v>42</v>
      </c>
    </row>
    <row r="2518" spans="1:9">
      <c r="A2518" s="79">
        <v>477</v>
      </c>
      <c r="B2518" s="79">
        <v>9</v>
      </c>
      <c r="C2518" s="79">
        <v>486</v>
      </c>
      <c r="D2518" s="80">
        <v>43340.781724537039</v>
      </c>
      <c r="E2518" s="81">
        <f t="shared" ca="1" si="18"/>
        <v>43313</v>
      </c>
      <c r="F2518" s="82">
        <f ca="1">IFERROR(__xludf.DUMMYFUNCTION("""COMPUTED_VALUE"""),0.781724537037037)</f>
        <v>0.78172453703703704</v>
      </c>
      <c r="G2518" s="83">
        <f t="shared" ca="1" si="19"/>
        <v>19</v>
      </c>
      <c r="H2518" s="83">
        <f ca="1">IFERROR(__xludf.DUMMYFUNCTION("""COMPUTED_VALUE"""),45)</f>
        <v>45</v>
      </c>
      <c r="I2518" s="83">
        <f ca="1">IFERROR(__xludf.DUMMYFUNCTION("""COMPUTED_VALUE"""),41)</f>
        <v>41</v>
      </c>
    </row>
    <row r="2519" spans="1:9">
      <c r="A2519" s="79">
        <v>458</v>
      </c>
      <c r="B2519" s="79">
        <v>7</v>
      </c>
      <c r="C2519" s="79">
        <v>465</v>
      </c>
      <c r="D2519" s="80">
        <v>43340.792141203703</v>
      </c>
      <c r="E2519" s="81">
        <f t="shared" ca="1" si="18"/>
        <v>43313</v>
      </c>
      <c r="F2519" s="82">
        <f ca="1">IFERROR(__xludf.DUMMYFUNCTION("""COMPUTED_VALUE"""),0.792141203703703)</f>
        <v>0.792141203703703</v>
      </c>
      <c r="G2519" s="83">
        <f t="shared" ca="1" si="19"/>
        <v>19</v>
      </c>
      <c r="H2519" s="83">
        <f ca="1">IFERROR(__xludf.DUMMYFUNCTION("""COMPUTED_VALUE"""),0)</f>
        <v>0</v>
      </c>
      <c r="I2519" s="83">
        <f ca="1">IFERROR(__xludf.DUMMYFUNCTION("""COMPUTED_VALUE"""),41)</f>
        <v>41</v>
      </c>
    </row>
    <row r="2520" spans="1:9">
      <c r="A2520" s="79">
        <v>582</v>
      </c>
      <c r="B2520" s="79">
        <v>12</v>
      </c>
      <c r="C2520" s="79">
        <v>594</v>
      </c>
      <c r="D2520" s="80">
        <v>43340.802557870367</v>
      </c>
      <c r="E2520" s="81">
        <f t="shared" ca="1" si="18"/>
        <v>43313</v>
      </c>
      <c r="F2520" s="82">
        <f ca="1">IFERROR(__xludf.DUMMYFUNCTION("""COMPUTED_VALUE"""),0.80255787037037)</f>
        <v>0.80255787037036996</v>
      </c>
      <c r="G2520" s="83">
        <f t="shared" ca="1" si="19"/>
        <v>19</v>
      </c>
      <c r="H2520" s="83">
        <f ca="1">IFERROR(__xludf.DUMMYFUNCTION("""COMPUTED_VALUE"""),15)</f>
        <v>15</v>
      </c>
      <c r="I2520" s="83">
        <f ca="1">IFERROR(__xludf.DUMMYFUNCTION("""COMPUTED_VALUE"""),41)</f>
        <v>41</v>
      </c>
    </row>
    <row r="2521" spans="1:9">
      <c r="A2521" s="79">
        <v>593</v>
      </c>
      <c r="B2521" s="79">
        <v>8</v>
      </c>
      <c r="C2521" s="79">
        <v>601</v>
      </c>
      <c r="D2521" s="80">
        <v>43340.812974537039</v>
      </c>
      <c r="E2521" s="81">
        <f t="shared" ca="1" si="18"/>
        <v>43313</v>
      </c>
      <c r="F2521" s="82">
        <f ca="1">IFERROR(__xludf.DUMMYFUNCTION("""COMPUTED_VALUE"""),0.812974537037037)</f>
        <v>0.81297453703703704</v>
      </c>
      <c r="G2521" s="83">
        <f t="shared" ca="1" si="19"/>
        <v>19</v>
      </c>
      <c r="H2521" s="83">
        <f ca="1">IFERROR(__xludf.DUMMYFUNCTION("""COMPUTED_VALUE"""),30)</f>
        <v>30</v>
      </c>
      <c r="I2521" s="83">
        <f ca="1">IFERROR(__xludf.DUMMYFUNCTION("""COMPUTED_VALUE"""),41)</f>
        <v>41</v>
      </c>
    </row>
    <row r="2522" spans="1:9">
      <c r="A2522" s="79">
        <v>693</v>
      </c>
      <c r="B2522" s="79">
        <v>12</v>
      </c>
      <c r="C2522" s="79">
        <v>705</v>
      </c>
      <c r="D2522" s="80">
        <v>43340.823391203703</v>
      </c>
      <c r="E2522" s="81">
        <f t="shared" ca="1" si="18"/>
        <v>43313</v>
      </c>
      <c r="F2522" s="82">
        <f ca="1">IFERROR(__xludf.DUMMYFUNCTION("""COMPUTED_VALUE"""),0.823391203703703)</f>
        <v>0.823391203703703</v>
      </c>
      <c r="G2522" s="83">
        <f t="shared" ca="1" si="19"/>
        <v>19</v>
      </c>
      <c r="H2522" s="83">
        <f ca="1">IFERROR(__xludf.DUMMYFUNCTION("""COMPUTED_VALUE"""),45)</f>
        <v>45</v>
      </c>
      <c r="I2522" s="83">
        <f ca="1">IFERROR(__xludf.DUMMYFUNCTION("""COMPUTED_VALUE"""),41)</f>
        <v>41</v>
      </c>
    </row>
    <row r="2523" spans="1:9">
      <c r="A2523" s="79">
        <v>673</v>
      </c>
      <c r="B2523" s="79">
        <v>14</v>
      </c>
      <c r="C2523" s="79">
        <v>687</v>
      </c>
      <c r="D2523" s="80">
        <v>43340.833807870367</v>
      </c>
      <c r="E2523" s="81">
        <f t="shared" ca="1" si="18"/>
        <v>43313</v>
      </c>
      <c r="F2523" s="82">
        <f ca="1">IFERROR(__xludf.DUMMYFUNCTION("""COMPUTED_VALUE"""),0.83380787037037)</f>
        <v>0.83380787037036996</v>
      </c>
      <c r="G2523" s="83">
        <f t="shared" ca="1" si="19"/>
        <v>19</v>
      </c>
      <c r="H2523" s="83">
        <f ca="1">IFERROR(__xludf.DUMMYFUNCTION("""COMPUTED_VALUE"""),0)</f>
        <v>0</v>
      </c>
      <c r="I2523" s="83">
        <f ca="1">IFERROR(__xludf.DUMMYFUNCTION("""COMPUTED_VALUE"""),41)</f>
        <v>41</v>
      </c>
    </row>
    <row r="2524" spans="1:9">
      <c r="A2524" s="79">
        <v>896</v>
      </c>
      <c r="B2524" s="79">
        <v>16</v>
      </c>
      <c r="C2524" s="79">
        <v>912</v>
      </c>
      <c r="D2524" s="80">
        <v>43340.844224537039</v>
      </c>
      <c r="E2524" s="81">
        <f t="shared" ca="1" si="18"/>
        <v>43313</v>
      </c>
      <c r="F2524" s="82">
        <f ca="1">IFERROR(__xludf.DUMMYFUNCTION("""COMPUTED_VALUE"""),0.844224537037037)</f>
        <v>0.84422453703703704</v>
      </c>
      <c r="G2524" s="83">
        <f t="shared" ca="1" si="19"/>
        <v>19</v>
      </c>
      <c r="H2524" s="83">
        <f ca="1">IFERROR(__xludf.DUMMYFUNCTION("""COMPUTED_VALUE"""),15)</f>
        <v>15</v>
      </c>
      <c r="I2524" s="83">
        <f ca="1">IFERROR(__xludf.DUMMYFUNCTION("""COMPUTED_VALUE"""),41)</f>
        <v>41</v>
      </c>
    </row>
    <row r="2525" spans="1:9">
      <c r="A2525" s="79">
        <v>845</v>
      </c>
      <c r="B2525" s="79">
        <v>14</v>
      </c>
      <c r="C2525" s="79">
        <v>859</v>
      </c>
      <c r="D2525" s="80">
        <v>43340.854641203703</v>
      </c>
      <c r="E2525" s="81">
        <f t="shared" ca="1" si="18"/>
        <v>43313</v>
      </c>
      <c r="F2525" s="82">
        <f ca="1">IFERROR(__xludf.DUMMYFUNCTION("""COMPUTED_VALUE"""),0.854641203703703)</f>
        <v>0.854641203703703</v>
      </c>
      <c r="G2525" s="83">
        <f t="shared" ca="1" si="19"/>
        <v>19</v>
      </c>
      <c r="H2525" s="83">
        <f ca="1">IFERROR(__xludf.DUMMYFUNCTION("""COMPUTED_VALUE"""),30)</f>
        <v>30</v>
      </c>
      <c r="I2525" s="83">
        <f ca="1">IFERROR(__xludf.DUMMYFUNCTION("""COMPUTED_VALUE"""),41)</f>
        <v>41</v>
      </c>
    </row>
    <row r="2526" spans="1:9">
      <c r="A2526" s="79">
        <v>829</v>
      </c>
      <c r="B2526" s="79">
        <v>12</v>
      </c>
      <c r="C2526" s="79">
        <v>841</v>
      </c>
      <c r="D2526" s="80">
        <v>43340.865057870367</v>
      </c>
      <c r="E2526" s="81">
        <f t="shared" ca="1" si="18"/>
        <v>43313</v>
      </c>
      <c r="F2526" s="82">
        <f ca="1">IFERROR(__xludf.DUMMYFUNCTION("""COMPUTED_VALUE"""),0.86505787037037)</f>
        <v>0.86505787037036996</v>
      </c>
      <c r="G2526" s="83">
        <f t="shared" ca="1" si="19"/>
        <v>19</v>
      </c>
      <c r="H2526" s="83">
        <f ca="1">IFERROR(__xludf.DUMMYFUNCTION("""COMPUTED_VALUE"""),45)</f>
        <v>45</v>
      </c>
      <c r="I2526" s="83">
        <f ca="1">IFERROR(__xludf.DUMMYFUNCTION("""COMPUTED_VALUE"""),41)</f>
        <v>41</v>
      </c>
    </row>
    <row r="2527" spans="1:9">
      <c r="A2527" s="79">
        <v>769</v>
      </c>
      <c r="B2527" s="79">
        <v>12</v>
      </c>
      <c r="C2527" s="79">
        <v>781</v>
      </c>
      <c r="D2527" s="80">
        <v>43340.875474537039</v>
      </c>
      <c r="E2527" s="81">
        <f t="shared" ca="1" si="18"/>
        <v>43313</v>
      </c>
      <c r="F2527" s="82">
        <f ca="1">IFERROR(__xludf.DUMMYFUNCTION("""COMPUTED_VALUE"""),0.875474537037037)</f>
        <v>0.87547453703703704</v>
      </c>
      <c r="G2527" s="83">
        <f t="shared" ca="1" si="19"/>
        <v>19</v>
      </c>
      <c r="H2527" s="83">
        <f ca="1">IFERROR(__xludf.DUMMYFUNCTION("""COMPUTED_VALUE"""),0)</f>
        <v>0</v>
      </c>
      <c r="I2527" s="83">
        <f ca="1">IFERROR(__xludf.DUMMYFUNCTION("""COMPUTED_VALUE"""),41)</f>
        <v>41</v>
      </c>
    </row>
    <row r="2528" spans="1:9">
      <c r="A2528" s="79">
        <v>790</v>
      </c>
      <c r="B2528" s="79">
        <v>12</v>
      </c>
      <c r="C2528" s="79">
        <v>802</v>
      </c>
      <c r="D2528" s="80">
        <v>43340.885891203703</v>
      </c>
      <c r="E2528" s="81">
        <f t="shared" ca="1" si="18"/>
        <v>43313</v>
      </c>
      <c r="F2528" s="82">
        <f ca="1">IFERROR(__xludf.DUMMYFUNCTION("""COMPUTED_VALUE"""),0.885891203703703)</f>
        <v>0.885891203703703</v>
      </c>
      <c r="G2528" s="83">
        <f t="shared" ca="1" si="19"/>
        <v>19</v>
      </c>
      <c r="H2528" s="83">
        <f ca="1">IFERROR(__xludf.DUMMYFUNCTION("""COMPUTED_VALUE"""),15)</f>
        <v>15</v>
      </c>
      <c r="I2528" s="83">
        <f ca="1">IFERROR(__xludf.DUMMYFUNCTION("""COMPUTED_VALUE"""),41)</f>
        <v>41</v>
      </c>
    </row>
    <row r="2529" spans="1:9">
      <c r="A2529" s="79">
        <v>742</v>
      </c>
      <c r="B2529" s="79">
        <v>11</v>
      </c>
      <c r="C2529" s="79">
        <v>753</v>
      </c>
      <c r="D2529" s="80">
        <v>43340.896307870367</v>
      </c>
      <c r="E2529" s="81">
        <f t="shared" ca="1" si="18"/>
        <v>43313</v>
      </c>
      <c r="F2529" s="82">
        <f ca="1">IFERROR(__xludf.DUMMYFUNCTION("""COMPUTED_VALUE"""),0.89630787037037)</f>
        <v>0.89630787037036996</v>
      </c>
      <c r="G2529" s="83">
        <f t="shared" ca="1" si="19"/>
        <v>19</v>
      </c>
      <c r="H2529" s="83">
        <f ca="1">IFERROR(__xludf.DUMMYFUNCTION("""COMPUTED_VALUE"""),30)</f>
        <v>30</v>
      </c>
      <c r="I2529" s="83">
        <f ca="1">IFERROR(__xludf.DUMMYFUNCTION("""COMPUTED_VALUE"""),41)</f>
        <v>41</v>
      </c>
    </row>
    <row r="2530" spans="1:9">
      <c r="A2530" s="79">
        <v>701</v>
      </c>
      <c r="B2530" s="79">
        <v>12</v>
      </c>
      <c r="C2530" s="79">
        <v>713</v>
      </c>
      <c r="D2530" s="80">
        <v>43340.906736111108</v>
      </c>
      <c r="E2530" s="81">
        <f t="shared" ca="1" si="18"/>
        <v>43313</v>
      </c>
      <c r="F2530" s="82">
        <f ca="1">IFERROR(__xludf.DUMMYFUNCTION("""COMPUTED_VALUE"""),0.906736111111111)</f>
        <v>0.90673611111111097</v>
      </c>
      <c r="G2530" s="83">
        <f t="shared" ca="1" si="19"/>
        <v>19</v>
      </c>
      <c r="H2530" s="83">
        <f ca="1">IFERROR(__xludf.DUMMYFUNCTION("""COMPUTED_VALUE"""),45)</f>
        <v>45</v>
      </c>
      <c r="I2530" s="83">
        <f ca="1">IFERROR(__xludf.DUMMYFUNCTION("""COMPUTED_VALUE"""),42)</f>
        <v>42</v>
      </c>
    </row>
    <row r="2531" spans="1:9">
      <c r="A2531" s="79">
        <v>641</v>
      </c>
      <c r="B2531" s="79">
        <v>7</v>
      </c>
      <c r="C2531" s="79">
        <v>648</v>
      </c>
      <c r="D2531" s="80">
        <v>43340.917141203703</v>
      </c>
      <c r="E2531" s="81">
        <f t="shared" ca="1" si="18"/>
        <v>43313</v>
      </c>
      <c r="F2531" s="82">
        <f ca="1">IFERROR(__xludf.DUMMYFUNCTION("""COMPUTED_VALUE"""),0.917141203703703)</f>
        <v>0.917141203703703</v>
      </c>
      <c r="G2531" s="83">
        <f t="shared" ca="1" si="19"/>
        <v>19</v>
      </c>
      <c r="H2531" s="83">
        <f ca="1">IFERROR(__xludf.DUMMYFUNCTION("""COMPUTED_VALUE"""),0)</f>
        <v>0</v>
      </c>
      <c r="I2531" s="83">
        <f ca="1">IFERROR(__xludf.DUMMYFUNCTION("""COMPUTED_VALUE"""),41)</f>
        <v>41</v>
      </c>
    </row>
    <row r="2532" spans="1:9">
      <c r="A2532" s="79">
        <v>653</v>
      </c>
      <c r="B2532" s="79">
        <v>10</v>
      </c>
      <c r="C2532" s="79">
        <v>663</v>
      </c>
      <c r="D2532" s="80">
        <v>43340.927557870367</v>
      </c>
      <c r="E2532" s="81">
        <f t="shared" ca="1" si="18"/>
        <v>43313</v>
      </c>
      <c r="F2532" s="82">
        <f ca="1">IFERROR(__xludf.DUMMYFUNCTION("""COMPUTED_VALUE"""),0.92755787037037)</f>
        <v>0.92755787037036996</v>
      </c>
      <c r="G2532" s="83">
        <f t="shared" ca="1" si="19"/>
        <v>19</v>
      </c>
      <c r="H2532" s="83">
        <f ca="1">IFERROR(__xludf.DUMMYFUNCTION("""COMPUTED_VALUE"""),15)</f>
        <v>15</v>
      </c>
      <c r="I2532" s="83">
        <f ca="1">IFERROR(__xludf.DUMMYFUNCTION("""COMPUTED_VALUE"""),41)</f>
        <v>41</v>
      </c>
    </row>
    <row r="2533" spans="1:9">
      <c r="A2533" s="79">
        <v>628</v>
      </c>
      <c r="B2533" s="79">
        <v>9</v>
      </c>
      <c r="C2533" s="79">
        <v>637</v>
      </c>
      <c r="D2533" s="80">
        <v>43340.937974537039</v>
      </c>
      <c r="E2533" s="81">
        <f t="shared" ca="1" si="18"/>
        <v>43313</v>
      </c>
      <c r="F2533" s="82">
        <f ca="1">IFERROR(__xludf.DUMMYFUNCTION("""COMPUTED_VALUE"""),0.937974537037037)</f>
        <v>0.93797453703703704</v>
      </c>
      <c r="G2533" s="83">
        <f t="shared" ca="1" si="19"/>
        <v>19</v>
      </c>
      <c r="H2533" s="83">
        <f ca="1">IFERROR(__xludf.DUMMYFUNCTION("""COMPUTED_VALUE"""),30)</f>
        <v>30</v>
      </c>
      <c r="I2533" s="83">
        <f ca="1">IFERROR(__xludf.DUMMYFUNCTION("""COMPUTED_VALUE"""),41)</f>
        <v>41</v>
      </c>
    </row>
    <row r="2534" spans="1:9">
      <c r="A2534" s="79">
        <v>588</v>
      </c>
      <c r="B2534" s="79">
        <v>8</v>
      </c>
      <c r="C2534" s="79">
        <v>596</v>
      </c>
      <c r="D2534" s="80">
        <v>43340.94840277778</v>
      </c>
      <c r="E2534" s="81">
        <f t="shared" ca="1" si="18"/>
        <v>43313</v>
      </c>
      <c r="F2534" s="82">
        <f ca="1">IFERROR(__xludf.DUMMYFUNCTION("""COMPUTED_VALUE"""),0.948402777777777)</f>
        <v>0.94840277777777704</v>
      </c>
      <c r="G2534" s="83">
        <f t="shared" ca="1" si="19"/>
        <v>19</v>
      </c>
      <c r="H2534" s="83">
        <f ca="1">IFERROR(__xludf.DUMMYFUNCTION("""COMPUTED_VALUE"""),45)</f>
        <v>45</v>
      </c>
      <c r="I2534" s="83">
        <f ca="1">IFERROR(__xludf.DUMMYFUNCTION("""COMPUTED_VALUE"""),42)</f>
        <v>42</v>
      </c>
    </row>
    <row r="2535" spans="1:9">
      <c r="A2535" s="79">
        <v>532</v>
      </c>
      <c r="B2535" s="79">
        <v>12</v>
      </c>
      <c r="C2535" s="79">
        <v>544</v>
      </c>
      <c r="D2535" s="80">
        <v>43340.958807870367</v>
      </c>
      <c r="E2535" s="81">
        <f t="shared" ca="1" si="18"/>
        <v>43313</v>
      </c>
      <c r="F2535" s="82">
        <f ca="1">IFERROR(__xludf.DUMMYFUNCTION("""COMPUTED_VALUE"""),0.95880787037037)</f>
        <v>0.95880787037036996</v>
      </c>
      <c r="G2535" s="83">
        <f t="shared" ca="1" si="19"/>
        <v>19</v>
      </c>
      <c r="H2535" s="83">
        <f ca="1">IFERROR(__xludf.DUMMYFUNCTION("""COMPUTED_VALUE"""),0)</f>
        <v>0</v>
      </c>
      <c r="I2535" s="83">
        <f ca="1">IFERROR(__xludf.DUMMYFUNCTION("""COMPUTED_VALUE"""),41)</f>
        <v>41</v>
      </c>
    </row>
    <row r="2536" spans="1:9">
      <c r="A2536" s="79">
        <v>560</v>
      </c>
      <c r="B2536" s="79">
        <v>12</v>
      </c>
      <c r="C2536" s="79">
        <v>572</v>
      </c>
      <c r="D2536" s="80">
        <v>43340.969224537039</v>
      </c>
      <c r="E2536" s="81">
        <f t="shared" ca="1" si="18"/>
        <v>43313</v>
      </c>
      <c r="F2536" s="82">
        <f ca="1">IFERROR(__xludf.DUMMYFUNCTION("""COMPUTED_VALUE"""),0.969224537037037)</f>
        <v>0.96922453703703704</v>
      </c>
      <c r="G2536" s="83">
        <f t="shared" ca="1" si="19"/>
        <v>19</v>
      </c>
      <c r="H2536" s="83">
        <f ca="1">IFERROR(__xludf.DUMMYFUNCTION("""COMPUTED_VALUE"""),15)</f>
        <v>15</v>
      </c>
      <c r="I2536" s="83">
        <f ca="1">IFERROR(__xludf.DUMMYFUNCTION("""COMPUTED_VALUE"""),41)</f>
        <v>41</v>
      </c>
    </row>
    <row r="2537" spans="1:9">
      <c r="A2537" s="79">
        <v>466</v>
      </c>
      <c r="B2537" s="79">
        <v>9</v>
      </c>
      <c r="C2537" s="79">
        <v>475</v>
      </c>
      <c r="D2537" s="80">
        <v>43340.979641203703</v>
      </c>
      <c r="E2537" s="81">
        <f t="shared" ca="1" si="18"/>
        <v>43313</v>
      </c>
      <c r="F2537" s="82">
        <f ca="1">IFERROR(__xludf.DUMMYFUNCTION("""COMPUTED_VALUE"""),0.979641203703703)</f>
        <v>0.979641203703703</v>
      </c>
      <c r="G2537" s="83">
        <f t="shared" ca="1" si="19"/>
        <v>19</v>
      </c>
      <c r="H2537" s="83">
        <f ca="1">IFERROR(__xludf.DUMMYFUNCTION("""COMPUTED_VALUE"""),30)</f>
        <v>30</v>
      </c>
      <c r="I2537" s="83">
        <f ca="1">IFERROR(__xludf.DUMMYFUNCTION("""COMPUTED_VALUE"""),41)</f>
        <v>41</v>
      </c>
    </row>
    <row r="2538" spans="1:9">
      <c r="A2538" s="79">
        <v>423</v>
      </c>
      <c r="B2538" s="79">
        <v>6</v>
      </c>
      <c r="C2538" s="79">
        <v>423</v>
      </c>
      <c r="D2538" s="80">
        <v>43340.990057870367</v>
      </c>
      <c r="E2538" s="81">
        <f t="shared" ca="1" si="18"/>
        <v>43313</v>
      </c>
      <c r="F2538" s="82">
        <f ca="1">IFERROR(__xludf.DUMMYFUNCTION("""COMPUTED_VALUE"""),0.99005787037037)</f>
        <v>0.99005787037036996</v>
      </c>
      <c r="G2538" s="83">
        <f t="shared" ca="1" si="19"/>
        <v>19</v>
      </c>
      <c r="H2538" s="83">
        <f ca="1">IFERROR(__xludf.DUMMYFUNCTION("""COMPUTED_VALUE"""),45)</f>
        <v>45</v>
      </c>
      <c r="I2538" s="83">
        <f ca="1">IFERROR(__xludf.DUMMYFUNCTION("""COMPUTED_VALUE"""),41)</f>
        <v>41</v>
      </c>
    </row>
    <row r="2539" spans="1:9">
      <c r="A2539" s="79">
        <v>355</v>
      </c>
      <c r="B2539" s="79">
        <v>4</v>
      </c>
      <c r="C2539" s="79">
        <v>359</v>
      </c>
      <c r="D2539" s="80">
        <v>43341.000486111108</v>
      </c>
      <c r="E2539" s="81">
        <f t="shared" ca="1" si="18"/>
        <v>43313</v>
      </c>
      <c r="F2539" s="82">
        <f ca="1">IFERROR(__xludf.DUMMYFUNCTION("""COMPUTED_VALUE"""),0.000486111111111111)</f>
        <v>4.8611111111111099E-4</v>
      </c>
      <c r="G2539" s="83">
        <f t="shared" ca="1" si="19"/>
        <v>19</v>
      </c>
      <c r="H2539" s="83">
        <f ca="1">IFERROR(__xludf.DUMMYFUNCTION("""COMPUTED_VALUE"""),0)</f>
        <v>0</v>
      </c>
      <c r="I2539" s="83">
        <f ca="1">IFERROR(__xludf.DUMMYFUNCTION("""COMPUTED_VALUE"""),42)</f>
        <v>42</v>
      </c>
    </row>
    <row r="2540" spans="1:9">
      <c r="A2540" s="79">
        <v>379</v>
      </c>
      <c r="B2540" s="79">
        <v>5</v>
      </c>
      <c r="C2540" s="79">
        <v>384</v>
      </c>
      <c r="D2540" s="80">
        <v>43341.010891203703</v>
      </c>
      <c r="E2540" s="81">
        <f t="shared" ca="1" si="18"/>
        <v>43313</v>
      </c>
      <c r="F2540" s="82">
        <f ca="1">IFERROR(__xludf.DUMMYFUNCTION("""COMPUTED_VALUE"""),0.0108912037037037)</f>
        <v>1.08912037037037E-2</v>
      </c>
      <c r="G2540" s="83">
        <f t="shared" ca="1" si="19"/>
        <v>19</v>
      </c>
      <c r="H2540" s="83">
        <f ca="1">IFERROR(__xludf.DUMMYFUNCTION("""COMPUTED_VALUE"""),15)</f>
        <v>15</v>
      </c>
      <c r="I2540" s="83">
        <f ca="1">IFERROR(__xludf.DUMMYFUNCTION("""COMPUTED_VALUE"""),41)</f>
        <v>41</v>
      </c>
    </row>
    <row r="2541" spans="1:9">
      <c r="A2541" s="79">
        <v>320</v>
      </c>
      <c r="B2541" s="79">
        <v>4</v>
      </c>
      <c r="C2541" s="79">
        <v>324</v>
      </c>
      <c r="D2541" s="80">
        <v>43341.021307870367</v>
      </c>
      <c r="E2541" s="81">
        <f t="shared" ca="1" si="18"/>
        <v>43313</v>
      </c>
      <c r="F2541" s="82">
        <f ca="1">IFERROR(__xludf.DUMMYFUNCTION("""COMPUTED_VALUE"""),0.0213078703703703)</f>
        <v>2.13078703703703E-2</v>
      </c>
      <c r="G2541" s="83">
        <f t="shared" ca="1" si="19"/>
        <v>19</v>
      </c>
      <c r="H2541" s="83">
        <f ca="1">IFERROR(__xludf.DUMMYFUNCTION("""COMPUTED_VALUE"""),30)</f>
        <v>30</v>
      </c>
      <c r="I2541" s="83">
        <f ca="1">IFERROR(__xludf.DUMMYFUNCTION("""COMPUTED_VALUE"""),41)</f>
        <v>41</v>
      </c>
    </row>
    <row r="2542" spans="1:9">
      <c r="A2542" s="79">
        <v>299</v>
      </c>
      <c r="B2542" s="79">
        <v>4</v>
      </c>
      <c r="C2542" s="79">
        <v>303</v>
      </c>
      <c r="D2542" s="80">
        <v>43341.031724537039</v>
      </c>
      <c r="E2542" s="81">
        <f t="shared" ca="1" si="18"/>
        <v>43313</v>
      </c>
      <c r="F2542" s="82">
        <f ca="1">IFERROR(__xludf.DUMMYFUNCTION("""COMPUTED_VALUE"""),0.031724537037037)</f>
        <v>3.1724537037037003E-2</v>
      </c>
      <c r="G2542" s="83">
        <f t="shared" ca="1" si="19"/>
        <v>19</v>
      </c>
      <c r="H2542" s="83">
        <f ca="1">IFERROR(__xludf.DUMMYFUNCTION("""COMPUTED_VALUE"""),45)</f>
        <v>45</v>
      </c>
      <c r="I2542" s="83">
        <f ca="1">IFERROR(__xludf.DUMMYFUNCTION("""COMPUTED_VALUE"""),41)</f>
        <v>41</v>
      </c>
    </row>
    <row r="2543" spans="1:9">
      <c r="A2543" s="79">
        <v>245</v>
      </c>
      <c r="B2543" s="79">
        <v>4</v>
      </c>
      <c r="C2543" s="79">
        <v>249</v>
      </c>
      <c r="D2543" s="80">
        <v>43341.042141203703</v>
      </c>
      <c r="E2543" s="81">
        <f t="shared" ca="1" si="18"/>
        <v>43313</v>
      </c>
      <c r="F2543" s="82">
        <f ca="1">IFERROR(__xludf.DUMMYFUNCTION("""COMPUTED_VALUE"""),0.0421412037037037)</f>
        <v>4.2141203703703702E-2</v>
      </c>
      <c r="G2543" s="83">
        <f t="shared" ca="1" si="19"/>
        <v>19</v>
      </c>
      <c r="H2543" s="83">
        <f ca="1">IFERROR(__xludf.DUMMYFUNCTION("""COMPUTED_VALUE"""),0)</f>
        <v>0</v>
      </c>
      <c r="I2543" s="83">
        <f ca="1">IFERROR(__xludf.DUMMYFUNCTION("""COMPUTED_VALUE"""),41)</f>
        <v>41</v>
      </c>
    </row>
    <row r="2544" spans="1:9">
      <c r="A2544" s="79">
        <v>299</v>
      </c>
      <c r="B2544" s="79">
        <v>8</v>
      </c>
      <c r="C2544" s="79">
        <v>307</v>
      </c>
      <c r="D2544" s="80">
        <v>43341.052557870367</v>
      </c>
      <c r="E2544" s="81">
        <f t="shared" ca="1" si="18"/>
        <v>43313</v>
      </c>
      <c r="F2544" s="82">
        <f ca="1">IFERROR(__xludf.DUMMYFUNCTION("""COMPUTED_VALUE"""),0.0525578703703703)</f>
        <v>5.2557870370370303E-2</v>
      </c>
      <c r="G2544" s="83">
        <f t="shared" ca="1" si="19"/>
        <v>19</v>
      </c>
      <c r="H2544" s="83">
        <f ca="1">IFERROR(__xludf.DUMMYFUNCTION("""COMPUTED_VALUE"""),15)</f>
        <v>15</v>
      </c>
      <c r="I2544" s="83">
        <f ca="1">IFERROR(__xludf.DUMMYFUNCTION("""COMPUTED_VALUE"""),41)</f>
        <v>41</v>
      </c>
    </row>
    <row r="2545" spans="1:9">
      <c r="A2545" s="79">
        <v>286</v>
      </c>
      <c r="B2545" s="79">
        <v>7</v>
      </c>
      <c r="C2545" s="79">
        <v>288</v>
      </c>
      <c r="D2545" s="80">
        <v>43341.062962962962</v>
      </c>
      <c r="E2545" s="81">
        <f t="shared" ca="1" si="18"/>
        <v>43313</v>
      </c>
      <c r="F2545" s="82">
        <f ca="1">IFERROR(__xludf.DUMMYFUNCTION("""COMPUTED_VALUE"""),0.0629629629629629)</f>
        <v>6.2962962962962901E-2</v>
      </c>
      <c r="G2545" s="83">
        <f t="shared" ca="1" si="19"/>
        <v>19</v>
      </c>
      <c r="H2545" s="83">
        <f ca="1">IFERROR(__xludf.DUMMYFUNCTION("""COMPUTED_VALUE"""),30)</f>
        <v>30</v>
      </c>
      <c r="I2545" s="83">
        <f ca="1">IFERROR(__xludf.DUMMYFUNCTION("""COMPUTED_VALUE"""),40)</f>
        <v>40</v>
      </c>
    </row>
    <row r="2546" spans="1:9">
      <c r="A2546" s="79">
        <v>306</v>
      </c>
      <c r="B2546" s="79">
        <v>5</v>
      </c>
      <c r="C2546" s="79">
        <v>311</v>
      </c>
      <c r="D2546" s="80">
        <v>43341.073391203703</v>
      </c>
      <c r="E2546" s="81">
        <f t="shared" ca="1" si="18"/>
        <v>43313</v>
      </c>
      <c r="F2546" s="82">
        <f ca="1">IFERROR(__xludf.DUMMYFUNCTION("""COMPUTED_VALUE"""),0.0733912037037037)</f>
        <v>7.3391203703703695E-2</v>
      </c>
      <c r="G2546" s="83">
        <f t="shared" ca="1" si="19"/>
        <v>19</v>
      </c>
      <c r="H2546" s="83">
        <f ca="1">IFERROR(__xludf.DUMMYFUNCTION("""COMPUTED_VALUE"""),45)</f>
        <v>45</v>
      </c>
      <c r="I2546" s="83">
        <f ca="1">IFERROR(__xludf.DUMMYFUNCTION("""COMPUTED_VALUE"""),41)</f>
        <v>41</v>
      </c>
    </row>
    <row r="2547" spans="1:9">
      <c r="A2547" s="79">
        <v>279</v>
      </c>
      <c r="B2547" s="79">
        <v>3</v>
      </c>
      <c r="C2547" s="79">
        <v>282</v>
      </c>
      <c r="D2547" s="80">
        <v>43341.083807870367</v>
      </c>
      <c r="E2547" s="81">
        <f t="shared" ca="1" si="18"/>
        <v>43313</v>
      </c>
      <c r="F2547" s="82">
        <f ca="1">IFERROR(__xludf.DUMMYFUNCTION("""COMPUTED_VALUE"""),0.0838078703703703)</f>
        <v>8.3807870370370297E-2</v>
      </c>
      <c r="G2547" s="83">
        <f t="shared" ca="1" si="19"/>
        <v>19</v>
      </c>
      <c r="H2547" s="83">
        <f ca="1">IFERROR(__xludf.DUMMYFUNCTION("""COMPUTED_VALUE"""),0)</f>
        <v>0</v>
      </c>
      <c r="I2547" s="83">
        <f ca="1">IFERROR(__xludf.DUMMYFUNCTION("""COMPUTED_VALUE"""),41)</f>
        <v>41</v>
      </c>
    </row>
    <row r="2548" spans="1:9">
      <c r="A2548" s="79">
        <v>270</v>
      </c>
      <c r="B2548" s="79">
        <v>6</v>
      </c>
      <c r="C2548" s="79">
        <v>276</v>
      </c>
      <c r="D2548" s="80">
        <v>43341.094224537039</v>
      </c>
      <c r="E2548" s="81">
        <f t="shared" ca="1" si="18"/>
        <v>43313</v>
      </c>
      <c r="F2548" s="82">
        <f ca="1">IFERROR(__xludf.DUMMYFUNCTION("""COMPUTED_VALUE"""),0.094224537037037)</f>
        <v>9.4224537037036996E-2</v>
      </c>
      <c r="G2548" s="83">
        <f t="shared" ca="1" si="19"/>
        <v>19</v>
      </c>
      <c r="H2548" s="83">
        <f ca="1">IFERROR(__xludf.DUMMYFUNCTION("""COMPUTED_VALUE"""),15)</f>
        <v>15</v>
      </c>
      <c r="I2548" s="83">
        <f ca="1">IFERROR(__xludf.DUMMYFUNCTION("""COMPUTED_VALUE"""),41)</f>
        <v>41</v>
      </c>
    </row>
    <row r="2549" spans="1:9">
      <c r="A2549" s="79">
        <v>267</v>
      </c>
      <c r="B2549" s="79">
        <v>6</v>
      </c>
      <c r="C2549" s="79">
        <v>268</v>
      </c>
      <c r="D2549" s="80">
        <v>43341.104629629626</v>
      </c>
      <c r="E2549" s="81">
        <f t="shared" ca="1" si="18"/>
        <v>43313</v>
      </c>
      <c r="F2549" s="82">
        <f ca="1">IFERROR(__xludf.DUMMYFUNCTION("""COMPUTED_VALUE"""),0.104629629629629)</f>
        <v>0.104629629629629</v>
      </c>
      <c r="G2549" s="83">
        <f t="shared" ca="1" si="19"/>
        <v>19</v>
      </c>
      <c r="H2549" s="83">
        <f ca="1">IFERROR(__xludf.DUMMYFUNCTION("""COMPUTED_VALUE"""),30)</f>
        <v>30</v>
      </c>
      <c r="I2549" s="83">
        <f ca="1">IFERROR(__xludf.DUMMYFUNCTION("""COMPUTED_VALUE"""),40)</f>
        <v>40</v>
      </c>
    </row>
    <row r="2550" spans="1:9">
      <c r="A2550" s="79">
        <v>214</v>
      </c>
      <c r="B2550" s="79">
        <v>5</v>
      </c>
      <c r="C2550" s="79">
        <v>219</v>
      </c>
      <c r="D2550" s="80">
        <v>43341.115057870367</v>
      </c>
      <c r="E2550" s="81">
        <f t="shared" ca="1" si="18"/>
        <v>43313</v>
      </c>
      <c r="F2550" s="82">
        <f ca="1">IFERROR(__xludf.DUMMYFUNCTION("""COMPUTED_VALUE"""),0.11505787037037)</f>
        <v>0.11505787037037001</v>
      </c>
      <c r="G2550" s="83">
        <f t="shared" ca="1" si="19"/>
        <v>19</v>
      </c>
      <c r="H2550" s="83">
        <f ca="1">IFERROR(__xludf.DUMMYFUNCTION("""COMPUTED_VALUE"""),45)</f>
        <v>45</v>
      </c>
      <c r="I2550" s="83">
        <f ca="1">IFERROR(__xludf.DUMMYFUNCTION("""COMPUTED_VALUE"""),41)</f>
        <v>41</v>
      </c>
    </row>
    <row r="2551" spans="1:9">
      <c r="A2551" s="79">
        <v>178</v>
      </c>
      <c r="B2551" s="79">
        <v>6</v>
      </c>
      <c r="C2551" s="79">
        <v>184</v>
      </c>
      <c r="D2551" s="80">
        <v>43341.125462962962</v>
      </c>
      <c r="E2551" s="81">
        <f t="shared" ca="1" si="18"/>
        <v>43313</v>
      </c>
      <c r="F2551" s="82">
        <f ca="1">IFERROR(__xludf.DUMMYFUNCTION("""COMPUTED_VALUE"""),0.125462962962962)</f>
        <v>0.125462962962962</v>
      </c>
      <c r="G2551" s="83">
        <f t="shared" ca="1" si="19"/>
        <v>19</v>
      </c>
      <c r="H2551" s="83">
        <f ca="1">IFERROR(__xludf.DUMMYFUNCTION("""COMPUTED_VALUE"""),0)</f>
        <v>0</v>
      </c>
      <c r="I2551" s="83">
        <f ca="1">IFERROR(__xludf.DUMMYFUNCTION("""COMPUTED_VALUE"""),40)</f>
        <v>40</v>
      </c>
    </row>
    <row r="2552" spans="1:9">
      <c r="A2552" s="79">
        <v>159</v>
      </c>
      <c r="B2552" s="79">
        <v>4</v>
      </c>
      <c r="C2552" s="79">
        <v>163</v>
      </c>
      <c r="D2552" s="80">
        <v>43341.13590277778</v>
      </c>
      <c r="E2552" s="81">
        <f t="shared" ref="E2552:E2834" ca="1" si="20">IFERROR(__xludf.DUMMYFUNCTION("SPLIT(D2, "" "")"),43313)</f>
        <v>43313</v>
      </c>
      <c r="F2552" s="82">
        <f ca="1">IFERROR(__xludf.DUMMYFUNCTION("""COMPUTED_VALUE"""),0.135902777777777)</f>
        <v>0.13590277777777701</v>
      </c>
      <c r="G2552" s="83">
        <f t="shared" ref="G2552:G2834" ca="1" si="21">IFERROR(__xludf.DUMMYFUNCTION("SPLIT(F2, "":"")"),19)</f>
        <v>19</v>
      </c>
      <c r="H2552" s="83">
        <f ca="1">IFERROR(__xludf.DUMMYFUNCTION("""COMPUTED_VALUE"""),15)</f>
        <v>15</v>
      </c>
      <c r="I2552" s="83">
        <f ca="1">IFERROR(__xludf.DUMMYFUNCTION("""COMPUTED_VALUE"""),42)</f>
        <v>42</v>
      </c>
    </row>
    <row r="2553" spans="1:9">
      <c r="A2553" s="79">
        <v>151</v>
      </c>
      <c r="B2553" s="79">
        <v>5</v>
      </c>
      <c r="C2553" s="79">
        <v>156</v>
      </c>
      <c r="D2553" s="80">
        <v>43341.146296296298</v>
      </c>
      <c r="E2553" s="81">
        <f t="shared" ca="1" si="20"/>
        <v>43313</v>
      </c>
      <c r="F2553" s="82">
        <f ca="1">IFERROR(__xludf.DUMMYFUNCTION("""COMPUTED_VALUE"""),0.146296296296296)</f>
        <v>0.14629629629629601</v>
      </c>
      <c r="G2553" s="83">
        <f t="shared" ca="1" si="21"/>
        <v>19</v>
      </c>
      <c r="H2553" s="83">
        <f ca="1">IFERROR(__xludf.DUMMYFUNCTION("""COMPUTED_VALUE"""),30)</f>
        <v>30</v>
      </c>
      <c r="I2553" s="83">
        <f ca="1">IFERROR(__xludf.DUMMYFUNCTION("""COMPUTED_VALUE"""),40)</f>
        <v>40</v>
      </c>
    </row>
    <row r="2554" spans="1:9">
      <c r="A2554" s="79">
        <v>143</v>
      </c>
      <c r="B2554" s="79">
        <v>5</v>
      </c>
      <c r="C2554" s="79">
        <v>138</v>
      </c>
      <c r="D2554" s="80">
        <v>43341.156724537039</v>
      </c>
      <c r="E2554" s="81">
        <f t="shared" ca="1" si="20"/>
        <v>43313</v>
      </c>
      <c r="F2554" s="82">
        <f ca="1">IFERROR(__xludf.DUMMYFUNCTION("""COMPUTED_VALUE"""),0.156724537037037)</f>
        <v>0.15672453703703701</v>
      </c>
      <c r="G2554" s="83">
        <f t="shared" ca="1" si="21"/>
        <v>19</v>
      </c>
      <c r="H2554" s="83">
        <f ca="1">IFERROR(__xludf.DUMMYFUNCTION("""COMPUTED_VALUE"""),45)</f>
        <v>45</v>
      </c>
      <c r="I2554" s="83">
        <f ca="1">IFERROR(__xludf.DUMMYFUNCTION("""COMPUTED_VALUE"""),41)</f>
        <v>41</v>
      </c>
    </row>
    <row r="2555" spans="1:9">
      <c r="A2555" s="79">
        <v>147</v>
      </c>
      <c r="B2555" s="79">
        <v>5</v>
      </c>
      <c r="C2555" s="79">
        <v>152</v>
      </c>
      <c r="D2555" s="80">
        <v>43341.167129629626</v>
      </c>
      <c r="E2555" s="81">
        <f t="shared" ca="1" si="20"/>
        <v>43313</v>
      </c>
      <c r="F2555" s="82">
        <f ca="1">IFERROR(__xludf.DUMMYFUNCTION("""COMPUTED_VALUE"""),0.167129629629629)</f>
        <v>0.16712962962962899</v>
      </c>
      <c r="G2555" s="83">
        <f t="shared" ca="1" si="21"/>
        <v>19</v>
      </c>
      <c r="H2555" s="83">
        <f ca="1">IFERROR(__xludf.DUMMYFUNCTION("""COMPUTED_VALUE"""),0)</f>
        <v>0</v>
      </c>
      <c r="I2555" s="83">
        <f ca="1">IFERROR(__xludf.DUMMYFUNCTION("""COMPUTED_VALUE"""),40)</f>
        <v>40</v>
      </c>
    </row>
    <row r="2556" spans="1:9">
      <c r="A2556" s="79">
        <v>52</v>
      </c>
      <c r="B2556" s="79">
        <v>3</v>
      </c>
      <c r="C2556" s="79">
        <v>55</v>
      </c>
      <c r="D2556" s="80">
        <v>43341.177569444444</v>
      </c>
      <c r="E2556" s="81">
        <f t="shared" ca="1" si="20"/>
        <v>43313</v>
      </c>
      <c r="F2556" s="82">
        <f ca="1">IFERROR(__xludf.DUMMYFUNCTION("""COMPUTED_VALUE"""),0.177569444444444)</f>
        <v>0.177569444444444</v>
      </c>
      <c r="G2556" s="83">
        <f t="shared" ca="1" si="21"/>
        <v>19</v>
      </c>
      <c r="H2556" s="83">
        <f ca="1">IFERROR(__xludf.DUMMYFUNCTION("""COMPUTED_VALUE"""),15)</f>
        <v>15</v>
      </c>
      <c r="I2556" s="83">
        <f ca="1">IFERROR(__xludf.DUMMYFUNCTION("""COMPUTED_VALUE"""),42)</f>
        <v>42</v>
      </c>
    </row>
    <row r="2557" spans="1:9">
      <c r="A2557" s="79">
        <v>36</v>
      </c>
      <c r="B2557" s="79">
        <v>3</v>
      </c>
      <c r="C2557" s="79">
        <v>37</v>
      </c>
      <c r="D2557" s="80">
        <v>43341.187962962962</v>
      </c>
      <c r="E2557" s="81">
        <f t="shared" ca="1" si="20"/>
        <v>43313</v>
      </c>
      <c r="F2557" s="82">
        <f ca="1">IFERROR(__xludf.DUMMYFUNCTION("""COMPUTED_VALUE"""),0.187962962962962)</f>
        <v>0.187962962962962</v>
      </c>
      <c r="G2557" s="83">
        <f t="shared" ca="1" si="21"/>
        <v>19</v>
      </c>
      <c r="H2557" s="83">
        <f ca="1">IFERROR(__xludf.DUMMYFUNCTION("""COMPUTED_VALUE"""),30)</f>
        <v>30</v>
      </c>
      <c r="I2557" s="83">
        <f ca="1">IFERROR(__xludf.DUMMYFUNCTION("""COMPUTED_VALUE"""),40)</f>
        <v>40</v>
      </c>
    </row>
    <row r="2558" spans="1:9">
      <c r="A2558" s="79">
        <v>29</v>
      </c>
      <c r="B2558" s="79">
        <v>3</v>
      </c>
      <c r="C2558" s="79">
        <v>32</v>
      </c>
      <c r="D2558" s="80">
        <v>43341.198391203703</v>
      </c>
      <c r="E2558" s="81">
        <f t="shared" ca="1" si="20"/>
        <v>43313</v>
      </c>
      <c r="F2558" s="82">
        <f ca="1">IFERROR(__xludf.DUMMYFUNCTION("""COMPUTED_VALUE"""),0.198391203703703)</f>
        <v>0.198391203703703</v>
      </c>
      <c r="G2558" s="83">
        <f t="shared" ca="1" si="21"/>
        <v>19</v>
      </c>
      <c r="H2558" s="83">
        <f ca="1">IFERROR(__xludf.DUMMYFUNCTION("""COMPUTED_VALUE"""),45)</f>
        <v>45</v>
      </c>
      <c r="I2558" s="83">
        <f ca="1">IFERROR(__xludf.DUMMYFUNCTION("""COMPUTED_VALUE"""),41)</f>
        <v>41</v>
      </c>
    </row>
    <row r="2559" spans="1:9">
      <c r="A2559" s="79">
        <v>28</v>
      </c>
      <c r="B2559" s="79">
        <v>3</v>
      </c>
      <c r="C2559" s="79">
        <v>31</v>
      </c>
      <c r="D2559" s="80">
        <v>43341.208796296298</v>
      </c>
      <c r="E2559" s="81">
        <f t="shared" ca="1" si="20"/>
        <v>43313</v>
      </c>
      <c r="F2559" s="82">
        <f ca="1">IFERROR(__xludf.DUMMYFUNCTION("""COMPUTED_VALUE"""),0.208796296296296)</f>
        <v>0.20879629629629601</v>
      </c>
      <c r="G2559" s="83">
        <f t="shared" ca="1" si="21"/>
        <v>19</v>
      </c>
      <c r="H2559" s="83">
        <f ca="1">IFERROR(__xludf.DUMMYFUNCTION("""COMPUTED_VALUE"""),0)</f>
        <v>0</v>
      </c>
      <c r="I2559" s="83">
        <f ca="1">IFERROR(__xludf.DUMMYFUNCTION("""COMPUTED_VALUE"""),40)</f>
        <v>40</v>
      </c>
    </row>
    <row r="2560" spans="1:9">
      <c r="A2560" s="79">
        <v>27</v>
      </c>
      <c r="B2560" s="79">
        <v>3</v>
      </c>
      <c r="C2560" s="79">
        <v>30</v>
      </c>
      <c r="D2560" s="80">
        <v>43341.219224537039</v>
      </c>
      <c r="E2560" s="81">
        <f t="shared" ca="1" si="20"/>
        <v>43313</v>
      </c>
      <c r="F2560" s="82">
        <f ca="1">IFERROR(__xludf.DUMMYFUNCTION("""COMPUTED_VALUE"""),0.219224537037037)</f>
        <v>0.21922453703703701</v>
      </c>
      <c r="G2560" s="83">
        <f t="shared" ca="1" si="21"/>
        <v>19</v>
      </c>
      <c r="H2560" s="83">
        <f ca="1">IFERROR(__xludf.DUMMYFUNCTION("""COMPUTED_VALUE"""),15)</f>
        <v>15</v>
      </c>
      <c r="I2560" s="83">
        <f ca="1">IFERROR(__xludf.DUMMYFUNCTION("""COMPUTED_VALUE"""),41)</f>
        <v>41</v>
      </c>
    </row>
    <row r="2561" spans="1:9">
      <c r="A2561" s="79">
        <v>24</v>
      </c>
      <c r="B2561" s="79">
        <v>3</v>
      </c>
      <c r="C2561" s="79">
        <v>27</v>
      </c>
      <c r="D2561" s="80">
        <v>43341.229629629626</v>
      </c>
      <c r="E2561" s="81">
        <f t="shared" ca="1" si="20"/>
        <v>43313</v>
      </c>
      <c r="F2561" s="82">
        <f ca="1">IFERROR(__xludf.DUMMYFUNCTION("""COMPUTED_VALUE"""),0.229629629629629)</f>
        <v>0.22962962962962899</v>
      </c>
      <c r="G2561" s="83">
        <f t="shared" ca="1" si="21"/>
        <v>19</v>
      </c>
      <c r="H2561" s="83">
        <f ca="1">IFERROR(__xludf.DUMMYFUNCTION("""COMPUTED_VALUE"""),30)</f>
        <v>30</v>
      </c>
      <c r="I2561" s="83">
        <f ca="1">IFERROR(__xludf.DUMMYFUNCTION("""COMPUTED_VALUE"""),40)</f>
        <v>40</v>
      </c>
    </row>
    <row r="2562" spans="1:9">
      <c r="A2562" s="79">
        <v>24</v>
      </c>
      <c r="B2562" s="79">
        <v>3</v>
      </c>
      <c r="C2562" s="79">
        <v>27</v>
      </c>
      <c r="D2562" s="80">
        <v>43341.240046296298</v>
      </c>
      <c r="E2562" s="81">
        <f t="shared" ca="1" si="20"/>
        <v>43313</v>
      </c>
      <c r="F2562" s="82">
        <f ca="1">IFERROR(__xludf.DUMMYFUNCTION("""COMPUTED_VALUE"""),0.240046296296296)</f>
        <v>0.24004629629629601</v>
      </c>
      <c r="G2562" s="83">
        <f t="shared" ca="1" si="21"/>
        <v>19</v>
      </c>
      <c r="H2562" s="83">
        <f ca="1">IFERROR(__xludf.DUMMYFUNCTION("""COMPUTED_VALUE"""),45)</f>
        <v>45</v>
      </c>
      <c r="I2562" s="83">
        <f ca="1">IFERROR(__xludf.DUMMYFUNCTION("""COMPUTED_VALUE"""),40)</f>
        <v>40</v>
      </c>
    </row>
    <row r="2563" spans="1:9">
      <c r="A2563" s="79">
        <v>33</v>
      </c>
      <c r="B2563" s="79">
        <v>3</v>
      </c>
      <c r="C2563" s="79">
        <v>26</v>
      </c>
      <c r="D2563" s="80">
        <v>43341.250462962962</v>
      </c>
      <c r="E2563" s="81">
        <f t="shared" ca="1" si="20"/>
        <v>43313</v>
      </c>
      <c r="F2563" s="82">
        <f ca="1">IFERROR(__xludf.DUMMYFUNCTION("""COMPUTED_VALUE"""),0.250462962962962)</f>
        <v>0.250462962962962</v>
      </c>
      <c r="G2563" s="83">
        <f t="shared" ca="1" si="21"/>
        <v>19</v>
      </c>
      <c r="H2563" s="83">
        <f ca="1">IFERROR(__xludf.DUMMYFUNCTION("""COMPUTED_VALUE"""),0)</f>
        <v>0</v>
      </c>
      <c r="I2563" s="83">
        <f ca="1">IFERROR(__xludf.DUMMYFUNCTION("""COMPUTED_VALUE"""),40)</f>
        <v>40</v>
      </c>
    </row>
    <row r="2564" spans="1:9">
      <c r="A2564" s="79">
        <v>23</v>
      </c>
      <c r="B2564" s="79">
        <v>3</v>
      </c>
      <c r="C2564" s="79">
        <v>26</v>
      </c>
      <c r="D2564" s="80">
        <v>43341.260891203703</v>
      </c>
      <c r="E2564" s="81">
        <f t="shared" ca="1" si="20"/>
        <v>43313</v>
      </c>
      <c r="F2564" s="82">
        <f ca="1">IFERROR(__xludf.DUMMYFUNCTION("""COMPUTED_VALUE"""),0.260891203703703)</f>
        <v>0.260891203703703</v>
      </c>
      <c r="G2564" s="83">
        <f t="shared" ca="1" si="21"/>
        <v>19</v>
      </c>
      <c r="H2564" s="83">
        <f ca="1">IFERROR(__xludf.DUMMYFUNCTION("""COMPUTED_VALUE"""),15)</f>
        <v>15</v>
      </c>
      <c r="I2564" s="83">
        <f ca="1">IFERROR(__xludf.DUMMYFUNCTION("""COMPUTED_VALUE"""),41)</f>
        <v>41</v>
      </c>
    </row>
    <row r="2565" spans="1:9">
      <c r="A2565" s="79">
        <v>23</v>
      </c>
      <c r="B2565" s="79">
        <v>3</v>
      </c>
      <c r="C2565" s="79">
        <v>26</v>
      </c>
      <c r="D2565" s="80">
        <v>43341.273784722223</v>
      </c>
      <c r="E2565" s="81">
        <f t="shared" ca="1" si="20"/>
        <v>43313</v>
      </c>
      <c r="F2565" s="82">
        <f ca="1">IFERROR(__xludf.DUMMYFUNCTION("""COMPUTED_VALUE"""),0.273784722222222)</f>
        <v>0.273784722222222</v>
      </c>
      <c r="G2565" s="83">
        <f t="shared" ca="1" si="21"/>
        <v>19</v>
      </c>
      <c r="H2565" s="83">
        <f ca="1">IFERROR(__xludf.DUMMYFUNCTION("""COMPUTED_VALUE"""),34)</f>
        <v>34</v>
      </c>
      <c r="I2565" s="83">
        <f ca="1">IFERROR(__xludf.DUMMYFUNCTION("""COMPUTED_VALUE"""),15)</f>
        <v>15</v>
      </c>
    </row>
    <row r="2566" spans="1:9">
      <c r="A2566" s="79">
        <v>23</v>
      </c>
      <c r="B2566" s="79">
        <v>3</v>
      </c>
      <c r="C2566" s="79">
        <v>26</v>
      </c>
      <c r="D2566" s="80">
        <v>43341.281712962962</v>
      </c>
      <c r="E2566" s="81">
        <f t="shared" ca="1" si="20"/>
        <v>43313</v>
      </c>
      <c r="F2566" s="82">
        <f ca="1">IFERROR(__xludf.DUMMYFUNCTION("""COMPUTED_VALUE"""),0.281712962962962)</f>
        <v>0.281712962962962</v>
      </c>
      <c r="G2566" s="83">
        <f t="shared" ca="1" si="21"/>
        <v>19</v>
      </c>
      <c r="H2566" s="83">
        <f ca="1">IFERROR(__xludf.DUMMYFUNCTION("""COMPUTED_VALUE"""),45)</f>
        <v>45</v>
      </c>
      <c r="I2566" s="83">
        <f ca="1">IFERROR(__xludf.DUMMYFUNCTION("""COMPUTED_VALUE"""),40)</f>
        <v>40</v>
      </c>
    </row>
    <row r="2567" spans="1:9">
      <c r="A2567" s="79">
        <v>31</v>
      </c>
      <c r="B2567" s="79">
        <v>3</v>
      </c>
      <c r="C2567" s="79">
        <v>34</v>
      </c>
      <c r="D2567" s="80">
        <v>43341.292141203703</v>
      </c>
      <c r="E2567" s="81">
        <f t="shared" ca="1" si="20"/>
        <v>43313</v>
      </c>
      <c r="F2567" s="82">
        <f ca="1">IFERROR(__xludf.DUMMYFUNCTION("""COMPUTED_VALUE"""),0.292141203703703)</f>
        <v>0.292141203703703</v>
      </c>
      <c r="G2567" s="83">
        <f t="shared" ca="1" si="21"/>
        <v>19</v>
      </c>
      <c r="H2567" s="83">
        <f ca="1">IFERROR(__xludf.DUMMYFUNCTION("""COMPUTED_VALUE"""),0)</f>
        <v>0</v>
      </c>
      <c r="I2567" s="83">
        <f ca="1">IFERROR(__xludf.DUMMYFUNCTION("""COMPUTED_VALUE"""),41)</f>
        <v>41</v>
      </c>
    </row>
    <row r="2568" spans="1:9">
      <c r="A2568" s="79">
        <v>40</v>
      </c>
      <c r="B2568" s="79">
        <v>3</v>
      </c>
      <c r="C2568" s="79">
        <v>43</v>
      </c>
      <c r="D2568" s="80">
        <v>43341.302569444444</v>
      </c>
      <c r="E2568" s="81">
        <f t="shared" ca="1" si="20"/>
        <v>43313</v>
      </c>
      <c r="F2568" s="82">
        <f ca="1">IFERROR(__xludf.DUMMYFUNCTION("""COMPUTED_VALUE"""),0.302569444444444)</f>
        <v>0.302569444444444</v>
      </c>
      <c r="G2568" s="83">
        <f t="shared" ca="1" si="21"/>
        <v>19</v>
      </c>
      <c r="H2568" s="83">
        <f ca="1">IFERROR(__xludf.DUMMYFUNCTION("""COMPUTED_VALUE"""),15)</f>
        <v>15</v>
      </c>
      <c r="I2568" s="83">
        <f ca="1">IFERROR(__xludf.DUMMYFUNCTION("""COMPUTED_VALUE"""),42)</f>
        <v>42</v>
      </c>
    </row>
    <row r="2569" spans="1:9">
      <c r="A2569" s="79">
        <v>49</v>
      </c>
      <c r="B2569" s="79">
        <v>3</v>
      </c>
      <c r="C2569" s="79">
        <v>52</v>
      </c>
      <c r="D2569" s="80">
        <v>43341.312986111108</v>
      </c>
      <c r="E2569" s="81">
        <f t="shared" ca="1" si="20"/>
        <v>43313</v>
      </c>
      <c r="F2569" s="82">
        <f ca="1">IFERROR(__xludf.DUMMYFUNCTION("""COMPUTED_VALUE"""),0.312986111111111)</f>
        <v>0.31298611111111102</v>
      </c>
      <c r="G2569" s="83">
        <f t="shared" ca="1" si="21"/>
        <v>19</v>
      </c>
      <c r="H2569" s="83">
        <f ca="1">IFERROR(__xludf.DUMMYFUNCTION("""COMPUTED_VALUE"""),30)</f>
        <v>30</v>
      </c>
      <c r="I2569" s="83">
        <f ca="1">IFERROR(__xludf.DUMMYFUNCTION("""COMPUTED_VALUE"""),42)</f>
        <v>42</v>
      </c>
    </row>
    <row r="2570" spans="1:9">
      <c r="A2570" s="79">
        <v>70</v>
      </c>
      <c r="B2570" s="79">
        <v>3</v>
      </c>
      <c r="C2570" s="79">
        <v>68</v>
      </c>
      <c r="D2570" s="80">
        <v>43341.32340277778</v>
      </c>
      <c r="E2570" s="81">
        <f t="shared" ca="1" si="20"/>
        <v>43313</v>
      </c>
      <c r="F2570" s="82">
        <f ca="1">IFERROR(__xludf.DUMMYFUNCTION("""COMPUTED_VALUE"""),0.323402777777777)</f>
        <v>0.32340277777777698</v>
      </c>
      <c r="G2570" s="83">
        <f t="shared" ca="1" si="21"/>
        <v>19</v>
      </c>
      <c r="H2570" s="83">
        <f ca="1">IFERROR(__xludf.DUMMYFUNCTION("""COMPUTED_VALUE"""),45)</f>
        <v>45</v>
      </c>
      <c r="I2570" s="83">
        <f ca="1">IFERROR(__xludf.DUMMYFUNCTION("""COMPUTED_VALUE"""),42)</f>
        <v>42</v>
      </c>
    </row>
    <row r="2571" spans="1:9">
      <c r="A2571" s="79">
        <v>57</v>
      </c>
      <c r="B2571" s="79">
        <v>3</v>
      </c>
      <c r="C2571" s="79">
        <v>60</v>
      </c>
      <c r="D2571" s="80">
        <v>43341.333819444444</v>
      </c>
      <c r="E2571" s="81">
        <f t="shared" ca="1" si="20"/>
        <v>43313</v>
      </c>
      <c r="F2571" s="82">
        <f ca="1">IFERROR(__xludf.DUMMYFUNCTION("""COMPUTED_VALUE"""),0.333819444444444)</f>
        <v>0.333819444444444</v>
      </c>
      <c r="G2571" s="83">
        <f t="shared" ca="1" si="21"/>
        <v>19</v>
      </c>
      <c r="H2571" s="83">
        <f ca="1">IFERROR(__xludf.DUMMYFUNCTION("""COMPUTED_VALUE"""),0)</f>
        <v>0</v>
      </c>
      <c r="I2571" s="83">
        <f ca="1">IFERROR(__xludf.DUMMYFUNCTION("""COMPUTED_VALUE"""),42)</f>
        <v>42</v>
      </c>
    </row>
    <row r="2572" spans="1:9">
      <c r="A2572" s="79">
        <v>71</v>
      </c>
      <c r="B2572" s="79">
        <v>3</v>
      </c>
      <c r="C2572" s="79">
        <v>74</v>
      </c>
      <c r="D2572" s="80">
        <v>43341.344236111108</v>
      </c>
      <c r="E2572" s="81">
        <f t="shared" ca="1" si="20"/>
        <v>43313</v>
      </c>
      <c r="F2572" s="82">
        <f ca="1">IFERROR(__xludf.DUMMYFUNCTION("""COMPUTED_VALUE"""),0.344236111111111)</f>
        <v>0.34423611111111102</v>
      </c>
      <c r="G2572" s="83">
        <f t="shared" ca="1" si="21"/>
        <v>19</v>
      </c>
      <c r="H2572" s="83">
        <f ca="1">IFERROR(__xludf.DUMMYFUNCTION("""COMPUTED_VALUE"""),15)</f>
        <v>15</v>
      </c>
      <c r="I2572" s="83">
        <f ca="1">IFERROR(__xludf.DUMMYFUNCTION("""COMPUTED_VALUE"""),42)</f>
        <v>42</v>
      </c>
    </row>
    <row r="2573" spans="1:9">
      <c r="A2573" s="79">
        <v>131</v>
      </c>
      <c r="B2573" s="79">
        <v>5</v>
      </c>
      <c r="C2573" s="79">
        <v>127</v>
      </c>
      <c r="D2573" s="80">
        <v>43341.35465277778</v>
      </c>
      <c r="E2573" s="81">
        <f t="shared" ca="1" si="20"/>
        <v>43313</v>
      </c>
      <c r="F2573" s="82">
        <f ca="1">IFERROR(__xludf.DUMMYFUNCTION("""COMPUTED_VALUE"""),0.354652777777777)</f>
        <v>0.35465277777777698</v>
      </c>
      <c r="G2573" s="83">
        <f t="shared" ca="1" si="21"/>
        <v>19</v>
      </c>
      <c r="H2573" s="83">
        <f ca="1">IFERROR(__xludf.DUMMYFUNCTION("""COMPUTED_VALUE"""),30)</f>
        <v>30</v>
      </c>
      <c r="I2573" s="83">
        <f ca="1">IFERROR(__xludf.DUMMYFUNCTION("""COMPUTED_VALUE"""),42)</f>
        <v>42</v>
      </c>
    </row>
    <row r="2574" spans="1:9">
      <c r="A2574" s="79">
        <v>167</v>
      </c>
      <c r="B2574" s="79">
        <v>5</v>
      </c>
      <c r="C2574" s="79">
        <v>172</v>
      </c>
      <c r="D2574" s="80">
        <v>43341.365081018521</v>
      </c>
      <c r="E2574" s="81">
        <f t="shared" ca="1" si="20"/>
        <v>43313</v>
      </c>
      <c r="F2574" s="82">
        <f ca="1">IFERROR(__xludf.DUMMYFUNCTION("""COMPUTED_VALUE"""),0.365081018518518)</f>
        <v>0.36508101851851799</v>
      </c>
      <c r="G2574" s="83">
        <f t="shared" ca="1" si="21"/>
        <v>19</v>
      </c>
      <c r="H2574" s="83">
        <f ca="1">IFERROR(__xludf.DUMMYFUNCTION("""COMPUTED_VALUE"""),45)</f>
        <v>45</v>
      </c>
      <c r="I2574" s="83">
        <f ca="1">IFERROR(__xludf.DUMMYFUNCTION("""COMPUTED_VALUE"""),43)</f>
        <v>43</v>
      </c>
    </row>
    <row r="2575" spans="1:9">
      <c r="A2575" s="79">
        <v>158</v>
      </c>
      <c r="B2575" s="79">
        <v>3</v>
      </c>
      <c r="C2575" s="79">
        <v>161</v>
      </c>
      <c r="D2575" s="80">
        <v>43341.375486111108</v>
      </c>
      <c r="E2575" s="81">
        <f t="shared" ca="1" si="20"/>
        <v>43313</v>
      </c>
      <c r="F2575" s="82">
        <f ca="1">IFERROR(__xludf.DUMMYFUNCTION("""COMPUTED_VALUE"""),0.375486111111111)</f>
        <v>0.37548611111111102</v>
      </c>
      <c r="G2575" s="83">
        <f t="shared" ca="1" si="21"/>
        <v>19</v>
      </c>
      <c r="H2575" s="83">
        <f ca="1">IFERROR(__xludf.DUMMYFUNCTION("""COMPUTED_VALUE"""),0)</f>
        <v>0</v>
      </c>
      <c r="I2575" s="83">
        <f ca="1">IFERROR(__xludf.DUMMYFUNCTION("""COMPUTED_VALUE"""),42)</f>
        <v>42</v>
      </c>
    </row>
    <row r="2576" spans="1:9">
      <c r="A2576" s="79">
        <v>233</v>
      </c>
      <c r="B2576" s="79">
        <v>6</v>
      </c>
      <c r="C2576" s="79">
        <v>239</v>
      </c>
      <c r="D2576" s="80">
        <v>43341.38590277778</v>
      </c>
      <c r="E2576" s="81">
        <f t="shared" ca="1" si="20"/>
        <v>43313</v>
      </c>
      <c r="F2576" s="82">
        <f ca="1">IFERROR(__xludf.DUMMYFUNCTION("""COMPUTED_VALUE"""),0.385902777777777)</f>
        <v>0.38590277777777698</v>
      </c>
      <c r="G2576" s="83">
        <f t="shared" ca="1" si="21"/>
        <v>19</v>
      </c>
      <c r="H2576" s="83">
        <f ca="1">IFERROR(__xludf.DUMMYFUNCTION("""COMPUTED_VALUE"""),15)</f>
        <v>15</v>
      </c>
      <c r="I2576" s="83">
        <f ca="1">IFERROR(__xludf.DUMMYFUNCTION("""COMPUTED_VALUE"""),42)</f>
        <v>42</v>
      </c>
    </row>
    <row r="2577" spans="1:9">
      <c r="A2577" s="79">
        <v>383</v>
      </c>
      <c r="B2577" s="79">
        <v>5</v>
      </c>
      <c r="C2577" s="79">
        <v>388</v>
      </c>
      <c r="D2577" s="80">
        <v>43341.396319444444</v>
      </c>
      <c r="E2577" s="81">
        <f t="shared" ca="1" si="20"/>
        <v>43313</v>
      </c>
      <c r="F2577" s="82">
        <f ca="1">IFERROR(__xludf.DUMMYFUNCTION("""COMPUTED_VALUE"""),0.396319444444444)</f>
        <v>0.396319444444444</v>
      </c>
      <c r="G2577" s="83">
        <f t="shared" ca="1" si="21"/>
        <v>19</v>
      </c>
      <c r="H2577" s="83">
        <f ca="1">IFERROR(__xludf.DUMMYFUNCTION("""COMPUTED_VALUE"""),30)</f>
        <v>30</v>
      </c>
      <c r="I2577" s="83">
        <f ca="1">IFERROR(__xludf.DUMMYFUNCTION("""COMPUTED_VALUE"""),42)</f>
        <v>42</v>
      </c>
    </row>
    <row r="2578" spans="1:9">
      <c r="A2578" s="79">
        <v>682</v>
      </c>
      <c r="B2578" s="79">
        <v>6</v>
      </c>
      <c r="C2578" s="79">
        <v>688</v>
      </c>
      <c r="D2578" s="80">
        <v>43341.406736111108</v>
      </c>
      <c r="E2578" s="81">
        <f t="shared" ca="1" si="20"/>
        <v>43313</v>
      </c>
      <c r="F2578" s="82">
        <f ca="1">IFERROR(__xludf.DUMMYFUNCTION("""COMPUTED_VALUE"""),0.406736111111111)</f>
        <v>0.40673611111111102</v>
      </c>
      <c r="G2578" s="83">
        <f t="shared" ca="1" si="21"/>
        <v>19</v>
      </c>
      <c r="H2578" s="83">
        <f ca="1">IFERROR(__xludf.DUMMYFUNCTION("""COMPUTED_VALUE"""),45)</f>
        <v>45</v>
      </c>
      <c r="I2578" s="83">
        <f ca="1">IFERROR(__xludf.DUMMYFUNCTION("""COMPUTED_VALUE"""),42)</f>
        <v>42</v>
      </c>
    </row>
    <row r="2579" spans="1:9">
      <c r="A2579" s="79">
        <v>627</v>
      </c>
      <c r="B2579" s="79">
        <v>9</v>
      </c>
      <c r="C2579" s="79">
        <v>636</v>
      </c>
      <c r="D2579" s="80">
        <v>43341.41715277778</v>
      </c>
      <c r="E2579" s="81">
        <f t="shared" ca="1" si="20"/>
        <v>43313</v>
      </c>
      <c r="F2579" s="82">
        <f ca="1">IFERROR(__xludf.DUMMYFUNCTION("""COMPUTED_VALUE"""),0.417152777777777)</f>
        <v>0.41715277777777698</v>
      </c>
      <c r="G2579" s="83">
        <f t="shared" ca="1" si="21"/>
        <v>19</v>
      </c>
      <c r="H2579" s="83">
        <f ca="1">IFERROR(__xludf.DUMMYFUNCTION("""COMPUTED_VALUE"""),0)</f>
        <v>0</v>
      </c>
      <c r="I2579" s="83">
        <f ca="1">IFERROR(__xludf.DUMMYFUNCTION("""COMPUTED_VALUE"""),42)</f>
        <v>42</v>
      </c>
    </row>
    <row r="2580" spans="1:9">
      <c r="A2580" s="79">
        <v>572</v>
      </c>
      <c r="B2580" s="79">
        <v>17</v>
      </c>
      <c r="C2580" s="79">
        <v>589</v>
      </c>
      <c r="D2580" s="80">
        <v>43341.427569444444</v>
      </c>
      <c r="E2580" s="81">
        <f t="shared" ca="1" si="20"/>
        <v>43313</v>
      </c>
      <c r="F2580" s="82">
        <f ca="1">IFERROR(__xludf.DUMMYFUNCTION("""COMPUTED_VALUE"""),0.427569444444444)</f>
        <v>0.427569444444444</v>
      </c>
      <c r="G2580" s="83">
        <f t="shared" ca="1" si="21"/>
        <v>19</v>
      </c>
      <c r="H2580" s="83">
        <f ca="1">IFERROR(__xludf.DUMMYFUNCTION("""COMPUTED_VALUE"""),15)</f>
        <v>15</v>
      </c>
      <c r="I2580" s="83">
        <f ca="1">IFERROR(__xludf.DUMMYFUNCTION("""COMPUTED_VALUE"""),42)</f>
        <v>42</v>
      </c>
    </row>
    <row r="2581" spans="1:9">
      <c r="A2581" s="79">
        <v>633</v>
      </c>
      <c r="B2581" s="79">
        <v>24</v>
      </c>
      <c r="C2581" s="79">
        <v>657</v>
      </c>
      <c r="D2581" s="80">
        <v>43341.437986111108</v>
      </c>
      <c r="E2581" s="81">
        <f t="shared" ca="1" si="20"/>
        <v>43313</v>
      </c>
      <c r="F2581" s="82">
        <f ca="1">IFERROR(__xludf.DUMMYFUNCTION("""COMPUTED_VALUE"""),0.437986111111111)</f>
        <v>0.43798611111111102</v>
      </c>
      <c r="G2581" s="83">
        <f t="shared" ca="1" si="21"/>
        <v>19</v>
      </c>
      <c r="H2581" s="83">
        <f ca="1">IFERROR(__xludf.DUMMYFUNCTION("""COMPUTED_VALUE"""),30)</f>
        <v>30</v>
      </c>
      <c r="I2581" s="83">
        <f ca="1">IFERROR(__xludf.DUMMYFUNCTION("""COMPUTED_VALUE"""),42)</f>
        <v>42</v>
      </c>
    </row>
    <row r="2582" spans="1:9">
      <c r="A2582" s="79">
        <v>779</v>
      </c>
      <c r="B2582" s="79">
        <v>17</v>
      </c>
      <c r="C2582" s="79">
        <v>796</v>
      </c>
      <c r="D2582" s="80">
        <v>43341.44840277778</v>
      </c>
      <c r="E2582" s="81">
        <f t="shared" ca="1" si="20"/>
        <v>43313</v>
      </c>
      <c r="F2582" s="82">
        <f ca="1">IFERROR(__xludf.DUMMYFUNCTION("""COMPUTED_VALUE"""),0.448402777777777)</f>
        <v>0.44840277777777698</v>
      </c>
      <c r="G2582" s="83">
        <f t="shared" ca="1" si="21"/>
        <v>19</v>
      </c>
      <c r="H2582" s="83">
        <f ca="1">IFERROR(__xludf.DUMMYFUNCTION("""COMPUTED_VALUE"""),45)</f>
        <v>45</v>
      </c>
      <c r="I2582" s="83">
        <f ca="1">IFERROR(__xludf.DUMMYFUNCTION("""COMPUTED_VALUE"""),42)</f>
        <v>42</v>
      </c>
    </row>
    <row r="2583" spans="1:9">
      <c r="A2583" s="79">
        <v>600</v>
      </c>
      <c r="B2583" s="79">
        <v>16</v>
      </c>
      <c r="C2583" s="79">
        <v>616</v>
      </c>
      <c r="D2583" s="80">
        <v>43341.458819444444</v>
      </c>
      <c r="E2583" s="81">
        <f t="shared" ca="1" si="20"/>
        <v>43313</v>
      </c>
      <c r="F2583" s="82">
        <f ca="1">IFERROR(__xludf.DUMMYFUNCTION("""COMPUTED_VALUE"""),0.458819444444444)</f>
        <v>0.458819444444444</v>
      </c>
      <c r="G2583" s="83">
        <f t="shared" ca="1" si="21"/>
        <v>19</v>
      </c>
      <c r="H2583" s="83">
        <f ca="1">IFERROR(__xludf.DUMMYFUNCTION("""COMPUTED_VALUE"""),0)</f>
        <v>0</v>
      </c>
      <c r="I2583" s="83">
        <f ca="1">IFERROR(__xludf.DUMMYFUNCTION("""COMPUTED_VALUE"""),42)</f>
        <v>42</v>
      </c>
    </row>
    <row r="2584" spans="1:9">
      <c r="A2584" s="79">
        <v>506</v>
      </c>
      <c r="B2584" s="79">
        <v>15</v>
      </c>
      <c r="C2584" s="79">
        <v>521</v>
      </c>
      <c r="D2584" s="80">
        <v>43341.469236111108</v>
      </c>
      <c r="E2584" s="81">
        <f t="shared" ca="1" si="20"/>
        <v>43313</v>
      </c>
      <c r="F2584" s="82">
        <f ca="1">IFERROR(__xludf.DUMMYFUNCTION("""COMPUTED_VALUE"""),0.469236111111111)</f>
        <v>0.46923611111111102</v>
      </c>
      <c r="G2584" s="83">
        <f t="shared" ca="1" si="21"/>
        <v>19</v>
      </c>
      <c r="H2584" s="83">
        <f ca="1">IFERROR(__xludf.DUMMYFUNCTION("""COMPUTED_VALUE"""),15)</f>
        <v>15</v>
      </c>
      <c r="I2584" s="83">
        <f ca="1">IFERROR(__xludf.DUMMYFUNCTION("""COMPUTED_VALUE"""),42)</f>
        <v>42</v>
      </c>
    </row>
    <row r="2585" spans="1:9">
      <c r="A2585" s="79">
        <v>439</v>
      </c>
      <c r="B2585" s="79">
        <v>12</v>
      </c>
      <c r="C2585" s="79">
        <v>451</v>
      </c>
      <c r="D2585" s="80">
        <v>43341.47965277778</v>
      </c>
      <c r="E2585" s="81">
        <f t="shared" ca="1" si="20"/>
        <v>43313</v>
      </c>
      <c r="F2585" s="82">
        <f ca="1">IFERROR(__xludf.DUMMYFUNCTION("""COMPUTED_VALUE"""),0.479652777777777)</f>
        <v>0.47965277777777698</v>
      </c>
      <c r="G2585" s="83">
        <f t="shared" ca="1" si="21"/>
        <v>19</v>
      </c>
      <c r="H2585" s="83">
        <f ca="1">IFERROR(__xludf.DUMMYFUNCTION("""COMPUTED_VALUE"""),30)</f>
        <v>30</v>
      </c>
      <c r="I2585" s="83">
        <f ca="1">IFERROR(__xludf.DUMMYFUNCTION("""COMPUTED_VALUE"""),42)</f>
        <v>42</v>
      </c>
    </row>
    <row r="2586" spans="1:9">
      <c r="A2586" s="79">
        <v>438</v>
      </c>
      <c r="B2586" s="79">
        <v>10</v>
      </c>
      <c r="C2586" s="79">
        <v>448</v>
      </c>
      <c r="D2586" s="80">
        <v>43341.490069444444</v>
      </c>
      <c r="E2586" s="81">
        <f t="shared" ca="1" si="20"/>
        <v>43313</v>
      </c>
      <c r="F2586" s="82">
        <f ca="1">IFERROR(__xludf.DUMMYFUNCTION("""COMPUTED_VALUE"""),0.490069444444444)</f>
        <v>0.490069444444444</v>
      </c>
      <c r="G2586" s="83">
        <f t="shared" ca="1" si="21"/>
        <v>19</v>
      </c>
      <c r="H2586" s="83">
        <f ca="1">IFERROR(__xludf.DUMMYFUNCTION("""COMPUTED_VALUE"""),45)</f>
        <v>45</v>
      </c>
      <c r="I2586" s="83">
        <f ca="1">IFERROR(__xludf.DUMMYFUNCTION("""COMPUTED_VALUE"""),42)</f>
        <v>42</v>
      </c>
    </row>
    <row r="2587" spans="1:9">
      <c r="A2587" s="79">
        <v>338</v>
      </c>
      <c r="B2587" s="79">
        <v>9</v>
      </c>
      <c r="C2587" s="79">
        <v>347</v>
      </c>
      <c r="D2587" s="80">
        <v>43341.500486111108</v>
      </c>
      <c r="E2587" s="81">
        <f t="shared" ca="1" si="20"/>
        <v>43313</v>
      </c>
      <c r="F2587" s="82">
        <f ca="1">IFERROR(__xludf.DUMMYFUNCTION("""COMPUTED_VALUE"""),0.500486111111111)</f>
        <v>0.50048611111111097</v>
      </c>
      <c r="G2587" s="83">
        <f t="shared" ca="1" si="21"/>
        <v>19</v>
      </c>
      <c r="H2587" s="83">
        <f ca="1">IFERROR(__xludf.DUMMYFUNCTION("""COMPUTED_VALUE"""),0)</f>
        <v>0</v>
      </c>
      <c r="I2587" s="83">
        <f ca="1">IFERROR(__xludf.DUMMYFUNCTION("""COMPUTED_VALUE"""),42)</f>
        <v>42</v>
      </c>
    </row>
    <row r="2588" spans="1:9">
      <c r="A2588" s="79">
        <v>310</v>
      </c>
      <c r="B2588" s="79">
        <v>8</v>
      </c>
      <c r="C2588" s="79">
        <v>318</v>
      </c>
      <c r="D2588" s="80">
        <v>43341.51090277778</v>
      </c>
      <c r="E2588" s="81">
        <f t="shared" ca="1" si="20"/>
        <v>43313</v>
      </c>
      <c r="F2588" s="82">
        <f ca="1">IFERROR(__xludf.DUMMYFUNCTION("""COMPUTED_VALUE"""),0.510902777777777)</f>
        <v>0.51090277777777704</v>
      </c>
      <c r="G2588" s="83">
        <f t="shared" ca="1" si="21"/>
        <v>19</v>
      </c>
      <c r="H2588" s="83">
        <f ca="1">IFERROR(__xludf.DUMMYFUNCTION("""COMPUTED_VALUE"""),15)</f>
        <v>15</v>
      </c>
      <c r="I2588" s="83">
        <f ca="1">IFERROR(__xludf.DUMMYFUNCTION("""COMPUTED_VALUE"""),42)</f>
        <v>42</v>
      </c>
    </row>
    <row r="2589" spans="1:9">
      <c r="A2589" s="79">
        <v>318</v>
      </c>
      <c r="B2589" s="79">
        <v>8</v>
      </c>
      <c r="C2589" s="79">
        <v>326</v>
      </c>
      <c r="D2589" s="80">
        <v>43341.521307870367</v>
      </c>
      <c r="E2589" s="81">
        <f t="shared" ca="1" si="20"/>
        <v>43313</v>
      </c>
      <c r="F2589" s="82">
        <f ca="1">IFERROR(__xludf.DUMMYFUNCTION("""COMPUTED_VALUE"""),0.52130787037037)</f>
        <v>0.52130787037036996</v>
      </c>
      <c r="G2589" s="83">
        <f t="shared" ca="1" si="21"/>
        <v>19</v>
      </c>
      <c r="H2589" s="83">
        <f ca="1">IFERROR(__xludf.DUMMYFUNCTION("""COMPUTED_VALUE"""),30)</f>
        <v>30</v>
      </c>
      <c r="I2589" s="83">
        <f ca="1">IFERROR(__xludf.DUMMYFUNCTION("""COMPUTED_VALUE"""),41)</f>
        <v>41</v>
      </c>
    </row>
    <row r="2590" spans="1:9">
      <c r="A2590" s="79">
        <v>335</v>
      </c>
      <c r="B2590" s="79">
        <v>7</v>
      </c>
      <c r="C2590" s="79">
        <v>335</v>
      </c>
      <c r="D2590" s="80">
        <v>43341.531724537039</v>
      </c>
      <c r="E2590" s="81">
        <f t="shared" ca="1" si="20"/>
        <v>43313</v>
      </c>
      <c r="F2590" s="82">
        <f ca="1">IFERROR(__xludf.DUMMYFUNCTION("""COMPUTED_VALUE"""),0.531724537037037)</f>
        <v>0.53172453703703704</v>
      </c>
      <c r="G2590" s="83">
        <f t="shared" ca="1" si="21"/>
        <v>19</v>
      </c>
      <c r="H2590" s="83">
        <f ca="1">IFERROR(__xludf.DUMMYFUNCTION("""COMPUTED_VALUE"""),45)</f>
        <v>45</v>
      </c>
      <c r="I2590" s="83">
        <f ca="1">IFERROR(__xludf.DUMMYFUNCTION("""COMPUTED_VALUE"""),41)</f>
        <v>41</v>
      </c>
    </row>
    <row r="2591" spans="1:9">
      <c r="A2591" s="79">
        <v>289</v>
      </c>
      <c r="B2591" s="79">
        <v>6</v>
      </c>
      <c r="C2591" s="79">
        <v>288</v>
      </c>
      <c r="D2591" s="80">
        <v>43341.54215277778</v>
      </c>
      <c r="E2591" s="81">
        <f t="shared" ca="1" si="20"/>
        <v>43313</v>
      </c>
      <c r="F2591" s="82">
        <f ca="1">IFERROR(__xludf.DUMMYFUNCTION("""COMPUTED_VALUE"""),0.542152777777777)</f>
        <v>0.54215277777777704</v>
      </c>
      <c r="G2591" s="83">
        <f t="shared" ca="1" si="21"/>
        <v>19</v>
      </c>
      <c r="H2591" s="83">
        <f ca="1">IFERROR(__xludf.DUMMYFUNCTION("""COMPUTED_VALUE"""),0)</f>
        <v>0</v>
      </c>
      <c r="I2591" s="83">
        <f ca="1">IFERROR(__xludf.DUMMYFUNCTION("""COMPUTED_VALUE"""),42)</f>
        <v>42</v>
      </c>
    </row>
    <row r="2592" spans="1:9">
      <c r="A2592" s="79">
        <v>293</v>
      </c>
      <c r="B2592" s="79">
        <v>5</v>
      </c>
      <c r="C2592" s="79">
        <v>291</v>
      </c>
      <c r="D2592" s="80">
        <v>43341.552557870367</v>
      </c>
      <c r="E2592" s="81">
        <f t="shared" ca="1" si="20"/>
        <v>43313</v>
      </c>
      <c r="F2592" s="82">
        <f ca="1">IFERROR(__xludf.DUMMYFUNCTION("""COMPUTED_VALUE"""),0.55255787037037)</f>
        <v>0.55255787037036996</v>
      </c>
      <c r="G2592" s="83">
        <f t="shared" ca="1" si="21"/>
        <v>19</v>
      </c>
      <c r="H2592" s="83">
        <f ca="1">IFERROR(__xludf.DUMMYFUNCTION("""COMPUTED_VALUE"""),15)</f>
        <v>15</v>
      </c>
      <c r="I2592" s="83">
        <f ca="1">IFERROR(__xludf.DUMMYFUNCTION("""COMPUTED_VALUE"""),41)</f>
        <v>41</v>
      </c>
    </row>
    <row r="2593" spans="1:9">
      <c r="A2593" s="79">
        <v>283</v>
      </c>
      <c r="B2593" s="79">
        <v>4</v>
      </c>
      <c r="C2593" s="79">
        <v>287</v>
      </c>
      <c r="D2593" s="80">
        <v>43341.562986111108</v>
      </c>
      <c r="E2593" s="81">
        <f t="shared" ca="1" si="20"/>
        <v>43313</v>
      </c>
      <c r="F2593" s="82">
        <f ca="1">IFERROR(__xludf.DUMMYFUNCTION("""COMPUTED_VALUE"""),0.562986111111111)</f>
        <v>0.56298611111111097</v>
      </c>
      <c r="G2593" s="83">
        <f t="shared" ca="1" si="21"/>
        <v>19</v>
      </c>
      <c r="H2593" s="83">
        <f ca="1">IFERROR(__xludf.DUMMYFUNCTION("""COMPUTED_VALUE"""),30)</f>
        <v>30</v>
      </c>
      <c r="I2593" s="83">
        <f ca="1">IFERROR(__xludf.DUMMYFUNCTION("""COMPUTED_VALUE"""),42)</f>
        <v>42</v>
      </c>
    </row>
    <row r="2594" spans="1:9">
      <c r="A2594" s="79">
        <v>354</v>
      </c>
      <c r="B2594" s="79">
        <v>2</v>
      </c>
      <c r="C2594" s="79">
        <v>356</v>
      </c>
      <c r="D2594" s="80">
        <v>43341.573391203703</v>
      </c>
      <c r="E2594" s="81">
        <f t="shared" ca="1" si="20"/>
        <v>43313</v>
      </c>
      <c r="F2594" s="82">
        <f ca="1">IFERROR(__xludf.DUMMYFUNCTION("""COMPUTED_VALUE"""),0.573391203703703)</f>
        <v>0.573391203703703</v>
      </c>
      <c r="G2594" s="83">
        <f t="shared" ca="1" si="21"/>
        <v>19</v>
      </c>
      <c r="H2594" s="83">
        <f ca="1">IFERROR(__xludf.DUMMYFUNCTION("""COMPUTED_VALUE"""),45)</f>
        <v>45</v>
      </c>
      <c r="I2594" s="83">
        <f ca="1">IFERROR(__xludf.DUMMYFUNCTION("""COMPUTED_VALUE"""),41)</f>
        <v>41</v>
      </c>
    </row>
    <row r="2595" spans="1:9">
      <c r="A2595" s="79">
        <v>310</v>
      </c>
      <c r="B2595" s="79">
        <v>2</v>
      </c>
      <c r="C2595" s="79">
        <v>312</v>
      </c>
      <c r="D2595" s="80">
        <v>43341.583819444444</v>
      </c>
      <c r="E2595" s="81">
        <f t="shared" ca="1" si="20"/>
        <v>43313</v>
      </c>
      <c r="F2595" s="82">
        <f ca="1">IFERROR(__xludf.DUMMYFUNCTION("""COMPUTED_VALUE"""),0.583819444444444)</f>
        <v>0.583819444444444</v>
      </c>
      <c r="G2595" s="83">
        <f t="shared" ca="1" si="21"/>
        <v>19</v>
      </c>
      <c r="H2595" s="83">
        <f ca="1">IFERROR(__xludf.DUMMYFUNCTION("""COMPUTED_VALUE"""),0)</f>
        <v>0</v>
      </c>
      <c r="I2595" s="83">
        <f ca="1">IFERROR(__xludf.DUMMYFUNCTION("""COMPUTED_VALUE"""),42)</f>
        <v>42</v>
      </c>
    </row>
    <row r="2596" spans="1:9">
      <c r="A2596" s="79">
        <v>322</v>
      </c>
      <c r="B2596" s="79">
        <v>1</v>
      </c>
      <c r="C2596" s="79">
        <v>323</v>
      </c>
      <c r="D2596" s="80">
        <v>43341.594236111108</v>
      </c>
      <c r="E2596" s="81">
        <f t="shared" ca="1" si="20"/>
        <v>43313</v>
      </c>
      <c r="F2596" s="82">
        <f ca="1">IFERROR(__xludf.DUMMYFUNCTION("""COMPUTED_VALUE"""),0.594236111111111)</f>
        <v>0.59423611111111097</v>
      </c>
      <c r="G2596" s="83">
        <f t="shared" ca="1" si="21"/>
        <v>19</v>
      </c>
      <c r="H2596" s="83">
        <f ca="1">IFERROR(__xludf.DUMMYFUNCTION("""COMPUTED_VALUE"""),15)</f>
        <v>15</v>
      </c>
      <c r="I2596" s="83">
        <f ca="1">IFERROR(__xludf.DUMMYFUNCTION("""COMPUTED_VALUE"""),42)</f>
        <v>42</v>
      </c>
    </row>
    <row r="2597" spans="1:9">
      <c r="A2597" s="79">
        <v>323</v>
      </c>
      <c r="B2597" s="79">
        <v>2</v>
      </c>
      <c r="C2597" s="79">
        <v>325</v>
      </c>
      <c r="D2597" s="80">
        <v>43341.604641203703</v>
      </c>
      <c r="E2597" s="81">
        <f t="shared" ca="1" si="20"/>
        <v>43313</v>
      </c>
      <c r="F2597" s="82">
        <f ca="1">IFERROR(__xludf.DUMMYFUNCTION("""COMPUTED_VALUE"""),0.604641203703703)</f>
        <v>0.604641203703703</v>
      </c>
      <c r="G2597" s="83">
        <f t="shared" ca="1" si="21"/>
        <v>19</v>
      </c>
      <c r="H2597" s="83">
        <f ca="1">IFERROR(__xludf.DUMMYFUNCTION("""COMPUTED_VALUE"""),30)</f>
        <v>30</v>
      </c>
      <c r="I2597" s="83">
        <f ca="1">IFERROR(__xludf.DUMMYFUNCTION("""COMPUTED_VALUE"""),41)</f>
        <v>41</v>
      </c>
    </row>
    <row r="2598" spans="1:9">
      <c r="A2598" s="79">
        <v>350</v>
      </c>
      <c r="B2598" s="79">
        <v>3</v>
      </c>
      <c r="C2598" s="79">
        <v>353</v>
      </c>
      <c r="D2598" s="80">
        <v>43341.615057870367</v>
      </c>
      <c r="E2598" s="81">
        <f t="shared" ca="1" si="20"/>
        <v>43313</v>
      </c>
      <c r="F2598" s="82">
        <f ca="1">IFERROR(__xludf.DUMMYFUNCTION("""COMPUTED_VALUE"""),0.61505787037037)</f>
        <v>0.61505787037036996</v>
      </c>
      <c r="G2598" s="83">
        <f t="shared" ca="1" si="21"/>
        <v>19</v>
      </c>
      <c r="H2598" s="83">
        <f ca="1">IFERROR(__xludf.DUMMYFUNCTION("""COMPUTED_VALUE"""),45)</f>
        <v>45</v>
      </c>
      <c r="I2598" s="83">
        <f ca="1">IFERROR(__xludf.DUMMYFUNCTION("""COMPUTED_VALUE"""),41)</f>
        <v>41</v>
      </c>
    </row>
    <row r="2599" spans="1:9">
      <c r="A2599" s="79">
        <v>309</v>
      </c>
      <c r="B2599" s="79">
        <v>2</v>
      </c>
      <c r="C2599" s="79">
        <v>311</v>
      </c>
      <c r="D2599" s="80">
        <v>43341.625474537039</v>
      </c>
      <c r="E2599" s="81">
        <f t="shared" ca="1" si="20"/>
        <v>43313</v>
      </c>
      <c r="F2599" s="82">
        <f ca="1">IFERROR(__xludf.DUMMYFUNCTION("""COMPUTED_VALUE"""),0.625474537037037)</f>
        <v>0.62547453703703704</v>
      </c>
      <c r="G2599" s="83">
        <f t="shared" ca="1" si="21"/>
        <v>19</v>
      </c>
      <c r="H2599" s="83">
        <f ca="1">IFERROR(__xludf.DUMMYFUNCTION("""COMPUTED_VALUE"""),0)</f>
        <v>0</v>
      </c>
      <c r="I2599" s="83">
        <f ca="1">IFERROR(__xludf.DUMMYFUNCTION("""COMPUTED_VALUE"""),41)</f>
        <v>41</v>
      </c>
    </row>
    <row r="2600" spans="1:9">
      <c r="A2600" s="79">
        <v>423</v>
      </c>
      <c r="B2600" s="79">
        <v>4</v>
      </c>
      <c r="C2600" s="79">
        <v>427</v>
      </c>
      <c r="D2600" s="80">
        <v>43341.63590277778</v>
      </c>
      <c r="E2600" s="81">
        <f t="shared" ca="1" si="20"/>
        <v>43313</v>
      </c>
      <c r="F2600" s="82">
        <f ca="1">IFERROR(__xludf.DUMMYFUNCTION("""COMPUTED_VALUE"""),0.635902777777777)</f>
        <v>0.63590277777777704</v>
      </c>
      <c r="G2600" s="83">
        <f t="shared" ca="1" si="21"/>
        <v>19</v>
      </c>
      <c r="H2600" s="83">
        <f ca="1">IFERROR(__xludf.DUMMYFUNCTION("""COMPUTED_VALUE"""),15)</f>
        <v>15</v>
      </c>
      <c r="I2600" s="83">
        <f ca="1">IFERROR(__xludf.DUMMYFUNCTION("""COMPUTED_VALUE"""),42)</f>
        <v>42</v>
      </c>
    </row>
    <row r="2601" spans="1:9">
      <c r="A2601" s="79">
        <v>339</v>
      </c>
      <c r="B2601" s="79">
        <v>6</v>
      </c>
      <c r="C2601" s="79">
        <v>345</v>
      </c>
      <c r="D2601" s="80">
        <v>43341.646307870367</v>
      </c>
      <c r="E2601" s="81">
        <f t="shared" ca="1" si="20"/>
        <v>43313</v>
      </c>
      <c r="F2601" s="82">
        <f ca="1">IFERROR(__xludf.DUMMYFUNCTION("""COMPUTED_VALUE"""),0.64630787037037)</f>
        <v>0.64630787037036996</v>
      </c>
      <c r="G2601" s="83">
        <f t="shared" ca="1" si="21"/>
        <v>19</v>
      </c>
      <c r="H2601" s="83">
        <f ca="1">IFERROR(__xludf.DUMMYFUNCTION("""COMPUTED_VALUE"""),30)</f>
        <v>30</v>
      </c>
      <c r="I2601" s="83">
        <f ca="1">IFERROR(__xludf.DUMMYFUNCTION("""COMPUTED_VALUE"""),41)</f>
        <v>41</v>
      </c>
    </row>
    <row r="2602" spans="1:9">
      <c r="A2602" s="79">
        <v>348</v>
      </c>
      <c r="B2602" s="79">
        <v>4</v>
      </c>
      <c r="C2602" s="79">
        <v>352</v>
      </c>
      <c r="D2602" s="80">
        <v>43341.656724537039</v>
      </c>
      <c r="E2602" s="81">
        <f t="shared" ca="1" si="20"/>
        <v>43313</v>
      </c>
      <c r="F2602" s="82">
        <f ca="1">IFERROR(__xludf.DUMMYFUNCTION("""COMPUTED_VALUE"""),0.656724537037037)</f>
        <v>0.65672453703703704</v>
      </c>
      <c r="G2602" s="83">
        <f t="shared" ca="1" si="21"/>
        <v>19</v>
      </c>
      <c r="H2602" s="83">
        <f ca="1">IFERROR(__xludf.DUMMYFUNCTION("""COMPUTED_VALUE"""),45)</f>
        <v>45</v>
      </c>
      <c r="I2602" s="83">
        <f ca="1">IFERROR(__xludf.DUMMYFUNCTION("""COMPUTED_VALUE"""),41)</f>
        <v>41</v>
      </c>
    </row>
    <row r="2603" spans="1:9">
      <c r="A2603" s="79">
        <v>376</v>
      </c>
      <c r="B2603" s="79">
        <v>4</v>
      </c>
      <c r="C2603" s="79">
        <v>380</v>
      </c>
      <c r="D2603" s="80">
        <v>43341.667141203703</v>
      </c>
      <c r="E2603" s="81">
        <f t="shared" ca="1" si="20"/>
        <v>43313</v>
      </c>
      <c r="F2603" s="82">
        <f ca="1">IFERROR(__xludf.DUMMYFUNCTION("""COMPUTED_VALUE"""),0.667141203703703)</f>
        <v>0.667141203703703</v>
      </c>
      <c r="G2603" s="83">
        <f t="shared" ca="1" si="21"/>
        <v>19</v>
      </c>
      <c r="H2603" s="83">
        <f ca="1">IFERROR(__xludf.DUMMYFUNCTION("""COMPUTED_VALUE"""),0)</f>
        <v>0</v>
      </c>
      <c r="I2603" s="83">
        <f ca="1">IFERROR(__xludf.DUMMYFUNCTION("""COMPUTED_VALUE"""),41)</f>
        <v>41</v>
      </c>
    </row>
    <row r="2604" spans="1:9">
      <c r="A2604" s="79">
        <v>481</v>
      </c>
      <c r="B2604" s="79">
        <v>4</v>
      </c>
      <c r="C2604" s="79">
        <v>485</v>
      </c>
      <c r="D2604" s="80">
        <v>43341.677557870367</v>
      </c>
      <c r="E2604" s="81">
        <f t="shared" ca="1" si="20"/>
        <v>43313</v>
      </c>
      <c r="F2604" s="82">
        <f ca="1">IFERROR(__xludf.DUMMYFUNCTION("""COMPUTED_VALUE"""),0.67755787037037)</f>
        <v>0.67755787037036996</v>
      </c>
      <c r="G2604" s="83">
        <f t="shared" ca="1" si="21"/>
        <v>19</v>
      </c>
      <c r="H2604" s="83">
        <f ca="1">IFERROR(__xludf.DUMMYFUNCTION("""COMPUTED_VALUE"""),15)</f>
        <v>15</v>
      </c>
      <c r="I2604" s="83">
        <f ca="1">IFERROR(__xludf.DUMMYFUNCTION("""COMPUTED_VALUE"""),41)</f>
        <v>41</v>
      </c>
    </row>
    <row r="2605" spans="1:9">
      <c r="A2605" s="79">
        <v>374</v>
      </c>
      <c r="B2605" s="79">
        <v>7</v>
      </c>
      <c r="C2605" s="79">
        <v>381</v>
      </c>
      <c r="D2605" s="80">
        <v>43341.687974537039</v>
      </c>
      <c r="E2605" s="81">
        <f t="shared" ca="1" si="20"/>
        <v>43313</v>
      </c>
      <c r="F2605" s="82">
        <f ca="1">IFERROR(__xludf.DUMMYFUNCTION("""COMPUTED_VALUE"""),0.687974537037037)</f>
        <v>0.68797453703703704</v>
      </c>
      <c r="G2605" s="83">
        <f t="shared" ca="1" si="21"/>
        <v>19</v>
      </c>
      <c r="H2605" s="83">
        <f ca="1">IFERROR(__xludf.DUMMYFUNCTION("""COMPUTED_VALUE"""),30)</f>
        <v>30</v>
      </c>
      <c r="I2605" s="83">
        <f ca="1">IFERROR(__xludf.DUMMYFUNCTION("""COMPUTED_VALUE"""),41)</f>
        <v>41</v>
      </c>
    </row>
    <row r="2606" spans="1:9">
      <c r="A2606" s="79">
        <v>447</v>
      </c>
      <c r="B2606" s="79">
        <v>8</v>
      </c>
      <c r="C2606" s="79">
        <v>455</v>
      </c>
      <c r="D2606" s="80">
        <v>43341.698391203703</v>
      </c>
      <c r="E2606" s="81">
        <f t="shared" ca="1" si="20"/>
        <v>43313</v>
      </c>
      <c r="F2606" s="82">
        <f ca="1">IFERROR(__xludf.DUMMYFUNCTION("""COMPUTED_VALUE"""),0.698391203703703)</f>
        <v>0.698391203703703</v>
      </c>
      <c r="G2606" s="83">
        <f t="shared" ca="1" si="21"/>
        <v>19</v>
      </c>
      <c r="H2606" s="83">
        <f ca="1">IFERROR(__xludf.DUMMYFUNCTION("""COMPUTED_VALUE"""),45)</f>
        <v>45</v>
      </c>
      <c r="I2606" s="83">
        <f ca="1">IFERROR(__xludf.DUMMYFUNCTION("""COMPUTED_VALUE"""),41)</f>
        <v>41</v>
      </c>
    </row>
    <row r="2607" spans="1:9">
      <c r="A2607" s="79">
        <v>363</v>
      </c>
      <c r="B2607" s="79">
        <v>3</v>
      </c>
      <c r="C2607" s="79">
        <v>366</v>
      </c>
      <c r="D2607" s="80">
        <v>43341.708807870367</v>
      </c>
      <c r="E2607" s="81">
        <f t="shared" ca="1" si="20"/>
        <v>43313</v>
      </c>
      <c r="F2607" s="82">
        <f ca="1">IFERROR(__xludf.DUMMYFUNCTION("""COMPUTED_VALUE"""),0.70880787037037)</f>
        <v>0.70880787037036996</v>
      </c>
      <c r="G2607" s="83">
        <f t="shared" ca="1" si="21"/>
        <v>19</v>
      </c>
      <c r="H2607" s="83">
        <f ca="1">IFERROR(__xludf.DUMMYFUNCTION("""COMPUTED_VALUE"""),0)</f>
        <v>0</v>
      </c>
      <c r="I2607" s="83">
        <f ca="1">IFERROR(__xludf.DUMMYFUNCTION("""COMPUTED_VALUE"""),41)</f>
        <v>41</v>
      </c>
    </row>
    <row r="2608" spans="1:9">
      <c r="A2608" s="79">
        <v>631</v>
      </c>
      <c r="B2608" s="79">
        <v>8</v>
      </c>
      <c r="C2608" s="79">
        <v>639</v>
      </c>
      <c r="D2608" s="80">
        <v>43341.719236111108</v>
      </c>
      <c r="E2608" s="81">
        <f t="shared" ca="1" si="20"/>
        <v>43313</v>
      </c>
      <c r="F2608" s="82">
        <f ca="1">IFERROR(__xludf.DUMMYFUNCTION("""COMPUTED_VALUE"""),0.719236111111111)</f>
        <v>0.71923611111111097</v>
      </c>
      <c r="G2608" s="83">
        <f t="shared" ca="1" si="21"/>
        <v>19</v>
      </c>
      <c r="H2608" s="83">
        <f ca="1">IFERROR(__xludf.DUMMYFUNCTION("""COMPUTED_VALUE"""),15)</f>
        <v>15</v>
      </c>
      <c r="I2608" s="83">
        <f ca="1">IFERROR(__xludf.DUMMYFUNCTION("""COMPUTED_VALUE"""),42)</f>
        <v>42</v>
      </c>
    </row>
    <row r="2609" spans="1:9">
      <c r="A2609" s="79">
        <v>546</v>
      </c>
      <c r="B2609" s="79">
        <v>8</v>
      </c>
      <c r="C2609" s="79">
        <v>554</v>
      </c>
      <c r="D2609" s="80">
        <v>43341.729641203703</v>
      </c>
      <c r="E2609" s="81">
        <f t="shared" ca="1" si="20"/>
        <v>43313</v>
      </c>
      <c r="F2609" s="82">
        <f ca="1">IFERROR(__xludf.DUMMYFUNCTION("""COMPUTED_VALUE"""),0.729641203703703)</f>
        <v>0.729641203703703</v>
      </c>
      <c r="G2609" s="83">
        <f t="shared" ca="1" si="21"/>
        <v>19</v>
      </c>
      <c r="H2609" s="83">
        <f ca="1">IFERROR(__xludf.DUMMYFUNCTION("""COMPUTED_VALUE"""),30)</f>
        <v>30</v>
      </c>
      <c r="I2609" s="83">
        <f ca="1">IFERROR(__xludf.DUMMYFUNCTION("""COMPUTED_VALUE"""),41)</f>
        <v>41</v>
      </c>
    </row>
    <row r="2610" spans="1:9">
      <c r="A2610" s="79">
        <v>480</v>
      </c>
      <c r="B2610" s="79">
        <v>6</v>
      </c>
      <c r="C2610" s="79">
        <v>486</v>
      </c>
      <c r="D2610" s="80">
        <v>43341.740057870367</v>
      </c>
      <c r="E2610" s="81">
        <f t="shared" ca="1" si="20"/>
        <v>43313</v>
      </c>
      <c r="F2610" s="82">
        <f ca="1">IFERROR(__xludf.DUMMYFUNCTION("""COMPUTED_VALUE"""),0.74005787037037)</f>
        <v>0.74005787037036996</v>
      </c>
      <c r="G2610" s="83">
        <f t="shared" ca="1" si="21"/>
        <v>19</v>
      </c>
      <c r="H2610" s="83">
        <f ca="1">IFERROR(__xludf.DUMMYFUNCTION("""COMPUTED_VALUE"""),45)</f>
        <v>45</v>
      </c>
      <c r="I2610" s="83">
        <f ca="1">IFERROR(__xludf.DUMMYFUNCTION("""COMPUTED_VALUE"""),41)</f>
        <v>41</v>
      </c>
    </row>
    <row r="2611" spans="1:9">
      <c r="A2611" s="79">
        <v>374</v>
      </c>
      <c r="B2611" s="79">
        <v>9</v>
      </c>
      <c r="C2611" s="79">
        <v>383</v>
      </c>
      <c r="D2611" s="80">
        <v>43341.750474537039</v>
      </c>
      <c r="E2611" s="81">
        <f t="shared" ca="1" si="20"/>
        <v>43313</v>
      </c>
      <c r="F2611" s="82">
        <f ca="1">IFERROR(__xludf.DUMMYFUNCTION("""COMPUTED_VALUE"""),0.750474537037037)</f>
        <v>0.75047453703703704</v>
      </c>
      <c r="G2611" s="83">
        <f t="shared" ca="1" si="21"/>
        <v>19</v>
      </c>
      <c r="H2611" s="83">
        <f ca="1">IFERROR(__xludf.DUMMYFUNCTION("""COMPUTED_VALUE"""),0)</f>
        <v>0</v>
      </c>
      <c r="I2611" s="83">
        <f ca="1">IFERROR(__xludf.DUMMYFUNCTION("""COMPUTED_VALUE"""),41)</f>
        <v>41</v>
      </c>
    </row>
    <row r="2612" spans="1:9">
      <c r="A2612" s="79">
        <v>455</v>
      </c>
      <c r="B2612" s="79">
        <v>10</v>
      </c>
      <c r="C2612" s="79">
        <v>457</v>
      </c>
      <c r="D2612" s="80">
        <v>43341.760891203703</v>
      </c>
      <c r="E2612" s="81">
        <f t="shared" ca="1" si="20"/>
        <v>43313</v>
      </c>
      <c r="F2612" s="82">
        <f ca="1">IFERROR(__xludf.DUMMYFUNCTION("""COMPUTED_VALUE"""),0.760891203703703)</f>
        <v>0.760891203703703</v>
      </c>
      <c r="G2612" s="83">
        <f t="shared" ca="1" si="21"/>
        <v>19</v>
      </c>
      <c r="H2612" s="83">
        <f ca="1">IFERROR(__xludf.DUMMYFUNCTION("""COMPUTED_VALUE"""),15)</f>
        <v>15</v>
      </c>
      <c r="I2612" s="83">
        <f ca="1">IFERROR(__xludf.DUMMYFUNCTION("""COMPUTED_VALUE"""),41)</f>
        <v>41</v>
      </c>
    </row>
    <row r="2613" spans="1:9">
      <c r="A2613" s="79">
        <v>470</v>
      </c>
      <c r="B2613" s="79">
        <v>7</v>
      </c>
      <c r="C2613" s="79">
        <v>477</v>
      </c>
      <c r="D2613" s="80">
        <v>43341.771319444444</v>
      </c>
      <c r="E2613" s="81">
        <f t="shared" ca="1" si="20"/>
        <v>43313</v>
      </c>
      <c r="F2613" s="82">
        <f ca="1">IFERROR(__xludf.DUMMYFUNCTION("""COMPUTED_VALUE"""),0.771319444444444)</f>
        <v>0.771319444444444</v>
      </c>
      <c r="G2613" s="83">
        <f t="shared" ca="1" si="21"/>
        <v>19</v>
      </c>
      <c r="H2613" s="83">
        <f ca="1">IFERROR(__xludf.DUMMYFUNCTION("""COMPUTED_VALUE"""),30)</f>
        <v>30</v>
      </c>
      <c r="I2613" s="83">
        <f ca="1">IFERROR(__xludf.DUMMYFUNCTION("""COMPUTED_VALUE"""),42)</f>
        <v>42</v>
      </c>
    </row>
    <row r="2614" spans="1:9">
      <c r="A2614" s="79">
        <v>459</v>
      </c>
      <c r="B2614" s="79">
        <v>6</v>
      </c>
      <c r="C2614" s="79">
        <v>465</v>
      </c>
      <c r="D2614" s="80">
        <v>43341.781736111108</v>
      </c>
      <c r="E2614" s="81">
        <f t="shared" ca="1" si="20"/>
        <v>43313</v>
      </c>
      <c r="F2614" s="82">
        <f ca="1">IFERROR(__xludf.DUMMYFUNCTION("""COMPUTED_VALUE"""),0.781736111111111)</f>
        <v>0.78173611111111097</v>
      </c>
      <c r="G2614" s="83">
        <f t="shared" ca="1" si="21"/>
        <v>19</v>
      </c>
      <c r="H2614" s="83">
        <f ca="1">IFERROR(__xludf.DUMMYFUNCTION("""COMPUTED_VALUE"""),45)</f>
        <v>45</v>
      </c>
      <c r="I2614" s="83">
        <f ca="1">IFERROR(__xludf.DUMMYFUNCTION("""COMPUTED_VALUE"""),42)</f>
        <v>42</v>
      </c>
    </row>
    <row r="2615" spans="1:9">
      <c r="A2615" s="79">
        <v>420</v>
      </c>
      <c r="B2615" s="79">
        <v>4</v>
      </c>
      <c r="C2615" s="79">
        <v>424</v>
      </c>
      <c r="D2615" s="80">
        <v>43341.792141203703</v>
      </c>
      <c r="E2615" s="81">
        <f t="shared" ca="1" si="20"/>
        <v>43313</v>
      </c>
      <c r="F2615" s="82">
        <f ca="1">IFERROR(__xludf.DUMMYFUNCTION("""COMPUTED_VALUE"""),0.792141203703703)</f>
        <v>0.792141203703703</v>
      </c>
      <c r="G2615" s="83">
        <f t="shared" ca="1" si="21"/>
        <v>19</v>
      </c>
      <c r="H2615" s="83">
        <f ca="1">IFERROR(__xludf.DUMMYFUNCTION("""COMPUTED_VALUE"""),0)</f>
        <v>0</v>
      </c>
      <c r="I2615" s="83">
        <f ca="1">IFERROR(__xludf.DUMMYFUNCTION("""COMPUTED_VALUE"""),41)</f>
        <v>41</v>
      </c>
    </row>
    <row r="2616" spans="1:9">
      <c r="A2616" s="79">
        <v>535</v>
      </c>
      <c r="B2616" s="79">
        <v>6</v>
      </c>
      <c r="C2616" s="79">
        <v>541</v>
      </c>
      <c r="D2616" s="80">
        <v>43341.802557870367</v>
      </c>
      <c r="E2616" s="81">
        <f t="shared" ca="1" si="20"/>
        <v>43313</v>
      </c>
      <c r="F2616" s="82">
        <f ca="1">IFERROR(__xludf.DUMMYFUNCTION("""COMPUTED_VALUE"""),0.80255787037037)</f>
        <v>0.80255787037036996</v>
      </c>
      <c r="G2616" s="83">
        <f t="shared" ca="1" si="21"/>
        <v>19</v>
      </c>
      <c r="H2616" s="83">
        <f ca="1">IFERROR(__xludf.DUMMYFUNCTION("""COMPUTED_VALUE"""),15)</f>
        <v>15</v>
      </c>
      <c r="I2616" s="83">
        <f ca="1">IFERROR(__xludf.DUMMYFUNCTION("""COMPUTED_VALUE"""),41)</f>
        <v>41</v>
      </c>
    </row>
    <row r="2617" spans="1:9">
      <c r="A2617" s="79">
        <v>565</v>
      </c>
      <c r="B2617" s="79">
        <v>4</v>
      </c>
      <c r="C2617" s="79">
        <v>569</v>
      </c>
      <c r="D2617" s="80">
        <v>43341.812974537039</v>
      </c>
      <c r="E2617" s="81">
        <f t="shared" ca="1" si="20"/>
        <v>43313</v>
      </c>
      <c r="F2617" s="82">
        <f ca="1">IFERROR(__xludf.DUMMYFUNCTION("""COMPUTED_VALUE"""),0.812974537037037)</f>
        <v>0.81297453703703704</v>
      </c>
      <c r="G2617" s="83">
        <f t="shared" ca="1" si="21"/>
        <v>19</v>
      </c>
      <c r="H2617" s="83">
        <f ca="1">IFERROR(__xludf.DUMMYFUNCTION("""COMPUTED_VALUE"""),30)</f>
        <v>30</v>
      </c>
      <c r="I2617" s="83">
        <f ca="1">IFERROR(__xludf.DUMMYFUNCTION("""COMPUTED_VALUE"""),41)</f>
        <v>41</v>
      </c>
    </row>
    <row r="2618" spans="1:9">
      <c r="A2618" s="79">
        <v>653</v>
      </c>
      <c r="B2618" s="79">
        <v>5</v>
      </c>
      <c r="C2618" s="79">
        <v>658</v>
      </c>
      <c r="D2618" s="80">
        <v>43341.82340277778</v>
      </c>
      <c r="E2618" s="81">
        <f t="shared" ca="1" si="20"/>
        <v>43313</v>
      </c>
      <c r="F2618" s="82">
        <f ca="1">IFERROR(__xludf.DUMMYFUNCTION("""COMPUTED_VALUE"""),0.823402777777777)</f>
        <v>0.82340277777777704</v>
      </c>
      <c r="G2618" s="83">
        <f t="shared" ca="1" si="21"/>
        <v>19</v>
      </c>
      <c r="H2618" s="83">
        <f ca="1">IFERROR(__xludf.DUMMYFUNCTION("""COMPUTED_VALUE"""),45)</f>
        <v>45</v>
      </c>
      <c r="I2618" s="83">
        <f ca="1">IFERROR(__xludf.DUMMYFUNCTION("""COMPUTED_VALUE"""),42)</f>
        <v>42</v>
      </c>
    </row>
    <row r="2619" spans="1:9">
      <c r="A2619" s="79">
        <v>647</v>
      </c>
      <c r="B2619" s="79">
        <v>4</v>
      </c>
      <c r="C2619" s="79">
        <v>646</v>
      </c>
      <c r="D2619" s="80">
        <v>43341.833807870367</v>
      </c>
      <c r="E2619" s="81">
        <f t="shared" ca="1" si="20"/>
        <v>43313</v>
      </c>
      <c r="F2619" s="82">
        <f ca="1">IFERROR(__xludf.DUMMYFUNCTION("""COMPUTED_VALUE"""),0.83380787037037)</f>
        <v>0.83380787037036996</v>
      </c>
      <c r="G2619" s="83">
        <f t="shared" ca="1" si="21"/>
        <v>19</v>
      </c>
      <c r="H2619" s="83">
        <f ca="1">IFERROR(__xludf.DUMMYFUNCTION("""COMPUTED_VALUE"""),0)</f>
        <v>0</v>
      </c>
      <c r="I2619" s="83">
        <f ca="1">IFERROR(__xludf.DUMMYFUNCTION("""COMPUTED_VALUE"""),41)</f>
        <v>41</v>
      </c>
    </row>
    <row r="2620" spans="1:9">
      <c r="A2620" s="79">
        <v>786</v>
      </c>
      <c r="B2620" s="79">
        <v>6</v>
      </c>
      <c r="C2620" s="79">
        <v>792</v>
      </c>
      <c r="D2620" s="80">
        <v>43341.844224537039</v>
      </c>
      <c r="E2620" s="81">
        <f t="shared" ca="1" si="20"/>
        <v>43313</v>
      </c>
      <c r="F2620" s="82">
        <f ca="1">IFERROR(__xludf.DUMMYFUNCTION("""COMPUTED_VALUE"""),0.844224537037037)</f>
        <v>0.84422453703703704</v>
      </c>
      <c r="G2620" s="83">
        <f t="shared" ca="1" si="21"/>
        <v>19</v>
      </c>
      <c r="H2620" s="83">
        <f ca="1">IFERROR(__xludf.DUMMYFUNCTION("""COMPUTED_VALUE"""),15)</f>
        <v>15</v>
      </c>
      <c r="I2620" s="83">
        <f ca="1">IFERROR(__xludf.DUMMYFUNCTION("""COMPUTED_VALUE"""),41)</f>
        <v>41</v>
      </c>
    </row>
    <row r="2621" spans="1:9">
      <c r="A2621" s="79">
        <v>822</v>
      </c>
      <c r="B2621" s="79">
        <v>15</v>
      </c>
      <c r="C2621" s="79">
        <v>837</v>
      </c>
      <c r="D2621" s="80">
        <v>43341.854641203703</v>
      </c>
      <c r="E2621" s="81">
        <f t="shared" ca="1" si="20"/>
        <v>43313</v>
      </c>
      <c r="F2621" s="82">
        <f ca="1">IFERROR(__xludf.DUMMYFUNCTION("""COMPUTED_VALUE"""),0.854641203703703)</f>
        <v>0.854641203703703</v>
      </c>
      <c r="G2621" s="83">
        <f t="shared" ca="1" si="21"/>
        <v>19</v>
      </c>
      <c r="H2621" s="83">
        <f ca="1">IFERROR(__xludf.DUMMYFUNCTION("""COMPUTED_VALUE"""),30)</f>
        <v>30</v>
      </c>
      <c r="I2621" s="83">
        <f ca="1">IFERROR(__xludf.DUMMYFUNCTION("""COMPUTED_VALUE"""),41)</f>
        <v>41</v>
      </c>
    </row>
    <row r="2622" spans="1:9">
      <c r="A2622" s="79">
        <v>796</v>
      </c>
      <c r="B2622" s="79">
        <v>10</v>
      </c>
      <c r="C2622" s="79">
        <v>806</v>
      </c>
      <c r="D2622" s="80">
        <v>43341.865057870367</v>
      </c>
      <c r="E2622" s="81">
        <f t="shared" ca="1" si="20"/>
        <v>43313</v>
      </c>
      <c r="F2622" s="82">
        <f ca="1">IFERROR(__xludf.DUMMYFUNCTION("""COMPUTED_VALUE"""),0.86505787037037)</f>
        <v>0.86505787037036996</v>
      </c>
      <c r="G2622" s="83">
        <f t="shared" ca="1" si="21"/>
        <v>19</v>
      </c>
      <c r="H2622" s="83">
        <f ca="1">IFERROR(__xludf.DUMMYFUNCTION("""COMPUTED_VALUE"""),45)</f>
        <v>45</v>
      </c>
      <c r="I2622" s="83">
        <f ca="1">IFERROR(__xludf.DUMMYFUNCTION("""COMPUTED_VALUE"""),41)</f>
        <v>41</v>
      </c>
    </row>
    <row r="2623" spans="1:9">
      <c r="A2623" s="79">
        <v>759</v>
      </c>
      <c r="B2623" s="79">
        <v>6</v>
      </c>
      <c r="C2623" s="79">
        <v>765</v>
      </c>
      <c r="D2623" s="80">
        <v>43341.875474537039</v>
      </c>
      <c r="E2623" s="81">
        <f t="shared" ca="1" si="20"/>
        <v>43313</v>
      </c>
      <c r="F2623" s="82">
        <f ca="1">IFERROR(__xludf.DUMMYFUNCTION("""COMPUTED_VALUE"""),0.875474537037037)</f>
        <v>0.87547453703703704</v>
      </c>
      <c r="G2623" s="83">
        <f t="shared" ca="1" si="21"/>
        <v>19</v>
      </c>
      <c r="H2623" s="83">
        <f ca="1">IFERROR(__xludf.DUMMYFUNCTION("""COMPUTED_VALUE"""),0)</f>
        <v>0</v>
      </c>
      <c r="I2623" s="83">
        <f ca="1">IFERROR(__xludf.DUMMYFUNCTION("""COMPUTED_VALUE"""),41)</f>
        <v>41</v>
      </c>
    </row>
    <row r="2624" spans="1:9">
      <c r="A2624" s="79">
        <v>767</v>
      </c>
      <c r="B2624" s="79">
        <v>4</v>
      </c>
      <c r="C2624" s="79">
        <v>771</v>
      </c>
      <c r="D2624" s="80">
        <v>43341.885879629626</v>
      </c>
      <c r="E2624" s="81">
        <f t="shared" ca="1" si="20"/>
        <v>43313</v>
      </c>
      <c r="F2624" s="82">
        <f ca="1">IFERROR(__xludf.DUMMYFUNCTION("""COMPUTED_VALUE"""),0.885879629629629)</f>
        <v>0.88587962962962896</v>
      </c>
      <c r="G2624" s="83">
        <f t="shared" ca="1" si="21"/>
        <v>19</v>
      </c>
      <c r="H2624" s="83">
        <f ca="1">IFERROR(__xludf.DUMMYFUNCTION("""COMPUTED_VALUE"""),15)</f>
        <v>15</v>
      </c>
      <c r="I2624" s="83">
        <f ca="1">IFERROR(__xludf.DUMMYFUNCTION("""COMPUTED_VALUE"""),40)</f>
        <v>40</v>
      </c>
    </row>
    <row r="2625" spans="1:9">
      <c r="A2625" s="79">
        <v>732</v>
      </c>
      <c r="B2625" s="79">
        <v>7</v>
      </c>
      <c r="C2625" s="79">
        <v>737</v>
      </c>
      <c r="D2625" s="80">
        <v>43341.896307870367</v>
      </c>
      <c r="E2625" s="81">
        <f t="shared" ca="1" si="20"/>
        <v>43313</v>
      </c>
      <c r="F2625" s="82">
        <f ca="1">IFERROR(__xludf.DUMMYFUNCTION("""COMPUTED_VALUE"""),0.89630787037037)</f>
        <v>0.89630787037036996</v>
      </c>
      <c r="G2625" s="83">
        <f t="shared" ca="1" si="21"/>
        <v>19</v>
      </c>
      <c r="H2625" s="83">
        <f ca="1">IFERROR(__xludf.DUMMYFUNCTION("""COMPUTED_VALUE"""),30)</f>
        <v>30</v>
      </c>
      <c r="I2625" s="83">
        <f ca="1">IFERROR(__xludf.DUMMYFUNCTION("""COMPUTED_VALUE"""),41)</f>
        <v>41</v>
      </c>
    </row>
    <row r="2626" spans="1:9">
      <c r="A2626" s="79">
        <v>691</v>
      </c>
      <c r="B2626" s="79">
        <v>8</v>
      </c>
      <c r="C2626" s="79">
        <v>692</v>
      </c>
      <c r="D2626" s="80">
        <v>43341.906724537039</v>
      </c>
      <c r="E2626" s="81">
        <f t="shared" ca="1" si="20"/>
        <v>43313</v>
      </c>
      <c r="F2626" s="82">
        <f ca="1">IFERROR(__xludf.DUMMYFUNCTION("""COMPUTED_VALUE"""),0.906724537037037)</f>
        <v>0.90672453703703704</v>
      </c>
      <c r="G2626" s="83">
        <f t="shared" ca="1" si="21"/>
        <v>19</v>
      </c>
      <c r="H2626" s="83">
        <f ca="1">IFERROR(__xludf.DUMMYFUNCTION("""COMPUTED_VALUE"""),45)</f>
        <v>45</v>
      </c>
      <c r="I2626" s="83">
        <f ca="1">IFERROR(__xludf.DUMMYFUNCTION("""COMPUTED_VALUE"""),41)</f>
        <v>41</v>
      </c>
    </row>
    <row r="2627" spans="1:9">
      <c r="A2627" s="79">
        <v>601</v>
      </c>
      <c r="B2627" s="79">
        <v>10</v>
      </c>
      <c r="C2627" s="79">
        <v>611</v>
      </c>
      <c r="D2627" s="80">
        <v>43341.917141203703</v>
      </c>
      <c r="E2627" s="81">
        <f t="shared" ca="1" si="20"/>
        <v>43313</v>
      </c>
      <c r="F2627" s="82">
        <f ca="1">IFERROR(__xludf.DUMMYFUNCTION("""COMPUTED_VALUE"""),0.917141203703703)</f>
        <v>0.917141203703703</v>
      </c>
      <c r="G2627" s="83">
        <f t="shared" ca="1" si="21"/>
        <v>19</v>
      </c>
      <c r="H2627" s="83">
        <f ca="1">IFERROR(__xludf.DUMMYFUNCTION("""COMPUTED_VALUE"""),0)</f>
        <v>0</v>
      </c>
      <c r="I2627" s="83">
        <f ca="1">IFERROR(__xludf.DUMMYFUNCTION("""COMPUTED_VALUE"""),41)</f>
        <v>41</v>
      </c>
    </row>
    <row r="2628" spans="1:9">
      <c r="A2628" s="79">
        <v>650</v>
      </c>
      <c r="B2628" s="79">
        <v>7</v>
      </c>
      <c r="C2628" s="79">
        <v>657</v>
      </c>
      <c r="D2628" s="80">
        <v>43341.927557870367</v>
      </c>
      <c r="E2628" s="81">
        <f t="shared" ca="1" si="20"/>
        <v>43313</v>
      </c>
      <c r="F2628" s="82">
        <f ca="1">IFERROR(__xludf.DUMMYFUNCTION("""COMPUTED_VALUE"""),0.92755787037037)</f>
        <v>0.92755787037036996</v>
      </c>
      <c r="G2628" s="83">
        <f t="shared" ca="1" si="21"/>
        <v>19</v>
      </c>
      <c r="H2628" s="83">
        <f ca="1">IFERROR(__xludf.DUMMYFUNCTION("""COMPUTED_VALUE"""),15)</f>
        <v>15</v>
      </c>
      <c r="I2628" s="83">
        <f ca="1">IFERROR(__xludf.DUMMYFUNCTION("""COMPUTED_VALUE"""),41)</f>
        <v>41</v>
      </c>
    </row>
    <row r="2629" spans="1:9">
      <c r="A2629" s="79">
        <v>615</v>
      </c>
      <c r="B2629" s="79">
        <v>5</v>
      </c>
      <c r="C2629" s="79">
        <v>620</v>
      </c>
      <c r="D2629" s="80">
        <v>43341.937974537039</v>
      </c>
      <c r="E2629" s="81">
        <f t="shared" ca="1" si="20"/>
        <v>43313</v>
      </c>
      <c r="F2629" s="82">
        <f ca="1">IFERROR(__xludf.DUMMYFUNCTION("""COMPUTED_VALUE"""),0.937974537037037)</f>
        <v>0.93797453703703704</v>
      </c>
      <c r="G2629" s="83">
        <f t="shared" ca="1" si="21"/>
        <v>19</v>
      </c>
      <c r="H2629" s="83">
        <f ca="1">IFERROR(__xludf.DUMMYFUNCTION("""COMPUTED_VALUE"""),30)</f>
        <v>30</v>
      </c>
      <c r="I2629" s="83">
        <f ca="1">IFERROR(__xludf.DUMMYFUNCTION("""COMPUTED_VALUE"""),41)</f>
        <v>41</v>
      </c>
    </row>
    <row r="2630" spans="1:9">
      <c r="A2630" s="79">
        <v>587</v>
      </c>
      <c r="B2630" s="79">
        <v>6</v>
      </c>
      <c r="C2630" s="79">
        <v>593</v>
      </c>
      <c r="D2630" s="80">
        <v>43341.948379629626</v>
      </c>
      <c r="E2630" s="81">
        <f t="shared" ca="1" si="20"/>
        <v>43313</v>
      </c>
      <c r="F2630" s="82">
        <f ca="1">IFERROR(__xludf.DUMMYFUNCTION("""COMPUTED_VALUE"""),0.948379629629629)</f>
        <v>0.94837962962962896</v>
      </c>
      <c r="G2630" s="83">
        <f t="shared" ca="1" si="21"/>
        <v>19</v>
      </c>
      <c r="H2630" s="83">
        <f ca="1">IFERROR(__xludf.DUMMYFUNCTION("""COMPUTED_VALUE"""),45)</f>
        <v>45</v>
      </c>
      <c r="I2630" s="83">
        <f ca="1">IFERROR(__xludf.DUMMYFUNCTION("""COMPUTED_VALUE"""),40)</f>
        <v>40</v>
      </c>
    </row>
    <row r="2631" spans="1:9">
      <c r="A2631" s="79">
        <v>510</v>
      </c>
      <c r="B2631" s="79">
        <v>7</v>
      </c>
      <c r="C2631" s="79">
        <v>517</v>
      </c>
      <c r="D2631" s="80">
        <v>43341.958796296298</v>
      </c>
      <c r="E2631" s="81">
        <f t="shared" ca="1" si="20"/>
        <v>43313</v>
      </c>
      <c r="F2631" s="82">
        <f ca="1">IFERROR(__xludf.DUMMYFUNCTION("""COMPUTED_VALUE"""),0.958796296296296)</f>
        <v>0.95879629629629604</v>
      </c>
      <c r="G2631" s="83">
        <f t="shared" ca="1" si="21"/>
        <v>19</v>
      </c>
      <c r="H2631" s="83">
        <f ca="1">IFERROR(__xludf.DUMMYFUNCTION("""COMPUTED_VALUE"""),0)</f>
        <v>0</v>
      </c>
      <c r="I2631" s="83">
        <f ca="1">IFERROR(__xludf.DUMMYFUNCTION("""COMPUTED_VALUE"""),40)</f>
        <v>40</v>
      </c>
    </row>
    <row r="2632" spans="1:9">
      <c r="A2632" s="79">
        <v>499</v>
      </c>
      <c r="B2632" s="79">
        <v>3</v>
      </c>
      <c r="C2632" s="79">
        <v>502</v>
      </c>
      <c r="D2632" s="80">
        <v>43341.969212962962</v>
      </c>
      <c r="E2632" s="81">
        <f t="shared" ca="1" si="20"/>
        <v>43313</v>
      </c>
      <c r="F2632" s="82">
        <f ca="1">IFERROR(__xludf.DUMMYFUNCTION("""COMPUTED_VALUE"""),0.969212962962963)</f>
        <v>0.969212962962963</v>
      </c>
      <c r="G2632" s="83">
        <f t="shared" ca="1" si="21"/>
        <v>19</v>
      </c>
      <c r="H2632" s="83">
        <f ca="1">IFERROR(__xludf.DUMMYFUNCTION("""COMPUTED_VALUE"""),15)</f>
        <v>15</v>
      </c>
      <c r="I2632" s="83">
        <f ca="1">IFERROR(__xludf.DUMMYFUNCTION("""COMPUTED_VALUE"""),40)</f>
        <v>40</v>
      </c>
    </row>
    <row r="2633" spans="1:9">
      <c r="A2633" s="79">
        <v>452</v>
      </c>
      <c r="B2633" s="79">
        <v>3</v>
      </c>
      <c r="C2633" s="79">
        <v>455</v>
      </c>
      <c r="D2633" s="80">
        <v>43341.979629629626</v>
      </c>
      <c r="E2633" s="81">
        <f t="shared" ca="1" si="20"/>
        <v>43313</v>
      </c>
      <c r="F2633" s="82">
        <f ca="1">IFERROR(__xludf.DUMMYFUNCTION("""COMPUTED_VALUE"""),0.979629629629629)</f>
        <v>0.97962962962962896</v>
      </c>
      <c r="G2633" s="83">
        <f t="shared" ca="1" si="21"/>
        <v>19</v>
      </c>
      <c r="H2633" s="83">
        <f ca="1">IFERROR(__xludf.DUMMYFUNCTION("""COMPUTED_VALUE"""),30)</f>
        <v>30</v>
      </c>
      <c r="I2633" s="83">
        <f ca="1">IFERROR(__xludf.DUMMYFUNCTION("""COMPUTED_VALUE"""),40)</f>
        <v>40</v>
      </c>
    </row>
    <row r="2634" spans="1:9">
      <c r="A2634" s="79">
        <v>342</v>
      </c>
      <c r="B2634" s="79">
        <v>3</v>
      </c>
      <c r="C2634" s="79">
        <v>345</v>
      </c>
      <c r="D2634" s="80">
        <v>43341.990057870367</v>
      </c>
      <c r="E2634" s="81">
        <f t="shared" ca="1" si="20"/>
        <v>43313</v>
      </c>
      <c r="F2634" s="82">
        <f ca="1">IFERROR(__xludf.DUMMYFUNCTION("""COMPUTED_VALUE"""),0.99005787037037)</f>
        <v>0.99005787037036996</v>
      </c>
      <c r="G2634" s="83">
        <f t="shared" ca="1" si="21"/>
        <v>19</v>
      </c>
      <c r="H2634" s="83">
        <f ca="1">IFERROR(__xludf.DUMMYFUNCTION("""COMPUTED_VALUE"""),45)</f>
        <v>45</v>
      </c>
      <c r="I2634" s="83">
        <f ca="1">IFERROR(__xludf.DUMMYFUNCTION("""COMPUTED_VALUE"""),41)</f>
        <v>41</v>
      </c>
    </row>
    <row r="2635" spans="1:9">
      <c r="A2635" s="79">
        <v>298</v>
      </c>
      <c r="B2635" s="79">
        <v>1</v>
      </c>
      <c r="C2635" s="79">
        <v>299</v>
      </c>
      <c r="D2635" s="80">
        <v>43342.000462962962</v>
      </c>
      <c r="E2635" s="81">
        <f t="shared" ca="1" si="20"/>
        <v>43313</v>
      </c>
      <c r="F2635" s="82">
        <f ca="1">IFERROR(__xludf.DUMMYFUNCTION("""COMPUTED_VALUE"""),0.000462962962962963)</f>
        <v>4.6296296296296298E-4</v>
      </c>
      <c r="G2635" s="83">
        <f t="shared" ca="1" si="21"/>
        <v>19</v>
      </c>
      <c r="H2635" s="83">
        <f ca="1">IFERROR(__xludf.DUMMYFUNCTION("""COMPUTED_VALUE"""),0)</f>
        <v>0</v>
      </c>
      <c r="I2635" s="83">
        <f ca="1">IFERROR(__xludf.DUMMYFUNCTION("""COMPUTED_VALUE"""),40)</f>
        <v>40</v>
      </c>
    </row>
    <row r="2636" spans="1:9">
      <c r="A2636" s="79">
        <v>372</v>
      </c>
      <c r="B2636" s="79">
        <v>4</v>
      </c>
      <c r="C2636" s="79">
        <v>376</v>
      </c>
      <c r="D2636" s="80">
        <v>43342.010879629626</v>
      </c>
      <c r="E2636" s="81">
        <f t="shared" ca="1" si="20"/>
        <v>43313</v>
      </c>
      <c r="F2636" s="82">
        <f ca="1">IFERROR(__xludf.DUMMYFUNCTION("""COMPUTED_VALUE"""),0.0108796296296296)</f>
        <v>1.08796296296296E-2</v>
      </c>
      <c r="G2636" s="83">
        <f t="shared" ca="1" si="21"/>
        <v>19</v>
      </c>
      <c r="H2636" s="83">
        <f ca="1">IFERROR(__xludf.DUMMYFUNCTION("""COMPUTED_VALUE"""),15)</f>
        <v>15</v>
      </c>
      <c r="I2636" s="83">
        <f ca="1">IFERROR(__xludf.DUMMYFUNCTION("""COMPUTED_VALUE"""),40)</f>
        <v>40</v>
      </c>
    </row>
    <row r="2637" spans="1:9">
      <c r="A2637" s="79">
        <v>318</v>
      </c>
      <c r="B2637" s="79">
        <v>5</v>
      </c>
      <c r="C2637" s="79">
        <v>317</v>
      </c>
      <c r="D2637" s="80">
        <v>43342.021307870367</v>
      </c>
      <c r="E2637" s="81">
        <f t="shared" ca="1" si="20"/>
        <v>43313</v>
      </c>
      <c r="F2637" s="82">
        <f ca="1">IFERROR(__xludf.DUMMYFUNCTION("""COMPUTED_VALUE"""),0.0213078703703703)</f>
        <v>2.13078703703703E-2</v>
      </c>
      <c r="G2637" s="83">
        <f t="shared" ca="1" si="21"/>
        <v>19</v>
      </c>
      <c r="H2637" s="83">
        <f ca="1">IFERROR(__xludf.DUMMYFUNCTION("""COMPUTED_VALUE"""),30)</f>
        <v>30</v>
      </c>
      <c r="I2637" s="83">
        <f ca="1">IFERROR(__xludf.DUMMYFUNCTION("""COMPUTED_VALUE"""),41)</f>
        <v>41</v>
      </c>
    </row>
    <row r="2638" spans="1:9">
      <c r="A2638" s="79">
        <v>308</v>
      </c>
      <c r="B2638" s="79">
        <v>6</v>
      </c>
      <c r="C2638" s="79">
        <v>314</v>
      </c>
      <c r="D2638" s="80">
        <v>43342.031712962962</v>
      </c>
      <c r="E2638" s="81">
        <f t="shared" ca="1" si="20"/>
        <v>43313</v>
      </c>
      <c r="F2638" s="82">
        <f ca="1">IFERROR(__xludf.DUMMYFUNCTION("""COMPUTED_VALUE"""),0.0317129629629629)</f>
        <v>3.1712962962962901E-2</v>
      </c>
      <c r="G2638" s="83">
        <f t="shared" ca="1" si="21"/>
        <v>19</v>
      </c>
      <c r="H2638" s="83">
        <f ca="1">IFERROR(__xludf.DUMMYFUNCTION("""COMPUTED_VALUE"""),45)</f>
        <v>45</v>
      </c>
      <c r="I2638" s="83">
        <f ca="1">IFERROR(__xludf.DUMMYFUNCTION("""COMPUTED_VALUE"""),40)</f>
        <v>40</v>
      </c>
    </row>
    <row r="2639" spans="1:9">
      <c r="A2639" s="79">
        <v>254</v>
      </c>
      <c r="B2639" s="79">
        <v>2</v>
      </c>
      <c r="C2639" s="79">
        <v>256</v>
      </c>
      <c r="D2639" s="80">
        <v>43342.042141203703</v>
      </c>
      <c r="E2639" s="81">
        <f t="shared" ca="1" si="20"/>
        <v>43313</v>
      </c>
      <c r="F2639" s="82">
        <f ca="1">IFERROR(__xludf.DUMMYFUNCTION("""COMPUTED_VALUE"""),0.0421412037037037)</f>
        <v>4.2141203703703702E-2</v>
      </c>
      <c r="G2639" s="83">
        <f t="shared" ca="1" si="21"/>
        <v>19</v>
      </c>
      <c r="H2639" s="83">
        <f ca="1">IFERROR(__xludf.DUMMYFUNCTION("""COMPUTED_VALUE"""),0)</f>
        <v>0</v>
      </c>
      <c r="I2639" s="83">
        <f ca="1">IFERROR(__xludf.DUMMYFUNCTION("""COMPUTED_VALUE"""),41)</f>
        <v>41</v>
      </c>
    </row>
    <row r="2640" spans="1:9">
      <c r="A2640" s="79">
        <v>295</v>
      </c>
      <c r="B2640" s="79">
        <v>3</v>
      </c>
      <c r="C2640" s="79">
        <v>298</v>
      </c>
      <c r="D2640" s="80">
        <v>43342.052557870367</v>
      </c>
      <c r="E2640" s="81">
        <f t="shared" ca="1" si="20"/>
        <v>43313</v>
      </c>
      <c r="F2640" s="82">
        <f ca="1">IFERROR(__xludf.DUMMYFUNCTION("""COMPUTED_VALUE"""),0.0525578703703703)</f>
        <v>5.2557870370370303E-2</v>
      </c>
      <c r="G2640" s="83">
        <f t="shared" ca="1" si="21"/>
        <v>19</v>
      </c>
      <c r="H2640" s="83">
        <f ca="1">IFERROR(__xludf.DUMMYFUNCTION("""COMPUTED_VALUE"""),15)</f>
        <v>15</v>
      </c>
      <c r="I2640" s="83">
        <f ca="1">IFERROR(__xludf.DUMMYFUNCTION("""COMPUTED_VALUE"""),41)</f>
        <v>41</v>
      </c>
    </row>
    <row r="2641" spans="1:9">
      <c r="A2641" s="79">
        <v>294</v>
      </c>
      <c r="B2641" s="79">
        <v>5</v>
      </c>
      <c r="C2641" s="79">
        <v>294</v>
      </c>
      <c r="D2641" s="80">
        <v>43342.062974537039</v>
      </c>
      <c r="E2641" s="81">
        <f t="shared" ca="1" si="20"/>
        <v>43313</v>
      </c>
      <c r="F2641" s="82">
        <f ca="1">IFERROR(__xludf.DUMMYFUNCTION("""COMPUTED_VALUE"""),0.062974537037037)</f>
        <v>6.2974537037036996E-2</v>
      </c>
      <c r="G2641" s="83">
        <f t="shared" ca="1" si="21"/>
        <v>19</v>
      </c>
      <c r="H2641" s="83">
        <f ca="1">IFERROR(__xludf.DUMMYFUNCTION("""COMPUTED_VALUE"""),30)</f>
        <v>30</v>
      </c>
      <c r="I2641" s="83">
        <f ca="1">IFERROR(__xludf.DUMMYFUNCTION("""COMPUTED_VALUE"""),41)</f>
        <v>41</v>
      </c>
    </row>
    <row r="2642" spans="1:9">
      <c r="A2642" s="79">
        <v>257</v>
      </c>
      <c r="B2642" s="79">
        <v>6</v>
      </c>
      <c r="C2642" s="79">
        <v>263</v>
      </c>
      <c r="D2642" s="80">
        <v>43342.073379629626</v>
      </c>
      <c r="E2642" s="81">
        <f t="shared" ca="1" si="20"/>
        <v>43313</v>
      </c>
      <c r="F2642" s="82">
        <f ca="1">IFERROR(__xludf.DUMMYFUNCTION("""COMPUTED_VALUE"""),0.0733796296296296)</f>
        <v>7.33796296296296E-2</v>
      </c>
      <c r="G2642" s="83">
        <f t="shared" ca="1" si="21"/>
        <v>19</v>
      </c>
      <c r="H2642" s="83">
        <f ca="1">IFERROR(__xludf.DUMMYFUNCTION("""COMPUTED_VALUE"""),45)</f>
        <v>45</v>
      </c>
      <c r="I2642" s="83">
        <f ca="1">IFERROR(__xludf.DUMMYFUNCTION("""COMPUTED_VALUE"""),40)</f>
        <v>40</v>
      </c>
    </row>
    <row r="2643" spans="1:9">
      <c r="A2643" s="79">
        <v>241</v>
      </c>
      <c r="B2643" s="79">
        <v>6</v>
      </c>
      <c r="C2643" s="79">
        <v>247</v>
      </c>
      <c r="D2643" s="80">
        <v>43342.083819444444</v>
      </c>
      <c r="E2643" s="81">
        <f t="shared" ca="1" si="20"/>
        <v>43313</v>
      </c>
      <c r="F2643" s="82">
        <f ca="1">IFERROR(__xludf.DUMMYFUNCTION("""COMPUTED_VALUE"""),0.0838194444444444)</f>
        <v>8.3819444444444405E-2</v>
      </c>
      <c r="G2643" s="83">
        <f t="shared" ca="1" si="21"/>
        <v>19</v>
      </c>
      <c r="H2643" s="83">
        <f ca="1">IFERROR(__xludf.DUMMYFUNCTION("""COMPUTED_VALUE"""),0)</f>
        <v>0</v>
      </c>
      <c r="I2643" s="83">
        <f ca="1">IFERROR(__xludf.DUMMYFUNCTION("""COMPUTED_VALUE"""),42)</f>
        <v>42</v>
      </c>
    </row>
    <row r="2644" spans="1:9">
      <c r="A2644" s="79">
        <v>297</v>
      </c>
      <c r="B2644" s="79">
        <v>8</v>
      </c>
      <c r="C2644" s="79">
        <v>305</v>
      </c>
      <c r="D2644" s="80">
        <v>43342.094224537039</v>
      </c>
      <c r="E2644" s="81">
        <f t="shared" ca="1" si="20"/>
        <v>43313</v>
      </c>
      <c r="F2644" s="82">
        <f ca="1">IFERROR(__xludf.DUMMYFUNCTION("""COMPUTED_VALUE"""),0.094224537037037)</f>
        <v>9.4224537037036996E-2</v>
      </c>
      <c r="G2644" s="83">
        <f t="shared" ca="1" si="21"/>
        <v>19</v>
      </c>
      <c r="H2644" s="83">
        <f ca="1">IFERROR(__xludf.DUMMYFUNCTION("""COMPUTED_VALUE"""),15)</f>
        <v>15</v>
      </c>
      <c r="I2644" s="83">
        <f ca="1">IFERROR(__xludf.DUMMYFUNCTION("""COMPUTED_VALUE"""),41)</f>
        <v>41</v>
      </c>
    </row>
    <row r="2645" spans="1:9">
      <c r="A2645" s="79">
        <v>247</v>
      </c>
      <c r="B2645" s="79">
        <v>8</v>
      </c>
      <c r="C2645" s="79">
        <v>255</v>
      </c>
      <c r="D2645" s="80">
        <v>43342.104629629626</v>
      </c>
      <c r="E2645" s="81">
        <f t="shared" ca="1" si="20"/>
        <v>43313</v>
      </c>
      <c r="F2645" s="82">
        <f ca="1">IFERROR(__xludf.DUMMYFUNCTION("""COMPUTED_VALUE"""),0.104629629629629)</f>
        <v>0.104629629629629</v>
      </c>
      <c r="G2645" s="83">
        <f t="shared" ca="1" si="21"/>
        <v>19</v>
      </c>
      <c r="H2645" s="83">
        <f ca="1">IFERROR(__xludf.DUMMYFUNCTION("""COMPUTED_VALUE"""),30)</f>
        <v>30</v>
      </c>
      <c r="I2645" s="83">
        <f ca="1">IFERROR(__xludf.DUMMYFUNCTION("""COMPUTED_VALUE"""),40)</f>
        <v>40</v>
      </c>
    </row>
    <row r="2646" spans="1:9">
      <c r="A2646" s="79">
        <v>184</v>
      </c>
      <c r="B2646" s="79">
        <v>5</v>
      </c>
      <c r="C2646" s="79">
        <v>189</v>
      </c>
      <c r="D2646" s="80">
        <v>43342.115046296298</v>
      </c>
      <c r="E2646" s="81">
        <f t="shared" ca="1" si="20"/>
        <v>43313</v>
      </c>
      <c r="F2646" s="82">
        <f ca="1">IFERROR(__xludf.DUMMYFUNCTION("""COMPUTED_VALUE"""),0.115046296296296)</f>
        <v>0.11504629629629599</v>
      </c>
      <c r="G2646" s="83">
        <f t="shared" ca="1" si="21"/>
        <v>19</v>
      </c>
      <c r="H2646" s="83">
        <f ca="1">IFERROR(__xludf.DUMMYFUNCTION("""COMPUTED_VALUE"""),45)</f>
        <v>45</v>
      </c>
      <c r="I2646" s="83">
        <f ca="1">IFERROR(__xludf.DUMMYFUNCTION("""COMPUTED_VALUE"""),40)</f>
        <v>40</v>
      </c>
    </row>
    <row r="2647" spans="1:9">
      <c r="A2647" s="79">
        <v>188</v>
      </c>
      <c r="B2647" s="79">
        <v>4</v>
      </c>
      <c r="C2647" s="79">
        <v>183</v>
      </c>
      <c r="D2647" s="80">
        <v>43342.125462962962</v>
      </c>
      <c r="E2647" s="81">
        <f t="shared" ca="1" si="20"/>
        <v>43313</v>
      </c>
      <c r="F2647" s="82">
        <f ca="1">IFERROR(__xludf.DUMMYFUNCTION("""COMPUTED_VALUE"""),0.125462962962962)</f>
        <v>0.125462962962962</v>
      </c>
      <c r="G2647" s="83">
        <f t="shared" ca="1" si="21"/>
        <v>19</v>
      </c>
      <c r="H2647" s="83">
        <f ca="1">IFERROR(__xludf.DUMMYFUNCTION("""COMPUTED_VALUE"""),0)</f>
        <v>0</v>
      </c>
      <c r="I2647" s="83">
        <f ca="1">IFERROR(__xludf.DUMMYFUNCTION("""COMPUTED_VALUE"""),40)</f>
        <v>40</v>
      </c>
    </row>
    <row r="2648" spans="1:9">
      <c r="A2648" s="79">
        <v>189</v>
      </c>
      <c r="B2648" s="79">
        <v>4</v>
      </c>
      <c r="C2648" s="79">
        <v>185</v>
      </c>
      <c r="D2648" s="80">
        <v>43342.135879629626</v>
      </c>
      <c r="E2648" s="81">
        <f t="shared" ca="1" si="20"/>
        <v>43313</v>
      </c>
      <c r="F2648" s="82">
        <f ca="1">IFERROR(__xludf.DUMMYFUNCTION("""COMPUTED_VALUE"""),0.135879629629629)</f>
        <v>0.13587962962962899</v>
      </c>
      <c r="G2648" s="83">
        <f t="shared" ca="1" si="21"/>
        <v>19</v>
      </c>
      <c r="H2648" s="83">
        <f ca="1">IFERROR(__xludf.DUMMYFUNCTION("""COMPUTED_VALUE"""),15)</f>
        <v>15</v>
      </c>
      <c r="I2648" s="83">
        <f ca="1">IFERROR(__xludf.DUMMYFUNCTION("""COMPUTED_VALUE"""),40)</f>
        <v>40</v>
      </c>
    </row>
    <row r="2649" spans="1:9">
      <c r="A2649" s="79">
        <v>173</v>
      </c>
      <c r="B2649" s="79">
        <v>3</v>
      </c>
      <c r="C2649" s="79">
        <v>172</v>
      </c>
      <c r="D2649" s="80">
        <v>43342.146296296298</v>
      </c>
      <c r="E2649" s="81">
        <f t="shared" ca="1" si="20"/>
        <v>43313</v>
      </c>
      <c r="F2649" s="82">
        <f ca="1">IFERROR(__xludf.DUMMYFUNCTION("""COMPUTED_VALUE"""),0.146296296296296)</f>
        <v>0.14629629629629601</v>
      </c>
      <c r="G2649" s="83">
        <f t="shared" ca="1" si="21"/>
        <v>19</v>
      </c>
      <c r="H2649" s="83">
        <f ca="1">IFERROR(__xludf.DUMMYFUNCTION("""COMPUTED_VALUE"""),30)</f>
        <v>30</v>
      </c>
      <c r="I2649" s="83">
        <f ca="1">IFERROR(__xludf.DUMMYFUNCTION("""COMPUTED_VALUE"""),40)</f>
        <v>40</v>
      </c>
    </row>
    <row r="2650" spans="1:9">
      <c r="A2650" s="79">
        <v>140</v>
      </c>
      <c r="B2650" s="79">
        <v>2</v>
      </c>
      <c r="C2650" s="79">
        <v>142</v>
      </c>
      <c r="D2650" s="80">
        <v>43342.156712962962</v>
      </c>
      <c r="E2650" s="81">
        <f t="shared" ca="1" si="20"/>
        <v>43313</v>
      </c>
      <c r="F2650" s="82">
        <f ca="1">IFERROR(__xludf.DUMMYFUNCTION("""COMPUTED_VALUE"""),0.156712962962962)</f>
        <v>0.156712962962962</v>
      </c>
      <c r="G2650" s="83">
        <f t="shared" ca="1" si="21"/>
        <v>19</v>
      </c>
      <c r="H2650" s="83">
        <f ca="1">IFERROR(__xludf.DUMMYFUNCTION("""COMPUTED_VALUE"""),45)</f>
        <v>45</v>
      </c>
      <c r="I2650" s="83">
        <f ca="1">IFERROR(__xludf.DUMMYFUNCTION("""COMPUTED_VALUE"""),40)</f>
        <v>40</v>
      </c>
    </row>
    <row r="2651" spans="1:9">
      <c r="A2651" s="79">
        <v>152</v>
      </c>
      <c r="B2651" s="79">
        <v>1</v>
      </c>
      <c r="C2651" s="79">
        <v>153</v>
      </c>
      <c r="D2651" s="80">
        <v>43342.167129629626</v>
      </c>
      <c r="E2651" s="81">
        <f t="shared" ca="1" si="20"/>
        <v>43313</v>
      </c>
      <c r="F2651" s="82">
        <f ca="1">IFERROR(__xludf.DUMMYFUNCTION("""COMPUTED_VALUE"""),0.167129629629629)</f>
        <v>0.16712962962962899</v>
      </c>
      <c r="G2651" s="83">
        <f t="shared" ca="1" si="21"/>
        <v>19</v>
      </c>
      <c r="H2651" s="83">
        <f ca="1">IFERROR(__xludf.DUMMYFUNCTION("""COMPUTED_VALUE"""),0)</f>
        <v>0</v>
      </c>
      <c r="I2651" s="83">
        <f ca="1">IFERROR(__xludf.DUMMYFUNCTION("""COMPUTED_VALUE"""),40)</f>
        <v>40</v>
      </c>
    </row>
    <row r="2652" spans="1:9">
      <c r="A2652" s="79">
        <v>86</v>
      </c>
      <c r="B2652" s="79">
        <v>1</v>
      </c>
      <c r="C2652" s="79">
        <v>87</v>
      </c>
      <c r="D2652" s="80">
        <v>43342.177546296298</v>
      </c>
      <c r="E2652" s="81">
        <f t="shared" ca="1" si="20"/>
        <v>43313</v>
      </c>
      <c r="F2652" s="82">
        <f ca="1">IFERROR(__xludf.DUMMYFUNCTION("""COMPUTED_VALUE"""),0.177546296296296)</f>
        <v>0.17754629629629601</v>
      </c>
      <c r="G2652" s="83">
        <f t="shared" ca="1" si="21"/>
        <v>19</v>
      </c>
      <c r="H2652" s="83">
        <f ca="1">IFERROR(__xludf.DUMMYFUNCTION("""COMPUTED_VALUE"""),15)</f>
        <v>15</v>
      </c>
      <c r="I2652" s="83">
        <f ca="1">IFERROR(__xludf.DUMMYFUNCTION("""COMPUTED_VALUE"""),40)</f>
        <v>40</v>
      </c>
    </row>
    <row r="2653" spans="1:9">
      <c r="A2653" s="79">
        <v>63</v>
      </c>
      <c r="B2653" s="79">
        <v>1</v>
      </c>
      <c r="C2653" s="79">
        <v>64</v>
      </c>
      <c r="D2653" s="80">
        <v>43342.187962962962</v>
      </c>
      <c r="E2653" s="81">
        <f t="shared" ca="1" si="20"/>
        <v>43313</v>
      </c>
      <c r="F2653" s="82">
        <f ca="1">IFERROR(__xludf.DUMMYFUNCTION("""COMPUTED_VALUE"""),0.187962962962962)</f>
        <v>0.187962962962962</v>
      </c>
      <c r="G2653" s="83">
        <f t="shared" ca="1" si="21"/>
        <v>19</v>
      </c>
      <c r="H2653" s="83">
        <f ca="1">IFERROR(__xludf.DUMMYFUNCTION("""COMPUTED_VALUE"""),30)</f>
        <v>30</v>
      </c>
      <c r="I2653" s="83">
        <f ca="1">IFERROR(__xludf.DUMMYFUNCTION("""COMPUTED_VALUE"""),40)</f>
        <v>40</v>
      </c>
    </row>
    <row r="2654" spans="1:9">
      <c r="A2654" s="79">
        <v>58</v>
      </c>
      <c r="B2654" s="79">
        <v>1</v>
      </c>
      <c r="C2654" s="79">
        <v>59</v>
      </c>
      <c r="D2654" s="80">
        <v>43342.198368055557</v>
      </c>
      <c r="E2654" s="81">
        <f t="shared" ca="1" si="20"/>
        <v>43313</v>
      </c>
      <c r="F2654" s="82">
        <f ca="1">IFERROR(__xludf.DUMMYFUNCTION("""COMPUTED_VALUE"""),0.198368055555555)</f>
        <v>0.19836805555555501</v>
      </c>
      <c r="G2654" s="83">
        <f t="shared" ca="1" si="21"/>
        <v>19</v>
      </c>
      <c r="H2654" s="83">
        <f ca="1">IFERROR(__xludf.DUMMYFUNCTION("""COMPUTED_VALUE"""),45)</f>
        <v>45</v>
      </c>
      <c r="I2654" s="83">
        <f ca="1">IFERROR(__xludf.DUMMYFUNCTION("""COMPUTED_VALUE"""),39)</f>
        <v>39</v>
      </c>
    </row>
    <row r="2655" spans="1:9">
      <c r="A2655" s="79">
        <v>53</v>
      </c>
      <c r="B2655" s="79">
        <v>1</v>
      </c>
      <c r="C2655" s="79">
        <v>54</v>
      </c>
      <c r="D2655" s="80">
        <v>43342.208807870367</v>
      </c>
      <c r="E2655" s="81">
        <f t="shared" ca="1" si="20"/>
        <v>43313</v>
      </c>
      <c r="F2655" s="82">
        <f ca="1">IFERROR(__xludf.DUMMYFUNCTION("""COMPUTED_VALUE"""),0.20880787037037)</f>
        <v>0.20880787037036999</v>
      </c>
      <c r="G2655" s="83">
        <f t="shared" ca="1" si="21"/>
        <v>19</v>
      </c>
      <c r="H2655" s="83">
        <f ca="1">IFERROR(__xludf.DUMMYFUNCTION("""COMPUTED_VALUE"""),0)</f>
        <v>0</v>
      </c>
      <c r="I2655" s="83">
        <f ca="1">IFERROR(__xludf.DUMMYFUNCTION("""COMPUTED_VALUE"""),41)</f>
        <v>41</v>
      </c>
    </row>
    <row r="2656" spans="1:9">
      <c r="A2656" s="79">
        <v>52</v>
      </c>
      <c r="B2656" s="79">
        <v>1</v>
      </c>
      <c r="C2656" s="79">
        <v>53</v>
      </c>
      <c r="D2656" s="80">
        <v>43342.219201388885</v>
      </c>
      <c r="E2656" s="81">
        <f t="shared" ca="1" si="20"/>
        <v>43313</v>
      </c>
      <c r="F2656" s="82">
        <f ca="1">IFERROR(__xludf.DUMMYFUNCTION("""COMPUTED_VALUE"""),0.219201388888888)</f>
        <v>0.21920138888888799</v>
      </c>
      <c r="G2656" s="83">
        <f t="shared" ca="1" si="21"/>
        <v>19</v>
      </c>
      <c r="H2656" s="83">
        <f ca="1">IFERROR(__xludf.DUMMYFUNCTION("""COMPUTED_VALUE"""),15)</f>
        <v>15</v>
      </c>
      <c r="I2656" s="83">
        <f ca="1">IFERROR(__xludf.DUMMYFUNCTION("""COMPUTED_VALUE"""),39)</f>
        <v>39</v>
      </c>
    </row>
    <row r="2657" spans="1:9">
      <c r="A2657" s="79">
        <v>46</v>
      </c>
      <c r="B2657" s="79">
        <v>1</v>
      </c>
      <c r="C2657" s="79">
        <v>47</v>
      </c>
      <c r="D2657" s="80">
        <v>43342.229629629626</v>
      </c>
      <c r="E2657" s="81">
        <f t="shared" ca="1" si="20"/>
        <v>43313</v>
      </c>
      <c r="F2657" s="82">
        <f ca="1">IFERROR(__xludf.DUMMYFUNCTION("""COMPUTED_VALUE"""),0.229629629629629)</f>
        <v>0.22962962962962899</v>
      </c>
      <c r="G2657" s="83">
        <f t="shared" ca="1" si="21"/>
        <v>19</v>
      </c>
      <c r="H2657" s="83">
        <f ca="1">IFERROR(__xludf.DUMMYFUNCTION("""COMPUTED_VALUE"""),30)</f>
        <v>30</v>
      </c>
      <c r="I2657" s="83">
        <f ca="1">IFERROR(__xludf.DUMMYFUNCTION("""COMPUTED_VALUE"""),40)</f>
        <v>40</v>
      </c>
    </row>
    <row r="2658" spans="1:9">
      <c r="A2658" s="79">
        <v>48</v>
      </c>
      <c r="B2658" s="79">
        <v>1</v>
      </c>
      <c r="C2658" s="79">
        <v>43</v>
      </c>
      <c r="D2658" s="80">
        <v>43342.240057870367</v>
      </c>
      <c r="E2658" s="81">
        <f t="shared" ca="1" si="20"/>
        <v>43313</v>
      </c>
      <c r="F2658" s="82">
        <f ca="1">IFERROR(__xludf.DUMMYFUNCTION("""COMPUTED_VALUE"""),0.24005787037037)</f>
        <v>0.24005787037036999</v>
      </c>
      <c r="G2658" s="83">
        <f t="shared" ca="1" si="21"/>
        <v>19</v>
      </c>
      <c r="H2658" s="83">
        <f ca="1">IFERROR(__xludf.DUMMYFUNCTION("""COMPUTED_VALUE"""),45)</f>
        <v>45</v>
      </c>
      <c r="I2658" s="83">
        <f ca="1">IFERROR(__xludf.DUMMYFUNCTION("""COMPUTED_VALUE"""),41)</f>
        <v>41</v>
      </c>
    </row>
    <row r="2659" spans="1:9">
      <c r="A2659" s="79">
        <v>41</v>
      </c>
      <c r="B2659" s="79">
        <v>1</v>
      </c>
      <c r="C2659" s="79">
        <v>42</v>
      </c>
      <c r="D2659" s="80">
        <v>43342.250462962962</v>
      </c>
      <c r="E2659" s="81">
        <f t="shared" ca="1" si="20"/>
        <v>43313</v>
      </c>
      <c r="F2659" s="82">
        <f ca="1">IFERROR(__xludf.DUMMYFUNCTION("""COMPUTED_VALUE"""),0.250462962962962)</f>
        <v>0.250462962962962</v>
      </c>
      <c r="G2659" s="83">
        <f t="shared" ca="1" si="21"/>
        <v>19</v>
      </c>
      <c r="H2659" s="83">
        <f ca="1">IFERROR(__xludf.DUMMYFUNCTION("""COMPUTED_VALUE"""),0)</f>
        <v>0</v>
      </c>
      <c r="I2659" s="83">
        <f ca="1">IFERROR(__xludf.DUMMYFUNCTION("""COMPUTED_VALUE"""),40)</f>
        <v>40</v>
      </c>
    </row>
    <row r="2660" spans="1:9">
      <c r="A2660" s="79">
        <v>40</v>
      </c>
      <c r="B2660" s="79">
        <v>1</v>
      </c>
      <c r="C2660" s="79">
        <v>41</v>
      </c>
      <c r="D2660" s="80">
        <v>43342.260868055557</v>
      </c>
      <c r="E2660" s="81">
        <f t="shared" ca="1" si="20"/>
        <v>43313</v>
      </c>
      <c r="F2660" s="82">
        <f ca="1">IFERROR(__xludf.DUMMYFUNCTION("""COMPUTED_VALUE"""),0.260868055555555)</f>
        <v>0.26086805555555498</v>
      </c>
      <c r="G2660" s="83">
        <f t="shared" ca="1" si="21"/>
        <v>19</v>
      </c>
      <c r="H2660" s="83">
        <f ca="1">IFERROR(__xludf.DUMMYFUNCTION("""COMPUTED_VALUE"""),15)</f>
        <v>15</v>
      </c>
      <c r="I2660" s="83">
        <f ca="1">IFERROR(__xludf.DUMMYFUNCTION("""COMPUTED_VALUE"""),39)</f>
        <v>39</v>
      </c>
    </row>
    <row r="2661" spans="1:9">
      <c r="A2661" s="79">
        <v>39</v>
      </c>
      <c r="B2661" s="79">
        <v>1</v>
      </c>
      <c r="C2661" s="79">
        <v>40</v>
      </c>
      <c r="D2661" s="80">
        <v>43342.273668981485</v>
      </c>
      <c r="E2661" s="81">
        <f t="shared" ca="1" si="20"/>
        <v>43313</v>
      </c>
      <c r="F2661" s="82">
        <f ca="1">IFERROR(__xludf.DUMMYFUNCTION("""COMPUTED_VALUE"""),0.273668981481481)</f>
        <v>0.273668981481481</v>
      </c>
      <c r="G2661" s="83">
        <f t="shared" ca="1" si="21"/>
        <v>19</v>
      </c>
      <c r="H2661" s="83">
        <f ca="1">IFERROR(__xludf.DUMMYFUNCTION("""COMPUTED_VALUE"""),34)</f>
        <v>34</v>
      </c>
      <c r="I2661" s="83">
        <f ca="1">IFERROR(__xludf.DUMMYFUNCTION("""COMPUTED_VALUE"""),5)</f>
        <v>5</v>
      </c>
    </row>
    <row r="2662" spans="1:9">
      <c r="A2662" s="79">
        <v>39</v>
      </c>
      <c r="B2662" s="79">
        <v>1</v>
      </c>
      <c r="C2662" s="79">
        <v>40</v>
      </c>
      <c r="D2662" s="80">
        <v>43342.281712962962</v>
      </c>
      <c r="E2662" s="81">
        <f t="shared" ca="1" si="20"/>
        <v>43313</v>
      </c>
      <c r="F2662" s="82">
        <f ca="1">IFERROR(__xludf.DUMMYFUNCTION("""COMPUTED_VALUE"""),0.281712962962962)</f>
        <v>0.281712962962962</v>
      </c>
      <c r="G2662" s="83">
        <f t="shared" ca="1" si="21"/>
        <v>19</v>
      </c>
      <c r="H2662" s="83">
        <f ca="1">IFERROR(__xludf.DUMMYFUNCTION("""COMPUTED_VALUE"""),45)</f>
        <v>45</v>
      </c>
      <c r="I2662" s="83">
        <f ca="1">IFERROR(__xludf.DUMMYFUNCTION("""COMPUTED_VALUE"""),40)</f>
        <v>40</v>
      </c>
    </row>
    <row r="2663" spans="1:9">
      <c r="A2663" s="79">
        <v>38</v>
      </c>
      <c r="B2663" s="79">
        <v>1</v>
      </c>
      <c r="C2663" s="79">
        <v>39</v>
      </c>
      <c r="D2663" s="80">
        <v>43342.292129629626</v>
      </c>
      <c r="E2663" s="81">
        <f t="shared" ca="1" si="20"/>
        <v>43313</v>
      </c>
      <c r="F2663" s="82">
        <f ca="1">IFERROR(__xludf.DUMMYFUNCTION("""COMPUTED_VALUE"""),0.292129629629629)</f>
        <v>0.29212962962962902</v>
      </c>
      <c r="G2663" s="83">
        <f t="shared" ca="1" si="21"/>
        <v>19</v>
      </c>
      <c r="H2663" s="83">
        <f ca="1">IFERROR(__xludf.DUMMYFUNCTION("""COMPUTED_VALUE"""),0)</f>
        <v>0</v>
      </c>
      <c r="I2663" s="83">
        <f ca="1">IFERROR(__xludf.DUMMYFUNCTION("""COMPUTED_VALUE"""),40)</f>
        <v>40</v>
      </c>
    </row>
    <row r="2664" spans="1:9">
      <c r="A2664" s="79">
        <v>64</v>
      </c>
      <c r="B2664" s="79">
        <v>2</v>
      </c>
      <c r="C2664" s="79">
        <v>66</v>
      </c>
      <c r="D2664" s="80">
        <v>43342.302569444444</v>
      </c>
      <c r="E2664" s="81">
        <f t="shared" ca="1" si="20"/>
        <v>43313</v>
      </c>
      <c r="F2664" s="82">
        <f ca="1">IFERROR(__xludf.DUMMYFUNCTION("""COMPUTED_VALUE"""),0.302569444444444)</f>
        <v>0.302569444444444</v>
      </c>
      <c r="G2664" s="83">
        <f t="shared" ca="1" si="21"/>
        <v>19</v>
      </c>
      <c r="H2664" s="83">
        <f ca="1">IFERROR(__xludf.DUMMYFUNCTION("""COMPUTED_VALUE"""),15)</f>
        <v>15</v>
      </c>
      <c r="I2664" s="83">
        <f ca="1">IFERROR(__xludf.DUMMYFUNCTION("""COMPUTED_VALUE"""),42)</f>
        <v>42</v>
      </c>
    </row>
    <row r="2665" spans="1:9">
      <c r="A2665" s="79">
        <v>72</v>
      </c>
      <c r="B2665" s="79">
        <v>1</v>
      </c>
      <c r="C2665" s="79">
        <v>73</v>
      </c>
      <c r="D2665" s="80">
        <v>43342.312974537039</v>
      </c>
      <c r="E2665" s="81">
        <f t="shared" ca="1" si="20"/>
        <v>43313</v>
      </c>
      <c r="F2665" s="82">
        <f ca="1">IFERROR(__xludf.DUMMYFUNCTION("""COMPUTED_VALUE"""),0.312974537037037)</f>
        <v>0.31297453703703698</v>
      </c>
      <c r="G2665" s="83">
        <f t="shared" ca="1" si="21"/>
        <v>19</v>
      </c>
      <c r="H2665" s="83">
        <f ca="1">IFERROR(__xludf.DUMMYFUNCTION("""COMPUTED_VALUE"""),30)</f>
        <v>30</v>
      </c>
      <c r="I2665" s="83">
        <f ca="1">IFERROR(__xludf.DUMMYFUNCTION("""COMPUTED_VALUE"""),41)</f>
        <v>41</v>
      </c>
    </row>
    <row r="2666" spans="1:9">
      <c r="A2666" s="79">
        <v>81</v>
      </c>
      <c r="B2666" s="79">
        <v>1</v>
      </c>
      <c r="C2666" s="79">
        <v>82</v>
      </c>
      <c r="D2666" s="80">
        <v>43342.32340277778</v>
      </c>
      <c r="E2666" s="81">
        <f t="shared" ca="1" si="20"/>
        <v>43313</v>
      </c>
      <c r="F2666" s="82">
        <f ca="1">IFERROR(__xludf.DUMMYFUNCTION("""COMPUTED_VALUE"""),0.323402777777777)</f>
        <v>0.32340277777777698</v>
      </c>
      <c r="G2666" s="83">
        <f t="shared" ca="1" si="21"/>
        <v>19</v>
      </c>
      <c r="H2666" s="83">
        <f ca="1">IFERROR(__xludf.DUMMYFUNCTION("""COMPUTED_VALUE"""),45)</f>
        <v>45</v>
      </c>
      <c r="I2666" s="83">
        <f ca="1">IFERROR(__xludf.DUMMYFUNCTION("""COMPUTED_VALUE"""),42)</f>
        <v>42</v>
      </c>
    </row>
    <row r="2667" spans="1:9">
      <c r="A2667" s="79">
        <v>86</v>
      </c>
      <c r="B2667" s="79">
        <v>1</v>
      </c>
      <c r="C2667" s="79">
        <v>87</v>
      </c>
      <c r="D2667" s="80">
        <v>43342.333807870367</v>
      </c>
      <c r="E2667" s="81">
        <f t="shared" ca="1" si="20"/>
        <v>43313</v>
      </c>
      <c r="F2667" s="82">
        <f ca="1">IFERROR(__xludf.DUMMYFUNCTION("""COMPUTED_VALUE"""),0.33380787037037)</f>
        <v>0.33380787037037002</v>
      </c>
      <c r="G2667" s="83">
        <f t="shared" ca="1" si="21"/>
        <v>19</v>
      </c>
      <c r="H2667" s="83">
        <f ca="1">IFERROR(__xludf.DUMMYFUNCTION("""COMPUTED_VALUE"""),0)</f>
        <v>0</v>
      </c>
      <c r="I2667" s="83">
        <f ca="1">IFERROR(__xludf.DUMMYFUNCTION("""COMPUTED_VALUE"""),41)</f>
        <v>41</v>
      </c>
    </row>
    <row r="2668" spans="1:9">
      <c r="A2668" s="79">
        <v>94</v>
      </c>
      <c r="B2668" s="79">
        <v>1</v>
      </c>
      <c r="C2668" s="79">
        <v>95</v>
      </c>
      <c r="D2668" s="80">
        <v>43342.344236111108</v>
      </c>
      <c r="E2668" s="81">
        <f t="shared" ca="1" si="20"/>
        <v>43313</v>
      </c>
      <c r="F2668" s="82">
        <f ca="1">IFERROR(__xludf.DUMMYFUNCTION("""COMPUTED_VALUE"""),0.344236111111111)</f>
        <v>0.34423611111111102</v>
      </c>
      <c r="G2668" s="83">
        <f t="shared" ca="1" si="21"/>
        <v>19</v>
      </c>
      <c r="H2668" s="83">
        <f ca="1">IFERROR(__xludf.DUMMYFUNCTION("""COMPUTED_VALUE"""),15)</f>
        <v>15</v>
      </c>
      <c r="I2668" s="83">
        <f ca="1">IFERROR(__xludf.DUMMYFUNCTION("""COMPUTED_VALUE"""),42)</f>
        <v>42</v>
      </c>
    </row>
    <row r="2669" spans="1:9">
      <c r="A2669" s="79">
        <v>130</v>
      </c>
      <c r="B2669" s="79">
        <v>2</v>
      </c>
      <c r="C2669" s="79">
        <v>132</v>
      </c>
      <c r="D2669" s="80">
        <v>43342.354641203703</v>
      </c>
      <c r="E2669" s="81">
        <f t="shared" ca="1" si="20"/>
        <v>43313</v>
      </c>
      <c r="F2669" s="82">
        <f ca="1">IFERROR(__xludf.DUMMYFUNCTION("""COMPUTED_VALUE"""),0.354641203703703)</f>
        <v>0.354641203703703</v>
      </c>
      <c r="G2669" s="83">
        <f t="shared" ca="1" si="21"/>
        <v>19</v>
      </c>
      <c r="H2669" s="83">
        <f ca="1">IFERROR(__xludf.DUMMYFUNCTION("""COMPUTED_VALUE"""),30)</f>
        <v>30</v>
      </c>
      <c r="I2669" s="83">
        <f ca="1">IFERROR(__xludf.DUMMYFUNCTION("""COMPUTED_VALUE"""),41)</f>
        <v>41</v>
      </c>
    </row>
    <row r="2670" spans="1:9">
      <c r="A2670" s="79">
        <v>205</v>
      </c>
      <c r="B2670" s="79">
        <v>2</v>
      </c>
      <c r="C2670" s="79">
        <v>205</v>
      </c>
      <c r="D2670" s="80">
        <v>43342.365069444444</v>
      </c>
      <c r="E2670" s="81">
        <f t="shared" ca="1" si="20"/>
        <v>43313</v>
      </c>
      <c r="F2670" s="82">
        <f ca="1">IFERROR(__xludf.DUMMYFUNCTION("""COMPUTED_VALUE"""),0.365069444444444)</f>
        <v>0.365069444444444</v>
      </c>
      <c r="G2670" s="83">
        <f t="shared" ca="1" si="21"/>
        <v>19</v>
      </c>
      <c r="H2670" s="83">
        <f ca="1">IFERROR(__xludf.DUMMYFUNCTION("""COMPUTED_VALUE"""),45)</f>
        <v>45</v>
      </c>
      <c r="I2670" s="83">
        <f ca="1">IFERROR(__xludf.DUMMYFUNCTION("""COMPUTED_VALUE"""),42)</f>
        <v>42</v>
      </c>
    </row>
    <row r="2671" spans="1:9">
      <c r="A2671" s="79">
        <v>186</v>
      </c>
      <c r="B2671" s="79">
        <v>2</v>
      </c>
      <c r="C2671" s="79">
        <v>188</v>
      </c>
      <c r="D2671" s="80">
        <v>43342.375474537039</v>
      </c>
      <c r="E2671" s="81">
        <f t="shared" ca="1" si="20"/>
        <v>43313</v>
      </c>
      <c r="F2671" s="82">
        <f ca="1">IFERROR(__xludf.DUMMYFUNCTION("""COMPUTED_VALUE"""),0.375474537037037)</f>
        <v>0.37547453703703698</v>
      </c>
      <c r="G2671" s="83">
        <f t="shared" ca="1" si="21"/>
        <v>19</v>
      </c>
      <c r="H2671" s="83">
        <f ca="1">IFERROR(__xludf.DUMMYFUNCTION("""COMPUTED_VALUE"""),0)</f>
        <v>0</v>
      </c>
      <c r="I2671" s="83">
        <f ca="1">IFERROR(__xludf.DUMMYFUNCTION("""COMPUTED_VALUE"""),41)</f>
        <v>41</v>
      </c>
    </row>
    <row r="2672" spans="1:9">
      <c r="A2672" s="79">
        <v>259</v>
      </c>
      <c r="B2672" s="79">
        <v>1</v>
      </c>
      <c r="C2672" s="79">
        <v>260</v>
      </c>
      <c r="D2672" s="80">
        <v>43342.38590277778</v>
      </c>
      <c r="E2672" s="81">
        <f t="shared" ca="1" si="20"/>
        <v>43313</v>
      </c>
      <c r="F2672" s="82">
        <f ca="1">IFERROR(__xludf.DUMMYFUNCTION("""COMPUTED_VALUE"""),0.385902777777777)</f>
        <v>0.38590277777777698</v>
      </c>
      <c r="G2672" s="83">
        <f t="shared" ca="1" si="21"/>
        <v>19</v>
      </c>
      <c r="H2672" s="83">
        <f ca="1">IFERROR(__xludf.DUMMYFUNCTION("""COMPUTED_VALUE"""),15)</f>
        <v>15</v>
      </c>
      <c r="I2672" s="83">
        <f ca="1">IFERROR(__xludf.DUMMYFUNCTION("""COMPUTED_VALUE"""),42)</f>
        <v>42</v>
      </c>
    </row>
    <row r="2673" spans="1:9">
      <c r="A2673" s="79">
        <v>431</v>
      </c>
      <c r="B2673" s="79">
        <v>3</v>
      </c>
      <c r="C2673" s="79">
        <v>434</v>
      </c>
      <c r="D2673" s="80">
        <v>43342.396307870367</v>
      </c>
      <c r="E2673" s="81">
        <f t="shared" ca="1" si="20"/>
        <v>43313</v>
      </c>
      <c r="F2673" s="82">
        <f ca="1">IFERROR(__xludf.DUMMYFUNCTION("""COMPUTED_VALUE"""),0.39630787037037)</f>
        <v>0.39630787037037002</v>
      </c>
      <c r="G2673" s="83">
        <f t="shared" ca="1" si="21"/>
        <v>19</v>
      </c>
      <c r="H2673" s="83">
        <f ca="1">IFERROR(__xludf.DUMMYFUNCTION("""COMPUTED_VALUE"""),30)</f>
        <v>30</v>
      </c>
      <c r="I2673" s="83">
        <f ca="1">IFERROR(__xludf.DUMMYFUNCTION("""COMPUTED_VALUE"""),41)</f>
        <v>41</v>
      </c>
    </row>
    <row r="2674" spans="1:9">
      <c r="A2674" s="79">
        <v>715</v>
      </c>
      <c r="B2674" s="79">
        <v>6</v>
      </c>
      <c r="C2674" s="79">
        <v>717</v>
      </c>
      <c r="D2674" s="80">
        <v>43342.406736111108</v>
      </c>
      <c r="E2674" s="81">
        <f t="shared" ca="1" si="20"/>
        <v>43313</v>
      </c>
      <c r="F2674" s="82">
        <f ca="1">IFERROR(__xludf.DUMMYFUNCTION("""COMPUTED_VALUE"""),0.406736111111111)</f>
        <v>0.40673611111111102</v>
      </c>
      <c r="G2674" s="83">
        <f t="shared" ca="1" si="21"/>
        <v>19</v>
      </c>
      <c r="H2674" s="83">
        <f ca="1">IFERROR(__xludf.DUMMYFUNCTION("""COMPUTED_VALUE"""),45)</f>
        <v>45</v>
      </c>
      <c r="I2674" s="83">
        <f ca="1">IFERROR(__xludf.DUMMYFUNCTION("""COMPUTED_VALUE"""),42)</f>
        <v>42</v>
      </c>
    </row>
    <row r="2675" spans="1:9">
      <c r="A2675" s="79">
        <v>654</v>
      </c>
      <c r="B2675" s="79">
        <v>13</v>
      </c>
      <c r="C2675" s="79">
        <v>667</v>
      </c>
      <c r="D2675" s="80">
        <v>43342.417141203703</v>
      </c>
      <c r="E2675" s="81">
        <f t="shared" ca="1" si="20"/>
        <v>43313</v>
      </c>
      <c r="F2675" s="82">
        <f ca="1">IFERROR(__xludf.DUMMYFUNCTION("""COMPUTED_VALUE"""),0.417141203703703)</f>
        <v>0.417141203703703</v>
      </c>
      <c r="G2675" s="83">
        <f t="shared" ca="1" si="21"/>
        <v>19</v>
      </c>
      <c r="H2675" s="83">
        <f ca="1">IFERROR(__xludf.DUMMYFUNCTION("""COMPUTED_VALUE"""),0)</f>
        <v>0</v>
      </c>
      <c r="I2675" s="83">
        <f ca="1">IFERROR(__xludf.DUMMYFUNCTION("""COMPUTED_VALUE"""),41)</f>
        <v>41</v>
      </c>
    </row>
    <row r="2676" spans="1:9">
      <c r="A2676" s="79">
        <v>648</v>
      </c>
      <c r="B2676" s="79">
        <v>15</v>
      </c>
      <c r="C2676" s="79">
        <v>663</v>
      </c>
      <c r="D2676" s="80">
        <v>43342.427569444444</v>
      </c>
      <c r="E2676" s="81">
        <f t="shared" ca="1" si="20"/>
        <v>43313</v>
      </c>
      <c r="F2676" s="82">
        <f ca="1">IFERROR(__xludf.DUMMYFUNCTION("""COMPUTED_VALUE"""),0.427569444444444)</f>
        <v>0.427569444444444</v>
      </c>
      <c r="G2676" s="83">
        <f t="shared" ca="1" si="21"/>
        <v>19</v>
      </c>
      <c r="H2676" s="83">
        <f ca="1">IFERROR(__xludf.DUMMYFUNCTION("""COMPUTED_VALUE"""),15)</f>
        <v>15</v>
      </c>
      <c r="I2676" s="83">
        <f ca="1">IFERROR(__xludf.DUMMYFUNCTION("""COMPUTED_VALUE"""),42)</f>
        <v>42</v>
      </c>
    </row>
    <row r="2677" spans="1:9">
      <c r="A2677" s="79">
        <v>670</v>
      </c>
      <c r="B2677" s="79">
        <v>13</v>
      </c>
      <c r="C2677" s="79">
        <v>683</v>
      </c>
      <c r="D2677" s="80">
        <v>43342.437974537039</v>
      </c>
      <c r="E2677" s="81">
        <f t="shared" ca="1" si="20"/>
        <v>43313</v>
      </c>
      <c r="F2677" s="82">
        <f ca="1">IFERROR(__xludf.DUMMYFUNCTION("""COMPUTED_VALUE"""),0.437974537037037)</f>
        <v>0.43797453703703698</v>
      </c>
      <c r="G2677" s="83">
        <f t="shared" ca="1" si="21"/>
        <v>19</v>
      </c>
      <c r="H2677" s="83">
        <f ca="1">IFERROR(__xludf.DUMMYFUNCTION("""COMPUTED_VALUE"""),30)</f>
        <v>30</v>
      </c>
      <c r="I2677" s="83">
        <f ca="1">IFERROR(__xludf.DUMMYFUNCTION("""COMPUTED_VALUE"""),41)</f>
        <v>41</v>
      </c>
    </row>
    <row r="2678" spans="1:9">
      <c r="A2678" s="79">
        <v>809</v>
      </c>
      <c r="B2678" s="79">
        <v>18</v>
      </c>
      <c r="C2678" s="79">
        <v>820</v>
      </c>
      <c r="D2678" s="80">
        <v>43342.44840277778</v>
      </c>
      <c r="E2678" s="81">
        <f t="shared" ca="1" si="20"/>
        <v>43313</v>
      </c>
      <c r="F2678" s="82">
        <f ca="1">IFERROR(__xludf.DUMMYFUNCTION("""COMPUTED_VALUE"""),0.448402777777777)</f>
        <v>0.44840277777777698</v>
      </c>
      <c r="G2678" s="83">
        <f t="shared" ca="1" si="21"/>
        <v>19</v>
      </c>
      <c r="H2678" s="83">
        <f ca="1">IFERROR(__xludf.DUMMYFUNCTION("""COMPUTED_VALUE"""),45)</f>
        <v>45</v>
      </c>
      <c r="I2678" s="83">
        <f ca="1">IFERROR(__xludf.DUMMYFUNCTION("""COMPUTED_VALUE"""),42)</f>
        <v>42</v>
      </c>
    </row>
    <row r="2679" spans="1:9">
      <c r="A2679" s="79">
        <v>631</v>
      </c>
      <c r="B2679" s="79">
        <v>18</v>
      </c>
      <c r="C2679" s="79">
        <v>644</v>
      </c>
      <c r="D2679" s="80">
        <v>43342.458807870367</v>
      </c>
      <c r="E2679" s="81">
        <f t="shared" ca="1" si="20"/>
        <v>43313</v>
      </c>
      <c r="F2679" s="82">
        <f ca="1">IFERROR(__xludf.DUMMYFUNCTION("""COMPUTED_VALUE"""),0.45880787037037)</f>
        <v>0.45880787037037002</v>
      </c>
      <c r="G2679" s="83">
        <f t="shared" ca="1" si="21"/>
        <v>19</v>
      </c>
      <c r="H2679" s="83">
        <f ca="1">IFERROR(__xludf.DUMMYFUNCTION("""COMPUTED_VALUE"""),0)</f>
        <v>0</v>
      </c>
      <c r="I2679" s="83">
        <f ca="1">IFERROR(__xludf.DUMMYFUNCTION("""COMPUTED_VALUE"""),41)</f>
        <v>41</v>
      </c>
    </row>
    <row r="2680" spans="1:9">
      <c r="A2680" s="79">
        <v>499</v>
      </c>
      <c r="B2680" s="79">
        <v>7</v>
      </c>
      <c r="C2680" s="79">
        <v>502</v>
      </c>
      <c r="D2680" s="80">
        <v>43342.469236111108</v>
      </c>
      <c r="E2680" s="81">
        <f t="shared" ca="1" si="20"/>
        <v>43313</v>
      </c>
      <c r="F2680" s="82">
        <f ca="1">IFERROR(__xludf.DUMMYFUNCTION("""COMPUTED_VALUE"""),0.469236111111111)</f>
        <v>0.46923611111111102</v>
      </c>
      <c r="G2680" s="83">
        <f t="shared" ca="1" si="21"/>
        <v>19</v>
      </c>
      <c r="H2680" s="83">
        <f ca="1">IFERROR(__xludf.DUMMYFUNCTION("""COMPUTED_VALUE"""),15)</f>
        <v>15</v>
      </c>
      <c r="I2680" s="83">
        <f ca="1">IFERROR(__xludf.DUMMYFUNCTION("""COMPUTED_VALUE"""),42)</f>
        <v>42</v>
      </c>
    </row>
    <row r="2681" spans="1:9">
      <c r="A2681" s="79">
        <v>470</v>
      </c>
      <c r="B2681" s="79">
        <v>3</v>
      </c>
      <c r="C2681" s="79">
        <v>473</v>
      </c>
      <c r="D2681" s="80">
        <v>43342.479641203703</v>
      </c>
      <c r="E2681" s="81">
        <f t="shared" ca="1" si="20"/>
        <v>43313</v>
      </c>
      <c r="F2681" s="82">
        <f ca="1">IFERROR(__xludf.DUMMYFUNCTION("""COMPUTED_VALUE"""),0.479641203703703)</f>
        <v>0.479641203703703</v>
      </c>
      <c r="G2681" s="83">
        <f t="shared" ca="1" si="21"/>
        <v>19</v>
      </c>
      <c r="H2681" s="83">
        <f ca="1">IFERROR(__xludf.DUMMYFUNCTION("""COMPUTED_VALUE"""),30)</f>
        <v>30</v>
      </c>
      <c r="I2681" s="83">
        <f ca="1">IFERROR(__xludf.DUMMYFUNCTION("""COMPUTED_VALUE"""),41)</f>
        <v>41</v>
      </c>
    </row>
    <row r="2682" spans="1:9">
      <c r="A2682" s="79">
        <v>426</v>
      </c>
      <c r="B2682" s="79">
        <v>8</v>
      </c>
      <c r="C2682" s="79">
        <v>434</v>
      </c>
      <c r="D2682" s="80">
        <v>43342.490069444444</v>
      </c>
      <c r="E2682" s="81">
        <f t="shared" ca="1" si="20"/>
        <v>43313</v>
      </c>
      <c r="F2682" s="82">
        <f ca="1">IFERROR(__xludf.DUMMYFUNCTION("""COMPUTED_VALUE"""),0.490069444444444)</f>
        <v>0.490069444444444</v>
      </c>
      <c r="G2682" s="83">
        <f t="shared" ca="1" si="21"/>
        <v>19</v>
      </c>
      <c r="H2682" s="83">
        <f ca="1">IFERROR(__xludf.DUMMYFUNCTION("""COMPUTED_VALUE"""),45)</f>
        <v>45</v>
      </c>
      <c r="I2682" s="83">
        <f ca="1">IFERROR(__xludf.DUMMYFUNCTION("""COMPUTED_VALUE"""),42)</f>
        <v>42</v>
      </c>
    </row>
    <row r="2683" spans="1:9">
      <c r="A2683" s="79">
        <v>344</v>
      </c>
      <c r="B2683" s="79">
        <v>4</v>
      </c>
      <c r="C2683" s="79">
        <v>348</v>
      </c>
      <c r="D2683" s="80">
        <v>43342.500474537039</v>
      </c>
      <c r="E2683" s="81">
        <f t="shared" ca="1" si="20"/>
        <v>43313</v>
      </c>
      <c r="F2683" s="82">
        <f ca="1">IFERROR(__xludf.DUMMYFUNCTION("""COMPUTED_VALUE"""),0.500474537037037)</f>
        <v>0.50047453703703704</v>
      </c>
      <c r="G2683" s="83">
        <f t="shared" ca="1" si="21"/>
        <v>19</v>
      </c>
      <c r="H2683" s="83">
        <f ca="1">IFERROR(__xludf.DUMMYFUNCTION("""COMPUTED_VALUE"""),0)</f>
        <v>0</v>
      </c>
      <c r="I2683" s="83">
        <f ca="1">IFERROR(__xludf.DUMMYFUNCTION("""COMPUTED_VALUE"""),41)</f>
        <v>41</v>
      </c>
    </row>
    <row r="2684" spans="1:9">
      <c r="A2684" s="79">
        <v>341</v>
      </c>
      <c r="B2684" s="79">
        <v>2</v>
      </c>
      <c r="C2684" s="79">
        <v>337</v>
      </c>
      <c r="D2684" s="80">
        <v>43342.510891203703</v>
      </c>
      <c r="E2684" s="81">
        <f t="shared" ca="1" si="20"/>
        <v>43313</v>
      </c>
      <c r="F2684" s="82">
        <f ca="1">IFERROR(__xludf.DUMMYFUNCTION("""COMPUTED_VALUE"""),0.510891203703703)</f>
        <v>0.510891203703703</v>
      </c>
      <c r="G2684" s="83">
        <f t="shared" ca="1" si="21"/>
        <v>19</v>
      </c>
      <c r="H2684" s="83">
        <f ca="1">IFERROR(__xludf.DUMMYFUNCTION("""COMPUTED_VALUE"""),15)</f>
        <v>15</v>
      </c>
      <c r="I2684" s="83">
        <f ca="1">IFERROR(__xludf.DUMMYFUNCTION("""COMPUTED_VALUE"""),41)</f>
        <v>41</v>
      </c>
    </row>
    <row r="2685" spans="1:9">
      <c r="A2685" s="79">
        <v>300</v>
      </c>
      <c r="B2685" s="79">
        <v>4</v>
      </c>
      <c r="C2685" s="79">
        <v>304</v>
      </c>
      <c r="D2685" s="80">
        <v>43342.521319444444</v>
      </c>
      <c r="E2685" s="81">
        <f t="shared" ca="1" si="20"/>
        <v>43313</v>
      </c>
      <c r="F2685" s="82">
        <f ca="1">IFERROR(__xludf.DUMMYFUNCTION("""COMPUTED_VALUE"""),0.521319444444444)</f>
        <v>0.521319444444444</v>
      </c>
      <c r="G2685" s="83">
        <f t="shared" ca="1" si="21"/>
        <v>19</v>
      </c>
      <c r="H2685" s="83">
        <f ca="1">IFERROR(__xludf.DUMMYFUNCTION("""COMPUTED_VALUE"""),30)</f>
        <v>30</v>
      </c>
      <c r="I2685" s="83">
        <f ca="1">IFERROR(__xludf.DUMMYFUNCTION("""COMPUTED_VALUE"""),42)</f>
        <v>42</v>
      </c>
    </row>
    <row r="2686" spans="1:9">
      <c r="A2686" s="79">
        <v>310</v>
      </c>
      <c r="B2686" s="79">
        <v>7</v>
      </c>
      <c r="C2686" s="79">
        <v>317</v>
      </c>
      <c r="D2686" s="80">
        <v>43342.531724537039</v>
      </c>
      <c r="E2686" s="81">
        <f t="shared" ca="1" si="20"/>
        <v>43313</v>
      </c>
      <c r="F2686" s="82">
        <f ca="1">IFERROR(__xludf.DUMMYFUNCTION("""COMPUTED_VALUE"""),0.531724537037037)</f>
        <v>0.53172453703703704</v>
      </c>
      <c r="G2686" s="83">
        <f t="shared" ca="1" si="21"/>
        <v>19</v>
      </c>
      <c r="H2686" s="83">
        <f ca="1">IFERROR(__xludf.DUMMYFUNCTION("""COMPUTED_VALUE"""),45)</f>
        <v>45</v>
      </c>
      <c r="I2686" s="83">
        <f ca="1">IFERROR(__xludf.DUMMYFUNCTION("""COMPUTED_VALUE"""),41)</f>
        <v>41</v>
      </c>
    </row>
    <row r="2687" spans="1:9">
      <c r="A2687" s="79">
        <v>268</v>
      </c>
      <c r="B2687" s="79">
        <v>7</v>
      </c>
      <c r="C2687" s="79">
        <v>275</v>
      </c>
      <c r="D2687" s="80">
        <v>43342.542141203703</v>
      </c>
      <c r="E2687" s="81">
        <f t="shared" ca="1" si="20"/>
        <v>43313</v>
      </c>
      <c r="F2687" s="82">
        <f ca="1">IFERROR(__xludf.DUMMYFUNCTION("""COMPUTED_VALUE"""),0.542141203703703)</f>
        <v>0.542141203703703</v>
      </c>
      <c r="G2687" s="83">
        <f t="shared" ca="1" si="21"/>
        <v>19</v>
      </c>
      <c r="H2687" s="83">
        <f ca="1">IFERROR(__xludf.DUMMYFUNCTION("""COMPUTED_VALUE"""),0)</f>
        <v>0</v>
      </c>
      <c r="I2687" s="83">
        <f ca="1">IFERROR(__xludf.DUMMYFUNCTION("""COMPUTED_VALUE"""),41)</f>
        <v>41</v>
      </c>
    </row>
    <row r="2688" spans="1:9">
      <c r="A2688" s="79">
        <v>293</v>
      </c>
      <c r="B2688" s="79">
        <v>4</v>
      </c>
      <c r="C2688" s="79">
        <v>297</v>
      </c>
      <c r="D2688" s="80">
        <v>43342.552557870367</v>
      </c>
      <c r="E2688" s="81">
        <f t="shared" ca="1" si="20"/>
        <v>43313</v>
      </c>
      <c r="F2688" s="82">
        <f ca="1">IFERROR(__xludf.DUMMYFUNCTION("""COMPUTED_VALUE"""),0.55255787037037)</f>
        <v>0.55255787037036996</v>
      </c>
      <c r="G2688" s="83">
        <f t="shared" ca="1" si="21"/>
        <v>19</v>
      </c>
      <c r="H2688" s="83">
        <f ca="1">IFERROR(__xludf.DUMMYFUNCTION("""COMPUTED_VALUE"""),15)</f>
        <v>15</v>
      </c>
      <c r="I2688" s="83">
        <f ca="1">IFERROR(__xludf.DUMMYFUNCTION("""COMPUTED_VALUE"""),41)</f>
        <v>41</v>
      </c>
    </row>
    <row r="2689" spans="1:9">
      <c r="A2689" s="79">
        <v>318</v>
      </c>
      <c r="B2689" s="79">
        <v>2</v>
      </c>
      <c r="C2689" s="79">
        <v>320</v>
      </c>
      <c r="D2689" s="80">
        <v>43342.562974537039</v>
      </c>
      <c r="E2689" s="81">
        <f t="shared" ca="1" si="20"/>
        <v>43313</v>
      </c>
      <c r="F2689" s="82">
        <f ca="1">IFERROR(__xludf.DUMMYFUNCTION("""COMPUTED_VALUE"""),0.562974537037037)</f>
        <v>0.56297453703703704</v>
      </c>
      <c r="G2689" s="83">
        <f t="shared" ca="1" si="21"/>
        <v>19</v>
      </c>
      <c r="H2689" s="83">
        <f ca="1">IFERROR(__xludf.DUMMYFUNCTION("""COMPUTED_VALUE"""),30)</f>
        <v>30</v>
      </c>
      <c r="I2689" s="83">
        <f ca="1">IFERROR(__xludf.DUMMYFUNCTION("""COMPUTED_VALUE"""),41)</f>
        <v>41</v>
      </c>
    </row>
    <row r="2690" spans="1:9">
      <c r="A2690" s="79">
        <v>364</v>
      </c>
      <c r="B2690" s="79">
        <v>3</v>
      </c>
      <c r="C2690" s="79">
        <v>367</v>
      </c>
      <c r="D2690" s="80">
        <v>43342.573391203703</v>
      </c>
      <c r="E2690" s="81">
        <f t="shared" ca="1" si="20"/>
        <v>43313</v>
      </c>
      <c r="F2690" s="82">
        <f ca="1">IFERROR(__xludf.DUMMYFUNCTION("""COMPUTED_VALUE"""),0.573391203703703)</f>
        <v>0.573391203703703</v>
      </c>
      <c r="G2690" s="83">
        <f t="shared" ca="1" si="21"/>
        <v>19</v>
      </c>
      <c r="H2690" s="83">
        <f ca="1">IFERROR(__xludf.DUMMYFUNCTION("""COMPUTED_VALUE"""),45)</f>
        <v>45</v>
      </c>
      <c r="I2690" s="83">
        <f ca="1">IFERROR(__xludf.DUMMYFUNCTION("""COMPUTED_VALUE"""),41)</f>
        <v>41</v>
      </c>
    </row>
    <row r="2691" spans="1:9">
      <c r="A2691" s="79">
        <v>308</v>
      </c>
      <c r="B2691" s="79">
        <v>1</v>
      </c>
      <c r="C2691" s="79">
        <v>309</v>
      </c>
      <c r="D2691" s="80">
        <v>43342.583807870367</v>
      </c>
      <c r="E2691" s="81">
        <f t="shared" ca="1" si="20"/>
        <v>43313</v>
      </c>
      <c r="F2691" s="82">
        <f ca="1">IFERROR(__xludf.DUMMYFUNCTION("""COMPUTED_VALUE"""),0.58380787037037)</f>
        <v>0.58380787037036996</v>
      </c>
      <c r="G2691" s="83">
        <f t="shared" ca="1" si="21"/>
        <v>19</v>
      </c>
      <c r="H2691" s="83">
        <f ca="1">IFERROR(__xludf.DUMMYFUNCTION("""COMPUTED_VALUE"""),0)</f>
        <v>0</v>
      </c>
      <c r="I2691" s="83">
        <f ca="1">IFERROR(__xludf.DUMMYFUNCTION("""COMPUTED_VALUE"""),41)</f>
        <v>41</v>
      </c>
    </row>
    <row r="2692" spans="1:9">
      <c r="A2692" s="79">
        <v>315</v>
      </c>
      <c r="B2692" s="79">
        <v>1</v>
      </c>
      <c r="C2692" s="79">
        <v>316</v>
      </c>
      <c r="D2692" s="80">
        <v>43342.594224537039</v>
      </c>
      <c r="E2692" s="81">
        <f t="shared" ca="1" si="20"/>
        <v>43313</v>
      </c>
      <c r="F2692" s="82">
        <f ca="1">IFERROR(__xludf.DUMMYFUNCTION("""COMPUTED_VALUE"""),0.594224537037037)</f>
        <v>0.59422453703703704</v>
      </c>
      <c r="G2692" s="83">
        <f t="shared" ca="1" si="21"/>
        <v>19</v>
      </c>
      <c r="H2692" s="83">
        <f ca="1">IFERROR(__xludf.DUMMYFUNCTION("""COMPUTED_VALUE"""),15)</f>
        <v>15</v>
      </c>
      <c r="I2692" s="83">
        <f ca="1">IFERROR(__xludf.DUMMYFUNCTION("""COMPUTED_VALUE"""),41)</f>
        <v>41</v>
      </c>
    </row>
    <row r="2693" spans="1:9">
      <c r="A2693" s="79">
        <v>326</v>
      </c>
      <c r="B2693" s="79">
        <v>4</v>
      </c>
      <c r="C2693" s="79">
        <v>330</v>
      </c>
      <c r="D2693" s="80">
        <v>43342.60465277778</v>
      </c>
      <c r="E2693" s="81">
        <f t="shared" ca="1" si="20"/>
        <v>43313</v>
      </c>
      <c r="F2693" s="82">
        <f ca="1">IFERROR(__xludf.DUMMYFUNCTION("""COMPUTED_VALUE"""),0.604652777777777)</f>
        <v>0.60465277777777704</v>
      </c>
      <c r="G2693" s="83">
        <f t="shared" ca="1" si="21"/>
        <v>19</v>
      </c>
      <c r="H2693" s="83">
        <f ca="1">IFERROR(__xludf.DUMMYFUNCTION("""COMPUTED_VALUE"""),30)</f>
        <v>30</v>
      </c>
      <c r="I2693" s="83">
        <f ca="1">IFERROR(__xludf.DUMMYFUNCTION("""COMPUTED_VALUE"""),42)</f>
        <v>42</v>
      </c>
    </row>
    <row r="2694" spans="1:9">
      <c r="A2694" s="79">
        <v>320</v>
      </c>
      <c r="B2694" s="79">
        <v>4</v>
      </c>
      <c r="C2694" s="79">
        <v>323</v>
      </c>
      <c r="D2694" s="80">
        <v>43342.615057870367</v>
      </c>
      <c r="E2694" s="81">
        <f t="shared" ca="1" si="20"/>
        <v>43313</v>
      </c>
      <c r="F2694" s="82">
        <f ca="1">IFERROR(__xludf.DUMMYFUNCTION("""COMPUTED_VALUE"""),0.61505787037037)</f>
        <v>0.61505787037036996</v>
      </c>
      <c r="G2694" s="83">
        <f t="shared" ca="1" si="21"/>
        <v>19</v>
      </c>
      <c r="H2694" s="83">
        <f ca="1">IFERROR(__xludf.DUMMYFUNCTION("""COMPUTED_VALUE"""),45)</f>
        <v>45</v>
      </c>
      <c r="I2694" s="83">
        <f ca="1">IFERROR(__xludf.DUMMYFUNCTION("""COMPUTED_VALUE"""),41)</f>
        <v>41</v>
      </c>
    </row>
    <row r="2695" spans="1:9">
      <c r="A2695" s="79">
        <v>334</v>
      </c>
      <c r="B2695" s="79">
        <v>1</v>
      </c>
      <c r="C2695" s="79">
        <v>335</v>
      </c>
      <c r="D2695" s="80">
        <v>43342.625474537039</v>
      </c>
      <c r="E2695" s="81">
        <f t="shared" ca="1" si="20"/>
        <v>43313</v>
      </c>
      <c r="F2695" s="82">
        <f ca="1">IFERROR(__xludf.DUMMYFUNCTION("""COMPUTED_VALUE"""),0.625474537037037)</f>
        <v>0.62547453703703704</v>
      </c>
      <c r="G2695" s="83">
        <f t="shared" ca="1" si="21"/>
        <v>19</v>
      </c>
      <c r="H2695" s="83">
        <f ca="1">IFERROR(__xludf.DUMMYFUNCTION("""COMPUTED_VALUE"""),0)</f>
        <v>0</v>
      </c>
      <c r="I2695" s="83">
        <f ca="1">IFERROR(__xludf.DUMMYFUNCTION("""COMPUTED_VALUE"""),41)</f>
        <v>41</v>
      </c>
    </row>
    <row r="2696" spans="1:9">
      <c r="A2696" s="79">
        <v>379</v>
      </c>
      <c r="B2696" s="79">
        <v>6</v>
      </c>
      <c r="C2696" s="79">
        <v>385</v>
      </c>
      <c r="D2696" s="80">
        <v>43342.635891203703</v>
      </c>
      <c r="E2696" s="81">
        <f t="shared" ca="1" si="20"/>
        <v>43313</v>
      </c>
      <c r="F2696" s="82">
        <f ca="1">IFERROR(__xludf.DUMMYFUNCTION("""COMPUTED_VALUE"""),0.635891203703703)</f>
        <v>0.635891203703703</v>
      </c>
      <c r="G2696" s="83">
        <f t="shared" ca="1" si="21"/>
        <v>19</v>
      </c>
      <c r="H2696" s="83">
        <f ca="1">IFERROR(__xludf.DUMMYFUNCTION("""COMPUTED_VALUE"""),15)</f>
        <v>15</v>
      </c>
      <c r="I2696" s="83">
        <f ca="1">IFERROR(__xludf.DUMMYFUNCTION("""COMPUTED_VALUE"""),41)</f>
        <v>41</v>
      </c>
    </row>
    <row r="2697" spans="1:9">
      <c r="A2697" s="79">
        <v>374</v>
      </c>
      <c r="B2697" s="79">
        <v>2</v>
      </c>
      <c r="C2697" s="79">
        <v>376</v>
      </c>
      <c r="D2697" s="80">
        <v>43342.646307870367</v>
      </c>
      <c r="E2697" s="81">
        <f t="shared" ca="1" si="20"/>
        <v>43313</v>
      </c>
      <c r="F2697" s="82">
        <f ca="1">IFERROR(__xludf.DUMMYFUNCTION("""COMPUTED_VALUE"""),0.64630787037037)</f>
        <v>0.64630787037036996</v>
      </c>
      <c r="G2697" s="83">
        <f t="shared" ca="1" si="21"/>
        <v>19</v>
      </c>
      <c r="H2697" s="83">
        <f ca="1">IFERROR(__xludf.DUMMYFUNCTION("""COMPUTED_VALUE"""),30)</f>
        <v>30</v>
      </c>
      <c r="I2697" s="83">
        <f ca="1">IFERROR(__xludf.DUMMYFUNCTION("""COMPUTED_VALUE"""),41)</f>
        <v>41</v>
      </c>
    </row>
    <row r="2698" spans="1:9">
      <c r="A2698" s="79">
        <v>411</v>
      </c>
      <c r="B2698" s="79">
        <v>3</v>
      </c>
      <c r="C2698" s="79">
        <v>414</v>
      </c>
      <c r="D2698" s="80">
        <v>43342.656712962962</v>
      </c>
      <c r="E2698" s="81">
        <f t="shared" ca="1" si="20"/>
        <v>43313</v>
      </c>
      <c r="F2698" s="82">
        <f ca="1">IFERROR(__xludf.DUMMYFUNCTION("""COMPUTED_VALUE"""),0.656712962962963)</f>
        <v>0.656712962962963</v>
      </c>
      <c r="G2698" s="83">
        <f t="shared" ca="1" si="21"/>
        <v>19</v>
      </c>
      <c r="H2698" s="83">
        <f ca="1">IFERROR(__xludf.DUMMYFUNCTION("""COMPUTED_VALUE"""),45)</f>
        <v>45</v>
      </c>
      <c r="I2698" s="83">
        <f ca="1">IFERROR(__xludf.DUMMYFUNCTION("""COMPUTED_VALUE"""),40)</f>
        <v>40</v>
      </c>
    </row>
    <row r="2699" spans="1:9">
      <c r="A2699" s="79">
        <v>372</v>
      </c>
      <c r="B2699" s="79">
        <v>3</v>
      </c>
      <c r="C2699" s="79">
        <v>375</v>
      </c>
      <c r="D2699" s="80">
        <v>43342.667141203703</v>
      </c>
      <c r="E2699" s="81">
        <f t="shared" ca="1" si="20"/>
        <v>43313</v>
      </c>
      <c r="F2699" s="82">
        <f ca="1">IFERROR(__xludf.DUMMYFUNCTION("""COMPUTED_VALUE"""),0.667141203703703)</f>
        <v>0.667141203703703</v>
      </c>
      <c r="G2699" s="83">
        <f t="shared" ca="1" si="21"/>
        <v>19</v>
      </c>
      <c r="H2699" s="83">
        <f ca="1">IFERROR(__xludf.DUMMYFUNCTION("""COMPUTED_VALUE"""),0)</f>
        <v>0</v>
      </c>
      <c r="I2699" s="83">
        <f ca="1">IFERROR(__xludf.DUMMYFUNCTION("""COMPUTED_VALUE"""),41)</f>
        <v>41</v>
      </c>
    </row>
    <row r="2700" spans="1:9">
      <c r="A2700" s="79">
        <v>506</v>
      </c>
      <c r="B2700" s="79">
        <v>6</v>
      </c>
      <c r="C2700" s="79">
        <v>512</v>
      </c>
      <c r="D2700" s="80">
        <v>43342.677546296298</v>
      </c>
      <c r="E2700" s="81">
        <f t="shared" ca="1" si="20"/>
        <v>43313</v>
      </c>
      <c r="F2700" s="82">
        <f ca="1">IFERROR(__xludf.DUMMYFUNCTION("""COMPUTED_VALUE"""),0.677546296296296)</f>
        <v>0.67754629629629604</v>
      </c>
      <c r="G2700" s="83">
        <f t="shared" ca="1" si="21"/>
        <v>19</v>
      </c>
      <c r="H2700" s="83">
        <f ca="1">IFERROR(__xludf.DUMMYFUNCTION("""COMPUTED_VALUE"""),15)</f>
        <v>15</v>
      </c>
      <c r="I2700" s="83">
        <f ca="1">IFERROR(__xludf.DUMMYFUNCTION("""COMPUTED_VALUE"""),40)</f>
        <v>40</v>
      </c>
    </row>
    <row r="2701" spans="1:9">
      <c r="A2701" s="79">
        <v>406</v>
      </c>
      <c r="B2701" s="79">
        <v>8</v>
      </c>
      <c r="C2701" s="79">
        <v>414</v>
      </c>
      <c r="D2701" s="80">
        <v>43342.687974537039</v>
      </c>
      <c r="E2701" s="81">
        <f t="shared" ca="1" si="20"/>
        <v>43313</v>
      </c>
      <c r="F2701" s="82">
        <f ca="1">IFERROR(__xludf.DUMMYFUNCTION("""COMPUTED_VALUE"""),0.687974537037037)</f>
        <v>0.68797453703703704</v>
      </c>
      <c r="G2701" s="83">
        <f t="shared" ca="1" si="21"/>
        <v>19</v>
      </c>
      <c r="H2701" s="83">
        <f ca="1">IFERROR(__xludf.DUMMYFUNCTION("""COMPUTED_VALUE"""),30)</f>
        <v>30</v>
      </c>
      <c r="I2701" s="83">
        <f ca="1">IFERROR(__xludf.DUMMYFUNCTION("""COMPUTED_VALUE"""),41)</f>
        <v>41</v>
      </c>
    </row>
    <row r="2702" spans="1:9">
      <c r="A2702" s="79">
        <v>462</v>
      </c>
      <c r="B2702" s="79">
        <v>8</v>
      </c>
      <c r="C2702" s="79">
        <v>470</v>
      </c>
      <c r="D2702" s="80">
        <v>43342.698379629626</v>
      </c>
      <c r="E2702" s="81">
        <f t="shared" ca="1" si="20"/>
        <v>43313</v>
      </c>
      <c r="F2702" s="82">
        <f ca="1">IFERROR(__xludf.DUMMYFUNCTION("""COMPUTED_VALUE"""),0.698379629629629)</f>
        <v>0.69837962962962896</v>
      </c>
      <c r="G2702" s="83">
        <f t="shared" ca="1" si="21"/>
        <v>19</v>
      </c>
      <c r="H2702" s="83">
        <f ca="1">IFERROR(__xludf.DUMMYFUNCTION("""COMPUTED_VALUE"""),45)</f>
        <v>45</v>
      </c>
      <c r="I2702" s="83">
        <f ca="1">IFERROR(__xludf.DUMMYFUNCTION("""COMPUTED_VALUE"""),40)</f>
        <v>40</v>
      </c>
    </row>
    <row r="2703" spans="1:9">
      <c r="A2703" s="79">
        <v>393</v>
      </c>
      <c r="B2703" s="79">
        <v>6</v>
      </c>
      <c r="C2703" s="79">
        <v>399</v>
      </c>
      <c r="D2703" s="80">
        <v>43342.708807870367</v>
      </c>
      <c r="E2703" s="81">
        <f t="shared" ca="1" si="20"/>
        <v>43313</v>
      </c>
      <c r="F2703" s="82">
        <f ca="1">IFERROR(__xludf.DUMMYFUNCTION("""COMPUTED_VALUE"""),0.70880787037037)</f>
        <v>0.70880787037036996</v>
      </c>
      <c r="G2703" s="83">
        <f t="shared" ca="1" si="21"/>
        <v>19</v>
      </c>
      <c r="H2703" s="83">
        <f ca="1">IFERROR(__xludf.DUMMYFUNCTION("""COMPUTED_VALUE"""),0)</f>
        <v>0</v>
      </c>
      <c r="I2703" s="83">
        <f ca="1">IFERROR(__xludf.DUMMYFUNCTION("""COMPUTED_VALUE"""),41)</f>
        <v>41</v>
      </c>
    </row>
    <row r="2704" spans="1:9">
      <c r="A2704" s="79">
        <v>605</v>
      </c>
      <c r="B2704" s="79">
        <v>7</v>
      </c>
      <c r="C2704" s="79">
        <v>612</v>
      </c>
      <c r="D2704" s="80">
        <v>43342.719212962962</v>
      </c>
      <c r="E2704" s="81">
        <f t="shared" ca="1" si="20"/>
        <v>43313</v>
      </c>
      <c r="F2704" s="82">
        <f ca="1">IFERROR(__xludf.DUMMYFUNCTION("""COMPUTED_VALUE"""),0.719212962962963)</f>
        <v>0.719212962962963</v>
      </c>
      <c r="G2704" s="83">
        <f t="shared" ca="1" si="21"/>
        <v>19</v>
      </c>
      <c r="H2704" s="83">
        <f ca="1">IFERROR(__xludf.DUMMYFUNCTION("""COMPUTED_VALUE"""),15)</f>
        <v>15</v>
      </c>
      <c r="I2704" s="83">
        <f ca="1">IFERROR(__xludf.DUMMYFUNCTION("""COMPUTED_VALUE"""),40)</f>
        <v>40</v>
      </c>
    </row>
    <row r="2705" spans="1:9">
      <c r="A2705" s="79">
        <v>533</v>
      </c>
      <c r="B2705" s="79">
        <v>6</v>
      </c>
      <c r="C2705" s="79">
        <v>539</v>
      </c>
      <c r="D2705" s="80">
        <v>43342.729641203703</v>
      </c>
      <c r="E2705" s="81">
        <f t="shared" ca="1" si="20"/>
        <v>43313</v>
      </c>
      <c r="F2705" s="82">
        <f ca="1">IFERROR(__xludf.DUMMYFUNCTION("""COMPUTED_VALUE"""),0.729641203703703)</f>
        <v>0.729641203703703</v>
      </c>
      <c r="G2705" s="83">
        <f t="shared" ca="1" si="21"/>
        <v>19</v>
      </c>
      <c r="H2705" s="83">
        <f ca="1">IFERROR(__xludf.DUMMYFUNCTION("""COMPUTED_VALUE"""),30)</f>
        <v>30</v>
      </c>
      <c r="I2705" s="83">
        <f ca="1">IFERROR(__xludf.DUMMYFUNCTION("""COMPUTED_VALUE"""),41)</f>
        <v>41</v>
      </c>
    </row>
    <row r="2706" spans="1:9">
      <c r="A2706" s="79">
        <v>511</v>
      </c>
      <c r="B2706" s="79">
        <v>3</v>
      </c>
      <c r="C2706" s="79">
        <v>514</v>
      </c>
      <c r="D2706" s="80">
        <v>43342.740046296298</v>
      </c>
      <c r="E2706" s="81">
        <f t="shared" ca="1" si="20"/>
        <v>43313</v>
      </c>
      <c r="F2706" s="82">
        <f ca="1">IFERROR(__xludf.DUMMYFUNCTION("""COMPUTED_VALUE"""),0.740046296296296)</f>
        <v>0.74004629629629604</v>
      </c>
      <c r="G2706" s="83">
        <f t="shared" ca="1" si="21"/>
        <v>19</v>
      </c>
      <c r="H2706" s="83">
        <f ca="1">IFERROR(__xludf.DUMMYFUNCTION("""COMPUTED_VALUE"""),45)</f>
        <v>45</v>
      </c>
      <c r="I2706" s="83">
        <f ca="1">IFERROR(__xludf.DUMMYFUNCTION("""COMPUTED_VALUE"""),40)</f>
        <v>40</v>
      </c>
    </row>
    <row r="2707" spans="1:9">
      <c r="A2707" s="79">
        <v>447</v>
      </c>
      <c r="B2707" s="79">
        <v>8</v>
      </c>
      <c r="C2707" s="79">
        <v>455</v>
      </c>
      <c r="D2707" s="80">
        <v>43342.750474537039</v>
      </c>
      <c r="E2707" s="81">
        <f t="shared" ca="1" si="20"/>
        <v>43313</v>
      </c>
      <c r="F2707" s="82">
        <f ca="1">IFERROR(__xludf.DUMMYFUNCTION("""COMPUTED_VALUE"""),0.750474537037037)</f>
        <v>0.75047453703703704</v>
      </c>
      <c r="G2707" s="83">
        <f t="shared" ca="1" si="21"/>
        <v>19</v>
      </c>
      <c r="H2707" s="83">
        <f ca="1">IFERROR(__xludf.DUMMYFUNCTION("""COMPUTED_VALUE"""),0)</f>
        <v>0</v>
      </c>
      <c r="I2707" s="83">
        <f ca="1">IFERROR(__xludf.DUMMYFUNCTION("""COMPUTED_VALUE"""),41)</f>
        <v>41</v>
      </c>
    </row>
    <row r="2708" spans="1:9">
      <c r="A2708" s="79">
        <v>544</v>
      </c>
      <c r="B2708" s="79">
        <v>2</v>
      </c>
      <c r="C2708" s="79">
        <v>545</v>
      </c>
      <c r="D2708" s="80">
        <v>43342.760879629626</v>
      </c>
      <c r="E2708" s="81">
        <f t="shared" ca="1" si="20"/>
        <v>43313</v>
      </c>
      <c r="F2708" s="82">
        <f ca="1">IFERROR(__xludf.DUMMYFUNCTION("""COMPUTED_VALUE"""),0.760879629629629)</f>
        <v>0.76087962962962896</v>
      </c>
      <c r="G2708" s="83">
        <f t="shared" ca="1" si="21"/>
        <v>19</v>
      </c>
      <c r="H2708" s="83">
        <f ca="1">IFERROR(__xludf.DUMMYFUNCTION("""COMPUTED_VALUE"""),15)</f>
        <v>15</v>
      </c>
      <c r="I2708" s="83">
        <f ca="1">IFERROR(__xludf.DUMMYFUNCTION("""COMPUTED_VALUE"""),40)</f>
        <v>40</v>
      </c>
    </row>
    <row r="2709" spans="1:9">
      <c r="A2709" s="79">
        <v>461</v>
      </c>
      <c r="B2709" s="79">
        <v>6</v>
      </c>
      <c r="C2709" s="79">
        <v>467</v>
      </c>
      <c r="D2709" s="80">
        <v>43342.771319444444</v>
      </c>
      <c r="E2709" s="81">
        <f t="shared" ca="1" si="20"/>
        <v>43313</v>
      </c>
      <c r="F2709" s="82">
        <f ca="1">IFERROR(__xludf.DUMMYFUNCTION("""COMPUTED_VALUE"""),0.771319444444444)</f>
        <v>0.771319444444444</v>
      </c>
      <c r="G2709" s="83">
        <f t="shared" ca="1" si="21"/>
        <v>19</v>
      </c>
      <c r="H2709" s="83">
        <f ca="1">IFERROR(__xludf.DUMMYFUNCTION("""COMPUTED_VALUE"""),30)</f>
        <v>30</v>
      </c>
      <c r="I2709" s="83">
        <f ca="1">IFERROR(__xludf.DUMMYFUNCTION("""COMPUTED_VALUE"""),42)</f>
        <v>42</v>
      </c>
    </row>
    <row r="2710" spans="1:9">
      <c r="A2710" s="79">
        <v>477</v>
      </c>
      <c r="B2710" s="79">
        <v>4</v>
      </c>
      <c r="C2710" s="79">
        <v>481</v>
      </c>
      <c r="D2710" s="80">
        <v>43342.781724537039</v>
      </c>
      <c r="E2710" s="81">
        <f t="shared" ca="1" si="20"/>
        <v>43313</v>
      </c>
      <c r="F2710" s="82">
        <f ca="1">IFERROR(__xludf.DUMMYFUNCTION("""COMPUTED_VALUE"""),0.781724537037037)</f>
        <v>0.78172453703703704</v>
      </c>
      <c r="G2710" s="83">
        <f t="shared" ca="1" si="21"/>
        <v>19</v>
      </c>
      <c r="H2710" s="83">
        <f ca="1">IFERROR(__xludf.DUMMYFUNCTION("""COMPUTED_VALUE"""),45)</f>
        <v>45</v>
      </c>
      <c r="I2710" s="83">
        <f ca="1">IFERROR(__xludf.DUMMYFUNCTION("""COMPUTED_VALUE"""),41)</f>
        <v>41</v>
      </c>
    </row>
    <row r="2711" spans="1:9">
      <c r="A2711" s="79">
        <v>448</v>
      </c>
      <c r="B2711" s="79">
        <v>3</v>
      </c>
      <c r="C2711" s="79">
        <v>451</v>
      </c>
      <c r="D2711" s="80">
        <v>43342.792129629626</v>
      </c>
      <c r="E2711" s="81">
        <f t="shared" ca="1" si="20"/>
        <v>43313</v>
      </c>
      <c r="F2711" s="82">
        <f ca="1">IFERROR(__xludf.DUMMYFUNCTION("""COMPUTED_VALUE"""),0.792129629629629)</f>
        <v>0.79212962962962896</v>
      </c>
      <c r="G2711" s="83">
        <f t="shared" ca="1" si="21"/>
        <v>19</v>
      </c>
      <c r="H2711" s="83">
        <f ca="1">IFERROR(__xludf.DUMMYFUNCTION("""COMPUTED_VALUE"""),0)</f>
        <v>0</v>
      </c>
      <c r="I2711" s="83">
        <f ca="1">IFERROR(__xludf.DUMMYFUNCTION("""COMPUTED_VALUE"""),40)</f>
        <v>40</v>
      </c>
    </row>
    <row r="2712" spans="1:9">
      <c r="A2712" s="79">
        <v>563</v>
      </c>
      <c r="B2712" s="79">
        <v>5</v>
      </c>
      <c r="C2712" s="79">
        <v>568</v>
      </c>
      <c r="D2712" s="80">
        <v>43342.802557870367</v>
      </c>
      <c r="E2712" s="81">
        <f t="shared" ca="1" si="20"/>
        <v>43313</v>
      </c>
      <c r="F2712" s="82">
        <f ca="1">IFERROR(__xludf.DUMMYFUNCTION("""COMPUTED_VALUE"""),0.80255787037037)</f>
        <v>0.80255787037036996</v>
      </c>
      <c r="G2712" s="83">
        <f t="shared" ca="1" si="21"/>
        <v>19</v>
      </c>
      <c r="H2712" s="83">
        <f ca="1">IFERROR(__xludf.DUMMYFUNCTION("""COMPUTED_VALUE"""),15)</f>
        <v>15</v>
      </c>
      <c r="I2712" s="83">
        <f ca="1">IFERROR(__xludf.DUMMYFUNCTION("""COMPUTED_VALUE"""),41)</f>
        <v>41</v>
      </c>
    </row>
    <row r="2713" spans="1:9">
      <c r="A2713" s="79">
        <v>587</v>
      </c>
      <c r="B2713" s="79">
        <v>6</v>
      </c>
      <c r="C2713" s="79">
        <v>593</v>
      </c>
      <c r="D2713" s="80">
        <v>43342.812962962962</v>
      </c>
      <c r="E2713" s="81">
        <f t="shared" ca="1" si="20"/>
        <v>43313</v>
      </c>
      <c r="F2713" s="82">
        <f ca="1">IFERROR(__xludf.DUMMYFUNCTION("""COMPUTED_VALUE"""),0.812962962962963)</f>
        <v>0.812962962962963</v>
      </c>
      <c r="G2713" s="83">
        <f t="shared" ca="1" si="21"/>
        <v>19</v>
      </c>
      <c r="H2713" s="83">
        <f ca="1">IFERROR(__xludf.DUMMYFUNCTION("""COMPUTED_VALUE"""),30)</f>
        <v>30</v>
      </c>
      <c r="I2713" s="83">
        <f ca="1">IFERROR(__xludf.DUMMYFUNCTION("""COMPUTED_VALUE"""),40)</f>
        <v>40</v>
      </c>
    </row>
    <row r="2714" spans="1:9">
      <c r="A2714" s="79">
        <v>656</v>
      </c>
      <c r="B2714" s="79">
        <v>5</v>
      </c>
      <c r="C2714" s="79">
        <v>661</v>
      </c>
      <c r="D2714" s="80">
        <v>43342.823391203703</v>
      </c>
      <c r="E2714" s="81">
        <f t="shared" ca="1" si="20"/>
        <v>43313</v>
      </c>
      <c r="F2714" s="82">
        <f ca="1">IFERROR(__xludf.DUMMYFUNCTION("""COMPUTED_VALUE"""),0.823391203703703)</f>
        <v>0.823391203703703</v>
      </c>
      <c r="G2714" s="83">
        <f t="shared" ca="1" si="21"/>
        <v>19</v>
      </c>
      <c r="H2714" s="83">
        <f ca="1">IFERROR(__xludf.DUMMYFUNCTION("""COMPUTED_VALUE"""),45)</f>
        <v>45</v>
      </c>
      <c r="I2714" s="83">
        <f ca="1">IFERROR(__xludf.DUMMYFUNCTION("""COMPUTED_VALUE"""),41)</f>
        <v>41</v>
      </c>
    </row>
    <row r="2715" spans="1:9">
      <c r="A2715" s="79">
        <v>609</v>
      </c>
      <c r="B2715" s="79">
        <v>10</v>
      </c>
      <c r="C2715" s="79">
        <v>619</v>
      </c>
      <c r="D2715" s="80">
        <v>43342.833796296298</v>
      </c>
      <c r="E2715" s="81">
        <f t="shared" ca="1" si="20"/>
        <v>43313</v>
      </c>
      <c r="F2715" s="82">
        <f ca="1">IFERROR(__xludf.DUMMYFUNCTION("""COMPUTED_VALUE"""),0.833796296296296)</f>
        <v>0.83379629629629604</v>
      </c>
      <c r="G2715" s="83">
        <f t="shared" ca="1" si="21"/>
        <v>19</v>
      </c>
      <c r="H2715" s="83">
        <f ca="1">IFERROR(__xludf.DUMMYFUNCTION("""COMPUTED_VALUE"""),0)</f>
        <v>0</v>
      </c>
      <c r="I2715" s="83">
        <f ca="1">IFERROR(__xludf.DUMMYFUNCTION("""COMPUTED_VALUE"""),40)</f>
        <v>40</v>
      </c>
    </row>
    <row r="2716" spans="1:9">
      <c r="A2716" s="79">
        <v>820</v>
      </c>
      <c r="B2716" s="79">
        <v>10</v>
      </c>
      <c r="C2716" s="79">
        <v>830</v>
      </c>
      <c r="D2716" s="80">
        <v>43342.844224537039</v>
      </c>
      <c r="E2716" s="81">
        <f t="shared" ca="1" si="20"/>
        <v>43313</v>
      </c>
      <c r="F2716" s="82">
        <f ca="1">IFERROR(__xludf.DUMMYFUNCTION("""COMPUTED_VALUE"""),0.844224537037037)</f>
        <v>0.84422453703703704</v>
      </c>
      <c r="G2716" s="83">
        <f t="shared" ca="1" si="21"/>
        <v>19</v>
      </c>
      <c r="H2716" s="83">
        <f ca="1">IFERROR(__xludf.DUMMYFUNCTION("""COMPUTED_VALUE"""),15)</f>
        <v>15</v>
      </c>
      <c r="I2716" s="83">
        <f ca="1">IFERROR(__xludf.DUMMYFUNCTION("""COMPUTED_VALUE"""),41)</f>
        <v>41</v>
      </c>
    </row>
    <row r="2717" spans="1:9">
      <c r="A2717" s="79">
        <v>866</v>
      </c>
      <c r="B2717" s="79">
        <v>7</v>
      </c>
      <c r="C2717" s="79">
        <v>873</v>
      </c>
      <c r="D2717" s="80">
        <v>43342.854629629626</v>
      </c>
      <c r="E2717" s="81">
        <f t="shared" ca="1" si="20"/>
        <v>43313</v>
      </c>
      <c r="F2717" s="82">
        <f ca="1">IFERROR(__xludf.DUMMYFUNCTION("""COMPUTED_VALUE"""),0.854629629629629)</f>
        <v>0.85462962962962896</v>
      </c>
      <c r="G2717" s="83">
        <f t="shared" ca="1" si="21"/>
        <v>19</v>
      </c>
      <c r="H2717" s="83">
        <f ca="1">IFERROR(__xludf.DUMMYFUNCTION("""COMPUTED_VALUE"""),30)</f>
        <v>30</v>
      </c>
      <c r="I2717" s="83">
        <f ca="1">IFERROR(__xludf.DUMMYFUNCTION("""COMPUTED_VALUE"""),40)</f>
        <v>40</v>
      </c>
    </row>
    <row r="2718" spans="1:9">
      <c r="A2718" s="79">
        <v>762</v>
      </c>
      <c r="B2718" s="79">
        <v>7</v>
      </c>
      <c r="C2718" s="79">
        <v>769</v>
      </c>
      <c r="D2718" s="80">
        <v>43342.865046296298</v>
      </c>
      <c r="E2718" s="81">
        <f t="shared" ca="1" si="20"/>
        <v>43313</v>
      </c>
      <c r="F2718" s="82">
        <f ca="1">IFERROR(__xludf.DUMMYFUNCTION("""COMPUTED_VALUE"""),0.865046296296296)</f>
        <v>0.86504629629629604</v>
      </c>
      <c r="G2718" s="83">
        <f t="shared" ca="1" si="21"/>
        <v>19</v>
      </c>
      <c r="H2718" s="83">
        <f ca="1">IFERROR(__xludf.DUMMYFUNCTION("""COMPUTED_VALUE"""),45)</f>
        <v>45</v>
      </c>
      <c r="I2718" s="83">
        <f ca="1">IFERROR(__xludf.DUMMYFUNCTION("""COMPUTED_VALUE"""),40)</f>
        <v>40</v>
      </c>
    </row>
    <row r="2719" spans="1:9">
      <c r="A2719" s="79">
        <v>714</v>
      </c>
      <c r="B2719" s="79">
        <v>5</v>
      </c>
      <c r="C2719" s="79">
        <v>719</v>
      </c>
      <c r="D2719" s="80">
        <v>43342.875462962962</v>
      </c>
      <c r="E2719" s="81">
        <f t="shared" ca="1" si="20"/>
        <v>43313</v>
      </c>
      <c r="F2719" s="82">
        <f ca="1">IFERROR(__xludf.DUMMYFUNCTION("""COMPUTED_VALUE"""),0.875462962962963)</f>
        <v>0.875462962962963</v>
      </c>
      <c r="G2719" s="83">
        <f t="shared" ca="1" si="21"/>
        <v>19</v>
      </c>
      <c r="H2719" s="83">
        <f ca="1">IFERROR(__xludf.DUMMYFUNCTION("""COMPUTED_VALUE"""),0)</f>
        <v>0</v>
      </c>
      <c r="I2719" s="83">
        <f ca="1">IFERROR(__xludf.DUMMYFUNCTION("""COMPUTED_VALUE"""),40)</f>
        <v>40</v>
      </c>
    </row>
    <row r="2720" spans="1:9">
      <c r="A2720" s="79">
        <v>803</v>
      </c>
      <c r="B2720" s="79">
        <v>4</v>
      </c>
      <c r="C2720" s="79">
        <v>807</v>
      </c>
      <c r="D2720" s="80">
        <v>43342.885891203703</v>
      </c>
      <c r="E2720" s="81">
        <f t="shared" ca="1" si="20"/>
        <v>43313</v>
      </c>
      <c r="F2720" s="82">
        <f ca="1">IFERROR(__xludf.DUMMYFUNCTION("""COMPUTED_VALUE"""),0.885891203703703)</f>
        <v>0.885891203703703</v>
      </c>
      <c r="G2720" s="83">
        <f t="shared" ca="1" si="21"/>
        <v>19</v>
      </c>
      <c r="H2720" s="83">
        <f ca="1">IFERROR(__xludf.DUMMYFUNCTION("""COMPUTED_VALUE"""),15)</f>
        <v>15</v>
      </c>
      <c r="I2720" s="83">
        <f ca="1">IFERROR(__xludf.DUMMYFUNCTION("""COMPUTED_VALUE"""),41)</f>
        <v>41</v>
      </c>
    </row>
    <row r="2721" spans="1:9">
      <c r="A2721" s="79">
        <v>718</v>
      </c>
      <c r="B2721" s="79">
        <v>5</v>
      </c>
      <c r="C2721" s="79">
        <v>723</v>
      </c>
      <c r="D2721" s="80">
        <v>43342.896296296298</v>
      </c>
      <c r="E2721" s="81">
        <f t="shared" ca="1" si="20"/>
        <v>43313</v>
      </c>
      <c r="F2721" s="82">
        <f ca="1">IFERROR(__xludf.DUMMYFUNCTION("""COMPUTED_VALUE"""),0.896296296296296)</f>
        <v>0.89629629629629604</v>
      </c>
      <c r="G2721" s="83">
        <f t="shared" ca="1" si="21"/>
        <v>19</v>
      </c>
      <c r="H2721" s="83">
        <f ca="1">IFERROR(__xludf.DUMMYFUNCTION("""COMPUTED_VALUE"""),30)</f>
        <v>30</v>
      </c>
      <c r="I2721" s="83">
        <f ca="1">IFERROR(__xludf.DUMMYFUNCTION("""COMPUTED_VALUE"""),40)</f>
        <v>40</v>
      </c>
    </row>
    <row r="2722" spans="1:9">
      <c r="A2722" s="79">
        <v>746</v>
      </c>
      <c r="B2722" s="79">
        <v>4</v>
      </c>
      <c r="C2722" s="79">
        <v>750</v>
      </c>
      <c r="D2722" s="80">
        <v>43342.906724537039</v>
      </c>
      <c r="E2722" s="81">
        <f t="shared" ca="1" si="20"/>
        <v>43313</v>
      </c>
      <c r="F2722" s="82">
        <f ca="1">IFERROR(__xludf.DUMMYFUNCTION("""COMPUTED_VALUE"""),0.906724537037037)</f>
        <v>0.90672453703703704</v>
      </c>
      <c r="G2722" s="83">
        <f t="shared" ca="1" si="21"/>
        <v>19</v>
      </c>
      <c r="H2722" s="83">
        <f ca="1">IFERROR(__xludf.DUMMYFUNCTION("""COMPUTED_VALUE"""),45)</f>
        <v>45</v>
      </c>
      <c r="I2722" s="83">
        <f ca="1">IFERROR(__xludf.DUMMYFUNCTION("""COMPUTED_VALUE"""),41)</f>
        <v>41</v>
      </c>
    </row>
    <row r="2723" spans="1:9">
      <c r="A2723" s="79">
        <v>639</v>
      </c>
      <c r="B2723" s="79">
        <v>4</v>
      </c>
      <c r="C2723" s="79">
        <v>643</v>
      </c>
      <c r="D2723" s="80">
        <v>43342.917141203703</v>
      </c>
      <c r="E2723" s="81">
        <f t="shared" ca="1" si="20"/>
        <v>43313</v>
      </c>
      <c r="F2723" s="82">
        <f ca="1">IFERROR(__xludf.DUMMYFUNCTION("""COMPUTED_VALUE"""),0.917141203703703)</f>
        <v>0.917141203703703</v>
      </c>
      <c r="G2723" s="83">
        <f t="shared" ca="1" si="21"/>
        <v>19</v>
      </c>
      <c r="H2723" s="83">
        <f ca="1">IFERROR(__xludf.DUMMYFUNCTION("""COMPUTED_VALUE"""),0)</f>
        <v>0</v>
      </c>
      <c r="I2723" s="83">
        <f ca="1">IFERROR(__xludf.DUMMYFUNCTION("""COMPUTED_VALUE"""),41)</f>
        <v>41</v>
      </c>
    </row>
    <row r="2724" spans="1:9">
      <c r="A2724" s="79">
        <v>632</v>
      </c>
      <c r="B2724" s="79">
        <v>5</v>
      </c>
      <c r="C2724" s="79">
        <v>637</v>
      </c>
      <c r="D2724" s="80">
        <v>43342.927546296298</v>
      </c>
      <c r="E2724" s="81">
        <f t="shared" ca="1" si="20"/>
        <v>43313</v>
      </c>
      <c r="F2724" s="82">
        <f ca="1">IFERROR(__xludf.DUMMYFUNCTION("""COMPUTED_VALUE"""),0.927546296296296)</f>
        <v>0.92754629629629604</v>
      </c>
      <c r="G2724" s="83">
        <f t="shared" ca="1" si="21"/>
        <v>19</v>
      </c>
      <c r="H2724" s="83">
        <f ca="1">IFERROR(__xludf.DUMMYFUNCTION("""COMPUTED_VALUE"""),15)</f>
        <v>15</v>
      </c>
      <c r="I2724" s="83">
        <f ca="1">IFERROR(__xludf.DUMMYFUNCTION("""COMPUTED_VALUE"""),40)</f>
        <v>40</v>
      </c>
    </row>
    <row r="2725" spans="1:9">
      <c r="A2725" s="79">
        <v>533</v>
      </c>
      <c r="B2725" s="79">
        <v>3</v>
      </c>
      <c r="C2725" s="79">
        <v>536</v>
      </c>
      <c r="D2725" s="80">
        <v>43342.937974537039</v>
      </c>
      <c r="E2725" s="81">
        <f t="shared" ca="1" si="20"/>
        <v>43313</v>
      </c>
      <c r="F2725" s="82">
        <f ca="1">IFERROR(__xludf.DUMMYFUNCTION("""COMPUTED_VALUE"""),0.937974537037037)</f>
        <v>0.93797453703703704</v>
      </c>
      <c r="G2725" s="83">
        <f t="shared" ca="1" si="21"/>
        <v>19</v>
      </c>
      <c r="H2725" s="83">
        <f ca="1">IFERROR(__xludf.DUMMYFUNCTION("""COMPUTED_VALUE"""),30)</f>
        <v>30</v>
      </c>
      <c r="I2725" s="83">
        <f ca="1">IFERROR(__xludf.DUMMYFUNCTION("""COMPUTED_VALUE"""),41)</f>
        <v>41</v>
      </c>
    </row>
    <row r="2726" spans="1:9">
      <c r="A2726" s="79">
        <v>549</v>
      </c>
      <c r="B2726" s="79">
        <v>1</v>
      </c>
      <c r="C2726" s="79">
        <v>550</v>
      </c>
      <c r="D2726" s="80">
        <v>43342.948379629626</v>
      </c>
      <c r="E2726" s="81">
        <f t="shared" ca="1" si="20"/>
        <v>43313</v>
      </c>
      <c r="F2726" s="82">
        <f ca="1">IFERROR(__xludf.DUMMYFUNCTION("""COMPUTED_VALUE"""),0.948379629629629)</f>
        <v>0.94837962962962896</v>
      </c>
      <c r="G2726" s="83">
        <f t="shared" ca="1" si="21"/>
        <v>19</v>
      </c>
      <c r="H2726" s="83">
        <f ca="1">IFERROR(__xludf.DUMMYFUNCTION("""COMPUTED_VALUE"""),45)</f>
        <v>45</v>
      </c>
      <c r="I2726" s="83">
        <f ca="1">IFERROR(__xludf.DUMMYFUNCTION("""COMPUTED_VALUE"""),40)</f>
        <v>40</v>
      </c>
    </row>
    <row r="2727" spans="1:9">
      <c r="A2727" s="79">
        <v>481</v>
      </c>
      <c r="B2727" s="79">
        <v>1</v>
      </c>
      <c r="C2727" s="79">
        <v>482</v>
      </c>
      <c r="D2727" s="80">
        <v>43342.958807870367</v>
      </c>
      <c r="E2727" s="81">
        <f t="shared" ca="1" si="20"/>
        <v>43313</v>
      </c>
      <c r="F2727" s="82">
        <f ca="1">IFERROR(__xludf.DUMMYFUNCTION("""COMPUTED_VALUE"""),0.95880787037037)</f>
        <v>0.95880787037036996</v>
      </c>
      <c r="G2727" s="83">
        <f t="shared" ca="1" si="21"/>
        <v>19</v>
      </c>
      <c r="H2727" s="83">
        <f ca="1">IFERROR(__xludf.DUMMYFUNCTION("""COMPUTED_VALUE"""),0)</f>
        <v>0</v>
      </c>
      <c r="I2727" s="83">
        <f ca="1">IFERROR(__xludf.DUMMYFUNCTION("""COMPUTED_VALUE"""),41)</f>
        <v>41</v>
      </c>
    </row>
    <row r="2728" spans="1:9">
      <c r="A2728" s="79">
        <v>487</v>
      </c>
      <c r="B2728" s="79">
        <v>6</v>
      </c>
      <c r="C2728" s="79">
        <v>493</v>
      </c>
      <c r="D2728" s="80">
        <v>43342.969212962962</v>
      </c>
      <c r="E2728" s="81">
        <f t="shared" ca="1" si="20"/>
        <v>43313</v>
      </c>
      <c r="F2728" s="82">
        <f ca="1">IFERROR(__xludf.DUMMYFUNCTION("""COMPUTED_VALUE"""),0.969212962962963)</f>
        <v>0.969212962962963</v>
      </c>
      <c r="G2728" s="83">
        <f t="shared" ca="1" si="21"/>
        <v>19</v>
      </c>
      <c r="H2728" s="83">
        <f ca="1">IFERROR(__xludf.DUMMYFUNCTION("""COMPUTED_VALUE"""),15)</f>
        <v>15</v>
      </c>
      <c r="I2728" s="83">
        <f ca="1">IFERROR(__xludf.DUMMYFUNCTION("""COMPUTED_VALUE"""),40)</f>
        <v>40</v>
      </c>
    </row>
    <row r="2729" spans="1:9">
      <c r="A2729" s="79">
        <v>439</v>
      </c>
      <c r="B2729" s="79">
        <v>6</v>
      </c>
      <c r="C2729" s="79">
        <v>445</v>
      </c>
      <c r="D2729" s="80">
        <v>43342.979641203703</v>
      </c>
      <c r="E2729" s="81">
        <f t="shared" ca="1" si="20"/>
        <v>43313</v>
      </c>
      <c r="F2729" s="82">
        <f ca="1">IFERROR(__xludf.DUMMYFUNCTION("""COMPUTED_VALUE"""),0.979641203703703)</f>
        <v>0.979641203703703</v>
      </c>
      <c r="G2729" s="83">
        <f t="shared" ca="1" si="21"/>
        <v>19</v>
      </c>
      <c r="H2729" s="83">
        <f ca="1">IFERROR(__xludf.DUMMYFUNCTION("""COMPUTED_VALUE"""),30)</f>
        <v>30</v>
      </c>
      <c r="I2729" s="83">
        <f ca="1">IFERROR(__xludf.DUMMYFUNCTION("""COMPUTED_VALUE"""),41)</f>
        <v>41</v>
      </c>
    </row>
    <row r="2730" spans="1:9">
      <c r="A2730" s="79">
        <v>376</v>
      </c>
      <c r="B2730" s="79">
        <v>3</v>
      </c>
      <c r="C2730" s="79">
        <v>379</v>
      </c>
      <c r="D2730" s="80">
        <v>43342.990046296298</v>
      </c>
      <c r="E2730" s="81">
        <f t="shared" ca="1" si="20"/>
        <v>43313</v>
      </c>
      <c r="F2730" s="82">
        <f ca="1">IFERROR(__xludf.DUMMYFUNCTION("""COMPUTED_VALUE"""),0.990046296296296)</f>
        <v>0.99004629629629604</v>
      </c>
      <c r="G2730" s="83">
        <f t="shared" ca="1" si="21"/>
        <v>19</v>
      </c>
      <c r="H2730" s="83">
        <f ca="1">IFERROR(__xludf.DUMMYFUNCTION("""COMPUTED_VALUE"""),45)</f>
        <v>45</v>
      </c>
      <c r="I2730" s="83">
        <f ca="1">IFERROR(__xludf.DUMMYFUNCTION("""COMPUTED_VALUE"""),40)</f>
        <v>40</v>
      </c>
    </row>
    <row r="2731" spans="1:9">
      <c r="A2731" s="79">
        <v>300</v>
      </c>
      <c r="B2731" s="79">
        <v>3</v>
      </c>
      <c r="C2731" s="79">
        <v>303</v>
      </c>
      <c r="D2731" s="80">
        <v>43343.000462962962</v>
      </c>
      <c r="E2731" s="81">
        <f t="shared" ca="1" si="20"/>
        <v>43313</v>
      </c>
      <c r="F2731" s="82">
        <f ca="1">IFERROR(__xludf.DUMMYFUNCTION("""COMPUTED_VALUE"""),0.000462962962962963)</f>
        <v>4.6296296296296298E-4</v>
      </c>
      <c r="G2731" s="83">
        <f t="shared" ca="1" si="21"/>
        <v>19</v>
      </c>
      <c r="H2731" s="83">
        <f ca="1">IFERROR(__xludf.DUMMYFUNCTION("""COMPUTED_VALUE"""),0)</f>
        <v>0</v>
      </c>
      <c r="I2731" s="83">
        <f ca="1">IFERROR(__xludf.DUMMYFUNCTION("""COMPUTED_VALUE"""),40)</f>
        <v>40</v>
      </c>
    </row>
    <row r="2732" spans="1:9">
      <c r="A2732" s="79">
        <v>350</v>
      </c>
      <c r="B2732" s="79">
        <v>7</v>
      </c>
      <c r="C2732" s="79">
        <v>357</v>
      </c>
      <c r="D2732" s="80">
        <v>43343.010879629626</v>
      </c>
      <c r="E2732" s="81">
        <f t="shared" ca="1" si="20"/>
        <v>43313</v>
      </c>
      <c r="F2732" s="82">
        <f ca="1">IFERROR(__xludf.DUMMYFUNCTION("""COMPUTED_VALUE"""),0.0108796296296296)</f>
        <v>1.08796296296296E-2</v>
      </c>
      <c r="G2732" s="83">
        <f t="shared" ca="1" si="21"/>
        <v>19</v>
      </c>
      <c r="H2732" s="83">
        <f ca="1">IFERROR(__xludf.DUMMYFUNCTION("""COMPUTED_VALUE"""),15)</f>
        <v>15</v>
      </c>
      <c r="I2732" s="83">
        <f ca="1">IFERROR(__xludf.DUMMYFUNCTION("""COMPUTED_VALUE"""),40)</f>
        <v>40</v>
      </c>
    </row>
    <row r="2733" spans="1:9">
      <c r="A2733" s="79">
        <v>292</v>
      </c>
      <c r="B2733" s="79">
        <v>2</v>
      </c>
      <c r="C2733" s="79">
        <v>294</v>
      </c>
      <c r="D2733" s="80">
        <v>43343.021296296298</v>
      </c>
      <c r="E2733" s="81">
        <f t="shared" ca="1" si="20"/>
        <v>43313</v>
      </c>
      <c r="F2733" s="82">
        <f ca="1">IFERROR(__xludf.DUMMYFUNCTION("""COMPUTED_VALUE"""),0.0212962962962962)</f>
        <v>2.1296296296296199E-2</v>
      </c>
      <c r="G2733" s="83">
        <f t="shared" ca="1" si="21"/>
        <v>19</v>
      </c>
      <c r="H2733" s="83">
        <f ca="1">IFERROR(__xludf.DUMMYFUNCTION("""COMPUTED_VALUE"""),30)</f>
        <v>30</v>
      </c>
      <c r="I2733" s="83">
        <f ca="1">IFERROR(__xludf.DUMMYFUNCTION("""COMPUTED_VALUE"""),40)</f>
        <v>40</v>
      </c>
    </row>
    <row r="2734" spans="1:9">
      <c r="A2734" s="79">
        <v>255</v>
      </c>
      <c r="B2734" s="79">
        <v>2</v>
      </c>
      <c r="C2734" s="79">
        <v>257</v>
      </c>
      <c r="D2734" s="80">
        <v>43343.031712962962</v>
      </c>
      <c r="E2734" s="81">
        <f t="shared" ca="1" si="20"/>
        <v>43313</v>
      </c>
      <c r="F2734" s="82">
        <f ca="1">IFERROR(__xludf.DUMMYFUNCTION("""COMPUTED_VALUE"""),0.0317129629629629)</f>
        <v>3.1712962962962901E-2</v>
      </c>
      <c r="G2734" s="83">
        <f t="shared" ca="1" si="21"/>
        <v>19</v>
      </c>
      <c r="H2734" s="83">
        <f ca="1">IFERROR(__xludf.DUMMYFUNCTION("""COMPUTED_VALUE"""),45)</f>
        <v>45</v>
      </c>
      <c r="I2734" s="83">
        <f ca="1">IFERROR(__xludf.DUMMYFUNCTION("""COMPUTED_VALUE"""),40)</f>
        <v>40</v>
      </c>
    </row>
    <row r="2735" spans="1:9">
      <c r="A2735" s="79">
        <v>225</v>
      </c>
      <c r="B2735" s="79">
        <v>3</v>
      </c>
      <c r="C2735" s="79">
        <v>228</v>
      </c>
      <c r="D2735" s="80">
        <v>43343.042129629626</v>
      </c>
      <c r="E2735" s="81">
        <f t="shared" ca="1" si="20"/>
        <v>43313</v>
      </c>
      <c r="F2735" s="82">
        <f ca="1">IFERROR(__xludf.DUMMYFUNCTION("""COMPUTED_VALUE"""),0.0421296296296296)</f>
        <v>4.21296296296296E-2</v>
      </c>
      <c r="G2735" s="83">
        <f t="shared" ca="1" si="21"/>
        <v>19</v>
      </c>
      <c r="H2735" s="83">
        <f ca="1">IFERROR(__xludf.DUMMYFUNCTION("""COMPUTED_VALUE"""),0)</f>
        <v>0</v>
      </c>
      <c r="I2735" s="83">
        <f ca="1">IFERROR(__xludf.DUMMYFUNCTION("""COMPUTED_VALUE"""),40)</f>
        <v>40</v>
      </c>
    </row>
    <row r="2736" spans="1:9">
      <c r="A2736" s="79">
        <v>213</v>
      </c>
      <c r="B2736" s="79">
        <v>2</v>
      </c>
      <c r="C2736" s="79">
        <v>215</v>
      </c>
      <c r="D2736" s="80">
        <v>43343.052557870367</v>
      </c>
      <c r="E2736" s="81">
        <f t="shared" ca="1" si="20"/>
        <v>43313</v>
      </c>
      <c r="F2736" s="82">
        <f ca="1">IFERROR(__xludf.DUMMYFUNCTION("""COMPUTED_VALUE"""),0.0525578703703703)</f>
        <v>5.2557870370370303E-2</v>
      </c>
      <c r="G2736" s="83">
        <f t="shared" ca="1" si="21"/>
        <v>19</v>
      </c>
      <c r="H2736" s="83">
        <f ca="1">IFERROR(__xludf.DUMMYFUNCTION("""COMPUTED_VALUE"""),15)</f>
        <v>15</v>
      </c>
      <c r="I2736" s="83">
        <f ca="1">IFERROR(__xludf.DUMMYFUNCTION("""COMPUTED_VALUE"""),41)</f>
        <v>41</v>
      </c>
    </row>
    <row r="2737" spans="1:9">
      <c r="A2737" s="79">
        <v>183</v>
      </c>
      <c r="B2737" s="79">
        <v>0</v>
      </c>
      <c r="C2737" s="79">
        <v>180</v>
      </c>
      <c r="D2737" s="80">
        <v>43343.062962962962</v>
      </c>
      <c r="E2737" s="81">
        <f t="shared" ca="1" si="20"/>
        <v>43313</v>
      </c>
      <c r="F2737" s="82">
        <f ca="1">IFERROR(__xludf.DUMMYFUNCTION("""COMPUTED_VALUE"""),0.0629629629629629)</f>
        <v>6.2962962962962901E-2</v>
      </c>
      <c r="G2737" s="83">
        <f t="shared" ca="1" si="21"/>
        <v>19</v>
      </c>
      <c r="H2737" s="83">
        <f ca="1">IFERROR(__xludf.DUMMYFUNCTION("""COMPUTED_VALUE"""),30)</f>
        <v>30</v>
      </c>
      <c r="I2737" s="83">
        <f ca="1">IFERROR(__xludf.DUMMYFUNCTION("""COMPUTED_VALUE"""),40)</f>
        <v>40</v>
      </c>
    </row>
    <row r="2738" spans="1:9">
      <c r="A2738" s="79">
        <v>160</v>
      </c>
      <c r="B2738" s="79">
        <v>1</v>
      </c>
      <c r="C2738" s="79">
        <v>161</v>
      </c>
      <c r="D2738" s="80">
        <v>43343.073368055557</v>
      </c>
      <c r="E2738" s="81">
        <f t="shared" ca="1" si="20"/>
        <v>43313</v>
      </c>
      <c r="F2738" s="82">
        <f ca="1">IFERROR(__xludf.DUMMYFUNCTION("""COMPUTED_VALUE"""),0.0733680555555555)</f>
        <v>7.3368055555555506E-2</v>
      </c>
      <c r="G2738" s="83">
        <f t="shared" ca="1" si="21"/>
        <v>19</v>
      </c>
      <c r="H2738" s="83">
        <f ca="1">IFERROR(__xludf.DUMMYFUNCTION("""COMPUTED_VALUE"""),45)</f>
        <v>45</v>
      </c>
      <c r="I2738" s="83">
        <f ca="1">IFERROR(__xludf.DUMMYFUNCTION("""COMPUTED_VALUE"""),39)</f>
        <v>39</v>
      </c>
    </row>
    <row r="2739" spans="1:9">
      <c r="A2739" s="79">
        <v>134</v>
      </c>
      <c r="B2739" s="79">
        <v>0</v>
      </c>
      <c r="C2739" s="79">
        <v>134</v>
      </c>
      <c r="D2739" s="80">
        <v>43343.083796296298</v>
      </c>
      <c r="E2739" s="81">
        <f t="shared" ca="1" si="20"/>
        <v>43313</v>
      </c>
      <c r="F2739" s="82">
        <f ca="1">IFERROR(__xludf.DUMMYFUNCTION("""COMPUTED_VALUE"""),0.0837962962962963)</f>
        <v>8.3796296296296299E-2</v>
      </c>
      <c r="G2739" s="83">
        <f t="shared" ca="1" si="21"/>
        <v>19</v>
      </c>
      <c r="H2739" s="83">
        <f ca="1">IFERROR(__xludf.DUMMYFUNCTION("""COMPUTED_VALUE"""),0)</f>
        <v>0</v>
      </c>
      <c r="I2739" s="83">
        <f ca="1">IFERROR(__xludf.DUMMYFUNCTION("""COMPUTED_VALUE"""),40)</f>
        <v>40</v>
      </c>
    </row>
    <row r="2740" spans="1:9">
      <c r="A2740" s="79">
        <v>194</v>
      </c>
      <c r="B2740" s="79">
        <v>1</v>
      </c>
      <c r="C2740" s="79">
        <v>195</v>
      </c>
      <c r="D2740" s="80">
        <v>43343.094212962962</v>
      </c>
      <c r="E2740" s="81">
        <f t="shared" ca="1" si="20"/>
        <v>43313</v>
      </c>
      <c r="F2740" s="82">
        <f ca="1">IFERROR(__xludf.DUMMYFUNCTION("""COMPUTED_VALUE"""),0.0942129629629629)</f>
        <v>9.4212962962962901E-2</v>
      </c>
      <c r="G2740" s="83">
        <f t="shared" ca="1" si="21"/>
        <v>19</v>
      </c>
      <c r="H2740" s="83">
        <f ca="1">IFERROR(__xludf.DUMMYFUNCTION("""COMPUTED_VALUE"""),15)</f>
        <v>15</v>
      </c>
      <c r="I2740" s="83">
        <f ca="1">IFERROR(__xludf.DUMMYFUNCTION("""COMPUTED_VALUE"""),40)</f>
        <v>40</v>
      </c>
    </row>
    <row r="2741" spans="1:9">
      <c r="A2741" s="79">
        <v>199</v>
      </c>
      <c r="B2741" s="79">
        <v>4</v>
      </c>
      <c r="C2741" s="79">
        <v>199</v>
      </c>
      <c r="D2741" s="80">
        <v>43343.104629629626</v>
      </c>
      <c r="E2741" s="81">
        <f t="shared" ca="1" si="20"/>
        <v>43313</v>
      </c>
      <c r="F2741" s="82">
        <f ca="1">IFERROR(__xludf.DUMMYFUNCTION("""COMPUTED_VALUE"""),0.104629629629629)</f>
        <v>0.104629629629629</v>
      </c>
      <c r="G2741" s="83">
        <f t="shared" ca="1" si="21"/>
        <v>19</v>
      </c>
      <c r="H2741" s="83">
        <f ca="1">IFERROR(__xludf.DUMMYFUNCTION("""COMPUTED_VALUE"""),30)</f>
        <v>30</v>
      </c>
      <c r="I2741" s="83">
        <f ca="1">IFERROR(__xludf.DUMMYFUNCTION("""COMPUTED_VALUE"""),40)</f>
        <v>40</v>
      </c>
    </row>
    <row r="2742" spans="1:9">
      <c r="A2742" s="79">
        <v>195</v>
      </c>
      <c r="B2742" s="79">
        <v>2</v>
      </c>
      <c r="C2742" s="79">
        <v>197</v>
      </c>
      <c r="D2742" s="80">
        <v>43343.115046296298</v>
      </c>
      <c r="E2742" s="81">
        <f t="shared" ca="1" si="20"/>
        <v>43313</v>
      </c>
      <c r="F2742" s="82">
        <f ca="1">IFERROR(__xludf.DUMMYFUNCTION("""COMPUTED_VALUE"""),0.115046296296296)</f>
        <v>0.11504629629629599</v>
      </c>
      <c r="G2742" s="83">
        <f t="shared" ca="1" si="21"/>
        <v>19</v>
      </c>
      <c r="H2742" s="83">
        <f ca="1">IFERROR(__xludf.DUMMYFUNCTION("""COMPUTED_VALUE"""),45)</f>
        <v>45</v>
      </c>
      <c r="I2742" s="83">
        <f ca="1">IFERROR(__xludf.DUMMYFUNCTION("""COMPUTED_VALUE"""),40)</f>
        <v>40</v>
      </c>
    </row>
    <row r="2743" spans="1:9">
      <c r="A2743" s="79">
        <v>169</v>
      </c>
      <c r="B2743" s="79">
        <v>2</v>
      </c>
      <c r="C2743" s="79">
        <v>166</v>
      </c>
      <c r="D2743" s="80">
        <v>43343.125462962962</v>
      </c>
      <c r="E2743" s="81">
        <f t="shared" ca="1" si="20"/>
        <v>43313</v>
      </c>
      <c r="F2743" s="82">
        <f ca="1">IFERROR(__xludf.DUMMYFUNCTION("""COMPUTED_VALUE"""),0.125462962962962)</f>
        <v>0.125462962962962</v>
      </c>
      <c r="G2743" s="83">
        <f t="shared" ca="1" si="21"/>
        <v>19</v>
      </c>
      <c r="H2743" s="83">
        <f ca="1">IFERROR(__xludf.DUMMYFUNCTION("""COMPUTED_VALUE"""),0)</f>
        <v>0</v>
      </c>
      <c r="I2743" s="83">
        <f ca="1">IFERROR(__xludf.DUMMYFUNCTION("""COMPUTED_VALUE"""),40)</f>
        <v>40</v>
      </c>
    </row>
    <row r="2744" spans="1:9">
      <c r="A2744" s="79">
        <v>151</v>
      </c>
      <c r="B2744" s="79">
        <v>1</v>
      </c>
      <c r="C2744" s="79">
        <v>152</v>
      </c>
      <c r="D2744" s="80">
        <v>43343.135879629626</v>
      </c>
      <c r="E2744" s="81">
        <f t="shared" ca="1" si="20"/>
        <v>43313</v>
      </c>
      <c r="F2744" s="82">
        <f ca="1">IFERROR(__xludf.DUMMYFUNCTION("""COMPUTED_VALUE"""),0.135879629629629)</f>
        <v>0.13587962962962899</v>
      </c>
      <c r="G2744" s="83">
        <f t="shared" ca="1" si="21"/>
        <v>19</v>
      </c>
      <c r="H2744" s="83">
        <f ca="1">IFERROR(__xludf.DUMMYFUNCTION("""COMPUTED_VALUE"""),15)</f>
        <v>15</v>
      </c>
      <c r="I2744" s="83">
        <f ca="1">IFERROR(__xludf.DUMMYFUNCTION("""COMPUTED_VALUE"""),40)</f>
        <v>40</v>
      </c>
    </row>
    <row r="2745" spans="1:9">
      <c r="A2745" s="79">
        <v>144</v>
      </c>
      <c r="B2745" s="79">
        <v>4</v>
      </c>
      <c r="C2745" s="79">
        <v>148</v>
      </c>
      <c r="D2745" s="80">
        <v>43343.146296296298</v>
      </c>
      <c r="E2745" s="81">
        <f t="shared" ca="1" si="20"/>
        <v>43313</v>
      </c>
      <c r="F2745" s="82">
        <f ca="1">IFERROR(__xludf.DUMMYFUNCTION("""COMPUTED_VALUE"""),0.146296296296296)</f>
        <v>0.14629629629629601</v>
      </c>
      <c r="G2745" s="83">
        <f t="shared" ca="1" si="21"/>
        <v>19</v>
      </c>
      <c r="H2745" s="83">
        <f ca="1">IFERROR(__xludf.DUMMYFUNCTION("""COMPUTED_VALUE"""),30)</f>
        <v>30</v>
      </c>
      <c r="I2745" s="83">
        <f ca="1">IFERROR(__xludf.DUMMYFUNCTION("""COMPUTED_VALUE"""),40)</f>
        <v>40</v>
      </c>
    </row>
    <row r="2746" spans="1:9">
      <c r="A2746" s="79">
        <v>128</v>
      </c>
      <c r="B2746" s="79">
        <v>1</v>
      </c>
      <c r="C2746" s="79">
        <v>129</v>
      </c>
      <c r="D2746" s="80">
        <v>43343.156701388885</v>
      </c>
      <c r="E2746" s="81">
        <f t="shared" ca="1" si="20"/>
        <v>43313</v>
      </c>
      <c r="F2746" s="82">
        <f ca="1">IFERROR(__xludf.DUMMYFUNCTION("""COMPUTED_VALUE"""),0.156701388888888)</f>
        <v>0.15670138888888799</v>
      </c>
      <c r="G2746" s="83">
        <f t="shared" ca="1" si="21"/>
        <v>19</v>
      </c>
      <c r="H2746" s="83">
        <f ca="1">IFERROR(__xludf.DUMMYFUNCTION("""COMPUTED_VALUE"""),45)</f>
        <v>45</v>
      </c>
      <c r="I2746" s="83">
        <f ca="1">IFERROR(__xludf.DUMMYFUNCTION("""COMPUTED_VALUE"""),39)</f>
        <v>39</v>
      </c>
    </row>
    <row r="2747" spans="1:9">
      <c r="A2747" s="79">
        <v>131</v>
      </c>
      <c r="B2747" s="79">
        <v>1</v>
      </c>
      <c r="C2747" s="79">
        <v>132</v>
      </c>
      <c r="D2747" s="80">
        <v>43343.167129629626</v>
      </c>
      <c r="E2747" s="81">
        <f t="shared" ca="1" si="20"/>
        <v>43313</v>
      </c>
      <c r="F2747" s="82">
        <f ca="1">IFERROR(__xludf.DUMMYFUNCTION("""COMPUTED_VALUE"""),0.167129629629629)</f>
        <v>0.16712962962962899</v>
      </c>
      <c r="G2747" s="83">
        <f t="shared" ca="1" si="21"/>
        <v>19</v>
      </c>
      <c r="H2747" s="83">
        <f ca="1">IFERROR(__xludf.DUMMYFUNCTION("""COMPUTED_VALUE"""),0)</f>
        <v>0</v>
      </c>
      <c r="I2747" s="83">
        <f ca="1">IFERROR(__xludf.DUMMYFUNCTION("""COMPUTED_VALUE"""),40)</f>
        <v>40</v>
      </c>
    </row>
    <row r="2748" spans="1:9">
      <c r="A2748" s="79">
        <v>89</v>
      </c>
      <c r="B2748" s="79">
        <v>1</v>
      </c>
      <c r="C2748" s="79">
        <v>90</v>
      </c>
      <c r="D2748" s="80">
        <v>43343.177534722221</v>
      </c>
      <c r="E2748" s="81">
        <f t="shared" ca="1" si="20"/>
        <v>43313</v>
      </c>
      <c r="F2748" s="82">
        <f ca="1">IFERROR(__xludf.DUMMYFUNCTION("""COMPUTED_VALUE"""),0.177534722222222)</f>
        <v>0.177534722222222</v>
      </c>
      <c r="G2748" s="83">
        <f t="shared" ca="1" si="21"/>
        <v>19</v>
      </c>
      <c r="H2748" s="83">
        <f ca="1">IFERROR(__xludf.DUMMYFUNCTION("""COMPUTED_VALUE"""),15)</f>
        <v>15</v>
      </c>
      <c r="I2748" s="83">
        <f ca="1">IFERROR(__xludf.DUMMYFUNCTION("""COMPUTED_VALUE"""),39)</f>
        <v>39</v>
      </c>
    </row>
    <row r="2749" spans="1:9">
      <c r="A2749" s="79">
        <v>91</v>
      </c>
      <c r="B2749" s="79">
        <v>1</v>
      </c>
      <c r="C2749" s="79">
        <v>92</v>
      </c>
      <c r="D2749" s="80">
        <v>43343.187962962962</v>
      </c>
      <c r="E2749" s="81">
        <f t="shared" ca="1" si="20"/>
        <v>43313</v>
      </c>
      <c r="F2749" s="82">
        <f ca="1">IFERROR(__xludf.DUMMYFUNCTION("""COMPUTED_VALUE"""),0.187962962962962)</f>
        <v>0.187962962962962</v>
      </c>
      <c r="G2749" s="83">
        <f t="shared" ca="1" si="21"/>
        <v>19</v>
      </c>
      <c r="H2749" s="83">
        <f ca="1">IFERROR(__xludf.DUMMYFUNCTION("""COMPUTED_VALUE"""),30)</f>
        <v>30</v>
      </c>
      <c r="I2749" s="83">
        <f ca="1">IFERROR(__xludf.DUMMYFUNCTION("""COMPUTED_VALUE"""),40)</f>
        <v>40</v>
      </c>
    </row>
    <row r="2750" spans="1:9">
      <c r="A2750" s="79">
        <v>68</v>
      </c>
      <c r="B2750" s="79">
        <v>2</v>
      </c>
      <c r="C2750" s="79">
        <v>70</v>
      </c>
      <c r="D2750" s="80">
        <v>43343.198379629626</v>
      </c>
      <c r="E2750" s="81">
        <f t="shared" ca="1" si="20"/>
        <v>43313</v>
      </c>
      <c r="F2750" s="82">
        <f ca="1">IFERROR(__xludf.DUMMYFUNCTION("""COMPUTED_VALUE"""),0.198379629629629)</f>
        <v>0.19837962962962899</v>
      </c>
      <c r="G2750" s="83">
        <f t="shared" ca="1" si="21"/>
        <v>19</v>
      </c>
      <c r="H2750" s="83">
        <f ca="1">IFERROR(__xludf.DUMMYFUNCTION("""COMPUTED_VALUE"""),45)</f>
        <v>45</v>
      </c>
      <c r="I2750" s="83">
        <f ca="1">IFERROR(__xludf.DUMMYFUNCTION("""COMPUTED_VALUE"""),40)</f>
        <v>40</v>
      </c>
    </row>
    <row r="2751" spans="1:9">
      <c r="A2751" s="79">
        <v>78</v>
      </c>
      <c r="B2751" s="79">
        <v>1</v>
      </c>
      <c r="C2751" s="79">
        <v>79</v>
      </c>
      <c r="D2751" s="80">
        <v>43343.208784722221</v>
      </c>
      <c r="E2751" s="81">
        <f t="shared" ca="1" si="20"/>
        <v>43313</v>
      </c>
      <c r="F2751" s="82">
        <f ca="1">IFERROR(__xludf.DUMMYFUNCTION("""COMPUTED_VALUE"""),0.208784722222222)</f>
        <v>0.208784722222222</v>
      </c>
      <c r="G2751" s="83">
        <f t="shared" ca="1" si="21"/>
        <v>19</v>
      </c>
      <c r="H2751" s="83">
        <f ca="1">IFERROR(__xludf.DUMMYFUNCTION("""COMPUTED_VALUE"""),0)</f>
        <v>0</v>
      </c>
      <c r="I2751" s="83">
        <f ca="1">IFERROR(__xludf.DUMMYFUNCTION("""COMPUTED_VALUE"""),39)</f>
        <v>39</v>
      </c>
    </row>
    <row r="2752" spans="1:9">
      <c r="A2752" s="79">
        <v>48</v>
      </c>
      <c r="B2752" s="79">
        <v>0</v>
      </c>
      <c r="C2752" s="79">
        <v>48</v>
      </c>
      <c r="D2752" s="80">
        <v>43343.219212962962</v>
      </c>
      <c r="E2752" s="81">
        <f t="shared" ca="1" si="20"/>
        <v>43313</v>
      </c>
      <c r="F2752" s="82">
        <f ca="1">IFERROR(__xludf.DUMMYFUNCTION("""COMPUTED_VALUE"""),0.219212962962962)</f>
        <v>0.219212962962962</v>
      </c>
      <c r="G2752" s="83">
        <f t="shared" ca="1" si="21"/>
        <v>19</v>
      </c>
      <c r="H2752" s="83">
        <f ca="1">IFERROR(__xludf.DUMMYFUNCTION("""COMPUTED_VALUE"""),15)</f>
        <v>15</v>
      </c>
      <c r="I2752" s="83">
        <f ca="1">IFERROR(__xludf.DUMMYFUNCTION("""COMPUTED_VALUE"""),40)</f>
        <v>40</v>
      </c>
    </row>
    <row r="2753" spans="1:9">
      <c r="A2753" s="79">
        <v>39</v>
      </c>
      <c r="B2753" s="79">
        <v>0</v>
      </c>
      <c r="C2753" s="79">
        <v>39</v>
      </c>
      <c r="D2753" s="80">
        <v>43343.229618055557</v>
      </c>
      <c r="E2753" s="81">
        <f t="shared" ca="1" si="20"/>
        <v>43313</v>
      </c>
      <c r="F2753" s="82">
        <f ca="1">IFERROR(__xludf.DUMMYFUNCTION("""COMPUTED_VALUE"""),0.229618055555555)</f>
        <v>0.22961805555555501</v>
      </c>
      <c r="G2753" s="83">
        <f t="shared" ca="1" si="21"/>
        <v>19</v>
      </c>
      <c r="H2753" s="83">
        <f ca="1">IFERROR(__xludf.DUMMYFUNCTION("""COMPUTED_VALUE"""),30)</f>
        <v>30</v>
      </c>
      <c r="I2753" s="83">
        <f ca="1">IFERROR(__xludf.DUMMYFUNCTION("""COMPUTED_VALUE"""),39)</f>
        <v>39</v>
      </c>
    </row>
    <row r="2754" spans="1:9">
      <c r="A2754" s="79">
        <v>36</v>
      </c>
      <c r="B2754" s="79">
        <v>0</v>
      </c>
      <c r="C2754" s="79">
        <v>36</v>
      </c>
      <c r="D2754" s="80">
        <v>43343.240046296298</v>
      </c>
      <c r="E2754" s="81">
        <f t="shared" ca="1" si="20"/>
        <v>43313</v>
      </c>
      <c r="F2754" s="82">
        <f ca="1">IFERROR(__xludf.DUMMYFUNCTION("""COMPUTED_VALUE"""),0.240046296296296)</f>
        <v>0.24004629629629601</v>
      </c>
      <c r="G2754" s="83">
        <f t="shared" ca="1" si="21"/>
        <v>19</v>
      </c>
      <c r="H2754" s="83">
        <f ca="1">IFERROR(__xludf.DUMMYFUNCTION("""COMPUTED_VALUE"""),45)</f>
        <v>45</v>
      </c>
      <c r="I2754" s="83">
        <f ca="1">IFERROR(__xludf.DUMMYFUNCTION("""COMPUTED_VALUE"""),40)</f>
        <v>40</v>
      </c>
    </row>
    <row r="2755" spans="1:9">
      <c r="A2755" s="79">
        <v>25</v>
      </c>
      <c r="B2755" s="79">
        <v>0</v>
      </c>
      <c r="C2755" s="79">
        <v>25</v>
      </c>
      <c r="D2755" s="80">
        <v>43343.250451388885</v>
      </c>
      <c r="E2755" s="81">
        <f t="shared" ca="1" si="20"/>
        <v>43313</v>
      </c>
      <c r="F2755" s="82">
        <f ca="1">IFERROR(__xludf.DUMMYFUNCTION("""COMPUTED_VALUE"""),0.250451388888888)</f>
        <v>0.25045138888888802</v>
      </c>
      <c r="G2755" s="83">
        <f t="shared" ca="1" si="21"/>
        <v>19</v>
      </c>
      <c r="H2755" s="83">
        <f ca="1">IFERROR(__xludf.DUMMYFUNCTION("""COMPUTED_VALUE"""),0)</f>
        <v>0</v>
      </c>
      <c r="I2755" s="83">
        <f ca="1">IFERROR(__xludf.DUMMYFUNCTION("""COMPUTED_VALUE"""),39)</f>
        <v>39</v>
      </c>
    </row>
    <row r="2756" spans="1:9">
      <c r="A2756" s="79">
        <v>24</v>
      </c>
      <c r="B2756" s="79">
        <v>0</v>
      </c>
      <c r="C2756" s="79">
        <v>24</v>
      </c>
      <c r="D2756" s="80">
        <v>43343.260879629626</v>
      </c>
      <c r="E2756" s="81">
        <f t="shared" ca="1" si="20"/>
        <v>43313</v>
      </c>
      <c r="F2756" s="82">
        <f ca="1">IFERROR(__xludf.DUMMYFUNCTION("""COMPUTED_VALUE"""),0.260879629629629)</f>
        <v>0.26087962962962902</v>
      </c>
      <c r="G2756" s="83">
        <f t="shared" ca="1" si="21"/>
        <v>19</v>
      </c>
      <c r="H2756" s="83">
        <f ca="1">IFERROR(__xludf.DUMMYFUNCTION("""COMPUTED_VALUE"""),15)</f>
        <v>15</v>
      </c>
      <c r="I2756" s="83">
        <f ca="1">IFERROR(__xludf.DUMMYFUNCTION("""COMPUTED_VALUE"""),40)</f>
        <v>40</v>
      </c>
    </row>
    <row r="2757" spans="1:9">
      <c r="A2757" s="79">
        <v>19</v>
      </c>
      <c r="B2757" s="79">
        <v>0</v>
      </c>
      <c r="C2757" s="79">
        <v>19</v>
      </c>
      <c r="D2757" s="80">
        <v>43343.273900462962</v>
      </c>
      <c r="E2757" s="81">
        <f t="shared" ca="1" si="20"/>
        <v>43313</v>
      </c>
      <c r="F2757" s="82">
        <f ca="1">IFERROR(__xludf.DUMMYFUNCTION("""COMPUTED_VALUE"""),0.273900462962962)</f>
        <v>0.273900462962962</v>
      </c>
      <c r="G2757" s="83">
        <f t="shared" ca="1" si="21"/>
        <v>19</v>
      </c>
      <c r="H2757" s="83">
        <f ca="1">IFERROR(__xludf.DUMMYFUNCTION("""COMPUTED_VALUE"""),34)</f>
        <v>34</v>
      </c>
      <c r="I2757" s="83">
        <f ca="1">IFERROR(__xludf.DUMMYFUNCTION("""COMPUTED_VALUE"""),25)</f>
        <v>25</v>
      </c>
    </row>
    <row r="2758" spans="1:9">
      <c r="A2758" s="79">
        <v>19</v>
      </c>
      <c r="B2758" s="79">
        <v>0</v>
      </c>
      <c r="C2758" s="79">
        <v>19</v>
      </c>
      <c r="D2758" s="80">
        <v>43343.281701388885</v>
      </c>
      <c r="E2758" s="81">
        <f t="shared" ca="1" si="20"/>
        <v>43313</v>
      </c>
      <c r="F2758" s="82">
        <f ca="1">IFERROR(__xludf.DUMMYFUNCTION("""COMPUTED_VALUE"""),0.281701388888888)</f>
        <v>0.28170138888888802</v>
      </c>
      <c r="G2758" s="83">
        <f t="shared" ca="1" si="21"/>
        <v>19</v>
      </c>
      <c r="H2758" s="83">
        <f ca="1">IFERROR(__xludf.DUMMYFUNCTION("""COMPUTED_VALUE"""),45)</f>
        <v>45</v>
      </c>
      <c r="I2758" s="83">
        <f ca="1">IFERROR(__xludf.DUMMYFUNCTION("""COMPUTED_VALUE"""),39)</f>
        <v>39</v>
      </c>
    </row>
    <row r="2759" spans="1:9">
      <c r="A2759" s="79">
        <v>25</v>
      </c>
      <c r="B2759" s="79">
        <v>0</v>
      </c>
      <c r="C2759" s="79">
        <v>21</v>
      </c>
      <c r="D2759" s="80">
        <v>43343.292129629626</v>
      </c>
      <c r="E2759" s="81">
        <f t="shared" ca="1" si="20"/>
        <v>43313</v>
      </c>
      <c r="F2759" s="82">
        <f ca="1">IFERROR(__xludf.DUMMYFUNCTION("""COMPUTED_VALUE"""),0.292129629629629)</f>
        <v>0.29212962962962902</v>
      </c>
      <c r="G2759" s="83">
        <f t="shared" ca="1" si="21"/>
        <v>19</v>
      </c>
      <c r="H2759" s="83">
        <f ca="1">IFERROR(__xludf.DUMMYFUNCTION("""COMPUTED_VALUE"""),0)</f>
        <v>0</v>
      </c>
      <c r="I2759" s="83">
        <f ca="1">IFERROR(__xludf.DUMMYFUNCTION("""COMPUTED_VALUE"""),40)</f>
        <v>40</v>
      </c>
    </row>
    <row r="2760" spans="1:9">
      <c r="A2760" s="79">
        <v>29</v>
      </c>
      <c r="B2760" s="79">
        <v>0</v>
      </c>
      <c r="C2760" s="79">
        <v>29</v>
      </c>
      <c r="D2760" s="80">
        <v>43343.302557870367</v>
      </c>
      <c r="E2760" s="81">
        <f t="shared" ca="1" si="20"/>
        <v>43313</v>
      </c>
      <c r="F2760" s="82">
        <f ca="1">IFERROR(__xludf.DUMMYFUNCTION("""COMPUTED_VALUE"""),0.30255787037037)</f>
        <v>0.30255787037037002</v>
      </c>
      <c r="G2760" s="83">
        <f t="shared" ca="1" si="21"/>
        <v>19</v>
      </c>
      <c r="H2760" s="83">
        <f ca="1">IFERROR(__xludf.DUMMYFUNCTION("""COMPUTED_VALUE"""),15)</f>
        <v>15</v>
      </c>
      <c r="I2760" s="83">
        <f ca="1">IFERROR(__xludf.DUMMYFUNCTION("""COMPUTED_VALUE"""),41)</f>
        <v>41</v>
      </c>
    </row>
    <row r="2761" spans="1:9">
      <c r="A2761" s="79">
        <v>28</v>
      </c>
      <c r="B2761" s="79">
        <v>1</v>
      </c>
      <c r="C2761" s="79">
        <v>29</v>
      </c>
      <c r="D2761" s="80">
        <v>43343.312974537039</v>
      </c>
      <c r="E2761" s="81">
        <f t="shared" ca="1" si="20"/>
        <v>43313</v>
      </c>
      <c r="F2761" s="82">
        <f ca="1">IFERROR(__xludf.DUMMYFUNCTION("""COMPUTED_VALUE"""),0.312974537037037)</f>
        <v>0.31297453703703698</v>
      </c>
      <c r="G2761" s="83">
        <f t="shared" ca="1" si="21"/>
        <v>19</v>
      </c>
      <c r="H2761" s="83">
        <f ca="1">IFERROR(__xludf.DUMMYFUNCTION("""COMPUTED_VALUE"""),30)</f>
        <v>30</v>
      </c>
      <c r="I2761" s="83">
        <f ca="1">IFERROR(__xludf.DUMMYFUNCTION("""COMPUTED_VALUE"""),41)</f>
        <v>41</v>
      </c>
    </row>
    <row r="2762" spans="1:9">
      <c r="A2762" s="79">
        <v>42</v>
      </c>
      <c r="B2762" s="79">
        <v>0</v>
      </c>
      <c r="C2762" s="79">
        <v>42</v>
      </c>
      <c r="D2762" s="80">
        <v>43343.32340277778</v>
      </c>
      <c r="E2762" s="81">
        <f t="shared" ca="1" si="20"/>
        <v>43313</v>
      </c>
      <c r="F2762" s="82">
        <f ca="1">IFERROR(__xludf.DUMMYFUNCTION("""COMPUTED_VALUE"""),0.323402777777777)</f>
        <v>0.32340277777777698</v>
      </c>
      <c r="G2762" s="83">
        <f t="shared" ca="1" si="21"/>
        <v>19</v>
      </c>
      <c r="H2762" s="83">
        <f ca="1">IFERROR(__xludf.DUMMYFUNCTION("""COMPUTED_VALUE"""),45)</f>
        <v>45</v>
      </c>
      <c r="I2762" s="83">
        <f ca="1">IFERROR(__xludf.DUMMYFUNCTION("""COMPUTED_VALUE"""),42)</f>
        <v>42</v>
      </c>
    </row>
    <row r="2763" spans="1:9">
      <c r="A2763" s="79">
        <v>26</v>
      </c>
      <c r="B2763" s="79">
        <v>0</v>
      </c>
      <c r="C2763" s="79">
        <v>26</v>
      </c>
      <c r="D2763" s="80">
        <v>43343.333807870367</v>
      </c>
      <c r="E2763" s="81">
        <f t="shared" ca="1" si="20"/>
        <v>43313</v>
      </c>
      <c r="F2763" s="82">
        <f ca="1">IFERROR(__xludf.DUMMYFUNCTION("""COMPUTED_VALUE"""),0.33380787037037)</f>
        <v>0.33380787037037002</v>
      </c>
      <c r="G2763" s="83">
        <f t="shared" ca="1" si="21"/>
        <v>19</v>
      </c>
      <c r="H2763" s="83">
        <f ca="1">IFERROR(__xludf.DUMMYFUNCTION("""COMPUTED_VALUE"""),0)</f>
        <v>0</v>
      </c>
      <c r="I2763" s="83">
        <f ca="1">IFERROR(__xludf.DUMMYFUNCTION("""COMPUTED_VALUE"""),41)</f>
        <v>41</v>
      </c>
    </row>
    <row r="2764" spans="1:9">
      <c r="A2764" s="79">
        <v>27</v>
      </c>
      <c r="B2764" s="79">
        <v>0</v>
      </c>
      <c r="C2764" s="79">
        <v>27</v>
      </c>
      <c r="D2764" s="80">
        <v>43343.344224537039</v>
      </c>
      <c r="E2764" s="81">
        <f t="shared" ca="1" si="20"/>
        <v>43313</v>
      </c>
      <c r="F2764" s="82">
        <f ca="1">IFERROR(__xludf.DUMMYFUNCTION("""COMPUTED_VALUE"""),0.344224537037037)</f>
        <v>0.34422453703703698</v>
      </c>
      <c r="G2764" s="83">
        <f t="shared" ca="1" si="21"/>
        <v>19</v>
      </c>
      <c r="H2764" s="83">
        <f ca="1">IFERROR(__xludf.DUMMYFUNCTION("""COMPUTED_VALUE"""),15)</f>
        <v>15</v>
      </c>
      <c r="I2764" s="83">
        <f ca="1">IFERROR(__xludf.DUMMYFUNCTION("""COMPUTED_VALUE"""),41)</f>
        <v>41</v>
      </c>
    </row>
    <row r="2765" spans="1:9">
      <c r="A2765" s="79">
        <v>54</v>
      </c>
      <c r="B2765" s="79">
        <v>1</v>
      </c>
      <c r="C2765" s="79">
        <v>55</v>
      </c>
      <c r="D2765" s="80">
        <v>43343.354641203703</v>
      </c>
      <c r="E2765" s="81">
        <f t="shared" ca="1" si="20"/>
        <v>43313</v>
      </c>
      <c r="F2765" s="82">
        <f ca="1">IFERROR(__xludf.DUMMYFUNCTION("""COMPUTED_VALUE"""),0.354641203703703)</f>
        <v>0.354641203703703</v>
      </c>
      <c r="G2765" s="83">
        <f t="shared" ca="1" si="21"/>
        <v>19</v>
      </c>
      <c r="H2765" s="83">
        <f ca="1">IFERROR(__xludf.DUMMYFUNCTION("""COMPUTED_VALUE"""),30)</f>
        <v>30</v>
      </c>
      <c r="I2765" s="83">
        <f ca="1">IFERROR(__xludf.DUMMYFUNCTION("""COMPUTED_VALUE"""),41)</f>
        <v>41</v>
      </c>
    </row>
    <row r="2766" spans="1:9">
      <c r="A2766" s="79">
        <v>84</v>
      </c>
      <c r="B2766" s="79">
        <v>0</v>
      </c>
      <c r="C2766" s="79">
        <v>84</v>
      </c>
      <c r="D2766" s="80">
        <v>43343.365046296298</v>
      </c>
      <c r="E2766" s="81">
        <f t="shared" ca="1" si="20"/>
        <v>43313</v>
      </c>
      <c r="F2766" s="82">
        <f ca="1">IFERROR(__xludf.DUMMYFUNCTION("""COMPUTED_VALUE"""),0.365046296296296)</f>
        <v>0.36504629629629598</v>
      </c>
      <c r="G2766" s="83">
        <f t="shared" ca="1" si="21"/>
        <v>19</v>
      </c>
      <c r="H2766" s="83">
        <f ca="1">IFERROR(__xludf.DUMMYFUNCTION("""COMPUTED_VALUE"""),45)</f>
        <v>45</v>
      </c>
      <c r="I2766" s="83">
        <f ca="1">IFERROR(__xludf.DUMMYFUNCTION("""COMPUTED_VALUE"""),40)</f>
        <v>40</v>
      </c>
    </row>
    <row r="2767" spans="1:9">
      <c r="A2767" s="79">
        <v>82</v>
      </c>
      <c r="B2767" s="79">
        <v>0</v>
      </c>
      <c r="C2767" s="79">
        <v>82</v>
      </c>
      <c r="D2767" s="80">
        <v>43343.375474537039</v>
      </c>
      <c r="E2767" s="81">
        <f t="shared" ca="1" si="20"/>
        <v>43313</v>
      </c>
      <c r="F2767" s="82">
        <f ca="1">IFERROR(__xludf.DUMMYFUNCTION("""COMPUTED_VALUE"""),0.375474537037037)</f>
        <v>0.37547453703703698</v>
      </c>
      <c r="G2767" s="83">
        <f t="shared" ca="1" si="21"/>
        <v>19</v>
      </c>
      <c r="H2767" s="83">
        <f ca="1">IFERROR(__xludf.DUMMYFUNCTION("""COMPUTED_VALUE"""),0)</f>
        <v>0</v>
      </c>
      <c r="I2767" s="83">
        <f ca="1">IFERROR(__xludf.DUMMYFUNCTION("""COMPUTED_VALUE"""),41)</f>
        <v>41</v>
      </c>
    </row>
    <row r="2768" spans="1:9">
      <c r="A2768" s="79">
        <v>141</v>
      </c>
      <c r="B2768" s="79">
        <v>1</v>
      </c>
      <c r="C2768" s="79">
        <v>137</v>
      </c>
      <c r="D2768" s="80">
        <v>43343.385891203703</v>
      </c>
      <c r="E2768" s="81">
        <f t="shared" ca="1" si="20"/>
        <v>43313</v>
      </c>
      <c r="F2768" s="82">
        <f ca="1">IFERROR(__xludf.DUMMYFUNCTION("""COMPUTED_VALUE"""),0.385891203703703)</f>
        <v>0.385891203703703</v>
      </c>
      <c r="G2768" s="83">
        <f t="shared" ca="1" si="21"/>
        <v>19</v>
      </c>
      <c r="H2768" s="83">
        <f ca="1">IFERROR(__xludf.DUMMYFUNCTION("""COMPUTED_VALUE"""),15)</f>
        <v>15</v>
      </c>
      <c r="I2768" s="83">
        <f ca="1">IFERROR(__xludf.DUMMYFUNCTION("""COMPUTED_VALUE"""),41)</f>
        <v>41</v>
      </c>
    </row>
    <row r="2769" spans="1:9">
      <c r="A2769" s="79">
        <v>204</v>
      </c>
      <c r="B2769" s="79">
        <v>2</v>
      </c>
      <c r="C2769" s="79">
        <v>206</v>
      </c>
      <c r="D2769" s="80">
        <v>43343.396307870367</v>
      </c>
      <c r="E2769" s="81">
        <f t="shared" ca="1" si="20"/>
        <v>43313</v>
      </c>
      <c r="F2769" s="82">
        <f ca="1">IFERROR(__xludf.DUMMYFUNCTION("""COMPUTED_VALUE"""),0.39630787037037)</f>
        <v>0.39630787037037002</v>
      </c>
      <c r="G2769" s="83">
        <f t="shared" ca="1" si="21"/>
        <v>19</v>
      </c>
      <c r="H2769" s="83">
        <f ca="1">IFERROR(__xludf.DUMMYFUNCTION("""COMPUTED_VALUE"""),30)</f>
        <v>30</v>
      </c>
      <c r="I2769" s="83">
        <f ca="1">IFERROR(__xludf.DUMMYFUNCTION("""COMPUTED_VALUE"""),41)</f>
        <v>41</v>
      </c>
    </row>
    <row r="2770" spans="1:9">
      <c r="A2770" s="79">
        <v>449</v>
      </c>
      <c r="B2770" s="79">
        <v>5</v>
      </c>
      <c r="C2770" s="79">
        <v>454</v>
      </c>
      <c r="D2770" s="80">
        <v>43343.406724537039</v>
      </c>
      <c r="E2770" s="81">
        <f t="shared" ca="1" si="20"/>
        <v>43313</v>
      </c>
      <c r="F2770" s="82">
        <f ca="1">IFERROR(__xludf.DUMMYFUNCTION("""COMPUTED_VALUE"""),0.406724537037037)</f>
        <v>0.40672453703703698</v>
      </c>
      <c r="G2770" s="83">
        <f t="shared" ca="1" si="21"/>
        <v>19</v>
      </c>
      <c r="H2770" s="83">
        <f ca="1">IFERROR(__xludf.DUMMYFUNCTION("""COMPUTED_VALUE"""),45)</f>
        <v>45</v>
      </c>
      <c r="I2770" s="83">
        <f ca="1">IFERROR(__xludf.DUMMYFUNCTION("""COMPUTED_VALUE"""),41)</f>
        <v>41</v>
      </c>
    </row>
    <row r="2771" spans="1:9">
      <c r="A2771" s="79">
        <v>157</v>
      </c>
      <c r="B2771" s="79">
        <v>5</v>
      </c>
      <c r="C2771" s="79">
        <v>162</v>
      </c>
      <c r="D2771" s="80">
        <v>43343.417129629626</v>
      </c>
      <c r="E2771" s="81">
        <f t="shared" ca="1" si="20"/>
        <v>43313</v>
      </c>
      <c r="F2771" s="82">
        <f ca="1">IFERROR(__xludf.DUMMYFUNCTION("""COMPUTED_VALUE"""),0.417129629629629)</f>
        <v>0.41712962962962902</v>
      </c>
      <c r="G2771" s="83">
        <f t="shared" ca="1" si="21"/>
        <v>19</v>
      </c>
      <c r="H2771" s="83">
        <f ca="1">IFERROR(__xludf.DUMMYFUNCTION("""COMPUTED_VALUE"""),0)</f>
        <v>0</v>
      </c>
      <c r="I2771" s="83">
        <f ca="1">IFERROR(__xludf.DUMMYFUNCTION("""COMPUTED_VALUE"""),40)</f>
        <v>40</v>
      </c>
    </row>
    <row r="2772" spans="1:9">
      <c r="A2772" s="79">
        <v>73</v>
      </c>
      <c r="B2772" s="79">
        <v>1</v>
      </c>
      <c r="C2772" s="79">
        <v>74</v>
      </c>
      <c r="D2772" s="80">
        <v>43343.427557870367</v>
      </c>
      <c r="E2772" s="81">
        <f t="shared" ca="1" si="20"/>
        <v>43313</v>
      </c>
      <c r="F2772" s="82">
        <f ca="1">IFERROR(__xludf.DUMMYFUNCTION("""COMPUTED_VALUE"""),0.42755787037037)</f>
        <v>0.42755787037037002</v>
      </c>
      <c r="G2772" s="83">
        <f t="shared" ca="1" si="21"/>
        <v>19</v>
      </c>
      <c r="H2772" s="83">
        <f ca="1">IFERROR(__xludf.DUMMYFUNCTION("""COMPUTED_VALUE"""),15)</f>
        <v>15</v>
      </c>
      <c r="I2772" s="83">
        <f ca="1">IFERROR(__xludf.DUMMYFUNCTION("""COMPUTED_VALUE"""),41)</f>
        <v>41</v>
      </c>
    </row>
    <row r="2773" spans="1:9">
      <c r="A2773" s="79">
        <v>109</v>
      </c>
      <c r="B2773" s="79">
        <v>3</v>
      </c>
      <c r="C2773" s="79">
        <v>112</v>
      </c>
      <c r="D2773" s="80">
        <v>43343.437974537039</v>
      </c>
      <c r="E2773" s="81">
        <f t="shared" ca="1" si="20"/>
        <v>43313</v>
      </c>
      <c r="F2773" s="82">
        <f ca="1">IFERROR(__xludf.DUMMYFUNCTION("""COMPUTED_VALUE"""),0.437974537037037)</f>
        <v>0.43797453703703698</v>
      </c>
      <c r="G2773" s="83">
        <f t="shared" ca="1" si="21"/>
        <v>19</v>
      </c>
      <c r="H2773" s="83">
        <f ca="1">IFERROR(__xludf.DUMMYFUNCTION("""COMPUTED_VALUE"""),30)</f>
        <v>30</v>
      </c>
      <c r="I2773" s="83">
        <f ca="1">IFERROR(__xludf.DUMMYFUNCTION("""COMPUTED_VALUE"""),41)</f>
        <v>41</v>
      </c>
    </row>
    <row r="2774" spans="1:9">
      <c r="A2774" s="79">
        <v>250</v>
      </c>
      <c r="B2774" s="79">
        <v>5</v>
      </c>
      <c r="C2774" s="79">
        <v>255</v>
      </c>
      <c r="D2774" s="80">
        <v>43343.448391203703</v>
      </c>
      <c r="E2774" s="81">
        <f t="shared" ca="1" si="20"/>
        <v>43313</v>
      </c>
      <c r="F2774" s="82">
        <f ca="1">IFERROR(__xludf.DUMMYFUNCTION("""COMPUTED_VALUE"""),0.448391203703703)</f>
        <v>0.448391203703703</v>
      </c>
      <c r="G2774" s="83">
        <f t="shared" ca="1" si="21"/>
        <v>19</v>
      </c>
      <c r="H2774" s="83">
        <f ca="1">IFERROR(__xludf.DUMMYFUNCTION("""COMPUTED_VALUE"""),45)</f>
        <v>45</v>
      </c>
      <c r="I2774" s="83">
        <f ca="1">IFERROR(__xludf.DUMMYFUNCTION("""COMPUTED_VALUE"""),41)</f>
        <v>41</v>
      </c>
    </row>
    <row r="2775" spans="1:9">
      <c r="A2775" s="79">
        <v>303</v>
      </c>
      <c r="B2775" s="79">
        <v>5</v>
      </c>
      <c r="C2775" s="79">
        <v>306</v>
      </c>
      <c r="D2775" s="80">
        <v>43343.458819444444</v>
      </c>
      <c r="E2775" s="81">
        <f t="shared" ca="1" si="20"/>
        <v>43313</v>
      </c>
      <c r="F2775" s="82">
        <f ca="1">IFERROR(__xludf.DUMMYFUNCTION("""COMPUTED_VALUE"""),0.458819444444444)</f>
        <v>0.458819444444444</v>
      </c>
      <c r="G2775" s="83">
        <f t="shared" ca="1" si="21"/>
        <v>19</v>
      </c>
      <c r="H2775" s="83">
        <f ca="1">IFERROR(__xludf.DUMMYFUNCTION("""COMPUTED_VALUE"""),0)</f>
        <v>0</v>
      </c>
      <c r="I2775" s="83">
        <f ca="1">IFERROR(__xludf.DUMMYFUNCTION("""COMPUTED_VALUE"""),42)</f>
        <v>42</v>
      </c>
    </row>
    <row r="2776" spans="1:9">
      <c r="A2776" s="79">
        <v>306</v>
      </c>
      <c r="B2776" s="79">
        <v>3</v>
      </c>
      <c r="C2776" s="79">
        <v>309</v>
      </c>
      <c r="D2776" s="80">
        <v>43343.469224537039</v>
      </c>
      <c r="E2776" s="81">
        <f t="shared" ca="1" si="20"/>
        <v>43313</v>
      </c>
      <c r="F2776" s="82">
        <f ca="1">IFERROR(__xludf.DUMMYFUNCTION("""COMPUTED_VALUE"""),0.469224537037037)</f>
        <v>0.46922453703703698</v>
      </c>
      <c r="G2776" s="83">
        <f t="shared" ca="1" si="21"/>
        <v>19</v>
      </c>
      <c r="H2776" s="83">
        <f ca="1">IFERROR(__xludf.DUMMYFUNCTION("""COMPUTED_VALUE"""),15)</f>
        <v>15</v>
      </c>
      <c r="I2776" s="83">
        <f ca="1">IFERROR(__xludf.DUMMYFUNCTION("""COMPUTED_VALUE"""),41)</f>
        <v>41</v>
      </c>
    </row>
    <row r="2777" spans="1:9">
      <c r="A2777" s="79">
        <v>288</v>
      </c>
      <c r="B2777" s="79">
        <v>6</v>
      </c>
      <c r="C2777" s="79">
        <v>294</v>
      </c>
      <c r="D2777" s="80">
        <v>43343.479641203703</v>
      </c>
      <c r="E2777" s="81">
        <f t="shared" ca="1" si="20"/>
        <v>43313</v>
      </c>
      <c r="F2777" s="82">
        <f ca="1">IFERROR(__xludf.DUMMYFUNCTION("""COMPUTED_VALUE"""),0.479641203703703)</f>
        <v>0.479641203703703</v>
      </c>
      <c r="G2777" s="83">
        <f t="shared" ca="1" si="21"/>
        <v>19</v>
      </c>
      <c r="H2777" s="83">
        <f ca="1">IFERROR(__xludf.DUMMYFUNCTION("""COMPUTED_VALUE"""),30)</f>
        <v>30</v>
      </c>
      <c r="I2777" s="83">
        <f ca="1">IFERROR(__xludf.DUMMYFUNCTION("""COMPUTED_VALUE"""),41)</f>
        <v>41</v>
      </c>
    </row>
    <row r="2778" spans="1:9">
      <c r="A2778" s="79">
        <v>282</v>
      </c>
      <c r="B2778" s="79">
        <v>3</v>
      </c>
      <c r="C2778" s="79">
        <v>285</v>
      </c>
      <c r="D2778" s="80">
        <v>43343.490057870367</v>
      </c>
      <c r="E2778" s="81">
        <f t="shared" ca="1" si="20"/>
        <v>43313</v>
      </c>
      <c r="F2778" s="82">
        <f ca="1">IFERROR(__xludf.DUMMYFUNCTION("""COMPUTED_VALUE"""),0.49005787037037)</f>
        <v>0.49005787037037002</v>
      </c>
      <c r="G2778" s="83">
        <f t="shared" ca="1" si="21"/>
        <v>19</v>
      </c>
      <c r="H2778" s="83">
        <f ca="1">IFERROR(__xludf.DUMMYFUNCTION("""COMPUTED_VALUE"""),45)</f>
        <v>45</v>
      </c>
      <c r="I2778" s="83">
        <f ca="1">IFERROR(__xludf.DUMMYFUNCTION("""COMPUTED_VALUE"""),41)</f>
        <v>41</v>
      </c>
    </row>
    <row r="2779" spans="1:9">
      <c r="A2779" s="79">
        <v>126</v>
      </c>
      <c r="B2779" s="79">
        <v>3</v>
      </c>
      <c r="C2779" s="79">
        <v>129</v>
      </c>
      <c r="D2779" s="80">
        <v>43343.500474537039</v>
      </c>
      <c r="E2779" s="81">
        <f t="shared" ca="1" si="20"/>
        <v>43313</v>
      </c>
      <c r="F2779" s="82">
        <f ca="1">IFERROR(__xludf.DUMMYFUNCTION("""COMPUTED_VALUE"""),0.500474537037037)</f>
        <v>0.50047453703703704</v>
      </c>
      <c r="G2779" s="83">
        <f t="shared" ca="1" si="21"/>
        <v>19</v>
      </c>
      <c r="H2779" s="83">
        <f ca="1">IFERROR(__xludf.DUMMYFUNCTION("""COMPUTED_VALUE"""),0)</f>
        <v>0</v>
      </c>
      <c r="I2779" s="83">
        <f ca="1">IFERROR(__xludf.DUMMYFUNCTION("""COMPUTED_VALUE"""),41)</f>
        <v>41</v>
      </c>
    </row>
    <row r="2780" spans="1:9">
      <c r="A2780" s="79">
        <v>181</v>
      </c>
      <c r="B2780" s="79">
        <v>1</v>
      </c>
      <c r="C2780" s="79">
        <v>176</v>
      </c>
      <c r="D2780" s="80">
        <v>43343.510891203703</v>
      </c>
      <c r="E2780" s="81">
        <f t="shared" ca="1" si="20"/>
        <v>43313</v>
      </c>
      <c r="F2780" s="82">
        <f ca="1">IFERROR(__xludf.DUMMYFUNCTION("""COMPUTED_VALUE"""),0.510891203703703)</f>
        <v>0.510891203703703</v>
      </c>
      <c r="G2780" s="83">
        <f t="shared" ca="1" si="21"/>
        <v>19</v>
      </c>
      <c r="H2780" s="83">
        <f ca="1">IFERROR(__xludf.DUMMYFUNCTION("""COMPUTED_VALUE"""),15)</f>
        <v>15</v>
      </c>
      <c r="I2780" s="83">
        <f ca="1">IFERROR(__xludf.DUMMYFUNCTION("""COMPUTED_VALUE"""),41)</f>
        <v>41</v>
      </c>
    </row>
    <row r="2781" spans="1:9">
      <c r="A2781" s="79">
        <v>207</v>
      </c>
      <c r="B2781" s="79">
        <v>1</v>
      </c>
      <c r="C2781" s="79">
        <v>208</v>
      </c>
      <c r="D2781" s="80">
        <v>43343.521307870367</v>
      </c>
      <c r="E2781" s="81">
        <f t="shared" ca="1" si="20"/>
        <v>43313</v>
      </c>
      <c r="F2781" s="82">
        <f ca="1">IFERROR(__xludf.DUMMYFUNCTION("""COMPUTED_VALUE"""),0.52130787037037)</f>
        <v>0.52130787037036996</v>
      </c>
      <c r="G2781" s="83">
        <f t="shared" ca="1" si="21"/>
        <v>19</v>
      </c>
      <c r="H2781" s="83">
        <f ca="1">IFERROR(__xludf.DUMMYFUNCTION("""COMPUTED_VALUE"""),30)</f>
        <v>30</v>
      </c>
      <c r="I2781" s="83">
        <f ca="1">IFERROR(__xludf.DUMMYFUNCTION("""COMPUTED_VALUE"""),41)</f>
        <v>41</v>
      </c>
    </row>
    <row r="2782" spans="1:9">
      <c r="A2782" s="79">
        <v>241</v>
      </c>
      <c r="B2782" s="79">
        <v>2</v>
      </c>
      <c r="C2782" s="79">
        <v>243</v>
      </c>
      <c r="D2782" s="80">
        <v>43343.531724537039</v>
      </c>
      <c r="E2782" s="81">
        <f t="shared" ca="1" si="20"/>
        <v>43313</v>
      </c>
      <c r="F2782" s="82">
        <f ca="1">IFERROR(__xludf.DUMMYFUNCTION("""COMPUTED_VALUE"""),0.531724537037037)</f>
        <v>0.53172453703703704</v>
      </c>
      <c r="G2782" s="83">
        <f t="shared" ca="1" si="21"/>
        <v>19</v>
      </c>
      <c r="H2782" s="83">
        <f ca="1">IFERROR(__xludf.DUMMYFUNCTION("""COMPUTED_VALUE"""),45)</f>
        <v>45</v>
      </c>
      <c r="I2782" s="83">
        <f ca="1">IFERROR(__xludf.DUMMYFUNCTION("""COMPUTED_VALUE"""),41)</f>
        <v>41</v>
      </c>
    </row>
    <row r="2783" spans="1:9">
      <c r="A2783" s="79">
        <v>212</v>
      </c>
      <c r="B2783" s="79">
        <v>3</v>
      </c>
      <c r="C2783" s="79">
        <v>215</v>
      </c>
      <c r="D2783" s="80">
        <v>43343.542141203703</v>
      </c>
      <c r="E2783" s="81">
        <f t="shared" ca="1" si="20"/>
        <v>43313</v>
      </c>
      <c r="F2783" s="82">
        <f ca="1">IFERROR(__xludf.DUMMYFUNCTION("""COMPUTED_VALUE"""),0.542141203703703)</f>
        <v>0.542141203703703</v>
      </c>
      <c r="G2783" s="83">
        <f t="shared" ca="1" si="21"/>
        <v>19</v>
      </c>
      <c r="H2783" s="83">
        <f ca="1">IFERROR(__xludf.DUMMYFUNCTION("""COMPUTED_VALUE"""),0)</f>
        <v>0</v>
      </c>
      <c r="I2783" s="83">
        <f ca="1">IFERROR(__xludf.DUMMYFUNCTION("""COMPUTED_VALUE"""),41)</f>
        <v>41</v>
      </c>
    </row>
    <row r="2784" spans="1:9">
      <c r="A2784" s="79">
        <v>217</v>
      </c>
      <c r="B2784" s="79">
        <v>2</v>
      </c>
      <c r="C2784" s="79">
        <v>219</v>
      </c>
      <c r="D2784" s="80">
        <v>43343.552557870367</v>
      </c>
      <c r="E2784" s="81">
        <f t="shared" ca="1" si="20"/>
        <v>43313</v>
      </c>
      <c r="F2784" s="82">
        <f ca="1">IFERROR(__xludf.DUMMYFUNCTION("""COMPUTED_VALUE"""),0.55255787037037)</f>
        <v>0.55255787037036996</v>
      </c>
      <c r="G2784" s="83">
        <f t="shared" ca="1" si="21"/>
        <v>19</v>
      </c>
      <c r="H2784" s="83">
        <f ca="1">IFERROR(__xludf.DUMMYFUNCTION("""COMPUTED_VALUE"""),15)</f>
        <v>15</v>
      </c>
      <c r="I2784" s="83">
        <f ca="1">IFERROR(__xludf.DUMMYFUNCTION("""COMPUTED_VALUE"""),41)</f>
        <v>41</v>
      </c>
    </row>
    <row r="2785" spans="1:9">
      <c r="A2785" s="79">
        <v>248</v>
      </c>
      <c r="B2785" s="79">
        <v>2</v>
      </c>
      <c r="C2785" s="79">
        <v>250</v>
      </c>
      <c r="D2785" s="80">
        <v>43343.562962962962</v>
      </c>
      <c r="E2785" s="81">
        <f t="shared" ca="1" si="20"/>
        <v>43313</v>
      </c>
      <c r="F2785" s="82">
        <f ca="1">IFERROR(__xludf.DUMMYFUNCTION("""COMPUTED_VALUE"""),0.562962962962963)</f>
        <v>0.562962962962963</v>
      </c>
      <c r="G2785" s="83">
        <f t="shared" ca="1" si="21"/>
        <v>19</v>
      </c>
      <c r="H2785" s="83">
        <f ca="1">IFERROR(__xludf.DUMMYFUNCTION("""COMPUTED_VALUE"""),30)</f>
        <v>30</v>
      </c>
      <c r="I2785" s="83">
        <f ca="1">IFERROR(__xludf.DUMMYFUNCTION("""COMPUTED_VALUE"""),40)</f>
        <v>40</v>
      </c>
    </row>
    <row r="2786" spans="1:9">
      <c r="A2786" s="79">
        <v>274</v>
      </c>
      <c r="B2786" s="79">
        <v>0</v>
      </c>
      <c r="C2786" s="79">
        <v>274</v>
      </c>
      <c r="D2786" s="80">
        <v>43343.573391203703</v>
      </c>
      <c r="E2786" s="81">
        <f t="shared" ca="1" si="20"/>
        <v>43313</v>
      </c>
      <c r="F2786" s="82">
        <f ca="1">IFERROR(__xludf.DUMMYFUNCTION("""COMPUTED_VALUE"""),0.573391203703703)</f>
        <v>0.573391203703703</v>
      </c>
      <c r="G2786" s="83">
        <f t="shared" ca="1" si="21"/>
        <v>19</v>
      </c>
      <c r="H2786" s="83">
        <f ca="1">IFERROR(__xludf.DUMMYFUNCTION("""COMPUTED_VALUE"""),45)</f>
        <v>45</v>
      </c>
      <c r="I2786" s="83">
        <f ca="1">IFERROR(__xludf.DUMMYFUNCTION("""COMPUTED_VALUE"""),41)</f>
        <v>41</v>
      </c>
    </row>
    <row r="2787" spans="1:9">
      <c r="A2787" s="79">
        <v>226</v>
      </c>
      <c r="B2787" s="79">
        <v>1</v>
      </c>
      <c r="C2787" s="79">
        <v>227</v>
      </c>
      <c r="D2787" s="80">
        <v>43343.583807870367</v>
      </c>
      <c r="E2787" s="81">
        <f t="shared" ca="1" si="20"/>
        <v>43313</v>
      </c>
      <c r="F2787" s="82">
        <f ca="1">IFERROR(__xludf.DUMMYFUNCTION("""COMPUTED_VALUE"""),0.58380787037037)</f>
        <v>0.58380787037036996</v>
      </c>
      <c r="G2787" s="83">
        <f t="shared" ca="1" si="21"/>
        <v>19</v>
      </c>
      <c r="H2787" s="83">
        <f ca="1">IFERROR(__xludf.DUMMYFUNCTION("""COMPUTED_VALUE"""),0)</f>
        <v>0</v>
      </c>
      <c r="I2787" s="83">
        <f ca="1">IFERROR(__xludf.DUMMYFUNCTION("""COMPUTED_VALUE"""),41)</f>
        <v>41</v>
      </c>
    </row>
    <row r="2788" spans="1:9">
      <c r="A2788" s="79">
        <v>279</v>
      </c>
      <c r="B2788" s="79">
        <v>1</v>
      </c>
      <c r="C2788" s="79">
        <v>280</v>
      </c>
      <c r="D2788" s="80">
        <v>43343.594224537039</v>
      </c>
      <c r="E2788" s="81">
        <f t="shared" ca="1" si="20"/>
        <v>43313</v>
      </c>
      <c r="F2788" s="82">
        <f ca="1">IFERROR(__xludf.DUMMYFUNCTION("""COMPUTED_VALUE"""),0.594224537037037)</f>
        <v>0.59422453703703704</v>
      </c>
      <c r="G2788" s="83">
        <f t="shared" ca="1" si="21"/>
        <v>19</v>
      </c>
      <c r="H2788" s="83">
        <f ca="1">IFERROR(__xludf.DUMMYFUNCTION("""COMPUTED_VALUE"""),15)</f>
        <v>15</v>
      </c>
      <c r="I2788" s="83">
        <f ca="1">IFERROR(__xludf.DUMMYFUNCTION("""COMPUTED_VALUE"""),41)</f>
        <v>41</v>
      </c>
    </row>
    <row r="2789" spans="1:9">
      <c r="A2789" s="79">
        <v>308</v>
      </c>
      <c r="B2789" s="79">
        <v>1</v>
      </c>
      <c r="C2789" s="79">
        <v>309</v>
      </c>
      <c r="D2789" s="80">
        <v>43343.604641203703</v>
      </c>
      <c r="E2789" s="81">
        <f t="shared" ca="1" si="20"/>
        <v>43313</v>
      </c>
      <c r="F2789" s="82">
        <f ca="1">IFERROR(__xludf.DUMMYFUNCTION("""COMPUTED_VALUE"""),0.604641203703703)</f>
        <v>0.604641203703703</v>
      </c>
      <c r="G2789" s="83">
        <f t="shared" ca="1" si="21"/>
        <v>19</v>
      </c>
      <c r="H2789" s="83">
        <f ca="1">IFERROR(__xludf.DUMMYFUNCTION("""COMPUTED_VALUE"""),30)</f>
        <v>30</v>
      </c>
      <c r="I2789" s="83">
        <f ca="1">IFERROR(__xludf.DUMMYFUNCTION("""COMPUTED_VALUE"""),41)</f>
        <v>41</v>
      </c>
    </row>
    <row r="2790" spans="1:9">
      <c r="A2790" s="79">
        <v>290</v>
      </c>
      <c r="B2790" s="79">
        <v>1</v>
      </c>
      <c r="C2790" s="79">
        <v>291</v>
      </c>
      <c r="D2790" s="80">
        <v>43343.615046296298</v>
      </c>
      <c r="E2790" s="81">
        <f t="shared" ca="1" si="20"/>
        <v>43313</v>
      </c>
      <c r="F2790" s="82">
        <f ca="1">IFERROR(__xludf.DUMMYFUNCTION("""COMPUTED_VALUE"""),0.615046296296296)</f>
        <v>0.61504629629629604</v>
      </c>
      <c r="G2790" s="83">
        <f t="shared" ca="1" si="21"/>
        <v>19</v>
      </c>
      <c r="H2790" s="83">
        <f ca="1">IFERROR(__xludf.DUMMYFUNCTION("""COMPUTED_VALUE"""),45)</f>
        <v>45</v>
      </c>
      <c r="I2790" s="83">
        <f ca="1">IFERROR(__xludf.DUMMYFUNCTION("""COMPUTED_VALUE"""),40)</f>
        <v>40</v>
      </c>
    </row>
    <row r="2791" spans="1:9">
      <c r="A2791" s="79">
        <v>313</v>
      </c>
      <c r="B2791" s="79">
        <v>1</v>
      </c>
      <c r="C2791" s="79">
        <v>314</v>
      </c>
      <c r="D2791" s="80">
        <v>43343.625474537039</v>
      </c>
      <c r="E2791" s="81">
        <f t="shared" ca="1" si="20"/>
        <v>43313</v>
      </c>
      <c r="F2791" s="82">
        <f ca="1">IFERROR(__xludf.DUMMYFUNCTION("""COMPUTED_VALUE"""),0.625474537037037)</f>
        <v>0.62547453703703704</v>
      </c>
      <c r="G2791" s="83">
        <f t="shared" ca="1" si="21"/>
        <v>19</v>
      </c>
      <c r="H2791" s="83">
        <f ca="1">IFERROR(__xludf.DUMMYFUNCTION("""COMPUTED_VALUE"""),0)</f>
        <v>0</v>
      </c>
      <c r="I2791" s="83">
        <f ca="1">IFERROR(__xludf.DUMMYFUNCTION("""COMPUTED_VALUE"""),41)</f>
        <v>41</v>
      </c>
    </row>
    <row r="2792" spans="1:9">
      <c r="A2792" s="79">
        <v>337</v>
      </c>
      <c r="B2792" s="79">
        <v>2</v>
      </c>
      <c r="C2792" s="79">
        <v>339</v>
      </c>
      <c r="D2792" s="80">
        <v>43343.635891203703</v>
      </c>
      <c r="E2792" s="81">
        <f t="shared" ca="1" si="20"/>
        <v>43313</v>
      </c>
      <c r="F2792" s="82">
        <f ca="1">IFERROR(__xludf.DUMMYFUNCTION("""COMPUTED_VALUE"""),0.635891203703703)</f>
        <v>0.635891203703703</v>
      </c>
      <c r="G2792" s="83">
        <f t="shared" ca="1" si="21"/>
        <v>19</v>
      </c>
      <c r="H2792" s="83">
        <f ca="1">IFERROR(__xludf.DUMMYFUNCTION("""COMPUTED_VALUE"""),15)</f>
        <v>15</v>
      </c>
      <c r="I2792" s="83">
        <f ca="1">IFERROR(__xludf.DUMMYFUNCTION("""COMPUTED_VALUE"""),41)</f>
        <v>41</v>
      </c>
    </row>
    <row r="2793" spans="1:9">
      <c r="A2793" s="79">
        <v>358</v>
      </c>
      <c r="B2793" s="79">
        <v>2</v>
      </c>
      <c r="C2793" s="79">
        <v>360</v>
      </c>
      <c r="D2793" s="80">
        <v>43343.646296296298</v>
      </c>
      <c r="E2793" s="81">
        <f t="shared" ca="1" si="20"/>
        <v>43313</v>
      </c>
      <c r="F2793" s="82">
        <f ca="1">IFERROR(__xludf.DUMMYFUNCTION("""COMPUTED_VALUE"""),0.646296296296296)</f>
        <v>0.64629629629629604</v>
      </c>
      <c r="G2793" s="83">
        <f t="shared" ca="1" si="21"/>
        <v>19</v>
      </c>
      <c r="H2793" s="83">
        <f ca="1">IFERROR(__xludf.DUMMYFUNCTION("""COMPUTED_VALUE"""),30)</f>
        <v>30</v>
      </c>
      <c r="I2793" s="83">
        <f ca="1">IFERROR(__xludf.DUMMYFUNCTION("""COMPUTED_VALUE"""),40)</f>
        <v>40</v>
      </c>
    </row>
    <row r="2794" spans="1:9">
      <c r="A2794" s="79">
        <v>402</v>
      </c>
      <c r="B2794" s="79">
        <v>1</v>
      </c>
      <c r="C2794" s="79">
        <v>403</v>
      </c>
      <c r="D2794" s="80">
        <v>43343.656712962962</v>
      </c>
      <c r="E2794" s="81">
        <f t="shared" ca="1" si="20"/>
        <v>43313</v>
      </c>
      <c r="F2794" s="82">
        <f ca="1">IFERROR(__xludf.DUMMYFUNCTION("""COMPUTED_VALUE"""),0.656712962962963)</f>
        <v>0.656712962962963</v>
      </c>
      <c r="G2794" s="83">
        <f t="shared" ca="1" si="21"/>
        <v>19</v>
      </c>
      <c r="H2794" s="83">
        <f ca="1">IFERROR(__xludf.DUMMYFUNCTION("""COMPUTED_VALUE"""),45)</f>
        <v>45</v>
      </c>
      <c r="I2794" s="83">
        <f ca="1">IFERROR(__xludf.DUMMYFUNCTION("""COMPUTED_VALUE"""),40)</f>
        <v>40</v>
      </c>
    </row>
    <row r="2795" spans="1:9">
      <c r="A2795" s="79">
        <v>366</v>
      </c>
      <c r="B2795" s="79">
        <v>4</v>
      </c>
      <c r="C2795" s="79">
        <v>370</v>
      </c>
      <c r="D2795" s="80">
        <v>43343.667164351849</v>
      </c>
      <c r="E2795" s="81">
        <f t="shared" ca="1" si="20"/>
        <v>43313</v>
      </c>
      <c r="F2795" s="82">
        <f ca="1">IFERROR(__xludf.DUMMYFUNCTION("""COMPUTED_VALUE"""),0.667164351851851)</f>
        <v>0.66716435185185097</v>
      </c>
      <c r="G2795" s="83">
        <f t="shared" ca="1" si="21"/>
        <v>19</v>
      </c>
      <c r="H2795" s="83">
        <f ca="1">IFERROR(__xludf.DUMMYFUNCTION("""COMPUTED_VALUE"""),0)</f>
        <v>0</v>
      </c>
      <c r="I2795" s="83">
        <f ca="1">IFERROR(__xludf.DUMMYFUNCTION("""COMPUTED_VALUE"""),43)</f>
        <v>43</v>
      </c>
    </row>
    <row r="2796" spans="1:9">
      <c r="A2796" s="79">
        <v>499</v>
      </c>
      <c r="B2796" s="79">
        <v>3</v>
      </c>
      <c r="C2796" s="79">
        <v>502</v>
      </c>
      <c r="D2796" s="80">
        <v>43343.677546296298</v>
      </c>
      <c r="E2796" s="81">
        <f t="shared" ca="1" si="20"/>
        <v>43313</v>
      </c>
      <c r="F2796" s="82">
        <f ca="1">IFERROR(__xludf.DUMMYFUNCTION("""COMPUTED_VALUE"""),0.677546296296296)</f>
        <v>0.67754629629629604</v>
      </c>
      <c r="G2796" s="83">
        <f t="shared" ca="1" si="21"/>
        <v>19</v>
      </c>
      <c r="H2796" s="83">
        <f ca="1">IFERROR(__xludf.DUMMYFUNCTION("""COMPUTED_VALUE"""),15)</f>
        <v>15</v>
      </c>
      <c r="I2796" s="83">
        <f ca="1">IFERROR(__xludf.DUMMYFUNCTION("""COMPUTED_VALUE"""),40)</f>
        <v>40</v>
      </c>
    </row>
    <row r="2797" spans="1:9">
      <c r="A2797" s="79">
        <v>484</v>
      </c>
      <c r="B2797" s="79">
        <v>7</v>
      </c>
      <c r="C2797" s="79">
        <v>491</v>
      </c>
      <c r="D2797" s="80">
        <v>43343.687962962962</v>
      </c>
      <c r="E2797" s="81">
        <f t="shared" ca="1" si="20"/>
        <v>43313</v>
      </c>
      <c r="F2797" s="82">
        <f ca="1">IFERROR(__xludf.DUMMYFUNCTION("""COMPUTED_VALUE"""),0.687962962962963)</f>
        <v>0.687962962962963</v>
      </c>
      <c r="G2797" s="83">
        <f t="shared" ca="1" si="21"/>
        <v>19</v>
      </c>
      <c r="H2797" s="83">
        <f ca="1">IFERROR(__xludf.DUMMYFUNCTION("""COMPUTED_VALUE"""),30)</f>
        <v>30</v>
      </c>
      <c r="I2797" s="83">
        <f ca="1">IFERROR(__xludf.DUMMYFUNCTION("""COMPUTED_VALUE"""),40)</f>
        <v>40</v>
      </c>
    </row>
    <row r="2798" spans="1:9">
      <c r="A2798" s="79">
        <v>498</v>
      </c>
      <c r="B2798" s="79">
        <v>5</v>
      </c>
      <c r="C2798" s="79">
        <v>503</v>
      </c>
      <c r="D2798" s="80">
        <v>43343.698379629626</v>
      </c>
      <c r="E2798" s="81">
        <f t="shared" ca="1" si="20"/>
        <v>43313</v>
      </c>
      <c r="F2798" s="82">
        <f ca="1">IFERROR(__xludf.DUMMYFUNCTION("""COMPUTED_VALUE"""),0.698379629629629)</f>
        <v>0.69837962962962896</v>
      </c>
      <c r="G2798" s="83">
        <f t="shared" ca="1" si="21"/>
        <v>19</v>
      </c>
      <c r="H2798" s="83">
        <f ca="1">IFERROR(__xludf.DUMMYFUNCTION("""COMPUTED_VALUE"""),45)</f>
        <v>45</v>
      </c>
      <c r="I2798" s="83">
        <f ca="1">IFERROR(__xludf.DUMMYFUNCTION("""COMPUTED_VALUE"""),40)</f>
        <v>40</v>
      </c>
    </row>
    <row r="2799" spans="1:9">
      <c r="A2799" s="79">
        <v>508</v>
      </c>
      <c r="B2799" s="79">
        <v>4</v>
      </c>
      <c r="C2799" s="79">
        <v>512</v>
      </c>
      <c r="D2799" s="80">
        <v>43343.708796296298</v>
      </c>
      <c r="E2799" s="81">
        <f t="shared" ca="1" si="20"/>
        <v>43313</v>
      </c>
      <c r="F2799" s="82">
        <f ca="1">IFERROR(__xludf.DUMMYFUNCTION("""COMPUTED_VALUE"""),0.708796296296296)</f>
        <v>0.70879629629629604</v>
      </c>
      <c r="G2799" s="83">
        <f t="shared" ca="1" si="21"/>
        <v>19</v>
      </c>
      <c r="H2799" s="83">
        <f ca="1">IFERROR(__xludf.DUMMYFUNCTION("""COMPUTED_VALUE"""),0)</f>
        <v>0</v>
      </c>
      <c r="I2799" s="83">
        <f ca="1">IFERROR(__xludf.DUMMYFUNCTION("""COMPUTED_VALUE"""),40)</f>
        <v>40</v>
      </c>
    </row>
    <row r="2800" spans="1:9">
      <c r="A2800" s="79">
        <v>717</v>
      </c>
      <c r="B2800" s="79">
        <v>7</v>
      </c>
      <c r="C2800" s="79">
        <v>724</v>
      </c>
      <c r="D2800" s="80">
        <v>43343.719212962962</v>
      </c>
      <c r="E2800" s="81">
        <f t="shared" ca="1" si="20"/>
        <v>43313</v>
      </c>
      <c r="F2800" s="82">
        <f ca="1">IFERROR(__xludf.DUMMYFUNCTION("""COMPUTED_VALUE"""),0.719212962962963)</f>
        <v>0.719212962962963</v>
      </c>
      <c r="G2800" s="83">
        <f t="shared" ca="1" si="21"/>
        <v>19</v>
      </c>
      <c r="H2800" s="83">
        <f ca="1">IFERROR(__xludf.DUMMYFUNCTION("""COMPUTED_VALUE"""),15)</f>
        <v>15</v>
      </c>
      <c r="I2800" s="83">
        <f ca="1">IFERROR(__xludf.DUMMYFUNCTION("""COMPUTED_VALUE"""),40)</f>
        <v>40</v>
      </c>
    </row>
    <row r="2801" spans="1:9">
      <c r="A2801" s="79">
        <v>581</v>
      </c>
      <c r="B2801" s="79">
        <v>4</v>
      </c>
      <c r="C2801" s="79">
        <v>582</v>
      </c>
      <c r="D2801" s="80">
        <v>43343.729629629626</v>
      </c>
      <c r="E2801" s="81">
        <f t="shared" ca="1" si="20"/>
        <v>43313</v>
      </c>
      <c r="F2801" s="82">
        <f ca="1">IFERROR(__xludf.DUMMYFUNCTION("""COMPUTED_VALUE"""),0.729629629629629)</f>
        <v>0.72962962962962896</v>
      </c>
      <c r="G2801" s="83">
        <f t="shared" ca="1" si="21"/>
        <v>19</v>
      </c>
      <c r="H2801" s="83">
        <f ca="1">IFERROR(__xludf.DUMMYFUNCTION("""COMPUTED_VALUE"""),30)</f>
        <v>30</v>
      </c>
      <c r="I2801" s="83">
        <f ca="1">IFERROR(__xludf.DUMMYFUNCTION("""COMPUTED_VALUE"""),40)</f>
        <v>40</v>
      </c>
    </row>
    <row r="2802" spans="1:9">
      <c r="A2802" s="79">
        <v>524</v>
      </c>
      <c r="B2802" s="79">
        <v>9</v>
      </c>
      <c r="C2802" s="79">
        <v>527</v>
      </c>
      <c r="D2802" s="80">
        <v>43343.740057870367</v>
      </c>
      <c r="E2802" s="81">
        <f t="shared" ca="1" si="20"/>
        <v>43313</v>
      </c>
      <c r="F2802" s="82">
        <f ca="1">IFERROR(__xludf.DUMMYFUNCTION("""COMPUTED_VALUE"""),0.74005787037037)</f>
        <v>0.74005787037036996</v>
      </c>
      <c r="G2802" s="83">
        <f t="shared" ca="1" si="21"/>
        <v>19</v>
      </c>
      <c r="H2802" s="83">
        <f ca="1">IFERROR(__xludf.DUMMYFUNCTION("""COMPUTED_VALUE"""),45)</f>
        <v>45</v>
      </c>
      <c r="I2802" s="83">
        <f ca="1">IFERROR(__xludf.DUMMYFUNCTION("""COMPUTED_VALUE"""),41)</f>
        <v>41</v>
      </c>
    </row>
    <row r="2803" spans="1:9">
      <c r="A2803" s="79">
        <v>457</v>
      </c>
      <c r="B2803" s="79">
        <v>4</v>
      </c>
      <c r="C2803" s="79">
        <v>461</v>
      </c>
      <c r="D2803" s="80">
        <v>43343.750462962962</v>
      </c>
      <c r="E2803" s="81">
        <f t="shared" ca="1" si="20"/>
        <v>43313</v>
      </c>
      <c r="F2803" s="82">
        <f ca="1">IFERROR(__xludf.DUMMYFUNCTION("""COMPUTED_VALUE"""),0.750462962962963)</f>
        <v>0.750462962962963</v>
      </c>
      <c r="G2803" s="83">
        <f t="shared" ca="1" si="21"/>
        <v>19</v>
      </c>
      <c r="H2803" s="83">
        <f ca="1">IFERROR(__xludf.DUMMYFUNCTION("""COMPUTED_VALUE"""),0)</f>
        <v>0</v>
      </c>
      <c r="I2803" s="83">
        <f ca="1">IFERROR(__xludf.DUMMYFUNCTION("""COMPUTED_VALUE"""),40)</f>
        <v>40</v>
      </c>
    </row>
    <row r="2804" spans="1:9">
      <c r="A2804" s="79">
        <v>533</v>
      </c>
      <c r="B2804" s="79">
        <v>9</v>
      </c>
      <c r="C2804" s="79">
        <v>542</v>
      </c>
      <c r="D2804" s="80">
        <v>43343.760879629626</v>
      </c>
      <c r="E2804" s="81">
        <f t="shared" ca="1" si="20"/>
        <v>43313</v>
      </c>
      <c r="F2804" s="82">
        <f ca="1">IFERROR(__xludf.DUMMYFUNCTION("""COMPUTED_VALUE"""),0.760879629629629)</f>
        <v>0.76087962962962896</v>
      </c>
      <c r="G2804" s="83">
        <f t="shared" ca="1" si="21"/>
        <v>19</v>
      </c>
      <c r="H2804" s="83">
        <f ca="1">IFERROR(__xludf.DUMMYFUNCTION("""COMPUTED_VALUE"""),15)</f>
        <v>15</v>
      </c>
      <c r="I2804" s="83">
        <f ca="1">IFERROR(__xludf.DUMMYFUNCTION("""COMPUTED_VALUE"""),40)</f>
        <v>40</v>
      </c>
    </row>
    <row r="2805" spans="1:9">
      <c r="A2805" s="79">
        <v>520</v>
      </c>
      <c r="B2805" s="79">
        <v>12</v>
      </c>
      <c r="C2805" s="79">
        <v>531</v>
      </c>
      <c r="D2805" s="80">
        <v>43343.771307870367</v>
      </c>
      <c r="E2805" s="81">
        <f t="shared" ca="1" si="20"/>
        <v>43313</v>
      </c>
      <c r="F2805" s="82">
        <f ca="1">IFERROR(__xludf.DUMMYFUNCTION("""COMPUTED_VALUE"""),0.77130787037037)</f>
        <v>0.77130787037036996</v>
      </c>
      <c r="G2805" s="83">
        <f t="shared" ca="1" si="21"/>
        <v>19</v>
      </c>
      <c r="H2805" s="83">
        <f ca="1">IFERROR(__xludf.DUMMYFUNCTION("""COMPUTED_VALUE"""),30)</f>
        <v>30</v>
      </c>
      <c r="I2805" s="83">
        <f ca="1">IFERROR(__xludf.DUMMYFUNCTION("""COMPUTED_VALUE"""),41)</f>
        <v>41</v>
      </c>
    </row>
    <row r="2806" spans="1:9">
      <c r="A2806" s="79">
        <v>544</v>
      </c>
      <c r="B2806" s="79">
        <v>4</v>
      </c>
      <c r="C2806" s="79">
        <v>548</v>
      </c>
      <c r="D2806" s="80">
        <v>43343.781712962962</v>
      </c>
      <c r="E2806" s="81">
        <f t="shared" ca="1" si="20"/>
        <v>43313</v>
      </c>
      <c r="F2806" s="82">
        <f ca="1">IFERROR(__xludf.DUMMYFUNCTION("""COMPUTED_VALUE"""),0.781712962962963)</f>
        <v>0.781712962962963</v>
      </c>
      <c r="G2806" s="83">
        <f t="shared" ca="1" si="21"/>
        <v>19</v>
      </c>
      <c r="H2806" s="83">
        <f ca="1">IFERROR(__xludf.DUMMYFUNCTION("""COMPUTED_VALUE"""),45)</f>
        <v>45</v>
      </c>
      <c r="I2806" s="83">
        <f ca="1">IFERROR(__xludf.DUMMYFUNCTION("""COMPUTED_VALUE"""),40)</f>
        <v>40</v>
      </c>
    </row>
    <row r="2807" spans="1:9">
      <c r="A2807" s="79">
        <v>483</v>
      </c>
      <c r="B2807" s="79">
        <v>6</v>
      </c>
      <c r="C2807" s="79">
        <v>489</v>
      </c>
      <c r="D2807" s="80">
        <v>43343.792129629626</v>
      </c>
      <c r="E2807" s="81">
        <f t="shared" ref="E2807:E2834" ca="1" si="22">IFERROR(__xludf.DUMMYFUNCTION("SPLIT(D2, "" "")"),43313)</f>
        <v>43313</v>
      </c>
      <c r="F2807" s="82">
        <f ca="1">IFERROR(__xludf.DUMMYFUNCTION("""COMPUTED_VALUE"""),0.792129629629629)</f>
        <v>0.79212962962962896</v>
      </c>
      <c r="G2807" s="83">
        <f t="shared" ref="G2807:G2834" ca="1" si="23">IFERROR(__xludf.DUMMYFUNCTION("SPLIT(F2, "":"")"),19)</f>
        <v>19</v>
      </c>
      <c r="H2807" s="83">
        <f ca="1">IFERROR(__xludf.DUMMYFUNCTION("""COMPUTED_VALUE"""),0)</f>
        <v>0</v>
      </c>
      <c r="I2807" s="83">
        <f ca="1">IFERROR(__xludf.DUMMYFUNCTION("""COMPUTED_VALUE"""),40)</f>
        <v>40</v>
      </c>
    </row>
    <row r="2808" spans="1:9">
      <c r="A2808" s="79">
        <v>560</v>
      </c>
      <c r="B2808" s="79">
        <v>7</v>
      </c>
      <c r="C2808" s="79">
        <v>567</v>
      </c>
      <c r="D2808" s="80">
        <v>43343.802546296298</v>
      </c>
      <c r="E2808" s="81">
        <f t="shared" ca="1" si="22"/>
        <v>43313</v>
      </c>
      <c r="F2808" s="82">
        <f ca="1">IFERROR(__xludf.DUMMYFUNCTION("""COMPUTED_VALUE"""),0.802546296296296)</f>
        <v>0.80254629629629604</v>
      </c>
      <c r="G2808" s="83">
        <f t="shared" ca="1" si="23"/>
        <v>19</v>
      </c>
      <c r="H2808" s="83">
        <f ca="1">IFERROR(__xludf.DUMMYFUNCTION("""COMPUTED_VALUE"""),15)</f>
        <v>15</v>
      </c>
      <c r="I2808" s="83">
        <f ca="1">IFERROR(__xludf.DUMMYFUNCTION("""COMPUTED_VALUE"""),40)</f>
        <v>40</v>
      </c>
    </row>
    <row r="2809" spans="1:9">
      <c r="A2809" s="79">
        <v>609</v>
      </c>
      <c r="B2809" s="79">
        <v>6</v>
      </c>
      <c r="C2809" s="79">
        <v>615</v>
      </c>
      <c r="D2809" s="80">
        <v>43343.812962962962</v>
      </c>
      <c r="E2809" s="81">
        <f t="shared" ca="1" si="22"/>
        <v>43313</v>
      </c>
      <c r="F2809" s="82">
        <f ca="1">IFERROR(__xludf.DUMMYFUNCTION("""COMPUTED_VALUE"""),0.812962962962963)</f>
        <v>0.812962962962963</v>
      </c>
      <c r="G2809" s="83">
        <f t="shared" ca="1" si="23"/>
        <v>19</v>
      </c>
      <c r="H2809" s="83">
        <f ca="1">IFERROR(__xludf.DUMMYFUNCTION("""COMPUTED_VALUE"""),30)</f>
        <v>30</v>
      </c>
      <c r="I2809" s="83">
        <f ca="1">IFERROR(__xludf.DUMMYFUNCTION("""COMPUTED_VALUE"""),40)</f>
        <v>40</v>
      </c>
    </row>
    <row r="2810" spans="1:9">
      <c r="A2810" s="79">
        <v>608</v>
      </c>
      <c r="B2810" s="79">
        <v>5</v>
      </c>
      <c r="C2810" s="79">
        <v>613</v>
      </c>
      <c r="D2810" s="80">
        <v>43343.823379629626</v>
      </c>
      <c r="E2810" s="81">
        <f t="shared" ca="1" si="22"/>
        <v>43313</v>
      </c>
      <c r="F2810" s="82">
        <f ca="1">IFERROR(__xludf.DUMMYFUNCTION("""COMPUTED_VALUE"""),0.823379629629629)</f>
        <v>0.82337962962962896</v>
      </c>
      <c r="G2810" s="83">
        <f t="shared" ca="1" si="23"/>
        <v>19</v>
      </c>
      <c r="H2810" s="83">
        <f ca="1">IFERROR(__xludf.DUMMYFUNCTION("""COMPUTED_VALUE"""),45)</f>
        <v>45</v>
      </c>
      <c r="I2810" s="83">
        <f ca="1">IFERROR(__xludf.DUMMYFUNCTION("""COMPUTED_VALUE"""),40)</f>
        <v>40</v>
      </c>
    </row>
    <row r="2811" spans="1:9">
      <c r="A2811" s="79">
        <v>559</v>
      </c>
      <c r="B2811" s="79">
        <v>3</v>
      </c>
      <c r="C2811" s="79">
        <v>562</v>
      </c>
      <c r="D2811" s="80">
        <v>43343.833796296298</v>
      </c>
      <c r="E2811" s="81">
        <f t="shared" ca="1" si="22"/>
        <v>43313</v>
      </c>
      <c r="F2811" s="82">
        <f ca="1">IFERROR(__xludf.DUMMYFUNCTION("""COMPUTED_VALUE"""),0.833796296296296)</f>
        <v>0.83379629629629604</v>
      </c>
      <c r="G2811" s="83">
        <f t="shared" ca="1" si="23"/>
        <v>19</v>
      </c>
      <c r="H2811" s="83">
        <f ca="1">IFERROR(__xludf.DUMMYFUNCTION("""COMPUTED_VALUE"""),0)</f>
        <v>0</v>
      </c>
      <c r="I2811" s="83">
        <f ca="1">IFERROR(__xludf.DUMMYFUNCTION("""COMPUTED_VALUE"""),40)</f>
        <v>40</v>
      </c>
    </row>
    <row r="2812" spans="1:9">
      <c r="A2812" s="79">
        <v>657</v>
      </c>
      <c r="B2812" s="79">
        <v>7</v>
      </c>
      <c r="C2812" s="79">
        <v>664</v>
      </c>
      <c r="D2812" s="80">
        <v>43343.844201388885</v>
      </c>
      <c r="E2812" s="81">
        <f t="shared" ca="1" si="22"/>
        <v>43313</v>
      </c>
      <c r="F2812" s="82">
        <f ca="1">IFERROR(__xludf.DUMMYFUNCTION("""COMPUTED_VALUE"""),0.844201388888888)</f>
        <v>0.84420138888888796</v>
      </c>
      <c r="G2812" s="83">
        <f t="shared" ca="1" si="23"/>
        <v>19</v>
      </c>
      <c r="H2812" s="83">
        <f ca="1">IFERROR(__xludf.DUMMYFUNCTION("""COMPUTED_VALUE"""),15)</f>
        <v>15</v>
      </c>
      <c r="I2812" s="83">
        <f ca="1">IFERROR(__xludf.DUMMYFUNCTION("""COMPUTED_VALUE"""),39)</f>
        <v>39</v>
      </c>
    </row>
    <row r="2813" spans="1:9">
      <c r="A2813" s="79">
        <v>639</v>
      </c>
      <c r="B2813" s="79">
        <v>11</v>
      </c>
      <c r="C2813" s="79">
        <v>650</v>
      </c>
      <c r="D2813" s="80">
        <v>43343.854629629626</v>
      </c>
      <c r="E2813" s="81">
        <f t="shared" ca="1" si="22"/>
        <v>43313</v>
      </c>
      <c r="F2813" s="82">
        <f ca="1">IFERROR(__xludf.DUMMYFUNCTION("""COMPUTED_VALUE"""),0.854629629629629)</f>
        <v>0.85462962962962896</v>
      </c>
      <c r="G2813" s="83">
        <f t="shared" ca="1" si="23"/>
        <v>19</v>
      </c>
      <c r="H2813" s="83">
        <f ca="1">IFERROR(__xludf.DUMMYFUNCTION("""COMPUTED_VALUE"""),30)</f>
        <v>30</v>
      </c>
      <c r="I2813" s="83">
        <f ca="1">IFERROR(__xludf.DUMMYFUNCTION("""COMPUTED_VALUE"""),40)</f>
        <v>40</v>
      </c>
    </row>
    <row r="2814" spans="1:9">
      <c r="A2814" s="79">
        <v>602</v>
      </c>
      <c r="B2814" s="79">
        <v>6</v>
      </c>
      <c r="C2814" s="79">
        <v>605</v>
      </c>
      <c r="D2814" s="80">
        <v>43343.865046296298</v>
      </c>
      <c r="E2814" s="81">
        <f t="shared" ca="1" si="22"/>
        <v>43313</v>
      </c>
      <c r="F2814" s="82">
        <f ca="1">IFERROR(__xludf.DUMMYFUNCTION("""COMPUTED_VALUE"""),0.865046296296296)</f>
        <v>0.86504629629629604</v>
      </c>
      <c r="G2814" s="83">
        <f t="shared" ca="1" si="23"/>
        <v>19</v>
      </c>
      <c r="H2814" s="83">
        <f ca="1">IFERROR(__xludf.DUMMYFUNCTION("""COMPUTED_VALUE"""),45)</f>
        <v>45</v>
      </c>
      <c r="I2814" s="83">
        <f ca="1">IFERROR(__xludf.DUMMYFUNCTION("""COMPUTED_VALUE"""),40)</f>
        <v>40</v>
      </c>
    </row>
    <row r="2815" spans="1:9">
      <c r="A2815" s="79">
        <v>569</v>
      </c>
      <c r="B2815" s="79">
        <v>3</v>
      </c>
      <c r="C2815" s="79">
        <v>572</v>
      </c>
      <c r="D2815" s="80">
        <v>43343.875474537039</v>
      </c>
      <c r="E2815" s="81">
        <f t="shared" ca="1" si="22"/>
        <v>43313</v>
      </c>
      <c r="F2815" s="82">
        <f ca="1">IFERROR(__xludf.DUMMYFUNCTION("""COMPUTED_VALUE"""),0.875474537037037)</f>
        <v>0.87547453703703704</v>
      </c>
      <c r="G2815" s="83">
        <f t="shared" ca="1" si="23"/>
        <v>19</v>
      </c>
      <c r="H2815" s="83">
        <f ca="1">IFERROR(__xludf.DUMMYFUNCTION("""COMPUTED_VALUE"""),0)</f>
        <v>0</v>
      </c>
      <c r="I2815" s="83">
        <f ca="1">IFERROR(__xludf.DUMMYFUNCTION("""COMPUTED_VALUE"""),41)</f>
        <v>41</v>
      </c>
    </row>
    <row r="2816" spans="1:9">
      <c r="A2816" s="79">
        <v>668</v>
      </c>
      <c r="B2816" s="79">
        <v>2</v>
      </c>
      <c r="C2816" s="79">
        <v>670</v>
      </c>
      <c r="D2816" s="80">
        <v>43343.885879629626</v>
      </c>
      <c r="E2816" s="81">
        <f t="shared" ca="1" si="22"/>
        <v>43313</v>
      </c>
      <c r="F2816" s="82">
        <f ca="1">IFERROR(__xludf.DUMMYFUNCTION("""COMPUTED_VALUE"""),0.885879629629629)</f>
        <v>0.88587962962962896</v>
      </c>
      <c r="G2816" s="83">
        <f t="shared" ca="1" si="23"/>
        <v>19</v>
      </c>
      <c r="H2816" s="83">
        <f ca="1">IFERROR(__xludf.DUMMYFUNCTION("""COMPUTED_VALUE"""),15)</f>
        <v>15</v>
      </c>
      <c r="I2816" s="83">
        <f ca="1">IFERROR(__xludf.DUMMYFUNCTION("""COMPUTED_VALUE"""),40)</f>
        <v>40</v>
      </c>
    </row>
    <row r="2817" spans="1:9">
      <c r="A2817" s="79">
        <v>585</v>
      </c>
      <c r="B2817" s="79">
        <v>6</v>
      </c>
      <c r="C2817" s="79">
        <v>591</v>
      </c>
      <c r="D2817" s="80">
        <v>43343.896296296298</v>
      </c>
      <c r="E2817" s="81">
        <f t="shared" ca="1" si="22"/>
        <v>43313</v>
      </c>
      <c r="F2817" s="82">
        <f ca="1">IFERROR(__xludf.DUMMYFUNCTION("""COMPUTED_VALUE"""),0.896296296296296)</f>
        <v>0.89629629629629604</v>
      </c>
      <c r="G2817" s="83">
        <f t="shared" ca="1" si="23"/>
        <v>19</v>
      </c>
      <c r="H2817" s="83">
        <f ca="1">IFERROR(__xludf.DUMMYFUNCTION("""COMPUTED_VALUE"""),30)</f>
        <v>30</v>
      </c>
      <c r="I2817" s="83">
        <f ca="1">IFERROR(__xludf.DUMMYFUNCTION("""COMPUTED_VALUE"""),40)</f>
        <v>40</v>
      </c>
    </row>
    <row r="2818" spans="1:9">
      <c r="A2818" s="79">
        <v>577</v>
      </c>
      <c r="B2818" s="79">
        <v>8</v>
      </c>
      <c r="C2818" s="79">
        <v>585</v>
      </c>
      <c r="D2818" s="80">
        <v>43343.906712962962</v>
      </c>
      <c r="E2818" s="81">
        <f t="shared" ca="1" si="22"/>
        <v>43313</v>
      </c>
      <c r="F2818" s="82">
        <f ca="1">IFERROR(__xludf.DUMMYFUNCTION("""COMPUTED_VALUE"""),0.906712962962963)</f>
        <v>0.906712962962963</v>
      </c>
      <c r="G2818" s="83">
        <f t="shared" ca="1" si="23"/>
        <v>19</v>
      </c>
      <c r="H2818" s="83">
        <f ca="1">IFERROR(__xludf.DUMMYFUNCTION("""COMPUTED_VALUE"""),45)</f>
        <v>45</v>
      </c>
      <c r="I2818" s="83">
        <f ca="1">IFERROR(__xludf.DUMMYFUNCTION("""COMPUTED_VALUE"""),40)</f>
        <v>40</v>
      </c>
    </row>
    <row r="2819" spans="1:9">
      <c r="A2819" s="79">
        <v>522</v>
      </c>
      <c r="B2819" s="79">
        <v>4</v>
      </c>
      <c r="C2819" s="79">
        <v>526</v>
      </c>
      <c r="D2819" s="80">
        <v>43343.917129629626</v>
      </c>
      <c r="E2819" s="81">
        <f t="shared" ca="1" si="22"/>
        <v>43313</v>
      </c>
      <c r="F2819" s="82">
        <f ca="1">IFERROR(__xludf.DUMMYFUNCTION("""COMPUTED_VALUE"""),0.917129629629629)</f>
        <v>0.91712962962962896</v>
      </c>
      <c r="G2819" s="83">
        <f t="shared" ca="1" si="23"/>
        <v>19</v>
      </c>
      <c r="H2819" s="83">
        <f ca="1">IFERROR(__xludf.DUMMYFUNCTION("""COMPUTED_VALUE"""),0)</f>
        <v>0</v>
      </c>
      <c r="I2819" s="83">
        <f ca="1">IFERROR(__xludf.DUMMYFUNCTION("""COMPUTED_VALUE"""),40)</f>
        <v>40</v>
      </c>
    </row>
    <row r="2820" spans="1:9">
      <c r="A2820" s="79">
        <v>568</v>
      </c>
      <c r="B2820" s="79">
        <v>5</v>
      </c>
      <c r="C2820" s="79">
        <v>571</v>
      </c>
      <c r="D2820" s="80">
        <v>43343.927546296298</v>
      </c>
      <c r="E2820" s="81">
        <f t="shared" ca="1" si="22"/>
        <v>43313</v>
      </c>
      <c r="F2820" s="82">
        <f ca="1">IFERROR(__xludf.DUMMYFUNCTION("""COMPUTED_VALUE"""),0.927546296296296)</f>
        <v>0.92754629629629604</v>
      </c>
      <c r="G2820" s="83">
        <f t="shared" ca="1" si="23"/>
        <v>19</v>
      </c>
      <c r="H2820" s="83">
        <f ca="1">IFERROR(__xludf.DUMMYFUNCTION("""COMPUTED_VALUE"""),15)</f>
        <v>15</v>
      </c>
      <c r="I2820" s="83">
        <f ca="1">IFERROR(__xludf.DUMMYFUNCTION("""COMPUTED_VALUE"""),40)</f>
        <v>40</v>
      </c>
    </row>
    <row r="2821" spans="1:9">
      <c r="A2821" s="79">
        <v>584</v>
      </c>
      <c r="B2821" s="79">
        <v>2</v>
      </c>
      <c r="C2821" s="79">
        <v>586</v>
      </c>
      <c r="D2821" s="80">
        <v>43343.937962962962</v>
      </c>
      <c r="E2821" s="81">
        <f t="shared" ca="1" si="22"/>
        <v>43313</v>
      </c>
      <c r="F2821" s="82">
        <f ca="1">IFERROR(__xludf.DUMMYFUNCTION("""COMPUTED_VALUE"""),0.937962962962963)</f>
        <v>0.937962962962963</v>
      </c>
      <c r="G2821" s="83">
        <f t="shared" ca="1" si="23"/>
        <v>19</v>
      </c>
      <c r="H2821" s="83">
        <f ca="1">IFERROR(__xludf.DUMMYFUNCTION("""COMPUTED_VALUE"""),30)</f>
        <v>30</v>
      </c>
      <c r="I2821" s="83">
        <f ca="1">IFERROR(__xludf.DUMMYFUNCTION("""COMPUTED_VALUE"""),40)</f>
        <v>40</v>
      </c>
    </row>
    <row r="2822" spans="1:9">
      <c r="A2822" s="79">
        <v>553</v>
      </c>
      <c r="B2822" s="79">
        <v>3</v>
      </c>
      <c r="C2822" s="79">
        <v>556</v>
      </c>
      <c r="D2822" s="80">
        <v>43343.948368055557</v>
      </c>
      <c r="E2822" s="81">
        <f t="shared" ca="1" si="22"/>
        <v>43313</v>
      </c>
      <c r="F2822" s="82">
        <f ca="1">IFERROR(__xludf.DUMMYFUNCTION("""COMPUTED_VALUE"""),0.948368055555555)</f>
        <v>0.94836805555555503</v>
      </c>
      <c r="G2822" s="83">
        <f t="shared" ca="1" si="23"/>
        <v>19</v>
      </c>
      <c r="H2822" s="83">
        <f ca="1">IFERROR(__xludf.DUMMYFUNCTION("""COMPUTED_VALUE"""),45)</f>
        <v>45</v>
      </c>
      <c r="I2822" s="83">
        <f ca="1">IFERROR(__xludf.DUMMYFUNCTION("""COMPUTED_VALUE"""),39)</f>
        <v>39</v>
      </c>
    </row>
    <row r="2823" spans="1:9">
      <c r="A2823" s="79">
        <v>502</v>
      </c>
      <c r="B2823" s="79">
        <v>3</v>
      </c>
      <c r="C2823" s="79">
        <v>505</v>
      </c>
      <c r="D2823" s="80">
        <v>43343.958796296298</v>
      </c>
      <c r="E2823" s="81">
        <f t="shared" ca="1" si="22"/>
        <v>43313</v>
      </c>
      <c r="F2823" s="82">
        <f ca="1">IFERROR(__xludf.DUMMYFUNCTION("""COMPUTED_VALUE"""),0.958796296296296)</f>
        <v>0.95879629629629604</v>
      </c>
      <c r="G2823" s="83">
        <f t="shared" ca="1" si="23"/>
        <v>19</v>
      </c>
      <c r="H2823" s="83">
        <f ca="1">IFERROR(__xludf.DUMMYFUNCTION("""COMPUTED_VALUE"""),0)</f>
        <v>0</v>
      </c>
      <c r="I2823" s="83">
        <f ca="1">IFERROR(__xludf.DUMMYFUNCTION("""COMPUTED_VALUE"""),40)</f>
        <v>40</v>
      </c>
    </row>
    <row r="2824" spans="1:9">
      <c r="A2824" s="79">
        <v>486</v>
      </c>
      <c r="B2824" s="79">
        <v>2</v>
      </c>
      <c r="C2824" s="79">
        <v>488</v>
      </c>
      <c r="D2824" s="80">
        <v>43343.969212962962</v>
      </c>
      <c r="E2824" s="81">
        <f t="shared" ca="1" si="22"/>
        <v>43313</v>
      </c>
      <c r="F2824" s="82">
        <f ca="1">IFERROR(__xludf.DUMMYFUNCTION("""COMPUTED_VALUE"""),0.969212962962963)</f>
        <v>0.969212962962963</v>
      </c>
      <c r="G2824" s="83">
        <f t="shared" ca="1" si="23"/>
        <v>19</v>
      </c>
      <c r="H2824" s="83">
        <f ca="1">IFERROR(__xludf.DUMMYFUNCTION("""COMPUTED_VALUE"""),15)</f>
        <v>15</v>
      </c>
      <c r="I2824" s="83">
        <f ca="1">IFERROR(__xludf.DUMMYFUNCTION("""COMPUTED_VALUE"""),40)</f>
        <v>40</v>
      </c>
    </row>
    <row r="2825" spans="1:9">
      <c r="A2825" s="79">
        <v>425</v>
      </c>
      <c r="B2825" s="79">
        <v>4</v>
      </c>
      <c r="C2825" s="79">
        <v>429</v>
      </c>
      <c r="D2825" s="80">
        <v>43343.979629629626</v>
      </c>
      <c r="E2825" s="81">
        <f t="shared" ca="1" si="22"/>
        <v>43313</v>
      </c>
      <c r="F2825" s="82">
        <f ca="1">IFERROR(__xludf.DUMMYFUNCTION("""COMPUTED_VALUE"""),0.979629629629629)</f>
        <v>0.97962962962962896</v>
      </c>
      <c r="G2825" s="83">
        <f t="shared" ca="1" si="23"/>
        <v>19</v>
      </c>
      <c r="H2825" s="83">
        <f ca="1">IFERROR(__xludf.DUMMYFUNCTION("""COMPUTED_VALUE"""),30)</f>
        <v>30</v>
      </c>
      <c r="I2825" s="83">
        <f ca="1">IFERROR(__xludf.DUMMYFUNCTION("""COMPUTED_VALUE"""),40)</f>
        <v>40</v>
      </c>
    </row>
    <row r="2826" spans="1:9">
      <c r="A2826" s="79">
        <v>399</v>
      </c>
      <c r="B2826" s="79">
        <v>4</v>
      </c>
      <c r="C2826" s="79">
        <v>401</v>
      </c>
      <c r="D2826" s="80">
        <v>43343.990046296298</v>
      </c>
      <c r="E2826" s="81">
        <f t="shared" ca="1" si="22"/>
        <v>43313</v>
      </c>
      <c r="F2826" s="82">
        <f ca="1">IFERROR(__xludf.DUMMYFUNCTION("""COMPUTED_VALUE"""),0.990046296296296)</f>
        <v>0.99004629629629604</v>
      </c>
      <c r="G2826" s="83">
        <f t="shared" ca="1" si="23"/>
        <v>19</v>
      </c>
      <c r="H2826" s="83">
        <f ca="1">IFERROR(__xludf.DUMMYFUNCTION("""COMPUTED_VALUE"""),45)</f>
        <v>45</v>
      </c>
      <c r="I2826" s="83">
        <f ca="1">IFERROR(__xludf.DUMMYFUNCTION("""COMPUTED_VALUE"""),40)</f>
        <v>40</v>
      </c>
    </row>
    <row r="2827" spans="1:9">
      <c r="A2827" s="79">
        <v>355</v>
      </c>
      <c r="B2827" s="79">
        <v>4</v>
      </c>
      <c r="C2827" s="79">
        <v>359</v>
      </c>
      <c r="D2827" s="80">
        <v>43344.000462962962</v>
      </c>
      <c r="E2827" s="81">
        <f t="shared" ca="1" si="22"/>
        <v>43313</v>
      </c>
      <c r="F2827" s="82">
        <f ca="1">IFERROR(__xludf.DUMMYFUNCTION("""COMPUTED_VALUE"""),0.000462962962962963)</f>
        <v>4.6296296296296298E-4</v>
      </c>
      <c r="G2827" s="83">
        <f t="shared" ca="1" si="23"/>
        <v>19</v>
      </c>
      <c r="H2827" s="83">
        <f ca="1">IFERROR(__xludf.DUMMYFUNCTION("""COMPUTED_VALUE"""),0)</f>
        <v>0</v>
      </c>
      <c r="I2827" s="83">
        <f ca="1">IFERROR(__xludf.DUMMYFUNCTION("""COMPUTED_VALUE"""),40)</f>
        <v>40</v>
      </c>
    </row>
    <row r="2828" spans="1:9">
      <c r="A2828" s="79">
        <v>353</v>
      </c>
      <c r="B2828" s="79">
        <v>3</v>
      </c>
      <c r="C2828" s="79">
        <v>356</v>
      </c>
      <c r="D2828" s="80">
        <v>43344.010868055557</v>
      </c>
      <c r="E2828" s="81">
        <f t="shared" ca="1" si="22"/>
        <v>43313</v>
      </c>
      <c r="F2828" s="82">
        <f ca="1">IFERROR(__xludf.DUMMYFUNCTION("""COMPUTED_VALUE"""),0.0108680555555555)</f>
        <v>1.0868055555555501E-2</v>
      </c>
      <c r="G2828" s="83">
        <f t="shared" ca="1" si="23"/>
        <v>19</v>
      </c>
      <c r="H2828" s="83">
        <f ca="1">IFERROR(__xludf.DUMMYFUNCTION("""COMPUTED_VALUE"""),15)</f>
        <v>15</v>
      </c>
      <c r="I2828" s="83">
        <f ca="1">IFERROR(__xludf.DUMMYFUNCTION("""COMPUTED_VALUE"""),39)</f>
        <v>39</v>
      </c>
    </row>
    <row r="2829" spans="1:9">
      <c r="A2829" s="79">
        <v>284</v>
      </c>
      <c r="B2829" s="79">
        <v>6</v>
      </c>
      <c r="C2829" s="79">
        <v>290</v>
      </c>
      <c r="D2829" s="80">
        <v>43344.021296296298</v>
      </c>
      <c r="E2829" s="81">
        <f t="shared" ca="1" si="22"/>
        <v>43313</v>
      </c>
      <c r="F2829" s="82">
        <f ca="1">IFERROR(__xludf.DUMMYFUNCTION("""COMPUTED_VALUE"""),0.0212962962962962)</f>
        <v>2.1296296296296199E-2</v>
      </c>
      <c r="G2829" s="83">
        <f t="shared" ca="1" si="23"/>
        <v>19</v>
      </c>
      <c r="H2829" s="83">
        <f ca="1">IFERROR(__xludf.DUMMYFUNCTION("""COMPUTED_VALUE"""),30)</f>
        <v>30</v>
      </c>
      <c r="I2829" s="83">
        <f ca="1">IFERROR(__xludf.DUMMYFUNCTION("""COMPUTED_VALUE"""),40)</f>
        <v>40</v>
      </c>
    </row>
    <row r="2830" spans="1:9">
      <c r="A2830" s="79">
        <v>252</v>
      </c>
      <c r="B2830" s="79">
        <v>3</v>
      </c>
      <c r="C2830" s="79">
        <v>255</v>
      </c>
      <c r="D2830" s="80">
        <v>43344.031701388885</v>
      </c>
      <c r="E2830" s="81">
        <f t="shared" ca="1" si="22"/>
        <v>43313</v>
      </c>
      <c r="F2830" s="82">
        <f ca="1">IFERROR(__xludf.DUMMYFUNCTION("""COMPUTED_VALUE"""),0.0317013888888888)</f>
        <v>3.17013888888888E-2</v>
      </c>
      <c r="G2830" s="83">
        <f t="shared" ca="1" si="23"/>
        <v>19</v>
      </c>
      <c r="H2830" s="83">
        <f ca="1">IFERROR(__xludf.DUMMYFUNCTION("""COMPUTED_VALUE"""),45)</f>
        <v>45</v>
      </c>
      <c r="I2830" s="83">
        <f ca="1">IFERROR(__xludf.DUMMYFUNCTION("""COMPUTED_VALUE"""),39)</f>
        <v>39</v>
      </c>
    </row>
    <row r="2831" spans="1:9">
      <c r="A2831" s="79">
        <v>252</v>
      </c>
      <c r="B2831" s="79">
        <v>5</v>
      </c>
      <c r="C2831" s="79">
        <v>257</v>
      </c>
      <c r="D2831" s="80">
        <v>43344.042129629626</v>
      </c>
      <c r="E2831" s="81">
        <f t="shared" ca="1" si="22"/>
        <v>43313</v>
      </c>
      <c r="F2831" s="82">
        <f ca="1">IFERROR(__xludf.DUMMYFUNCTION("""COMPUTED_VALUE"""),0.0421296296296296)</f>
        <v>4.21296296296296E-2</v>
      </c>
      <c r="G2831" s="83">
        <f t="shared" ca="1" si="23"/>
        <v>19</v>
      </c>
      <c r="H2831" s="83">
        <f ca="1">IFERROR(__xludf.DUMMYFUNCTION("""COMPUTED_VALUE"""),0)</f>
        <v>0</v>
      </c>
      <c r="I2831" s="83">
        <f ca="1">IFERROR(__xludf.DUMMYFUNCTION("""COMPUTED_VALUE"""),40)</f>
        <v>40</v>
      </c>
    </row>
    <row r="2832" spans="1:9">
      <c r="A2832" s="79">
        <v>308</v>
      </c>
      <c r="B2832" s="79">
        <v>4</v>
      </c>
      <c r="C2832" s="79">
        <v>312</v>
      </c>
      <c r="D2832" s="80">
        <v>43344.052546296298</v>
      </c>
      <c r="E2832" s="81">
        <f t="shared" ca="1" si="22"/>
        <v>43313</v>
      </c>
      <c r="F2832" s="82">
        <f ca="1">IFERROR(__xludf.DUMMYFUNCTION("""COMPUTED_VALUE"""),0.0525462962962963)</f>
        <v>5.2546296296296299E-2</v>
      </c>
      <c r="G2832" s="83">
        <f t="shared" ca="1" si="23"/>
        <v>19</v>
      </c>
      <c r="H2832" s="83">
        <f ca="1">IFERROR(__xludf.DUMMYFUNCTION("""COMPUTED_VALUE"""),15)</f>
        <v>15</v>
      </c>
      <c r="I2832" s="83">
        <f ca="1">IFERROR(__xludf.DUMMYFUNCTION("""COMPUTED_VALUE"""),40)</f>
        <v>40</v>
      </c>
    </row>
    <row r="2833" spans="1:9">
      <c r="A2833" s="79">
        <v>309</v>
      </c>
      <c r="B2833" s="79">
        <v>2</v>
      </c>
      <c r="C2833" s="79">
        <v>311</v>
      </c>
      <c r="D2833" s="80">
        <v>43344.062951388885</v>
      </c>
      <c r="E2833" s="81">
        <f t="shared" ca="1" si="22"/>
        <v>43313</v>
      </c>
      <c r="F2833" s="82">
        <f ca="1">IFERROR(__xludf.DUMMYFUNCTION("""COMPUTED_VALUE"""),0.0629513888888888)</f>
        <v>6.2951388888888807E-2</v>
      </c>
      <c r="G2833" s="83">
        <f t="shared" ca="1" si="23"/>
        <v>19</v>
      </c>
      <c r="H2833" s="83">
        <f ca="1">IFERROR(__xludf.DUMMYFUNCTION("""COMPUTED_VALUE"""),30)</f>
        <v>30</v>
      </c>
      <c r="I2833" s="83">
        <f ca="1">IFERROR(__xludf.DUMMYFUNCTION("""COMPUTED_VALUE"""),39)</f>
        <v>39</v>
      </c>
    </row>
    <row r="2834" spans="1:9">
      <c r="A2834" s="79">
        <v>269</v>
      </c>
      <c r="B2834" s="79">
        <v>5</v>
      </c>
      <c r="C2834" s="79">
        <v>274</v>
      </c>
      <c r="D2834" s="80">
        <v>43344.073379629626</v>
      </c>
      <c r="E2834" s="81">
        <f t="shared" ca="1" si="22"/>
        <v>43313</v>
      </c>
      <c r="F2834" s="82">
        <f ca="1">IFERROR(__xludf.DUMMYFUNCTION("""COMPUTED_VALUE"""),0.0733796296296296)</f>
        <v>7.33796296296296E-2</v>
      </c>
      <c r="G2834" s="83">
        <f t="shared" ca="1" si="23"/>
        <v>19</v>
      </c>
      <c r="H2834" s="83">
        <f ca="1">IFERROR(__xludf.DUMMYFUNCTION("""COMPUTED_VALUE"""),45)</f>
        <v>45</v>
      </c>
      <c r="I2834" s="83">
        <f ca="1">IFERROR(__xludf.DUMMYFUNCTION("""COMPUTED_VALUE"""),40)</f>
        <v>40</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8:N23"/>
  <sheetViews>
    <sheetView topLeftCell="A2" zoomScale="150" zoomScaleNormal="150" zoomScalePageLayoutView="150" workbookViewId="0">
      <selection activeCell="D25" sqref="D25"/>
    </sheetView>
  </sheetViews>
  <sheetFormatPr baseColWidth="10" defaultRowHeight="15" x14ac:dyDescent="0"/>
  <cols>
    <col min="4" max="4" width="15.83203125" bestFit="1" customWidth="1"/>
    <col min="6" max="6" width="15.1640625" bestFit="1" customWidth="1"/>
    <col min="7" max="7" width="17.1640625" bestFit="1" customWidth="1"/>
    <col min="8" max="8" width="9.5" customWidth="1"/>
    <col min="9" max="9" width="15.33203125" bestFit="1" customWidth="1"/>
    <col min="10" max="10" width="15.33203125" customWidth="1"/>
    <col min="11" max="11" width="14.1640625" bestFit="1" customWidth="1"/>
    <col min="12" max="12" width="12.33203125" customWidth="1"/>
    <col min="13" max="13" width="8.6640625" bestFit="1" customWidth="1"/>
    <col min="14" max="14" width="20.1640625" bestFit="1" customWidth="1"/>
  </cols>
  <sheetData>
    <row r="8" spans="3:14">
      <c r="F8" s="63" t="s">
        <v>84</v>
      </c>
      <c r="G8" s="63"/>
      <c r="H8" s="63"/>
      <c r="I8" s="63"/>
      <c r="J8" s="63"/>
      <c r="K8" s="63" t="s">
        <v>85</v>
      </c>
      <c r="L8" s="63" t="s">
        <v>86</v>
      </c>
      <c r="M8" s="63" t="s">
        <v>87</v>
      </c>
      <c r="N8" s="63" t="s">
        <v>86</v>
      </c>
    </row>
    <row r="9" spans="3:14">
      <c r="F9" s="64" t="s">
        <v>88</v>
      </c>
      <c r="G9" s="64"/>
      <c r="H9" s="64"/>
      <c r="I9" s="64"/>
      <c r="J9" s="64"/>
      <c r="K9" s="65" t="s">
        <v>89</v>
      </c>
      <c r="L9" s="65" t="s">
        <v>90</v>
      </c>
      <c r="M9" s="65" t="s">
        <v>91</v>
      </c>
      <c r="N9" s="65" t="s">
        <v>92</v>
      </c>
    </row>
    <row r="13" spans="3:14">
      <c r="D13" s="73" t="s">
        <v>110</v>
      </c>
      <c r="E13" s="73"/>
      <c r="F13" t="s">
        <v>107</v>
      </c>
      <c r="J13" s="73" t="s">
        <v>110</v>
      </c>
      <c r="K13" s="73"/>
      <c r="L13" t="s">
        <v>109</v>
      </c>
    </row>
    <row r="14" spans="3:14">
      <c r="C14" t="s">
        <v>104</v>
      </c>
      <c r="D14" t="s">
        <v>105</v>
      </c>
      <c r="E14" t="s">
        <v>100</v>
      </c>
      <c r="F14" t="s">
        <v>106</v>
      </c>
      <c r="G14" t="s">
        <v>108</v>
      </c>
      <c r="I14" t="s">
        <v>104</v>
      </c>
      <c r="J14" t="s">
        <v>105</v>
      </c>
      <c r="K14" t="s">
        <v>101</v>
      </c>
      <c r="L14" t="s">
        <v>106</v>
      </c>
      <c r="M14" t="s">
        <v>108</v>
      </c>
    </row>
    <row r="15" spans="3:14">
      <c r="C15" t="s">
        <v>93</v>
      </c>
      <c r="D15" s="67">
        <f>E15*100/E22</f>
        <v>16.095246841576465</v>
      </c>
      <c r="E15" s="68">
        <v>117424</v>
      </c>
      <c r="F15" s="68">
        <v>1614</v>
      </c>
      <c r="G15" s="18">
        <f>+F15*100/E15</f>
        <v>1.3745060634963893</v>
      </c>
      <c r="H15" s="18"/>
      <c r="I15" t="s">
        <v>93</v>
      </c>
      <c r="J15" s="67">
        <f>K15*100/K$22</f>
        <v>16.252064737231528</v>
      </c>
      <c r="K15" s="68">
        <v>140797</v>
      </c>
      <c r="L15" s="68">
        <v>1510</v>
      </c>
      <c r="M15" s="18">
        <f>+L15*100/K15</f>
        <v>1.0724660326569457</v>
      </c>
    </row>
    <row r="16" spans="3:14">
      <c r="C16" t="s">
        <v>94</v>
      </c>
      <c r="D16" s="67">
        <f>(E16*100)/E$22</f>
        <v>17.278841817705814</v>
      </c>
      <c r="E16" s="68">
        <v>126059</v>
      </c>
      <c r="F16" s="68">
        <v>1651</v>
      </c>
      <c r="G16" s="18">
        <f t="shared" ref="G16:G22" si="0">+F16*100/E16</f>
        <v>1.3097041861350638</v>
      </c>
      <c r="H16" s="18"/>
      <c r="I16" t="s">
        <v>94</v>
      </c>
      <c r="J16" s="67">
        <f t="shared" ref="J16:J22" si="1">K16*100/K$22</f>
        <v>14.461875514380729</v>
      </c>
      <c r="K16" s="68">
        <v>125288</v>
      </c>
      <c r="L16" s="68">
        <v>1283</v>
      </c>
      <c r="M16" s="18">
        <f t="shared" ref="M16:M22" si="2">+L16*100/K16</f>
        <v>1.0240406104335611</v>
      </c>
    </row>
    <row r="17" spans="3:13">
      <c r="C17" t="s">
        <v>95</v>
      </c>
      <c r="D17" s="67">
        <f t="shared" ref="D17:D22" si="3">(E17*100)/E$22</f>
        <v>16.734675974598282</v>
      </c>
      <c r="E17" s="68">
        <v>122089</v>
      </c>
      <c r="F17" s="68">
        <v>1649</v>
      </c>
      <c r="G17" s="18">
        <f t="shared" si="0"/>
        <v>1.3506540310756907</v>
      </c>
      <c r="H17" s="18"/>
      <c r="I17" t="s">
        <v>95</v>
      </c>
      <c r="J17" s="67">
        <f t="shared" si="1"/>
        <v>14.724938332027062</v>
      </c>
      <c r="K17" s="68">
        <v>127567</v>
      </c>
      <c r="L17" s="68">
        <v>1683</v>
      </c>
      <c r="M17" s="18">
        <f t="shared" si="2"/>
        <v>1.3193067172544624</v>
      </c>
    </row>
    <row r="18" spans="3:13">
      <c r="C18" t="s">
        <v>96</v>
      </c>
      <c r="D18" s="67">
        <f t="shared" si="3"/>
        <v>15.252406597428303</v>
      </c>
      <c r="E18" s="68">
        <v>111275</v>
      </c>
      <c r="F18" s="68">
        <v>1540</v>
      </c>
      <c r="G18" s="18">
        <f t="shared" si="0"/>
        <v>1.3839586609750618</v>
      </c>
      <c r="H18" s="18"/>
      <c r="I18" t="s">
        <v>96</v>
      </c>
      <c r="J18" s="67">
        <f t="shared" si="1"/>
        <v>14.89046359771589</v>
      </c>
      <c r="K18" s="68">
        <v>129001</v>
      </c>
      <c r="L18" s="68">
        <v>1336</v>
      </c>
      <c r="M18" s="18">
        <f t="shared" si="2"/>
        <v>1.0356508864272369</v>
      </c>
    </row>
    <row r="19" spans="3:13">
      <c r="C19" t="s">
        <v>97</v>
      </c>
      <c r="D19" s="67">
        <f t="shared" si="3"/>
        <v>10.479647237981405</v>
      </c>
      <c r="E19" s="68">
        <v>76455</v>
      </c>
      <c r="F19" s="68">
        <v>1169</v>
      </c>
      <c r="G19" s="18">
        <f t="shared" si="0"/>
        <v>1.5290039892747367</v>
      </c>
      <c r="H19" s="18"/>
      <c r="I19" t="s">
        <v>97</v>
      </c>
      <c r="J19" s="67">
        <f t="shared" si="1"/>
        <v>14.56149078933851</v>
      </c>
      <c r="K19" s="68">
        <v>126151</v>
      </c>
      <c r="L19" s="68">
        <v>1280</v>
      </c>
      <c r="M19" s="18">
        <f t="shared" si="2"/>
        <v>1.01465703799415</v>
      </c>
    </row>
    <row r="20" spans="3:13">
      <c r="C20" t="s">
        <v>98</v>
      </c>
      <c r="D20" s="67">
        <f t="shared" si="3"/>
        <v>12.672758948238451</v>
      </c>
      <c r="E20" s="68">
        <v>92455</v>
      </c>
      <c r="F20" s="68">
        <v>3089</v>
      </c>
      <c r="G20" s="18">
        <f t="shared" si="0"/>
        <v>3.3410848520902059</v>
      </c>
      <c r="H20" s="18"/>
      <c r="I20" t="s">
        <v>98</v>
      </c>
      <c r="J20" s="67">
        <f t="shared" si="1"/>
        <v>12.832132678773636</v>
      </c>
      <c r="K20" s="68">
        <v>111169</v>
      </c>
      <c r="L20" s="68">
        <v>953</v>
      </c>
      <c r="M20" s="18">
        <f t="shared" si="2"/>
        <v>0.85725337099371224</v>
      </c>
    </row>
    <row r="21" spans="3:13">
      <c r="C21" t="s">
        <v>99</v>
      </c>
      <c r="D21" s="67">
        <f t="shared" si="3"/>
        <v>11.486422582471281</v>
      </c>
      <c r="E21" s="68">
        <v>83800</v>
      </c>
      <c r="F21" s="68">
        <v>936</v>
      </c>
      <c r="G21" s="18">
        <f t="shared" si="0"/>
        <v>1.1169451073985681</v>
      </c>
      <c r="H21" s="18"/>
      <c r="I21" t="s">
        <v>99</v>
      </c>
      <c r="J21" s="67">
        <f t="shared" si="1"/>
        <v>12.277034350532647</v>
      </c>
      <c r="K21" s="68">
        <v>106360</v>
      </c>
      <c r="L21" s="68">
        <v>905</v>
      </c>
      <c r="M21" s="18">
        <f t="shared" si="2"/>
        <v>0.85088379089883415</v>
      </c>
    </row>
    <row r="22" spans="3:13">
      <c r="C22" t="s">
        <v>102</v>
      </c>
      <c r="D22" s="67">
        <f t="shared" si="3"/>
        <v>100</v>
      </c>
      <c r="E22" s="66">
        <f>SUM(E15:E21)</f>
        <v>729557</v>
      </c>
      <c r="F22" s="66">
        <f>SUM(F15:F21)</f>
        <v>11648</v>
      </c>
      <c r="G22" s="18">
        <f t="shared" si="0"/>
        <v>1.5965853250671298</v>
      </c>
      <c r="H22" s="18"/>
      <c r="I22" t="s">
        <v>102</v>
      </c>
      <c r="J22" s="67">
        <f t="shared" si="1"/>
        <v>100</v>
      </c>
      <c r="K22" s="66">
        <f>SUM(K15:K21)</f>
        <v>866333</v>
      </c>
      <c r="L22" s="66">
        <f>SUM(L15:L21)</f>
        <v>8950</v>
      </c>
      <c r="M22" s="18">
        <f t="shared" si="2"/>
        <v>1.0330900473605416</v>
      </c>
    </row>
    <row r="23" spans="3:13">
      <c r="C23" t="s">
        <v>103</v>
      </c>
      <c r="E23" s="67">
        <f>+F22*100/E22</f>
        <v>1.5965853250671298</v>
      </c>
      <c r="I23" t="s">
        <v>103</v>
      </c>
      <c r="K23" s="67">
        <f>+L22*100/K22</f>
        <v>1.0330900473605416</v>
      </c>
    </row>
  </sheetData>
  <sortState ref="E15:F22">
    <sortCondition sortBy="cellColor" ref="F15"/>
  </sortState>
  <mergeCells count="2">
    <mergeCell ref="D13:E13"/>
    <mergeCell ref="J13:K1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S63"/>
  <sheetViews>
    <sheetView showGridLines="0" topLeftCell="A7" workbookViewId="0">
      <selection activeCell="G37" sqref="G37"/>
    </sheetView>
  </sheetViews>
  <sheetFormatPr baseColWidth="10" defaultRowHeight="15" x14ac:dyDescent="0"/>
  <cols>
    <col min="1" max="1" width="11.5" style="1" bestFit="1" customWidth="1"/>
    <col min="2" max="2" width="14.6640625" style="1" customWidth="1"/>
    <col min="3" max="3" width="18.83203125" style="1" bestFit="1" customWidth="1"/>
    <col min="4" max="4" width="20.33203125" style="1" customWidth="1"/>
    <col min="5" max="5" width="17.6640625" style="1" bestFit="1" customWidth="1"/>
    <col min="6" max="6" width="17.6640625" style="1" customWidth="1"/>
    <col min="7" max="7" width="10.83203125" style="1"/>
    <col min="8" max="8" width="17.5" style="1" bestFit="1" customWidth="1"/>
    <col min="9" max="9" width="12.83203125" style="1" bestFit="1" customWidth="1"/>
    <col min="10" max="10" width="17.5" style="1" bestFit="1" customWidth="1"/>
    <col min="11" max="11" width="17.33203125" style="1" bestFit="1" customWidth="1"/>
    <col min="12" max="13" width="6.83203125" style="1" customWidth="1"/>
    <col min="14" max="14" width="14.33203125" style="1" bestFit="1" customWidth="1"/>
    <col min="15" max="15" width="10.83203125" style="1"/>
    <col min="16" max="17" width="17.6640625" style="1" bestFit="1" customWidth="1"/>
    <col min="18" max="16384" width="10.83203125" style="1"/>
  </cols>
  <sheetData>
    <row r="2" spans="2:45">
      <c r="B2" s="1" t="s">
        <v>0</v>
      </c>
      <c r="C2" s="1" t="s">
        <v>78</v>
      </c>
      <c r="H2" s="1" t="s">
        <v>1</v>
      </c>
      <c r="N2" s="2" t="s">
        <v>2</v>
      </c>
      <c r="O2" s="1" t="s">
        <v>79</v>
      </c>
    </row>
    <row r="3" spans="2:45" ht="18">
      <c r="B3" s="3" t="s">
        <v>3</v>
      </c>
      <c r="C3" s="4" t="s">
        <v>0</v>
      </c>
      <c r="D3" s="4" t="s">
        <v>4</v>
      </c>
      <c r="E3" s="5" t="s">
        <v>5</v>
      </c>
      <c r="F3" s="69"/>
      <c r="H3" s="6" t="s">
        <v>3</v>
      </c>
      <c r="I3" s="7" t="s">
        <v>6</v>
      </c>
      <c r="J3" s="7" t="s">
        <v>7</v>
      </c>
      <c r="K3" s="7" t="s">
        <v>8</v>
      </c>
      <c r="L3" s="8" t="s">
        <v>9</v>
      </c>
      <c r="N3" s="3" t="s">
        <v>3</v>
      </c>
      <c r="O3" s="4" t="s">
        <v>0</v>
      </c>
      <c r="P3" s="4" t="s">
        <v>4</v>
      </c>
      <c r="Q3" s="5" t="s">
        <v>5</v>
      </c>
      <c r="R3" s="9" t="s">
        <v>9</v>
      </c>
      <c r="AH3"/>
      <c r="AI3" t="s">
        <v>10</v>
      </c>
      <c r="AJ3" t="s">
        <v>11</v>
      </c>
      <c r="AK3" t="s">
        <v>12</v>
      </c>
      <c r="AL3" t="s">
        <v>9</v>
      </c>
      <c r="AM3"/>
      <c r="AN3" t="s">
        <v>10</v>
      </c>
      <c r="AO3" t="s">
        <v>13</v>
      </c>
      <c r="AP3" t="s">
        <v>14</v>
      </c>
      <c r="AQ3" t="s">
        <v>15</v>
      </c>
      <c r="AR3" t="s">
        <v>9</v>
      </c>
      <c r="AS3"/>
    </row>
    <row r="4" spans="2:45" ht="18">
      <c r="B4" s="10" t="s">
        <v>16</v>
      </c>
      <c r="C4" s="11">
        <v>43313</v>
      </c>
      <c r="D4" s="12">
        <v>12569</v>
      </c>
      <c r="E4" s="13">
        <v>147</v>
      </c>
      <c r="F4" s="12">
        <v>12569</v>
      </c>
      <c r="G4" s="1">
        <f t="shared" ref="G4:G20" si="0">E4</f>
        <v>147</v>
      </c>
      <c r="H4" s="14" t="s">
        <v>17</v>
      </c>
      <c r="I4" s="15">
        <v>43344</v>
      </c>
      <c r="J4" s="16">
        <v>23483</v>
      </c>
      <c r="K4" s="16">
        <v>194</v>
      </c>
      <c r="L4" s="17">
        <f>+K4*100/J4</f>
        <v>0.82612954051867304</v>
      </c>
      <c r="M4" s="18"/>
      <c r="N4" s="19" t="s">
        <v>17</v>
      </c>
      <c r="O4" s="20">
        <v>43316</v>
      </c>
      <c r="P4" s="21">
        <v>24125</v>
      </c>
      <c r="Q4" s="21">
        <v>197</v>
      </c>
      <c r="R4" s="22">
        <f>+Q4*100/P4</f>
        <v>0.81658031088082905</v>
      </c>
      <c r="AH4" t="s">
        <v>17</v>
      </c>
      <c r="AI4" s="23">
        <v>43344</v>
      </c>
      <c r="AJ4">
        <v>23483</v>
      </c>
      <c r="AK4">
        <v>194</v>
      </c>
      <c r="AL4" s="18">
        <v>0.82612954051867304</v>
      </c>
      <c r="AM4" s="18"/>
      <c r="AN4" t="s">
        <v>17</v>
      </c>
      <c r="AO4" s="23">
        <v>43316</v>
      </c>
      <c r="AP4">
        <v>24125</v>
      </c>
      <c r="AQ4">
        <v>197</v>
      </c>
      <c r="AR4" s="18">
        <v>0.81658031088082905</v>
      </c>
      <c r="AS4"/>
    </row>
    <row r="5" spans="2:45" ht="18">
      <c r="B5" s="24" t="s">
        <v>18</v>
      </c>
      <c r="C5" s="25">
        <v>43314</v>
      </c>
      <c r="D5" s="26">
        <v>36294</v>
      </c>
      <c r="E5" s="27">
        <v>401</v>
      </c>
      <c r="F5" s="26">
        <v>36294</v>
      </c>
      <c r="G5" s="1">
        <f t="shared" si="0"/>
        <v>401</v>
      </c>
      <c r="H5" s="14" t="s">
        <v>19</v>
      </c>
      <c r="I5" s="15">
        <v>43345</v>
      </c>
      <c r="J5" s="16">
        <v>25064</v>
      </c>
      <c r="K5" s="16">
        <v>309</v>
      </c>
      <c r="L5" s="17">
        <f t="shared" ref="L5:L31" si="1">+K5*100/J5</f>
        <v>1.2328439195659113</v>
      </c>
      <c r="M5" s="18"/>
      <c r="N5" s="14" t="s">
        <v>19</v>
      </c>
      <c r="O5" s="15">
        <v>43317</v>
      </c>
      <c r="P5" s="16">
        <v>21460</v>
      </c>
      <c r="Q5" s="16">
        <v>231</v>
      </c>
      <c r="R5" s="17">
        <f t="shared" ref="R5:R31" si="2">+Q5*100/P5</f>
        <v>1.076421248835042</v>
      </c>
      <c r="AH5" t="s">
        <v>19</v>
      </c>
      <c r="AI5" s="23">
        <v>43345</v>
      </c>
      <c r="AJ5">
        <v>25064</v>
      </c>
      <c r="AK5">
        <v>309</v>
      </c>
      <c r="AL5" s="18">
        <v>1.2328439195659113</v>
      </c>
      <c r="AM5" s="18"/>
      <c r="AN5" t="s">
        <v>19</v>
      </c>
      <c r="AO5" s="23">
        <v>43317</v>
      </c>
      <c r="AP5">
        <v>21460</v>
      </c>
      <c r="AQ5">
        <v>231</v>
      </c>
      <c r="AR5" s="18">
        <v>1.076421248835042</v>
      </c>
      <c r="AS5"/>
    </row>
    <row r="6" spans="2:45" ht="18">
      <c r="B6" s="24" t="s">
        <v>20</v>
      </c>
      <c r="C6" s="25">
        <v>43315</v>
      </c>
      <c r="D6" s="26">
        <v>33947</v>
      </c>
      <c r="E6" s="27">
        <v>357</v>
      </c>
      <c r="F6" s="26">
        <v>33947</v>
      </c>
      <c r="G6" s="1">
        <f t="shared" si="0"/>
        <v>357</v>
      </c>
      <c r="H6" s="14" t="s">
        <v>21</v>
      </c>
      <c r="I6" s="15">
        <v>43346</v>
      </c>
      <c r="J6" s="16">
        <v>36960</v>
      </c>
      <c r="K6" s="16">
        <v>529</v>
      </c>
      <c r="L6" s="17">
        <f t="shared" si="1"/>
        <v>1.4312770562770563</v>
      </c>
      <c r="M6" s="18"/>
      <c r="N6" s="14" t="s">
        <v>21</v>
      </c>
      <c r="O6" s="15">
        <v>43318</v>
      </c>
      <c r="P6" s="16">
        <v>29290</v>
      </c>
      <c r="Q6" s="16">
        <v>535</v>
      </c>
      <c r="R6" s="17">
        <f t="shared" si="2"/>
        <v>1.8265619665414818</v>
      </c>
      <c r="AH6" t="s">
        <v>21</v>
      </c>
      <c r="AI6" s="23">
        <v>43346</v>
      </c>
      <c r="AJ6">
        <v>36960</v>
      </c>
      <c r="AK6">
        <v>529</v>
      </c>
      <c r="AL6" s="18">
        <v>1.4312770562770563</v>
      </c>
      <c r="AM6" s="18"/>
      <c r="AN6" t="s">
        <v>21</v>
      </c>
      <c r="AO6" s="23">
        <v>43318</v>
      </c>
      <c r="AP6">
        <v>29290</v>
      </c>
      <c r="AQ6">
        <v>535</v>
      </c>
      <c r="AR6" s="18">
        <v>1.8265619665414818</v>
      </c>
      <c r="AS6"/>
    </row>
    <row r="7" spans="2:45" ht="18">
      <c r="B7" s="24" t="s">
        <v>17</v>
      </c>
      <c r="C7" s="25">
        <v>43316</v>
      </c>
      <c r="D7" s="26">
        <v>24125</v>
      </c>
      <c r="E7" s="27">
        <v>197</v>
      </c>
      <c r="F7" s="26">
        <v>24125</v>
      </c>
      <c r="G7" s="1">
        <f t="shared" si="0"/>
        <v>197</v>
      </c>
      <c r="H7" s="14" t="s">
        <v>22</v>
      </c>
      <c r="I7" s="15">
        <v>43347</v>
      </c>
      <c r="J7" s="16">
        <v>39477</v>
      </c>
      <c r="K7" s="16">
        <v>503</v>
      </c>
      <c r="L7" s="17">
        <f t="shared" si="1"/>
        <v>1.2741596372571371</v>
      </c>
      <c r="M7" s="18"/>
      <c r="N7" s="14" t="s">
        <v>22</v>
      </c>
      <c r="O7" s="15">
        <v>43319</v>
      </c>
      <c r="P7" s="16">
        <v>31319</v>
      </c>
      <c r="Q7" s="16">
        <v>498</v>
      </c>
      <c r="R7" s="17">
        <f t="shared" si="2"/>
        <v>1.5900890833040646</v>
      </c>
      <c r="AH7" t="s">
        <v>22</v>
      </c>
      <c r="AI7" s="23">
        <v>43347</v>
      </c>
      <c r="AJ7">
        <v>39477</v>
      </c>
      <c r="AK7">
        <v>503</v>
      </c>
      <c r="AL7" s="18">
        <v>1.2741596372571371</v>
      </c>
      <c r="AM7" s="18"/>
      <c r="AN7" t="s">
        <v>22</v>
      </c>
      <c r="AO7" s="23">
        <v>43319</v>
      </c>
      <c r="AP7">
        <v>31319</v>
      </c>
      <c r="AQ7">
        <v>498</v>
      </c>
      <c r="AR7" s="18">
        <v>1.5900890833040646</v>
      </c>
      <c r="AS7"/>
    </row>
    <row r="8" spans="2:45" ht="18">
      <c r="B8" s="24" t="s">
        <v>19</v>
      </c>
      <c r="C8" s="25">
        <v>43317</v>
      </c>
      <c r="D8" s="26">
        <v>21460</v>
      </c>
      <c r="E8" s="27">
        <v>231</v>
      </c>
      <c r="F8" s="26">
        <v>21460</v>
      </c>
      <c r="G8" s="1">
        <f t="shared" si="0"/>
        <v>231</v>
      </c>
      <c r="H8" s="14" t="s">
        <v>23</v>
      </c>
      <c r="I8" s="15">
        <v>43348</v>
      </c>
      <c r="J8" s="16">
        <v>40640</v>
      </c>
      <c r="K8" s="16">
        <v>404</v>
      </c>
      <c r="L8" s="17">
        <f t="shared" si="1"/>
        <v>0.99409448818897639</v>
      </c>
      <c r="M8" s="18"/>
      <c r="N8" s="14" t="s">
        <v>23</v>
      </c>
      <c r="O8" s="15">
        <v>43320</v>
      </c>
      <c r="P8" s="16">
        <v>31938</v>
      </c>
      <c r="Q8" s="16">
        <v>497</v>
      </c>
      <c r="R8" s="17">
        <f t="shared" si="2"/>
        <v>1.5561400212912517</v>
      </c>
      <c r="AH8" t="s">
        <v>23</v>
      </c>
      <c r="AI8" s="23">
        <v>43348</v>
      </c>
      <c r="AJ8">
        <v>40640</v>
      </c>
      <c r="AK8">
        <v>404</v>
      </c>
      <c r="AL8" s="18">
        <v>0.99409448818897639</v>
      </c>
      <c r="AM8" s="18"/>
      <c r="AN8" t="s">
        <v>23</v>
      </c>
      <c r="AO8" s="23">
        <v>43320</v>
      </c>
      <c r="AP8">
        <v>31938</v>
      </c>
      <c r="AQ8">
        <v>497</v>
      </c>
      <c r="AR8" s="18">
        <v>1.5561400212912517</v>
      </c>
      <c r="AS8"/>
    </row>
    <row r="9" spans="2:45" ht="18">
      <c r="B9" s="24" t="s">
        <v>21</v>
      </c>
      <c r="C9" s="25">
        <v>43318</v>
      </c>
      <c r="D9" s="26">
        <v>29290</v>
      </c>
      <c r="E9" s="27">
        <v>535</v>
      </c>
      <c r="F9" s="26">
        <v>29290</v>
      </c>
      <c r="G9" s="1">
        <f t="shared" si="0"/>
        <v>535</v>
      </c>
      <c r="H9" s="14" t="s">
        <v>18</v>
      </c>
      <c r="I9" s="15">
        <v>43349</v>
      </c>
      <c r="J9" s="16">
        <v>39579</v>
      </c>
      <c r="K9" s="16">
        <v>338</v>
      </c>
      <c r="L9" s="17">
        <f t="shared" si="1"/>
        <v>0.85398822607948655</v>
      </c>
      <c r="M9" s="18"/>
      <c r="N9" s="14" t="s">
        <v>18</v>
      </c>
      <c r="O9" s="15">
        <v>43321</v>
      </c>
      <c r="P9" s="16">
        <v>27973</v>
      </c>
      <c r="Q9" s="16">
        <v>508</v>
      </c>
      <c r="R9" s="17">
        <f t="shared" si="2"/>
        <v>1.816036892717978</v>
      </c>
      <c r="AH9" t="s">
        <v>18</v>
      </c>
      <c r="AI9" s="23">
        <v>43349</v>
      </c>
      <c r="AJ9">
        <v>39579</v>
      </c>
      <c r="AK9">
        <v>338</v>
      </c>
      <c r="AL9" s="18">
        <v>0.85398822607948655</v>
      </c>
      <c r="AM9" s="18"/>
      <c r="AN9" t="s">
        <v>18</v>
      </c>
      <c r="AO9" s="23">
        <v>43321</v>
      </c>
      <c r="AP9">
        <v>27973</v>
      </c>
      <c r="AQ9">
        <v>508</v>
      </c>
      <c r="AR9" s="18">
        <v>1.816036892717978</v>
      </c>
      <c r="AS9"/>
    </row>
    <row r="10" spans="2:45" ht="18">
      <c r="B10" s="24" t="s">
        <v>22</v>
      </c>
      <c r="C10" s="25">
        <v>43319</v>
      </c>
      <c r="D10" s="26">
        <v>31319</v>
      </c>
      <c r="E10" s="27">
        <v>498</v>
      </c>
      <c r="F10" s="26">
        <v>31319</v>
      </c>
      <c r="G10" s="1">
        <f t="shared" si="0"/>
        <v>498</v>
      </c>
      <c r="H10" s="14" t="s">
        <v>20</v>
      </c>
      <c r="I10" s="15">
        <v>43350</v>
      </c>
      <c r="J10" s="16">
        <v>40207</v>
      </c>
      <c r="K10" s="16">
        <v>371</v>
      </c>
      <c r="L10" s="17">
        <f t="shared" si="1"/>
        <v>0.92272489864948892</v>
      </c>
      <c r="M10" s="18"/>
      <c r="N10" s="14" t="s">
        <v>20</v>
      </c>
      <c r="O10" s="15">
        <v>43322</v>
      </c>
      <c r="P10" s="16">
        <v>30560</v>
      </c>
      <c r="Q10" s="16">
        <v>326</v>
      </c>
      <c r="R10" s="17">
        <f t="shared" si="2"/>
        <v>1.0667539267015707</v>
      </c>
      <c r="AH10" t="s">
        <v>20</v>
      </c>
      <c r="AI10" s="23">
        <v>43350</v>
      </c>
      <c r="AJ10">
        <v>40207</v>
      </c>
      <c r="AK10">
        <v>371</v>
      </c>
      <c r="AL10" s="18">
        <v>0.92272489864948892</v>
      </c>
      <c r="AM10" s="18"/>
      <c r="AN10" t="s">
        <v>20</v>
      </c>
      <c r="AO10" s="23">
        <v>43322</v>
      </c>
      <c r="AP10">
        <v>30560</v>
      </c>
      <c r="AQ10">
        <v>326</v>
      </c>
      <c r="AR10" s="18">
        <v>1.0667539267015707</v>
      </c>
      <c r="AS10"/>
    </row>
    <row r="11" spans="2:45" ht="18">
      <c r="B11" s="24" t="s">
        <v>23</v>
      </c>
      <c r="C11" s="25">
        <v>43320</v>
      </c>
      <c r="D11" s="26">
        <v>31938</v>
      </c>
      <c r="E11" s="27">
        <v>497</v>
      </c>
      <c r="F11" s="26">
        <v>31938</v>
      </c>
      <c r="G11" s="1">
        <f t="shared" si="0"/>
        <v>497</v>
      </c>
      <c r="H11" s="14" t="s">
        <v>24</v>
      </c>
      <c r="I11" s="15">
        <v>43351</v>
      </c>
      <c r="J11" s="16">
        <v>26032</v>
      </c>
      <c r="K11" s="16">
        <v>247</v>
      </c>
      <c r="L11" s="17">
        <f t="shared" si="1"/>
        <v>0.9488322065150584</v>
      </c>
      <c r="M11" s="18"/>
      <c r="N11" s="14" t="s">
        <v>24</v>
      </c>
      <c r="O11" s="15">
        <v>43323</v>
      </c>
      <c r="P11" s="16">
        <v>23874</v>
      </c>
      <c r="Q11" s="16">
        <v>284</v>
      </c>
      <c r="R11" s="17">
        <f t="shared" si="2"/>
        <v>1.1895786210940773</v>
      </c>
      <c r="AH11" t="s">
        <v>24</v>
      </c>
      <c r="AI11" s="23">
        <v>43351</v>
      </c>
      <c r="AJ11">
        <v>26032</v>
      </c>
      <c r="AK11">
        <v>247</v>
      </c>
      <c r="AL11" s="18">
        <v>0.9488322065150584</v>
      </c>
      <c r="AM11" s="18"/>
      <c r="AN11" t="s">
        <v>24</v>
      </c>
      <c r="AO11" s="23">
        <v>43323</v>
      </c>
      <c r="AP11">
        <v>23874</v>
      </c>
      <c r="AQ11">
        <v>284</v>
      </c>
      <c r="AR11" s="18">
        <v>1.1895786210940773</v>
      </c>
      <c r="AS11"/>
    </row>
    <row r="12" spans="2:45" ht="18">
      <c r="B12" s="24" t="s">
        <v>18</v>
      </c>
      <c r="C12" s="25">
        <v>43321</v>
      </c>
      <c r="D12" s="26">
        <v>27973</v>
      </c>
      <c r="E12" s="27">
        <v>508</v>
      </c>
      <c r="F12" s="26">
        <v>27973</v>
      </c>
      <c r="G12" s="1">
        <f t="shared" si="0"/>
        <v>508</v>
      </c>
      <c r="H12" s="14" t="s">
        <v>19</v>
      </c>
      <c r="I12" s="15">
        <v>43352</v>
      </c>
      <c r="J12" s="16">
        <v>23723</v>
      </c>
      <c r="K12" s="16">
        <v>151</v>
      </c>
      <c r="L12" s="17">
        <f t="shared" si="1"/>
        <v>0.63651308856384103</v>
      </c>
      <c r="M12" s="18"/>
      <c r="N12" s="14" t="s">
        <v>19</v>
      </c>
      <c r="O12" s="15">
        <v>43324</v>
      </c>
      <c r="P12" s="16">
        <v>20589</v>
      </c>
      <c r="Q12" s="16">
        <v>191</v>
      </c>
      <c r="R12" s="17">
        <f t="shared" si="2"/>
        <v>0.92767982903492152</v>
      </c>
      <c r="AH12" t="s">
        <v>19</v>
      </c>
      <c r="AI12" s="23">
        <v>43352</v>
      </c>
      <c r="AJ12">
        <v>23723</v>
      </c>
      <c r="AK12">
        <v>151</v>
      </c>
      <c r="AL12" s="18">
        <v>0.63651308856384103</v>
      </c>
      <c r="AM12" s="18"/>
      <c r="AN12" t="s">
        <v>19</v>
      </c>
      <c r="AO12" s="23">
        <v>43324</v>
      </c>
      <c r="AP12">
        <v>20589</v>
      </c>
      <c r="AQ12">
        <v>191</v>
      </c>
      <c r="AR12" s="18">
        <v>0.92767982903492152</v>
      </c>
      <c r="AS12"/>
    </row>
    <row r="13" spans="2:45" ht="18">
      <c r="B13" s="24" t="s">
        <v>20</v>
      </c>
      <c r="C13" s="25">
        <v>43322</v>
      </c>
      <c r="D13" s="26">
        <v>30560</v>
      </c>
      <c r="E13" s="27">
        <v>326</v>
      </c>
      <c r="F13" s="26">
        <v>30560</v>
      </c>
      <c r="G13" s="1">
        <f t="shared" si="0"/>
        <v>326</v>
      </c>
      <c r="H13" s="14" t="s">
        <v>21</v>
      </c>
      <c r="I13" s="15">
        <v>43353</v>
      </c>
      <c r="J13" s="16">
        <v>33063</v>
      </c>
      <c r="K13" s="16">
        <v>319</v>
      </c>
      <c r="L13" s="17">
        <f t="shared" si="1"/>
        <v>0.96482472854852852</v>
      </c>
      <c r="M13" s="18"/>
      <c r="N13" s="14" t="s">
        <v>21</v>
      </c>
      <c r="O13" s="15">
        <v>43325</v>
      </c>
      <c r="P13" s="16">
        <v>27292</v>
      </c>
      <c r="Q13" s="16">
        <v>276</v>
      </c>
      <c r="R13" s="17">
        <f t="shared" si="2"/>
        <v>1.0112853583467682</v>
      </c>
      <c r="AH13" t="s">
        <v>21</v>
      </c>
      <c r="AI13" s="23">
        <v>43353</v>
      </c>
      <c r="AJ13">
        <v>33063</v>
      </c>
      <c r="AK13">
        <v>319</v>
      </c>
      <c r="AL13" s="18">
        <v>0.96482472854852852</v>
      </c>
      <c r="AM13" s="18"/>
      <c r="AN13" t="s">
        <v>21</v>
      </c>
      <c r="AO13" s="23">
        <v>43325</v>
      </c>
      <c r="AP13">
        <v>27292</v>
      </c>
      <c r="AQ13">
        <v>276</v>
      </c>
      <c r="AR13" s="18">
        <v>1.0112853583467682</v>
      </c>
      <c r="AS13"/>
    </row>
    <row r="14" spans="2:45" ht="18">
      <c r="B14" s="24" t="s">
        <v>24</v>
      </c>
      <c r="C14" s="25">
        <v>43323</v>
      </c>
      <c r="D14" s="26">
        <v>23874</v>
      </c>
      <c r="E14" s="27">
        <v>284</v>
      </c>
      <c r="F14" s="26">
        <v>23874</v>
      </c>
      <c r="G14" s="1">
        <f t="shared" si="0"/>
        <v>284</v>
      </c>
      <c r="H14" s="14" t="s">
        <v>22</v>
      </c>
      <c r="I14" s="15">
        <v>43354</v>
      </c>
      <c r="J14" s="16">
        <v>31168</v>
      </c>
      <c r="K14" s="16">
        <v>251</v>
      </c>
      <c r="L14" s="17">
        <f t="shared" si="1"/>
        <v>0.80531314168377821</v>
      </c>
      <c r="M14" s="18"/>
      <c r="N14" s="14" t="s">
        <v>22</v>
      </c>
      <c r="O14" s="15">
        <v>43326</v>
      </c>
      <c r="P14" s="16">
        <v>28236</v>
      </c>
      <c r="Q14" s="16">
        <v>297</v>
      </c>
      <c r="R14" s="17">
        <f t="shared" si="2"/>
        <v>1.0518487037824054</v>
      </c>
      <c r="AH14" t="s">
        <v>22</v>
      </c>
      <c r="AI14" s="23">
        <v>43354</v>
      </c>
      <c r="AJ14">
        <v>31168</v>
      </c>
      <c r="AK14">
        <v>251</v>
      </c>
      <c r="AL14" s="18">
        <v>0.80531314168377821</v>
      </c>
      <c r="AM14" s="18"/>
      <c r="AN14" t="s">
        <v>22</v>
      </c>
      <c r="AO14" s="23">
        <v>43326</v>
      </c>
      <c r="AP14">
        <v>28236</v>
      </c>
      <c r="AQ14">
        <v>297</v>
      </c>
      <c r="AR14" s="18">
        <v>1.0518487037824054</v>
      </c>
      <c r="AS14"/>
    </row>
    <row r="15" spans="2:45" ht="18">
      <c r="B15" s="24" t="s">
        <v>19</v>
      </c>
      <c r="C15" s="25">
        <v>43324</v>
      </c>
      <c r="D15" s="26">
        <v>20589</v>
      </c>
      <c r="E15" s="27">
        <v>191</v>
      </c>
      <c r="F15" s="26">
        <v>20589</v>
      </c>
      <c r="G15" s="1">
        <f t="shared" si="0"/>
        <v>191</v>
      </c>
      <c r="H15" s="14" t="s">
        <v>23</v>
      </c>
      <c r="I15" s="15">
        <v>43355</v>
      </c>
      <c r="J15" s="16">
        <v>38129</v>
      </c>
      <c r="K15" s="16">
        <v>601</v>
      </c>
      <c r="L15" s="17">
        <f t="shared" si="1"/>
        <v>1.5762280678748459</v>
      </c>
      <c r="M15" s="18"/>
      <c r="N15" s="14" t="s">
        <v>23</v>
      </c>
      <c r="O15" s="15">
        <v>43327</v>
      </c>
      <c r="P15" s="16">
        <v>23637</v>
      </c>
      <c r="Q15" s="16">
        <v>206</v>
      </c>
      <c r="R15" s="17">
        <f t="shared" si="2"/>
        <v>0.87151499767313956</v>
      </c>
      <c r="AH15" t="s">
        <v>23</v>
      </c>
      <c r="AI15" s="23">
        <v>43355</v>
      </c>
      <c r="AJ15">
        <v>38129</v>
      </c>
      <c r="AK15">
        <v>601</v>
      </c>
      <c r="AL15" s="18">
        <v>1.5762280678748459</v>
      </c>
      <c r="AM15" s="18"/>
      <c r="AN15" t="s">
        <v>23</v>
      </c>
      <c r="AO15" s="23">
        <v>43327</v>
      </c>
      <c r="AP15">
        <v>23637</v>
      </c>
      <c r="AQ15">
        <v>206</v>
      </c>
      <c r="AR15" s="18">
        <v>0.87151499767313956</v>
      </c>
      <c r="AS15"/>
    </row>
    <row r="16" spans="2:45" ht="18">
      <c r="B16" s="24" t="s">
        <v>21</v>
      </c>
      <c r="C16" s="25">
        <v>43325</v>
      </c>
      <c r="D16" s="26">
        <v>27292</v>
      </c>
      <c r="E16" s="27">
        <v>276</v>
      </c>
      <c r="F16" s="26">
        <v>27292</v>
      </c>
      <c r="G16" s="1">
        <f t="shared" si="0"/>
        <v>276</v>
      </c>
      <c r="H16" s="14" t="s">
        <v>18</v>
      </c>
      <c r="I16" s="15">
        <v>43356</v>
      </c>
      <c r="J16" s="16">
        <v>42532</v>
      </c>
      <c r="K16" s="16">
        <v>433</v>
      </c>
      <c r="L16" s="17">
        <f t="shared" si="1"/>
        <v>1.0180569923822063</v>
      </c>
      <c r="M16" s="18"/>
      <c r="N16" s="14" t="s">
        <v>18</v>
      </c>
      <c r="O16" s="15">
        <v>43328</v>
      </c>
      <c r="P16" s="16">
        <v>29626</v>
      </c>
      <c r="Q16" s="16">
        <v>417</v>
      </c>
      <c r="R16" s="17">
        <f t="shared" si="2"/>
        <v>1.4075474245595085</v>
      </c>
      <c r="AH16" t="s">
        <v>18</v>
      </c>
      <c r="AI16" s="23">
        <v>43356</v>
      </c>
      <c r="AJ16">
        <v>42532</v>
      </c>
      <c r="AK16">
        <v>433</v>
      </c>
      <c r="AL16" s="18">
        <v>1.0180569923822063</v>
      </c>
      <c r="AM16" s="18"/>
      <c r="AN16" t="s">
        <v>18</v>
      </c>
      <c r="AO16" s="23">
        <v>43328</v>
      </c>
      <c r="AP16">
        <v>29626</v>
      </c>
      <c r="AQ16">
        <v>417</v>
      </c>
      <c r="AR16" s="18">
        <v>1.4075474245595085</v>
      </c>
      <c r="AS16"/>
    </row>
    <row r="17" spans="1:45" ht="18">
      <c r="B17" s="24" t="s">
        <v>22</v>
      </c>
      <c r="C17" s="25">
        <v>43326</v>
      </c>
      <c r="D17" s="26">
        <v>28236</v>
      </c>
      <c r="E17" s="27">
        <v>297</v>
      </c>
      <c r="F17" s="26">
        <v>28236</v>
      </c>
      <c r="G17" s="1">
        <f t="shared" si="0"/>
        <v>297</v>
      </c>
      <c r="H17" s="14" t="s">
        <v>20</v>
      </c>
      <c r="I17" s="15">
        <v>43357</v>
      </c>
      <c r="J17" s="16">
        <v>41936</v>
      </c>
      <c r="K17" s="16">
        <v>404</v>
      </c>
      <c r="L17" s="17">
        <f t="shared" si="1"/>
        <v>0.96337275848912629</v>
      </c>
      <c r="M17" s="18"/>
      <c r="N17" s="14" t="s">
        <v>20</v>
      </c>
      <c r="O17" s="15">
        <v>43329</v>
      </c>
      <c r="P17" s="16">
        <v>24175</v>
      </c>
      <c r="Q17" s="16">
        <v>631</v>
      </c>
      <c r="R17" s="17">
        <f t="shared" si="2"/>
        <v>2.6101344364012409</v>
      </c>
      <c r="AH17" t="s">
        <v>20</v>
      </c>
      <c r="AI17" s="23">
        <v>43357</v>
      </c>
      <c r="AJ17">
        <v>41936</v>
      </c>
      <c r="AK17">
        <v>404</v>
      </c>
      <c r="AL17" s="18">
        <v>0.96337275848912629</v>
      </c>
      <c r="AM17" s="18"/>
      <c r="AN17" t="s">
        <v>20</v>
      </c>
      <c r="AO17" s="23">
        <v>43329</v>
      </c>
      <c r="AP17">
        <v>24175</v>
      </c>
      <c r="AQ17">
        <v>631</v>
      </c>
      <c r="AR17" s="18">
        <v>2.6101344364012409</v>
      </c>
      <c r="AS17"/>
    </row>
    <row r="18" spans="1:45" ht="18">
      <c r="B18" s="24" t="s">
        <v>23</v>
      </c>
      <c r="C18" s="25">
        <v>43327</v>
      </c>
      <c r="D18" s="26">
        <v>23637</v>
      </c>
      <c r="E18" s="27">
        <v>206</v>
      </c>
      <c r="F18" s="26">
        <v>23637</v>
      </c>
      <c r="G18" s="1">
        <f t="shared" si="0"/>
        <v>206</v>
      </c>
      <c r="H18" s="14" t="s">
        <v>24</v>
      </c>
      <c r="I18" s="15">
        <v>43358</v>
      </c>
      <c r="J18" s="16">
        <v>28970</v>
      </c>
      <c r="K18" s="16">
        <v>191</v>
      </c>
      <c r="L18" s="17">
        <f t="shared" si="1"/>
        <v>0.659302726958923</v>
      </c>
      <c r="M18" s="18"/>
      <c r="N18" s="14" t="s">
        <v>24</v>
      </c>
      <c r="O18" s="15">
        <v>43330</v>
      </c>
      <c r="P18" s="16">
        <v>22273</v>
      </c>
      <c r="Q18" s="16">
        <v>2352</v>
      </c>
      <c r="R18" s="17">
        <f t="shared" si="2"/>
        <v>10.559870695460871</v>
      </c>
      <c r="AH18" t="s">
        <v>24</v>
      </c>
      <c r="AI18" s="23">
        <v>43358</v>
      </c>
      <c r="AJ18">
        <v>28970</v>
      </c>
      <c r="AK18">
        <v>191</v>
      </c>
      <c r="AL18" s="18">
        <v>0.659302726958923</v>
      </c>
      <c r="AM18" s="18"/>
      <c r="AN18" t="s">
        <v>24</v>
      </c>
      <c r="AO18" s="23">
        <v>43330</v>
      </c>
      <c r="AP18">
        <v>22273</v>
      </c>
      <c r="AQ18">
        <v>2352</v>
      </c>
      <c r="AR18" s="18">
        <v>10.559870695460871</v>
      </c>
      <c r="AS18"/>
    </row>
    <row r="19" spans="1:45" ht="18">
      <c r="B19" s="24" t="s">
        <v>18</v>
      </c>
      <c r="C19" s="25">
        <v>43328</v>
      </c>
      <c r="D19" s="26">
        <v>29626</v>
      </c>
      <c r="E19" s="27">
        <v>417</v>
      </c>
      <c r="F19" s="26">
        <v>29626</v>
      </c>
      <c r="G19" s="1">
        <f t="shared" si="0"/>
        <v>417</v>
      </c>
      <c r="H19" s="14" t="s">
        <v>19</v>
      </c>
      <c r="I19" s="15">
        <v>43359</v>
      </c>
      <c r="J19" s="16">
        <v>26100</v>
      </c>
      <c r="K19" s="16">
        <v>163</v>
      </c>
      <c r="L19" s="17">
        <f t="shared" si="1"/>
        <v>0.62452107279693492</v>
      </c>
      <c r="M19" s="18"/>
      <c r="N19" s="14" t="s">
        <v>19</v>
      </c>
      <c r="O19" s="15">
        <v>43331</v>
      </c>
      <c r="P19" s="16">
        <v>21954</v>
      </c>
      <c r="Q19" s="16">
        <v>335</v>
      </c>
      <c r="R19" s="17">
        <f t="shared" si="2"/>
        <v>1.5259178281862076</v>
      </c>
      <c r="AH19" t="s">
        <v>19</v>
      </c>
      <c r="AI19" s="23">
        <v>43359</v>
      </c>
      <c r="AJ19">
        <v>26100</v>
      </c>
      <c r="AK19">
        <v>163</v>
      </c>
      <c r="AL19" s="18">
        <v>0.62452107279693492</v>
      </c>
      <c r="AM19" s="18"/>
      <c r="AN19" t="s">
        <v>19</v>
      </c>
      <c r="AO19" s="23">
        <v>43331</v>
      </c>
      <c r="AP19">
        <v>21954</v>
      </c>
      <c r="AQ19">
        <v>335</v>
      </c>
      <c r="AR19" s="18">
        <v>1.5259178281862076</v>
      </c>
      <c r="AS19"/>
    </row>
    <row r="20" spans="1:45" ht="18">
      <c r="B20" s="24" t="s">
        <v>20</v>
      </c>
      <c r="C20" s="25">
        <v>43329</v>
      </c>
      <c r="D20" s="26">
        <v>24175</v>
      </c>
      <c r="E20" s="27">
        <v>631</v>
      </c>
      <c r="F20" s="26">
        <v>24175</v>
      </c>
      <c r="G20" s="1">
        <f t="shared" si="0"/>
        <v>631</v>
      </c>
      <c r="H20" s="14" t="s">
        <v>21</v>
      </c>
      <c r="I20" s="15">
        <v>43360</v>
      </c>
      <c r="J20" s="16">
        <v>41020</v>
      </c>
      <c r="K20" s="16">
        <v>407</v>
      </c>
      <c r="L20" s="17">
        <f t="shared" si="1"/>
        <v>0.99219892735251092</v>
      </c>
      <c r="M20" s="18"/>
      <c r="N20" s="14" t="s">
        <v>21</v>
      </c>
      <c r="O20" s="15">
        <v>43332</v>
      </c>
      <c r="P20" s="16">
        <v>29107</v>
      </c>
      <c r="Q20" s="16">
        <v>298</v>
      </c>
      <c r="R20" s="17">
        <f t="shared" si="2"/>
        <v>1.023808705809599</v>
      </c>
      <c r="AH20" t="s">
        <v>21</v>
      </c>
      <c r="AI20" s="23">
        <v>43360</v>
      </c>
      <c r="AJ20">
        <v>41020</v>
      </c>
      <c r="AK20">
        <v>407</v>
      </c>
      <c r="AL20" s="18">
        <v>0.99219892735251092</v>
      </c>
      <c r="AM20" s="18"/>
      <c r="AN20" t="s">
        <v>21</v>
      </c>
      <c r="AO20" s="23">
        <v>43332</v>
      </c>
      <c r="AP20">
        <v>29107</v>
      </c>
      <c r="AQ20">
        <v>298</v>
      </c>
      <c r="AR20" s="18">
        <v>1.023808705809599</v>
      </c>
      <c r="AS20"/>
    </row>
    <row r="21" spans="1:45" ht="18">
      <c r="A21" s="1">
        <f>+D21+D14+D7+D28</f>
        <v>92455</v>
      </c>
      <c r="B21" s="24" t="s">
        <v>24</v>
      </c>
      <c r="C21" s="25">
        <v>43330</v>
      </c>
      <c r="D21" s="26">
        <v>22273</v>
      </c>
      <c r="E21" s="27">
        <v>2352</v>
      </c>
      <c r="F21" s="26">
        <v>21954</v>
      </c>
      <c r="G21" s="1">
        <f t="shared" ref="G21:G33" si="3">E22</f>
        <v>335</v>
      </c>
      <c r="H21" s="14" t="s">
        <v>22</v>
      </c>
      <c r="I21" s="15">
        <v>43361</v>
      </c>
      <c r="J21" s="16">
        <v>32381</v>
      </c>
      <c r="K21" s="16">
        <v>257</v>
      </c>
      <c r="L21" s="17">
        <f t="shared" si="1"/>
        <v>0.79367530341867143</v>
      </c>
      <c r="M21" s="18"/>
      <c r="N21" s="14" t="s">
        <v>22</v>
      </c>
      <c r="O21" s="15">
        <v>43333</v>
      </c>
      <c r="P21" s="16">
        <v>31467</v>
      </c>
      <c r="Q21" s="16">
        <v>311</v>
      </c>
      <c r="R21" s="17">
        <f t="shared" si="2"/>
        <v>0.98833698795563607</v>
      </c>
      <c r="AH21" t="s">
        <v>22</v>
      </c>
      <c r="AI21" s="23">
        <v>43361</v>
      </c>
      <c r="AJ21">
        <v>32381</v>
      </c>
      <c r="AK21">
        <v>257</v>
      </c>
      <c r="AL21" s="18">
        <v>0.79367530341867143</v>
      </c>
      <c r="AM21" s="18"/>
      <c r="AN21" t="s">
        <v>22</v>
      </c>
      <c r="AO21" s="23">
        <v>43333</v>
      </c>
      <c r="AP21">
        <v>31467</v>
      </c>
      <c r="AQ21">
        <v>311</v>
      </c>
      <c r="AR21" s="18">
        <v>0.98833698795563607</v>
      </c>
      <c r="AS21"/>
    </row>
    <row r="22" spans="1:45" ht="18">
      <c r="A22" s="1">
        <f>E7+E14+E21+E28</f>
        <v>3089</v>
      </c>
      <c r="B22" s="24" t="s">
        <v>19</v>
      </c>
      <c r="C22" s="25">
        <v>43331</v>
      </c>
      <c r="D22" s="26">
        <v>21954</v>
      </c>
      <c r="E22" s="27">
        <v>335</v>
      </c>
      <c r="F22" s="26">
        <v>29107</v>
      </c>
      <c r="G22" s="1">
        <f t="shared" si="3"/>
        <v>298</v>
      </c>
      <c r="H22" s="14" t="s">
        <v>23</v>
      </c>
      <c r="I22" s="15">
        <v>43362</v>
      </c>
      <c r="J22" s="16">
        <v>44422</v>
      </c>
      <c r="K22" s="16">
        <v>592</v>
      </c>
      <c r="L22" s="17">
        <f t="shared" si="1"/>
        <v>1.3326729998649318</v>
      </c>
      <c r="M22" s="18"/>
      <c r="N22" s="14" t="s">
        <v>23</v>
      </c>
      <c r="O22" s="15">
        <v>43334</v>
      </c>
      <c r="P22" s="16">
        <v>31626</v>
      </c>
      <c r="Q22" s="16">
        <v>383</v>
      </c>
      <c r="R22" s="17">
        <f t="shared" si="2"/>
        <v>1.2110289002719281</v>
      </c>
      <c r="AH22" t="s">
        <v>23</v>
      </c>
      <c r="AI22" s="23">
        <v>43362</v>
      </c>
      <c r="AJ22">
        <v>44422</v>
      </c>
      <c r="AK22">
        <v>592</v>
      </c>
      <c r="AL22" s="18">
        <v>1.3326729998649318</v>
      </c>
      <c r="AM22" s="18"/>
      <c r="AN22" t="s">
        <v>23</v>
      </c>
      <c r="AO22" s="23">
        <v>43334</v>
      </c>
      <c r="AP22">
        <v>31626</v>
      </c>
      <c r="AQ22">
        <v>383</v>
      </c>
      <c r="AR22" s="18">
        <v>1.2110289002719281</v>
      </c>
      <c r="AS22"/>
    </row>
    <row r="23" spans="1:45" ht="18">
      <c r="B23" s="24" t="s">
        <v>21</v>
      </c>
      <c r="C23" s="25">
        <v>43332</v>
      </c>
      <c r="D23" s="26">
        <v>29107</v>
      </c>
      <c r="E23" s="27">
        <v>298</v>
      </c>
      <c r="F23" s="26">
        <v>31467</v>
      </c>
      <c r="G23" s="1">
        <f t="shared" si="3"/>
        <v>311</v>
      </c>
      <c r="H23" s="14" t="s">
        <v>18</v>
      </c>
      <c r="I23" s="15">
        <v>43363</v>
      </c>
      <c r="J23" s="16">
        <v>44385</v>
      </c>
      <c r="K23" s="16">
        <v>546</v>
      </c>
      <c r="L23" s="17">
        <f t="shared" si="1"/>
        <v>1.2301453193646503</v>
      </c>
      <c r="M23" s="18"/>
      <c r="N23" s="14" t="s">
        <v>18</v>
      </c>
      <c r="O23" s="15">
        <v>43335</v>
      </c>
      <c r="P23" s="16">
        <v>17930</v>
      </c>
      <c r="Q23" s="16">
        <v>191</v>
      </c>
      <c r="R23" s="17">
        <f t="shared" si="2"/>
        <v>1.0652537646402678</v>
      </c>
      <c r="AH23" t="s">
        <v>18</v>
      </c>
      <c r="AI23" s="23">
        <v>43363</v>
      </c>
      <c r="AJ23">
        <v>44385</v>
      </c>
      <c r="AK23">
        <v>546</v>
      </c>
      <c r="AL23" s="18">
        <v>1.2301453193646503</v>
      </c>
      <c r="AM23" s="18"/>
      <c r="AN23" t="s">
        <v>18</v>
      </c>
      <c r="AO23" s="23">
        <v>43335</v>
      </c>
      <c r="AP23">
        <v>17930</v>
      </c>
      <c r="AQ23">
        <v>191</v>
      </c>
      <c r="AR23" s="18">
        <v>1.0652537646402678</v>
      </c>
      <c r="AS23"/>
    </row>
    <row r="24" spans="1:45" ht="18">
      <c r="B24" s="24" t="s">
        <v>22</v>
      </c>
      <c r="C24" s="25">
        <v>43333</v>
      </c>
      <c r="D24" s="26">
        <v>31467</v>
      </c>
      <c r="E24" s="27">
        <v>311</v>
      </c>
      <c r="F24" s="26">
        <v>31626</v>
      </c>
      <c r="G24" s="1">
        <f t="shared" si="3"/>
        <v>383</v>
      </c>
      <c r="H24" s="14" t="s">
        <v>20</v>
      </c>
      <c r="I24" s="15">
        <v>43364</v>
      </c>
      <c r="J24" s="16">
        <v>44008</v>
      </c>
      <c r="K24" s="16">
        <v>505</v>
      </c>
      <c r="L24" s="17">
        <f t="shared" si="1"/>
        <v>1.1475186329758227</v>
      </c>
      <c r="M24" s="18"/>
      <c r="N24" s="14" t="s">
        <v>20</v>
      </c>
      <c r="O24" s="15">
        <v>43336</v>
      </c>
      <c r="P24" s="16">
        <v>21720</v>
      </c>
      <c r="Q24" s="16">
        <v>212</v>
      </c>
      <c r="R24" s="17">
        <f t="shared" si="2"/>
        <v>0.97605893186003678</v>
      </c>
      <c r="AH24" t="s">
        <v>20</v>
      </c>
      <c r="AI24" s="23">
        <v>43364</v>
      </c>
      <c r="AJ24">
        <v>44008</v>
      </c>
      <c r="AK24">
        <v>505</v>
      </c>
      <c r="AL24" s="18">
        <v>1.1475186329758227</v>
      </c>
      <c r="AM24" s="18"/>
      <c r="AN24" t="s">
        <v>20</v>
      </c>
      <c r="AO24" s="23">
        <v>43336</v>
      </c>
      <c r="AP24">
        <v>21720</v>
      </c>
      <c r="AQ24">
        <v>212</v>
      </c>
      <c r="AR24" s="18">
        <v>0.97605893186003678</v>
      </c>
      <c r="AS24"/>
    </row>
    <row r="25" spans="1:45" ht="18">
      <c r="B25" s="24" t="s">
        <v>23</v>
      </c>
      <c r="C25" s="25">
        <v>43334</v>
      </c>
      <c r="D25" s="26">
        <v>31626</v>
      </c>
      <c r="E25" s="27">
        <v>383</v>
      </c>
      <c r="F25" s="26">
        <v>17930</v>
      </c>
      <c r="G25" s="1">
        <f t="shared" si="3"/>
        <v>191</v>
      </c>
      <c r="H25" s="14" t="s">
        <v>24</v>
      </c>
      <c r="I25" s="15">
        <v>43365</v>
      </c>
      <c r="J25" s="16">
        <v>32684</v>
      </c>
      <c r="K25" s="16">
        <v>321</v>
      </c>
      <c r="L25" s="17">
        <f t="shared" si="1"/>
        <v>0.98213192999632848</v>
      </c>
      <c r="M25" s="18"/>
      <c r="N25" s="14" t="s">
        <v>24</v>
      </c>
      <c r="O25" s="15">
        <v>43337</v>
      </c>
      <c r="P25" s="16">
        <v>22183</v>
      </c>
      <c r="Q25" s="16">
        <v>256</v>
      </c>
      <c r="R25" s="17">
        <f t="shared" si="2"/>
        <v>1.1540368750845242</v>
      </c>
      <c r="AH25" t="s">
        <v>24</v>
      </c>
      <c r="AI25" s="23">
        <v>43365</v>
      </c>
      <c r="AJ25">
        <v>32684</v>
      </c>
      <c r="AK25">
        <v>321</v>
      </c>
      <c r="AL25" s="18">
        <v>0.98213192999632848</v>
      </c>
      <c r="AM25" s="18"/>
      <c r="AN25" t="s">
        <v>24</v>
      </c>
      <c r="AO25" s="23">
        <v>43337</v>
      </c>
      <c r="AP25">
        <v>22183</v>
      </c>
      <c r="AQ25">
        <v>256</v>
      </c>
      <c r="AR25" s="18">
        <v>1.1540368750845242</v>
      </c>
      <c r="AS25"/>
    </row>
    <row r="26" spans="1:45" ht="18">
      <c r="B26" s="24" t="s">
        <v>18</v>
      </c>
      <c r="C26" s="25">
        <v>43335</v>
      </c>
      <c r="D26" s="26">
        <v>17930</v>
      </c>
      <c r="E26" s="27">
        <v>191</v>
      </c>
      <c r="F26" s="26">
        <v>21720</v>
      </c>
      <c r="G26" s="1">
        <f t="shared" si="3"/>
        <v>212</v>
      </c>
      <c r="H26" s="14" t="s">
        <v>19</v>
      </c>
      <c r="I26" s="15">
        <v>43366</v>
      </c>
      <c r="J26" s="16">
        <v>31473</v>
      </c>
      <c r="K26" s="16">
        <v>282</v>
      </c>
      <c r="L26" s="17">
        <f t="shared" si="1"/>
        <v>0.89600610046706697</v>
      </c>
      <c r="M26" s="18"/>
      <c r="N26" s="14" t="s">
        <v>19</v>
      </c>
      <c r="O26" s="15">
        <v>43338</v>
      </c>
      <c r="P26" s="16">
        <v>19797</v>
      </c>
      <c r="Q26" s="16">
        <v>179</v>
      </c>
      <c r="R26" s="17">
        <f t="shared" si="2"/>
        <v>0.90417740061625496</v>
      </c>
      <c r="AH26" t="s">
        <v>19</v>
      </c>
      <c r="AI26" s="23">
        <v>43366</v>
      </c>
      <c r="AJ26">
        <v>31473</v>
      </c>
      <c r="AK26">
        <v>282</v>
      </c>
      <c r="AL26" s="18">
        <v>0.89600610046706697</v>
      </c>
      <c r="AM26" s="18"/>
      <c r="AN26" t="s">
        <v>19</v>
      </c>
      <c r="AO26" s="23">
        <v>43338</v>
      </c>
      <c r="AP26">
        <v>19797</v>
      </c>
      <c r="AQ26">
        <v>179</v>
      </c>
      <c r="AR26" s="18">
        <v>0.90417740061625496</v>
      </c>
      <c r="AS26"/>
    </row>
    <row r="27" spans="1:45" ht="18">
      <c r="B27" s="24" t="s">
        <v>20</v>
      </c>
      <c r="C27" s="25">
        <v>43336</v>
      </c>
      <c r="D27" s="26">
        <v>21720</v>
      </c>
      <c r="E27" s="27">
        <v>212</v>
      </c>
      <c r="F27" s="26">
        <v>22183</v>
      </c>
      <c r="G27" s="1">
        <f t="shared" si="3"/>
        <v>256</v>
      </c>
      <c r="H27" s="14" t="s">
        <v>21</v>
      </c>
      <c r="I27" s="15">
        <v>43367</v>
      </c>
      <c r="J27" s="16">
        <v>29754</v>
      </c>
      <c r="K27" s="16">
        <v>255</v>
      </c>
      <c r="L27" s="17">
        <f t="shared" si="1"/>
        <v>0.85702762653760833</v>
      </c>
      <c r="M27" s="18"/>
      <c r="N27" s="14" t="s">
        <v>21</v>
      </c>
      <c r="O27" s="15">
        <v>43339</v>
      </c>
      <c r="P27" s="16">
        <v>31735</v>
      </c>
      <c r="Q27" s="16">
        <v>505</v>
      </c>
      <c r="R27" s="17">
        <f t="shared" si="2"/>
        <v>1.5913029777847802</v>
      </c>
      <c r="AH27" t="s">
        <v>21</v>
      </c>
      <c r="AI27" s="23">
        <v>43367</v>
      </c>
      <c r="AJ27">
        <v>29754</v>
      </c>
      <c r="AK27">
        <v>255</v>
      </c>
      <c r="AL27" s="18">
        <v>0.85702762653760833</v>
      </c>
      <c r="AM27" s="18"/>
      <c r="AN27" t="s">
        <v>21</v>
      </c>
      <c r="AO27" s="23">
        <v>43339</v>
      </c>
      <c r="AP27">
        <v>31735</v>
      </c>
      <c r="AQ27">
        <v>505</v>
      </c>
      <c r="AR27" s="18">
        <v>1.5913029777847802</v>
      </c>
      <c r="AS27"/>
    </row>
    <row r="28" spans="1:45" ht="18">
      <c r="B28" s="24" t="s">
        <v>24</v>
      </c>
      <c r="C28" s="25">
        <v>43337</v>
      </c>
      <c r="D28" s="26">
        <v>22183</v>
      </c>
      <c r="E28" s="27">
        <v>256</v>
      </c>
      <c r="F28" s="26">
        <v>19797</v>
      </c>
      <c r="G28" s="1">
        <f t="shared" si="3"/>
        <v>179</v>
      </c>
      <c r="H28" s="14" t="s">
        <v>22</v>
      </c>
      <c r="I28" s="15">
        <v>43368</v>
      </c>
      <c r="J28" s="16">
        <v>22262</v>
      </c>
      <c r="K28" s="16">
        <v>272</v>
      </c>
      <c r="L28" s="17">
        <f t="shared" si="1"/>
        <v>1.2218129548108885</v>
      </c>
      <c r="M28" s="18"/>
      <c r="N28" s="14" t="s">
        <v>22</v>
      </c>
      <c r="O28" s="15">
        <v>43340</v>
      </c>
      <c r="P28" s="16">
        <v>35037</v>
      </c>
      <c r="Q28" s="16">
        <v>545</v>
      </c>
      <c r="R28" s="17">
        <f t="shared" si="2"/>
        <v>1.5554984730427834</v>
      </c>
      <c r="AH28" t="s">
        <v>22</v>
      </c>
      <c r="AI28" s="23">
        <v>43368</v>
      </c>
      <c r="AJ28">
        <v>22262</v>
      </c>
      <c r="AK28">
        <v>272</v>
      </c>
      <c r="AL28" s="18">
        <v>1.2218129548108885</v>
      </c>
      <c r="AM28" s="18"/>
      <c r="AN28" t="s">
        <v>22</v>
      </c>
      <c r="AO28" s="23">
        <v>43340</v>
      </c>
      <c r="AP28">
        <v>35037</v>
      </c>
      <c r="AQ28">
        <v>545</v>
      </c>
      <c r="AR28" s="18">
        <v>1.5554984730427834</v>
      </c>
      <c r="AS28"/>
    </row>
    <row r="29" spans="1:45" ht="18">
      <c r="B29" s="24" t="s">
        <v>19</v>
      </c>
      <c r="C29" s="25">
        <v>43338</v>
      </c>
      <c r="D29" s="26">
        <v>19797</v>
      </c>
      <c r="E29" s="27">
        <v>179</v>
      </c>
      <c r="F29" s="26">
        <v>31735</v>
      </c>
      <c r="G29" s="1">
        <f t="shared" si="3"/>
        <v>505</v>
      </c>
      <c r="H29" s="14" t="s">
        <v>23</v>
      </c>
      <c r="I29" s="15">
        <v>43369</v>
      </c>
      <c r="J29" s="16">
        <v>4376</v>
      </c>
      <c r="K29" s="16">
        <v>86</v>
      </c>
      <c r="L29" s="17">
        <f t="shared" si="1"/>
        <v>1.9652650822669104</v>
      </c>
      <c r="M29" s="18"/>
      <c r="N29" s="14" t="s">
        <v>23</v>
      </c>
      <c r="O29" s="15">
        <v>43341</v>
      </c>
      <c r="P29" s="16">
        <v>34888</v>
      </c>
      <c r="Q29" s="16">
        <v>563</v>
      </c>
      <c r="R29" s="17">
        <f t="shared" si="2"/>
        <v>1.6137353817931668</v>
      </c>
      <c r="AH29" t="s">
        <v>23</v>
      </c>
      <c r="AI29" s="23">
        <v>43369</v>
      </c>
      <c r="AJ29">
        <v>4376</v>
      </c>
      <c r="AK29">
        <v>86</v>
      </c>
      <c r="AL29" s="18">
        <v>1.9652650822669104</v>
      </c>
      <c r="AM29" s="18"/>
      <c r="AN29" t="s">
        <v>23</v>
      </c>
      <c r="AO29" s="23">
        <v>43341</v>
      </c>
      <c r="AP29">
        <v>34888</v>
      </c>
      <c r="AQ29">
        <v>563</v>
      </c>
      <c r="AR29" s="18">
        <v>1.6137353817931668</v>
      </c>
      <c r="AS29"/>
    </row>
    <row r="30" spans="1:45" ht="18">
      <c r="B30" s="24" t="s">
        <v>21</v>
      </c>
      <c r="C30" s="25">
        <v>43339</v>
      </c>
      <c r="D30" s="26">
        <v>31735</v>
      </c>
      <c r="E30" s="27">
        <v>505</v>
      </c>
      <c r="F30" s="26">
        <v>35037</v>
      </c>
      <c r="G30" s="1">
        <f t="shared" si="3"/>
        <v>545</v>
      </c>
      <c r="H30" s="14" t="s">
        <v>18</v>
      </c>
      <c r="I30" s="15">
        <v>43370</v>
      </c>
      <c r="J30" s="16">
        <v>2505</v>
      </c>
      <c r="K30" s="16">
        <v>19</v>
      </c>
      <c r="L30" s="17">
        <f t="shared" si="1"/>
        <v>0.75848303393213568</v>
      </c>
      <c r="M30" s="18"/>
      <c r="N30" s="14" t="s">
        <v>18</v>
      </c>
      <c r="O30" s="15">
        <v>43342</v>
      </c>
      <c r="P30" s="16">
        <v>35746</v>
      </c>
      <c r="Q30" s="16">
        <v>424</v>
      </c>
      <c r="R30" s="17">
        <f t="shared" si="2"/>
        <v>1.1861467017288647</v>
      </c>
      <c r="AH30" t="s">
        <v>18</v>
      </c>
      <c r="AI30" s="23">
        <v>43370</v>
      </c>
      <c r="AJ30">
        <v>2505</v>
      </c>
      <c r="AK30">
        <v>19</v>
      </c>
      <c r="AL30" s="18">
        <v>0.75848303393213568</v>
      </c>
      <c r="AM30" s="18"/>
      <c r="AN30" t="s">
        <v>18</v>
      </c>
      <c r="AO30" s="23">
        <v>43342</v>
      </c>
      <c r="AP30">
        <v>35746</v>
      </c>
      <c r="AQ30">
        <v>424</v>
      </c>
      <c r="AR30" s="18">
        <v>1.1861467017288647</v>
      </c>
      <c r="AS30"/>
    </row>
    <row r="31" spans="1:45" ht="18">
      <c r="B31" s="24" t="s">
        <v>22</v>
      </c>
      <c r="C31" s="25">
        <v>43340</v>
      </c>
      <c r="D31" s="26">
        <v>35037</v>
      </c>
      <c r="E31" s="27">
        <v>545</v>
      </c>
      <c r="F31" s="26">
        <v>34888</v>
      </c>
      <c r="G31" s="1">
        <f t="shared" si="3"/>
        <v>563</v>
      </c>
      <c r="H31" s="28"/>
      <c r="I31" s="29" t="s">
        <v>25</v>
      </c>
      <c r="J31" s="62">
        <v>866333</v>
      </c>
      <c r="K31" s="62">
        <v>8950</v>
      </c>
      <c r="L31" s="61">
        <f t="shared" si="1"/>
        <v>1.0330900473605416</v>
      </c>
      <c r="M31" s="18"/>
      <c r="N31" s="28"/>
      <c r="O31" s="29" t="s">
        <v>25</v>
      </c>
      <c r="P31" s="62">
        <f>SUM(P4:P30)</f>
        <v>729557</v>
      </c>
      <c r="Q31" s="62">
        <f>SUM(Q4:Q30)</f>
        <v>11648</v>
      </c>
      <c r="R31" s="30">
        <f t="shared" si="2"/>
        <v>1.5965853250671298</v>
      </c>
      <c r="AH31"/>
      <c r="AI31" t="s">
        <v>25</v>
      </c>
      <c r="AJ31">
        <v>866333</v>
      </c>
      <c r="AK31">
        <v>8950</v>
      </c>
      <c r="AL31" s="18">
        <v>1.0330900473605416</v>
      </c>
      <c r="AM31" s="18"/>
      <c r="AN31"/>
      <c r="AO31" t="s">
        <v>25</v>
      </c>
      <c r="AP31">
        <v>729557</v>
      </c>
      <c r="AQ31">
        <v>11648</v>
      </c>
      <c r="AR31" s="18">
        <v>1.5965853250671298</v>
      </c>
      <c r="AS31"/>
    </row>
    <row r="32" spans="1:45" ht="18">
      <c r="B32" s="24" t="s">
        <v>23</v>
      </c>
      <c r="C32" s="25">
        <v>43341</v>
      </c>
      <c r="D32" s="26">
        <v>34888</v>
      </c>
      <c r="E32" s="27">
        <v>563</v>
      </c>
      <c r="F32" s="26">
        <v>35746</v>
      </c>
      <c r="G32" s="1">
        <f t="shared" si="3"/>
        <v>424</v>
      </c>
      <c r="H32" s="14"/>
      <c r="I32" s="31"/>
      <c r="J32" s="31"/>
      <c r="K32" s="31"/>
      <c r="L32" s="32"/>
      <c r="N32" s="14"/>
      <c r="O32" s="31"/>
      <c r="P32" s="16"/>
      <c r="Q32" s="16"/>
      <c r="R32" s="32"/>
      <c r="AH32"/>
      <c r="AI32"/>
      <c r="AJ32"/>
      <c r="AK32"/>
      <c r="AL32"/>
      <c r="AM32"/>
      <c r="AN32"/>
      <c r="AO32"/>
      <c r="AP32"/>
      <c r="AQ32"/>
      <c r="AR32"/>
      <c r="AS32"/>
    </row>
    <row r="33" spans="2:45" ht="18">
      <c r="B33" s="24" t="s">
        <v>18</v>
      </c>
      <c r="C33" s="25">
        <v>43342</v>
      </c>
      <c r="D33" s="26">
        <v>35746</v>
      </c>
      <c r="E33" s="27">
        <v>424</v>
      </c>
      <c r="F33" s="40">
        <v>28752</v>
      </c>
      <c r="G33" s="1">
        <f t="shared" si="3"/>
        <v>275</v>
      </c>
      <c r="H33" s="33" t="s">
        <v>26</v>
      </c>
      <c r="I33" s="34" t="s">
        <v>27</v>
      </c>
      <c r="J33" s="30">
        <f>+K31*100/J31</f>
        <v>1.0330900473605416</v>
      </c>
      <c r="K33" s="36"/>
      <c r="L33" s="37"/>
      <c r="N33" s="33" t="s">
        <v>28</v>
      </c>
      <c r="O33" s="34" t="s">
        <v>9</v>
      </c>
      <c r="P33" s="50">
        <f>+Q31*100/P31</f>
        <v>1.5965853250671298</v>
      </c>
      <c r="Q33" s="34"/>
      <c r="R33" s="35"/>
      <c r="AH33"/>
      <c r="AI33" t="s">
        <v>9</v>
      </c>
      <c r="AJ33">
        <v>1.0330900473605416</v>
      </c>
      <c r="AK33"/>
      <c r="AL33"/>
      <c r="AM33"/>
      <c r="AN33"/>
      <c r="AO33" t="s">
        <v>9</v>
      </c>
      <c r="AP33">
        <v>1.5965853250671298</v>
      </c>
      <c r="AQ33"/>
      <c r="AR33"/>
      <c r="AS33"/>
    </row>
    <row r="34" spans="2:45" ht="18">
      <c r="B34" s="38" t="s">
        <v>20</v>
      </c>
      <c r="C34" s="39">
        <v>43343</v>
      </c>
      <c r="D34" s="40">
        <v>28752</v>
      </c>
      <c r="E34" s="41">
        <v>275</v>
      </c>
      <c r="F34" s="26">
        <f>SUM(F4:F33)</f>
        <v>818846</v>
      </c>
      <c r="G34" s="1">
        <f>SUM(G4:G33)</f>
        <v>10476</v>
      </c>
      <c r="AH34"/>
      <c r="AI34" t="s">
        <v>28</v>
      </c>
      <c r="AJ34"/>
      <c r="AK34"/>
      <c r="AL34"/>
      <c r="AM34"/>
      <c r="AN34"/>
      <c r="AO34" t="s">
        <v>28</v>
      </c>
      <c r="AP34"/>
      <c r="AQ34"/>
      <c r="AR34"/>
      <c r="AS34"/>
    </row>
    <row r="35" spans="2:45" ht="18">
      <c r="B35" s="24"/>
      <c r="C35" s="26" t="s">
        <v>29</v>
      </c>
      <c r="D35" s="26"/>
      <c r="E35" s="27"/>
      <c r="F35" s="26"/>
      <c r="G35" s="72">
        <f>+G34*100/F34</f>
        <v>1.2793614428109803</v>
      </c>
      <c r="H35" s="31"/>
      <c r="AH35"/>
      <c r="AI35"/>
      <c r="AJ35"/>
      <c r="AK35"/>
      <c r="AL35"/>
      <c r="AM35"/>
      <c r="AN35"/>
      <c r="AO35"/>
      <c r="AP35"/>
      <c r="AQ35"/>
      <c r="AR35"/>
      <c r="AS35"/>
    </row>
    <row r="36" spans="2:45" ht="18">
      <c r="B36" s="24"/>
      <c r="C36" s="26" t="s">
        <v>25</v>
      </c>
      <c r="D36" s="26">
        <v>841119</v>
      </c>
      <c r="E36" s="27">
        <v>12828</v>
      </c>
      <c r="F36" s="26"/>
      <c r="H36" s="31"/>
      <c r="J36" s="18">
        <f>AVERAGE(J4:J28)</f>
        <v>34378.080000000002</v>
      </c>
      <c r="AH36"/>
      <c r="AI36"/>
      <c r="AJ36"/>
      <c r="AK36"/>
      <c r="AL36"/>
      <c r="AM36"/>
      <c r="AN36"/>
      <c r="AO36"/>
      <c r="AP36"/>
      <c r="AQ36"/>
      <c r="AR36"/>
      <c r="AS36"/>
    </row>
    <row r="37" spans="2:45" ht="18">
      <c r="B37" s="28" t="s">
        <v>30</v>
      </c>
      <c r="C37" s="34" t="s">
        <v>31</v>
      </c>
      <c r="D37" s="35">
        <f>+E36*100/D36</f>
        <v>1.5251111911632005</v>
      </c>
      <c r="E37" s="42"/>
      <c r="F37" s="70"/>
      <c r="H37" s="31"/>
      <c r="J37" s="66">
        <f>SUM(J4:J28)</f>
        <v>859452</v>
      </c>
      <c r="K37" s="66">
        <f>SUM(K4:K28)</f>
        <v>8845</v>
      </c>
      <c r="L37" s="71">
        <f>+K37*100/J37</f>
        <v>1.0291441523203158</v>
      </c>
      <c r="AH37"/>
      <c r="AI37"/>
      <c r="AJ37"/>
      <c r="AK37"/>
      <c r="AL37"/>
      <c r="AM37"/>
      <c r="AN37"/>
      <c r="AO37"/>
      <c r="AP37"/>
      <c r="AQ37"/>
      <c r="AR37"/>
      <c r="AS37"/>
    </row>
    <row r="38" spans="2:45">
      <c r="H38" s="31"/>
    </row>
    <row r="39" spans="2:45">
      <c r="H39" s="31"/>
    </row>
    <row r="40" spans="2:45">
      <c r="H40" s="31"/>
    </row>
    <row r="42" spans="2:45">
      <c r="B42" s="43" t="s">
        <v>32</v>
      </c>
      <c r="C42" s="43" t="s">
        <v>33</v>
      </c>
      <c r="D42" s="43"/>
      <c r="E42" s="43"/>
      <c r="F42" s="43"/>
      <c r="G42" s="43"/>
      <c r="H42" s="43"/>
      <c r="I42" s="43"/>
      <c r="J42" s="43"/>
      <c r="K42" s="43"/>
      <c r="L42" s="43"/>
    </row>
    <row r="43" spans="2:45">
      <c r="B43" s="43"/>
      <c r="C43" s="43" t="s">
        <v>76</v>
      </c>
      <c r="D43" s="43"/>
      <c r="E43" s="43"/>
      <c r="F43" s="43"/>
      <c r="G43" s="43"/>
      <c r="H43" s="43"/>
      <c r="I43" s="43"/>
      <c r="J43" s="43"/>
      <c r="K43" s="43"/>
      <c r="L43" s="43"/>
    </row>
    <row r="44" spans="2:45">
      <c r="B44" s="43"/>
      <c r="C44" s="43" t="s">
        <v>77</v>
      </c>
      <c r="D44" s="43"/>
      <c r="E44" s="43"/>
      <c r="F44" s="43"/>
      <c r="G44" s="43"/>
      <c r="H44" s="43"/>
      <c r="I44" s="43"/>
      <c r="J44" s="43"/>
      <c r="K44" s="43"/>
      <c r="L44" s="43"/>
    </row>
    <row r="48" spans="2:45">
      <c r="C48" s="19" t="s">
        <v>34</v>
      </c>
      <c r="D48" s="44"/>
      <c r="E48" s="44"/>
      <c r="F48" s="44"/>
      <c r="G48" s="44"/>
      <c r="H48" s="44"/>
      <c r="I48" s="45"/>
      <c r="K48" s="14" t="s">
        <v>17</v>
      </c>
      <c r="L48" s="15">
        <v>43344</v>
      </c>
      <c r="N48" s="19" t="s">
        <v>17</v>
      </c>
      <c r="O48" s="20">
        <v>43316</v>
      </c>
    </row>
    <row r="49" spans="2:12">
      <c r="C49" s="28"/>
      <c r="D49" s="34" t="s">
        <v>0</v>
      </c>
      <c r="E49" s="34"/>
      <c r="F49" s="34"/>
      <c r="G49" s="34"/>
      <c r="H49" s="34" t="s">
        <v>1</v>
      </c>
      <c r="I49" s="35"/>
      <c r="K49" s="14" t="s">
        <v>18</v>
      </c>
      <c r="L49" s="15">
        <v>43370</v>
      </c>
    </row>
    <row r="50" spans="2:12">
      <c r="C50" s="14"/>
      <c r="D50" s="16" t="s">
        <v>14</v>
      </c>
      <c r="E50" s="46">
        <v>729557</v>
      </c>
      <c r="F50" s="46"/>
      <c r="G50" s="31"/>
      <c r="H50" s="16" t="s">
        <v>11</v>
      </c>
      <c r="I50" s="47">
        <v>866333</v>
      </c>
    </row>
    <row r="51" spans="2:12">
      <c r="C51" s="48" t="s">
        <v>25</v>
      </c>
      <c r="D51" s="16" t="s">
        <v>15</v>
      </c>
      <c r="E51" s="46">
        <v>11648</v>
      </c>
      <c r="F51" s="46"/>
      <c r="G51" s="31"/>
      <c r="H51" s="16" t="s">
        <v>12</v>
      </c>
      <c r="I51" s="47">
        <v>8950</v>
      </c>
    </row>
    <row r="52" spans="2:12">
      <c r="C52" s="14"/>
      <c r="D52" s="31" t="s">
        <v>35</v>
      </c>
      <c r="E52" s="49">
        <v>1.5965853250671298</v>
      </c>
      <c r="F52" s="49"/>
      <c r="G52" s="31"/>
      <c r="H52" s="16" t="s">
        <v>36</v>
      </c>
      <c r="I52" s="17">
        <v>1.0330900473605416</v>
      </c>
    </row>
    <row r="53" spans="2:12">
      <c r="C53" s="28" t="s">
        <v>37</v>
      </c>
      <c r="D53" s="50">
        <f>+E52-I52</f>
        <v>0.56349527770658825</v>
      </c>
      <c r="E53" s="34"/>
      <c r="F53" s="34"/>
      <c r="G53" s="34"/>
      <c r="H53" s="34"/>
      <c r="I53" s="35"/>
    </row>
    <row r="57" spans="2:12">
      <c r="B57" s="43" t="s">
        <v>38</v>
      </c>
      <c r="C57" s="1" t="s">
        <v>80</v>
      </c>
    </row>
    <row r="59" spans="2:12">
      <c r="C59" s="19" t="s">
        <v>39</v>
      </c>
      <c r="D59" s="44"/>
      <c r="E59" s="44"/>
      <c r="F59" s="44"/>
      <c r="G59" s="51"/>
    </row>
    <row r="60" spans="2:12">
      <c r="C60" s="14" t="s">
        <v>40</v>
      </c>
      <c r="D60" s="31"/>
      <c r="E60" s="31"/>
      <c r="F60" s="31"/>
      <c r="G60" s="52"/>
    </row>
    <row r="61" spans="2:12">
      <c r="C61" s="53" t="s">
        <v>41</v>
      </c>
      <c r="D61" s="36"/>
      <c r="E61" s="36" t="s">
        <v>9</v>
      </c>
      <c r="F61" s="36"/>
      <c r="G61" s="54">
        <f>+G60*100/I50</f>
        <v>0</v>
      </c>
      <c r="H61" s="31"/>
      <c r="I61" s="31"/>
    </row>
    <row r="62" spans="2:12">
      <c r="C62" s="31"/>
      <c r="D62" s="31"/>
      <c r="E62" s="31"/>
      <c r="F62" s="31"/>
      <c r="G62" s="31"/>
      <c r="H62" s="31"/>
      <c r="I62" s="31"/>
    </row>
    <row r="63" spans="2:12">
      <c r="C63" s="31"/>
      <c r="D63" s="31"/>
      <c r="E63" s="31"/>
      <c r="F63" s="31"/>
      <c r="G63" s="31"/>
      <c r="H63" s="31"/>
      <c r="I63" s="3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AWS STORAGE</vt:lpstr>
      <vt:lpstr>results</vt:lpstr>
      <vt:lpstr>sep_bbdd</vt:lpstr>
      <vt:lpstr>ago_bbdd</vt:lpstr>
      <vt:lpstr>comparacion por dia</vt:lpstr>
      <vt:lpstr>solucion BONO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2019-04-02T10:19:50Z</dcterms:created>
  <dcterms:modified xsi:type="dcterms:W3CDTF">2019-04-03T14:56:41Z</dcterms:modified>
</cp:coreProperties>
</file>