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karzhavin\Desktop\DASHBOARDS\"/>
    </mc:Choice>
  </mc:AlternateContent>
  <bookViews>
    <workbookView xWindow="600" yWindow="330" windowWidth="21795" windowHeight="8490"/>
  </bookViews>
  <sheets>
    <sheet name="Произв." sheetId="1" r:id="rId1"/>
    <sheet name="Фонд" sheetId="2" r:id="rId2"/>
  </sheets>
  <definedNames>
    <definedName name="_xlnm.Print_Titles" localSheetId="0">Произв.!$3:$3</definedName>
    <definedName name="_xlnm.Print_Area" localSheetId="0">Произв.!$A$1:$O$120</definedName>
  </definedNames>
  <calcPr calcId="152511"/>
</workbook>
</file>

<file path=xl/calcChain.xml><?xml version="1.0" encoding="utf-8"?>
<calcChain xmlns="http://schemas.openxmlformats.org/spreadsheetml/2006/main">
  <c r="C8" i="1" l="1"/>
  <c r="J6" i="1"/>
  <c r="I6" i="1"/>
  <c r="O54" i="1" l="1"/>
  <c r="O53" i="1"/>
  <c r="M18" i="1" l="1"/>
  <c r="M17" i="1"/>
  <c r="M15" i="1" l="1"/>
  <c r="J118" i="1" l="1"/>
  <c r="I118" i="1"/>
  <c r="J117" i="1"/>
  <c r="I117" i="1"/>
  <c r="J116" i="1"/>
  <c r="I116" i="1"/>
  <c r="J113" i="1"/>
  <c r="I113" i="1"/>
  <c r="J110" i="1"/>
  <c r="I110" i="1"/>
  <c r="J109" i="1"/>
  <c r="I109" i="1"/>
  <c r="J108" i="1"/>
  <c r="I108" i="1"/>
  <c r="J105" i="1"/>
  <c r="I105" i="1"/>
  <c r="J104" i="1"/>
  <c r="I104" i="1"/>
  <c r="J103" i="1"/>
  <c r="I103" i="1"/>
  <c r="J102" i="1"/>
  <c r="I102" i="1"/>
  <c r="J99" i="1"/>
  <c r="I99" i="1"/>
  <c r="J98" i="1"/>
  <c r="I98" i="1"/>
  <c r="J97" i="1"/>
  <c r="I97" i="1"/>
  <c r="J96" i="1"/>
  <c r="I96" i="1"/>
  <c r="I91" i="1"/>
  <c r="F91" i="1"/>
  <c r="J91" i="1" s="1"/>
  <c r="J90" i="1"/>
  <c r="I90" i="1"/>
  <c r="J89" i="1"/>
  <c r="I89" i="1"/>
  <c r="J88" i="1"/>
  <c r="I88" i="1"/>
  <c r="J87" i="1"/>
  <c r="I87" i="1"/>
  <c r="J86" i="1"/>
  <c r="I86" i="1"/>
  <c r="J85" i="1"/>
  <c r="I85" i="1"/>
  <c r="I84" i="1"/>
  <c r="F84" i="1"/>
  <c r="J84" i="1" s="1"/>
  <c r="E84" i="1"/>
  <c r="K81" i="1"/>
  <c r="J81" i="1"/>
  <c r="I81" i="1"/>
  <c r="J80" i="1"/>
  <c r="I80" i="1"/>
  <c r="K79" i="1"/>
  <c r="F79" i="1"/>
  <c r="D79" i="1"/>
  <c r="C79" i="1"/>
  <c r="K78" i="1"/>
  <c r="I78" i="1"/>
  <c r="H78" i="1"/>
  <c r="F78" i="1"/>
  <c r="J78" i="1" s="1"/>
  <c r="J77" i="1"/>
  <c r="I77" i="1"/>
  <c r="J76" i="1"/>
  <c r="I76" i="1"/>
  <c r="J75" i="1"/>
  <c r="I75" i="1"/>
  <c r="I74" i="1"/>
  <c r="F74" i="1"/>
  <c r="J74" i="1" s="1"/>
  <c r="E74" i="1"/>
  <c r="J71" i="1"/>
  <c r="I71" i="1"/>
  <c r="J70" i="1"/>
  <c r="I70" i="1"/>
  <c r="K69" i="1"/>
  <c r="I69" i="1"/>
  <c r="F69" i="1"/>
  <c r="J69" i="1" s="1"/>
  <c r="K68" i="1"/>
  <c r="I68" i="1"/>
  <c r="F68" i="1"/>
  <c r="J68" i="1" s="1"/>
  <c r="J67" i="1"/>
  <c r="I67" i="1"/>
  <c r="J66" i="1"/>
  <c r="I66" i="1"/>
  <c r="J65" i="1"/>
  <c r="I65" i="1"/>
  <c r="I64" i="1"/>
  <c r="F64" i="1"/>
  <c r="J64" i="1" s="1"/>
  <c r="E64" i="1"/>
  <c r="L62" i="1"/>
  <c r="K62" i="1"/>
  <c r="I62" i="1"/>
  <c r="F62" i="1"/>
  <c r="J62" i="1" s="1"/>
  <c r="L61" i="1"/>
  <c r="K61" i="1"/>
  <c r="I61" i="1"/>
  <c r="F61" i="1"/>
  <c r="J61" i="1" s="1"/>
  <c r="K60" i="1"/>
  <c r="I60" i="1"/>
  <c r="F60" i="1"/>
  <c r="J60" i="1" s="1"/>
  <c r="J55" i="1"/>
  <c r="I55" i="1"/>
  <c r="J54" i="1"/>
  <c r="I54" i="1"/>
  <c r="J53" i="1"/>
  <c r="I53" i="1"/>
  <c r="L48" i="1"/>
  <c r="J48" i="1"/>
  <c r="I48" i="1"/>
  <c r="L47" i="1"/>
  <c r="J47" i="1"/>
  <c r="I47" i="1"/>
  <c r="L46" i="1"/>
  <c r="J46" i="1"/>
  <c r="I46" i="1"/>
  <c r="L16" i="1"/>
  <c r="M16" i="1" s="1"/>
  <c r="J16" i="1"/>
  <c r="I16" i="1"/>
  <c r="E16" i="1"/>
  <c r="J15" i="1"/>
  <c r="I15" i="1"/>
  <c r="I79" i="1" l="1"/>
  <c r="J79" i="1"/>
</calcChain>
</file>

<file path=xl/comments1.xml><?xml version="1.0" encoding="utf-8"?>
<comments xmlns="http://schemas.openxmlformats.org/spreadsheetml/2006/main">
  <authors>
    <author>Автор</author>
  </authors>
  <commentList>
    <comment ref="F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уровне плана 2018</t>
        </r>
      </text>
    </comment>
    <comment ref="K3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уровне факта 4 мес
2018</t>
        </r>
      </text>
    </comment>
  </commentList>
</comments>
</file>

<file path=xl/sharedStrings.xml><?xml version="1.0" encoding="utf-8"?>
<sst xmlns="http://schemas.openxmlformats.org/spreadsheetml/2006/main" count="247" uniqueCount="141">
  <si>
    <t>Показатель / компания</t>
  </si>
  <si>
    <t>Ед.изм.</t>
  </si>
  <si>
    <t>2016Ф</t>
  </si>
  <si>
    <t>2017Ф</t>
  </si>
  <si>
    <t>2018П</t>
  </si>
  <si>
    <t>2018 оценка</t>
  </si>
  <si>
    <t>1кв.2018П</t>
  </si>
  <si>
    <t>1кв.2018Ф</t>
  </si>
  <si>
    <t>откл 2017/2016</t>
  </si>
  <si>
    <t>откл 2018О/2017</t>
  </si>
  <si>
    <t>4 мес 2018 оценка</t>
  </si>
  <si>
    <t>6 мес 2018 факт</t>
  </si>
  <si>
    <t>Производственные показатели</t>
  </si>
  <si>
    <t>КМГ</t>
  </si>
  <si>
    <t>Объем добычи нефти и газоконденсата</t>
  </si>
  <si>
    <t>млн. тонн</t>
  </si>
  <si>
    <t>Объем транспортировки нефти</t>
  </si>
  <si>
    <t>Объем транспортировки газа</t>
  </si>
  <si>
    <t>млрд. куб. м</t>
  </si>
  <si>
    <t>Объем переработки нефти и нефти в РК</t>
  </si>
  <si>
    <t>Казатомпром</t>
  </si>
  <si>
    <t>Объем добычи урана (всеми организациями КАП)</t>
  </si>
  <si>
    <t xml:space="preserve"> тонн</t>
  </si>
  <si>
    <t>Объем реализации урана (КАП)</t>
  </si>
  <si>
    <t>КТЖ</t>
  </si>
  <si>
    <t>Грузооборот</t>
  </si>
  <si>
    <t>млрд. ткм</t>
  </si>
  <si>
    <t xml:space="preserve">Транзит </t>
  </si>
  <si>
    <t>Контейнерные перевозки (Европа-Китай)</t>
  </si>
  <si>
    <t>тыс. ДФЭ</t>
  </si>
  <si>
    <t>Пассажирооборот</t>
  </si>
  <si>
    <t>млрд. пкм</t>
  </si>
  <si>
    <t>Эйр Астана</t>
  </si>
  <si>
    <t xml:space="preserve">Предельные пассажирокилометры </t>
  </si>
  <si>
    <t>Перевезено пассажиров</t>
  </si>
  <si>
    <t>млн. чел.</t>
  </si>
  <si>
    <t>Процент загрузки пассажиров</t>
  </si>
  <si>
    <t>%</t>
  </si>
  <si>
    <t>Самрук-Энерго</t>
  </si>
  <si>
    <t xml:space="preserve"> Объемы производства электроэнергии</t>
  </si>
  <si>
    <t>млн. кВтч</t>
  </si>
  <si>
    <t xml:space="preserve">     в т. ч. экспорт электроэнергии</t>
  </si>
  <si>
    <t>Объемы производства теплоэнергии</t>
  </si>
  <si>
    <t>тыс. Гкал</t>
  </si>
  <si>
    <t>Объемы передачи электроэнергии</t>
  </si>
  <si>
    <t>Объем реализации угля</t>
  </si>
  <si>
    <t>KEGOC</t>
  </si>
  <si>
    <t>Объем передачи электрической энергии</t>
  </si>
  <si>
    <t>млрд кВт*ч</t>
  </si>
  <si>
    <t>Объемы технической диспетчеризации</t>
  </si>
  <si>
    <t>Объемы организация балансирования</t>
  </si>
  <si>
    <t>Казахтелеком</t>
  </si>
  <si>
    <t>Число фиксированных линий</t>
  </si>
  <si>
    <t>абоненты</t>
  </si>
  <si>
    <t>Количество абонентов фиксированного ШПД (портов)</t>
  </si>
  <si>
    <t>Количество абонентов платного телевидения</t>
  </si>
  <si>
    <t>Казпочта</t>
  </si>
  <si>
    <t>Объем почтовых услуг</t>
  </si>
  <si>
    <t>млн. ед.</t>
  </si>
  <si>
    <t>Объем финансовых услуг</t>
  </si>
  <si>
    <t>млрд. тг</t>
  </si>
  <si>
    <t>Объем агентских услуг</t>
  </si>
  <si>
    <t xml:space="preserve">Себестоимость </t>
  </si>
  <si>
    <t>млн. тг</t>
  </si>
  <si>
    <t>КАП</t>
  </si>
  <si>
    <t>ОАР</t>
  </si>
  <si>
    <t>РТР</t>
  </si>
  <si>
    <t>Тау-Кен Самрук</t>
  </si>
  <si>
    <t>Объем производства аффинированного золота</t>
  </si>
  <si>
    <t>тонн</t>
  </si>
  <si>
    <t>Объем реализации аффинированного золота</t>
  </si>
  <si>
    <t>Объем производства металлургического кремния</t>
  </si>
  <si>
    <t>Объем реализации металлургического кремния</t>
  </si>
  <si>
    <t>ОХК</t>
  </si>
  <si>
    <t>Производство серной кислоты СКЗК</t>
  </si>
  <si>
    <t>тыс. тонн</t>
  </si>
  <si>
    <t>Реализация серной кислоты СКЗК</t>
  </si>
  <si>
    <t>Полимер Продакшн: Производство БОПП-пленки</t>
  </si>
  <si>
    <t>Полимер Продакшн: Производство ПП мешков</t>
  </si>
  <si>
    <t>млн. шт</t>
  </si>
  <si>
    <t>Казахстан инжиниринг</t>
  </si>
  <si>
    <t xml:space="preserve">Объем реализации спецпродукции </t>
  </si>
  <si>
    <t xml:space="preserve">Объем реализации гражданской продукции </t>
  </si>
  <si>
    <t xml:space="preserve">Объем сервисных услуг </t>
  </si>
  <si>
    <t>ФНСК</t>
  </si>
  <si>
    <t>Ввод недвижимости</t>
  </si>
  <si>
    <t>тыс. кв.м</t>
  </si>
  <si>
    <t>QAZAQ AIR</t>
  </si>
  <si>
    <t>тыс. пас.км</t>
  </si>
  <si>
    <t>чел</t>
  </si>
  <si>
    <t>Факт на сегодня</t>
  </si>
  <si>
    <t>2018 П</t>
  </si>
  <si>
    <t>2019 П</t>
  </si>
  <si>
    <t>Выручка</t>
  </si>
  <si>
    <t>млрд. тенге</t>
  </si>
  <si>
    <t>млрд.тенге</t>
  </si>
  <si>
    <t>Количество маршрутов:</t>
  </si>
  <si>
    <t>в т.ч. ВВЛ (Внутренние воздушные линии)</t>
  </si>
  <si>
    <t>в т.ч. МВЛ (Международные воздушные линии)</t>
  </si>
  <si>
    <t>штук</t>
  </si>
  <si>
    <t xml:space="preserve">ПРОИЗВОДСТВЕННЫЕ ПОКАЗАТЕЛИ КОМПАНИЙ ФОНДА </t>
  </si>
  <si>
    <t>Чистый доход</t>
  </si>
  <si>
    <t>Экспорт нефти</t>
  </si>
  <si>
    <t>Показатель</t>
  </si>
  <si>
    <t>NOPLAT</t>
  </si>
  <si>
    <t>ROIC</t>
  </si>
  <si>
    <t>2017 1П Факт</t>
  </si>
  <si>
    <t>2018 1П Факт</t>
  </si>
  <si>
    <t>2018 ПЛАН</t>
  </si>
  <si>
    <t>2018 ОЦЕНКА</t>
  </si>
  <si>
    <t xml:space="preserve">Основные показатели Группы Фонда </t>
  </si>
  <si>
    <t>Единица измерения</t>
  </si>
  <si>
    <t>Наименование</t>
  </si>
  <si>
    <t>показателя</t>
  </si>
  <si>
    <t>Ед. изм.</t>
  </si>
  <si>
    <t>Янв.-Июль 2017</t>
  </si>
  <si>
    <t xml:space="preserve"> Факт</t>
  </si>
  <si>
    <t>Янв.-Июль 2018</t>
  </si>
  <si>
    <t>Факт</t>
  </si>
  <si>
    <t xml:space="preserve">Изм., </t>
  </si>
  <si>
    <t>План</t>
  </si>
  <si>
    <t>Исполнение</t>
  </si>
  <si>
    <t>плана 2018*,</t>
  </si>
  <si>
    <t xml:space="preserve"> %</t>
  </si>
  <si>
    <t xml:space="preserve">млн тонн </t>
  </si>
  <si>
    <t>Объем добычи природного газа</t>
  </si>
  <si>
    <t xml:space="preserve">млрд куб.м </t>
  </si>
  <si>
    <r>
      <t xml:space="preserve">Объем переработки НПЗ </t>
    </r>
    <r>
      <rPr>
        <vertAlign val="superscript"/>
        <sz val="10"/>
        <color rgb="FFFF0000"/>
        <rFont val="Arial"/>
        <family val="2"/>
        <charset val="204"/>
      </rPr>
      <t>(1)</t>
    </r>
  </si>
  <si>
    <t>млн тонн</t>
  </si>
  <si>
    <t>Грузооборот ж/д транспортом</t>
  </si>
  <si>
    <t>млрд тонн-км</t>
  </si>
  <si>
    <t>Пассажирооборот ж/д транспортом</t>
  </si>
  <si>
    <t>млрд пасс.-км</t>
  </si>
  <si>
    <r>
      <t xml:space="preserve">Объем добычи природного урана </t>
    </r>
    <r>
      <rPr>
        <vertAlign val="superscript"/>
        <sz val="10"/>
        <color rgb="FFFF0000"/>
        <rFont val="Arial"/>
        <family val="2"/>
        <charset val="204"/>
      </rPr>
      <t>(2)</t>
    </r>
  </si>
  <si>
    <t>Объем производства электроэнергии</t>
  </si>
  <si>
    <t>млрд кВт.ч</t>
  </si>
  <si>
    <t>Объем передачи электроэнергии</t>
  </si>
  <si>
    <t>Введено в эксплуатацию недвижимости</t>
  </si>
  <si>
    <t>тыс. кв. м</t>
  </si>
  <si>
    <t xml:space="preserve">-   </t>
  </si>
  <si>
    <t>Основные производственные показатели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</si>
</sst>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\ _₽_-;\-* #,##0.00\ _₽_-;_-* &quot;-&quot;??\ _₽_-;_-@_-"/>
    <numFmt numFmtId="164" formatCode="_-* #,##0.00\ _₸_-;\-* #,##0.00\ _₸_-;_-* &quot;-&quot;??\ _₸_-;_-@_-"/>
    <numFmt numFmtId="165" formatCode="#,##0.0"/>
    <numFmt numFmtId="166" formatCode="0.0%"/>
    <numFmt numFmtId="167" formatCode="0.0"/>
    <numFmt numFmtId="168" formatCode="_(* #,##0.00_);_(* \(#,##0.00\);_(* &quot;-&quot;??_);_(@_)"/>
    <numFmt numFmtId="169" formatCode="_-* #,##0.0\ _₽_-;\-* #,##0.0\ _₽_-;_-* &quot;-&quot;??\ _₽_-;_-@_-"/>
    <numFmt numFmtId="170" formatCode="_-* #,##0\ _₽_-;\-* #,##0\ _₽_-;_-* &quot;-&quot;??\ _₽_-;_-@_-"/>
    <numFmt numFmtId="171" formatCode="#,##0.0\ _₽;\(#,##0.0\)\ _₽"/>
    <numFmt numFmtId="172" formatCode="###,000"/>
    <numFmt numFmtId="173" formatCode="_-* #,##0.00_р_._-;\-* #,##0.00_р_._-;_-* &quot;-&quot;??_р_._-;_-@_-"/>
    <numFmt numFmtId="174" formatCode="_-* #,##0.00\ _р_._-;\-* #,##0.00\ _р_._-;_-* &quot;-&quot;??\ _р_.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6"/>
      <name val="Arial"/>
      <family val="2"/>
      <charset val="204"/>
    </font>
    <font>
      <sz val="8"/>
      <color rgb="FF000000"/>
      <name val="Verdana"/>
      <family val="2"/>
      <charset val="204"/>
    </font>
    <font>
      <sz val="16"/>
      <color rgb="FF000000"/>
      <name val="Arial"/>
      <family val="2"/>
      <charset val="204"/>
    </font>
    <font>
      <b/>
      <sz val="16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8"/>
      <color rgb="FF1F497D"/>
      <name val="Verdana"/>
      <family val="2"/>
      <charset val="204"/>
    </font>
    <font>
      <sz val="8"/>
      <color rgb="FFDBE5F1"/>
      <name val="Verdana"/>
      <family val="2"/>
      <charset val="204"/>
    </font>
    <font>
      <b/>
      <sz val="8"/>
      <color rgb="FF1F497D"/>
      <name val="Verdana"/>
      <family val="2"/>
      <charset val="204"/>
    </font>
    <font>
      <i/>
      <sz val="8"/>
      <color rgb="FF000000"/>
      <name val="Verdana"/>
      <family val="2"/>
      <charset val="204"/>
    </font>
    <font>
      <i/>
      <sz val="8"/>
      <color rgb="FF1F497D"/>
      <name val="Verdana"/>
      <family val="2"/>
      <charset val="204"/>
    </font>
    <font>
      <b/>
      <i/>
      <sz val="8"/>
      <color rgb="FF1F497D"/>
      <name val="Verdana"/>
      <family val="2"/>
      <charset val="204"/>
    </font>
    <font>
      <b/>
      <i/>
      <sz val="8"/>
      <color rgb="FF000000"/>
      <name val="Verdana"/>
      <family val="2"/>
      <charset val="204"/>
    </font>
    <font>
      <b/>
      <sz val="8"/>
      <color rgb="FF00CC00"/>
      <name val="Verdana"/>
      <family val="2"/>
      <charset val="204"/>
    </font>
    <font>
      <b/>
      <sz val="8"/>
      <color rgb="FF33CC33"/>
      <name val="Verdana"/>
      <family val="2"/>
      <charset val="204"/>
    </font>
    <font>
      <b/>
      <sz val="8"/>
      <color rgb="FFFF9900"/>
      <name val="Verdana"/>
      <family val="2"/>
      <charset val="204"/>
    </font>
    <font>
      <b/>
      <sz val="8"/>
      <color rgb="FFFF0000"/>
      <name val="Verdana"/>
      <family val="2"/>
      <charset val="204"/>
    </font>
    <font>
      <sz val="10"/>
      <name val="Arial Cyr"/>
      <charset val="204"/>
    </font>
    <font>
      <sz val="10"/>
      <color theme="1"/>
      <name val="Tahoma"/>
      <family val="2"/>
      <charset val="204"/>
    </font>
    <font>
      <sz val="10"/>
      <name val="Helv"/>
    </font>
    <font>
      <sz val="10"/>
      <name val="Helv"/>
      <charset val="204"/>
    </font>
    <font>
      <sz val="11"/>
      <color indexed="8"/>
      <name val="Calibri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5FB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2960"/>
        <bgColor indexed="64"/>
      </patternFill>
    </fill>
    <fill>
      <patternFill patternType="solid">
        <fgColor rgb="FFCBCDD2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75">
    <xf numFmtId="0" fontId="0" fillId="0" borderId="0"/>
    <xf numFmtId="168" fontId="1" fillId="0" borderId="0" applyFont="0" applyFill="0" applyBorder="0" applyAlignment="0" applyProtection="0"/>
    <xf numFmtId="0" fontId="5" fillId="6" borderId="4" applyNumberFormat="0" applyAlignment="0" applyProtection="0">
      <alignment horizontal="left" vertical="center" indent="1"/>
    </xf>
    <xf numFmtId="0" fontId="1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1" fillId="0" borderId="5" applyNumberFormat="0" applyFont="0" applyFill="0" applyAlignment="0" applyProtection="0"/>
    <xf numFmtId="172" fontId="12" fillId="0" borderId="6" applyNumberFormat="0" applyProtection="0">
      <alignment horizontal="right" vertical="center"/>
    </xf>
    <xf numFmtId="172" fontId="13" fillId="7" borderId="0" applyNumberFormat="0" applyAlignment="0" applyProtection="0">
      <alignment horizontal="left" vertical="center" indent="1"/>
    </xf>
    <xf numFmtId="172" fontId="14" fillId="0" borderId="4" applyNumberFormat="0" applyProtection="0">
      <alignment horizontal="right" vertical="center"/>
    </xf>
    <xf numFmtId="0" fontId="14" fillId="8" borderId="5" applyNumberFormat="0" applyAlignment="0" applyProtection="0">
      <alignment horizontal="left" vertical="center" indent="1"/>
    </xf>
    <xf numFmtId="0" fontId="5" fillId="9" borderId="4" applyNumberFormat="0" applyAlignment="0">
      <alignment horizontal="left" vertical="center" indent="1"/>
      <protection locked="0"/>
    </xf>
    <xf numFmtId="0" fontId="5" fillId="9" borderId="4" applyNumberFormat="0" applyAlignment="0">
      <alignment horizontal="left" vertical="center" indent="1"/>
      <protection locked="0"/>
    </xf>
    <xf numFmtId="0" fontId="5" fillId="0" borderId="7" applyNumberFormat="0" applyFill="0" applyBorder="0" applyProtection="0">
      <alignment horizontal="left" wrapText="1"/>
    </xf>
    <xf numFmtId="0" fontId="15" fillId="9" borderId="4" applyNumberFormat="0" applyAlignment="0">
      <alignment horizontal="left" vertical="center" indent="1"/>
      <protection locked="0"/>
    </xf>
    <xf numFmtId="0" fontId="15" fillId="9" borderId="4" applyNumberFormat="0" applyAlignment="0">
      <alignment horizontal="left" vertical="center" indent="1"/>
      <protection locked="0"/>
    </xf>
    <xf numFmtId="172" fontId="16" fillId="10" borderId="6" applyNumberFormat="0" applyBorder="0">
      <alignment horizontal="right" vertical="center"/>
      <protection locked="0"/>
    </xf>
    <xf numFmtId="172" fontId="17" fillId="10" borderId="4" applyNumberFormat="0" applyBorder="0">
      <alignment horizontal="right" vertical="center"/>
      <protection locked="0"/>
    </xf>
    <xf numFmtId="0" fontId="15" fillId="6" borderId="4" applyNumberFormat="0" applyAlignment="0" applyProtection="0">
      <alignment horizontal="left" vertical="center" indent="1"/>
    </xf>
    <xf numFmtId="172" fontId="17" fillId="6" borderId="4" applyNumberFormat="0" applyProtection="0">
      <alignment horizontal="right" vertical="center"/>
    </xf>
    <xf numFmtId="0" fontId="18" fillId="0" borderId="7" applyNumberFormat="0" applyBorder="0" applyAlignment="0" applyProtection="0"/>
    <xf numFmtId="0" fontId="11" fillId="0" borderId="8" applyNumberFormat="0" applyFont="0" applyFill="0" applyAlignment="0" applyProtection="0"/>
    <xf numFmtId="172" fontId="19" fillId="11" borderId="9" applyNumberFormat="0" applyBorder="0" applyAlignment="0" applyProtection="0">
      <alignment horizontal="right" vertical="center" indent="1"/>
    </xf>
    <xf numFmtId="172" fontId="20" fillId="12" borderId="9" applyNumberFormat="0" applyBorder="0" applyAlignment="0" applyProtection="0">
      <alignment horizontal="right" vertical="center" indent="1"/>
    </xf>
    <xf numFmtId="172" fontId="20" fillId="13" borderId="9" applyNumberFormat="0" applyBorder="0" applyAlignment="0" applyProtection="0">
      <alignment horizontal="right" vertical="center" indent="1"/>
    </xf>
    <xf numFmtId="172" fontId="21" fillId="14" borderId="9" applyNumberFormat="0" applyBorder="0" applyAlignment="0" applyProtection="0">
      <alignment horizontal="right" vertical="center" indent="1"/>
    </xf>
    <xf numFmtId="172" fontId="21" fillId="15" borderId="9" applyNumberFormat="0" applyBorder="0" applyAlignment="0" applyProtection="0">
      <alignment horizontal="right" vertical="center" indent="1"/>
    </xf>
    <xf numFmtId="172" fontId="21" fillId="16" borderId="9" applyNumberFormat="0" applyBorder="0" applyAlignment="0" applyProtection="0">
      <alignment horizontal="right" vertical="center" indent="1"/>
    </xf>
    <xf numFmtId="172" fontId="22" fillId="17" borderId="9" applyNumberFormat="0" applyBorder="0" applyAlignment="0" applyProtection="0">
      <alignment horizontal="right" vertical="center" indent="1"/>
    </xf>
    <xf numFmtId="172" fontId="22" fillId="18" borderId="9" applyNumberFormat="0" applyBorder="0" applyAlignment="0" applyProtection="0">
      <alignment horizontal="right" vertical="center" indent="1"/>
    </xf>
    <xf numFmtId="172" fontId="22" fillId="19" borderId="9" applyNumberFormat="0" applyBorder="0" applyAlignment="0" applyProtection="0">
      <alignment horizontal="right" vertical="center" indent="1"/>
    </xf>
    <xf numFmtId="172" fontId="12" fillId="0" borderId="6" applyNumberFormat="0" applyFill="0" applyBorder="0" applyAlignment="0" applyProtection="0">
      <alignment horizontal="right" vertical="center"/>
    </xf>
    <xf numFmtId="172" fontId="12" fillId="7" borderId="5" applyNumberFormat="0" applyAlignment="0" applyProtection="0">
      <alignment horizontal="left" vertical="center" indent="1"/>
    </xf>
    <xf numFmtId="0" fontId="5" fillId="20" borderId="5" applyNumberFormat="0" applyProtection="0">
      <alignment horizontal="left" vertical="center" wrapText="1" indent="1"/>
    </xf>
    <xf numFmtId="0" fontId="5" fillId="21" borderId="5" applyNumberFormat="0" applyProtection="0">
      <alignment horizontal="left" vertical="center" wrapText="1"/>
    </xf>
    <xf numFmtId="0" fontId="5" fillId="21" borderId="5" applyNumberFormat="0" applyProtection="0">
      <alignment horizontal="left" vertical="top" wrapText="1"/>
    </xf>
    <xf numFmtId="0" fontId="5" fillId="22" borderId="5" applyNumberFormat="0" applyProtection="0">
      <alignment horizontal="left" vertical="center" wrapText="1"/>
    </xf>
    <xf numFmtId="0" fontId="5" fillId="22" borderId="5" applyNumberFormat="0" applyProtection="0">
      <alignment horizontal="left" vertical="top" wrapText="1"/>
    </xf>
    <xf numFmtId="0" fontId="5" fillId="10" borderId="5" applyNumberFormat="0" applyProtection="0">
      <alignment horizontal="left" vertical="center" wrapText="1"/>
    </xf>
    <xf numFmtId="0" fontId="5" fillId="10" borderId="5" applyNumberFormat="0" applyProtection="0">
      <alignment horizontal="left" vertical="top" wrapText="1"/>
    </xf>
    <xf numFmtId="0" fontId="5" fillId="6" borderId="4" applyNumberFormat="0" applyProtection="0">
      <alignment horizontal="left" vertical="center" wrapText="1"/>
    </xf>
    <xf numFmtId="172" fontId="12" fillId="10" borderId="6" applyNumberFormat="0" applyBorder="0">
      <alignment horizontal="right" vertical="center"/>
      <protection locked="0"/>
    </xf>
    <xf numFmtId="172" fontId="14" fillId="10" borderId="4" applyNumberFormat="0" applyBorder="0">
      <alignment horizontal="right" vertical="center"/>
      <protection locked="0"/>
    </xf>
    <xf numFmtId="172" fontId="12" fillId="7" borderId="5" applyNumberFormat="0" applyAlignment="0" applyProtection="0">
      <alignment horizontal="left" vertical="center" indent="1"/>
    </xf>
    <xf numFmtId="0" fontId="14" fillId="8" borderId="4" applyNumberFormat="0" applyAlignment="0" applyProtection="0">
      <alignment horizontal="left" vertical="center" indent="1"/>
    </xf>
    <xf numFmtId="172" fontId="12" fillId="0" borderId="6" applyNumberFormat="0" applyFill="0" applyBorder="0" applyAlignment="0" applyProtection="0">
      <alignment horizontal="right" vertical="center"/>
    </xf>
    <xf numFmtId="0" fontId="5" fillId="23" borderId="4" applyNumberFormat="0" applyAlignment="0" applyProtection="0">
      <alignment horizontal="left" vertical="center" indent="1"/>
    </xf>
    <xf numFmtId="172" fontId="14" fillId="6" borderId="4" applyNumberFormat="0" applyProtection="0">
      <alignment horizontal="right" vertical="center"/>
    </xf>
    <xf numFmtId="0" fontId="10" fillId="0" borderId="0"/>
    <xf numFmtId="0" fontId="10" fillId="0" borderId="0"/>
    <xf numFmtId="0" fontId="10" fillId="0" borderId="0"/>
    <xf numFmtId="0" fontId="23" fillId="0" borderId="0"/>
    <xf numFmtId="0" fontId="23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5" fillId="0" borderId="0"/>
    <xf numFmtId="0" fontId="26" fillId="0" borderId="0"/>
    <xf numFmtId="173" fontId="23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23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130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3" fontId="3" fillId="0" borderId="0" xfId="0" applyNumberFormat="1" applyFont="1" applyFill="1"/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vertical="center"/>
    </xf>
    <xf numFmtId="166" fontId="3" fillId="0" borderId="1" xfId="0" applyNumberFormat="1" applyFont="1" applyFill="1" applyBorder="1" applyAlignment="1">
      <alignment vertical="center"/>
    </xf>
    <xf numFmtId="9" fontId="3" fillId="2" borderId="2" xfId="0" applyNumberFormat="1" applyFont="1" applyFill="1" applyBorder="1" applyAlignment="1">
      <alignment vertical="center"/>
    </xf>
    <xf numFmtId="166" fontId="3" fillId="0" borderId="2" xfId="0" applyNumberFormat="1" applyFont="1" applyFill="1" applyBorder="1" applyAlignment="1">
      <alignment vertical="center"/>
    </xf>
    <xf numFmtId="165" fontId="4" fillId="0" borderId="1" xfId="0" applyNumberFormat="1" applyFont="1" applyFill="1" applyBorder="1" applyAlignment="1">
      <alignment vertical="center"/>
    </xf>
    <xf numFmtId="9" fontId="3" fillId="3" borderId="2" xfId="0" applyNumberFormat="1" applyFont="1" applyFill="1" applyBorder="1" applyAlignment="1">
      <alignment vertical="center"/>
    </xf>
    <xf numFmtId="9" fontId="3" fillId="4" borderId="2" xfId="0" applyNumberFormat="1" applyFont="1" applyFill="1" applyBorder="1" applyAlignment="1">
      <alignment vertical="center"/>
    </xf>
    <xf numFmtId="9" fontId="4" fillId="2" borderId="2" xfId="0" applyNumberFormat="1" applyFont="1" applyFill="1" applyBorder="1" applyAlignment="1">
      <alignment vertical="center"/>
    </xf>
    <xf numFmtId="9" fontId="4" fillId="5" borderId="2" xfId="0" applyNumberFormat="1" applyFont="1" applyFill="1" applyBorder="1" applyAlignment="1">
      <alignment vertical="center"/>
    </xf>
    <xf numFmtId="166" fontId="3" fillId="5" borderId="2" xfId="0" applyNumberFormat="1" applyFont="1" applyFill="1" applyBorder="1" applyAlignment="1">
      <alignment vertical="center"/>
    </xf>
    <xf numFmtId="165" fontId="4" fillId="5" borderId="1" xfId="0" applyNumberFormat="1" applyFont="1" applyFill="1" applyBorder="1" applyAlignment="1">
      <alignment vertical="center"/>
    </xf>
    <xf numFmtId="9" fontId="3" fillId="0" borderId="2" xfId="0" applyNumberFormat="1" applyFont="1" applyFill="1" applyBorder="1" applyAlignment="1">
      <alignment vertical="center"/>
    </xf>
    <xf numFmtId="9" fontId="3" fillId="0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167" fontId="3" fillId="0" borderId="1" xfId="0" applyNumberFormat="1" applyFont="1" applyFill="1" applyBorder="1" applyAlignment="1">
      <alignment vertical="center"/>
    </xf>
    <xf numFmtId="169" fontId="3" fillId="0" borderId="1" xfId="1" applyNumberFormat="1" applyFont="1" applyFill="1" applyBorder="1" applyAlignment="1">
      <alignment vertical="center"/>
    </xf>
    <xf numFmtId="2" fontId="3" fillId="0" borderId="1" xfId="0" applyNumberFormat="1" applyFont="1" applyFill="1" applyBorder="1" applyAlignment="1">
      <alignment vertical="center"/>
    </xf>
    <xf numFmtId="165" fontId="4" fillId="2" borderId="2" xfId="0" applyNumberFormat="1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165" fontId="3" fillId="3" borderId="2" xfId="0" applyNumberFormat="1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vertical="center"/>
    </xf>
    <xf numFmtId="9" fontId="3" fillId="3" borderId="1" xfId="0" applyNumberFormat="1" applyFont="1" applyFill="1" applyBorder="1" applyAlignment="1">
      <alignment vertical="center"/>
    </xf>
    <xf numFmtId="9" fontId="4" fillId="2" borderId="1" xfId="0" applyNumberFormat="1" applyFont="1" applyFill="1" applyBorder="1" applyAlignment="1">
      <alignment vertical="center"/>
    </xf>
    <xf numFmtId="9" fontId="3" fillId="4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3" fontId="3" fillId="0" borderId="1" xfId="0" applyNumberFormat="1" applyFont="1" applyFill="1" applyBorder="1"/>
    <xf numFmtId="0" fontId="3" fillId="0" borderId="1" xfId="0" applyFont="1" applyFill="1" applyBorder="1"/>
    <xf numFmtId="3" fontId="4" fillId="0" borderId="1" xfId="0" applyNumberFormat="1" applyFont="1" applyFill="1" applyBorder="1"/>
    <xf numFmtId="37" fontId="6" fillId="0" borderId="1" xfId="2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/>
    <xf numFmtId="170" fontId="3" fillId="0" borderId="1" xfId="1" applyNumberFormat="1" applyFont="1" applyFill="1" applyBorder="1"/>
    <xf numFmtId="0" fontId="7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1" fontId="4" fillId="5" borderId="1" xfId="0" applyNumberFormat="1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166" fontId="4" fillId="5" borderId="1" xfId="0" applyNumberFormat="1" applyFont="1" applyFill="1" applyBorder="1" applyAlignment="1">
      <alignment vertical="center"/>
    </xf>
    <xf numFmtId="166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69" fontId="4" fillId="5" borderId="1" xfId="1" applyNumberFormat="1" applyFont="1" applyFill="1" applyBorder="1" applyAlignment="1">
      <alignment vertical="center"/>
    </xf>
    <xf numFmtId="4" fontId="4" fillId="5" borderId="1" xfId="0" applyNumberFormat="1" applyFont="1" applyFill="1" applyBorder="1" applyAlignment="1">
      <alignment vertical="center"/>
    </xf>
    <xf numFmtId="170" fontId="4" fillId="5" borderId="1" xfId="1" applyNumberFormat="1" applyFont="1" applyFill="1" applyBorder="1" applyAlignment="1">
      <alignment vertical="center"/>
    </xf>
    <xf numFmtId="3" fontId="4" fillId="5" borderId="1" xfId="0" applyNumberFormat="1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top"/>
    </xf>
    <xf numFmtId="169" fontId="4" fillId="4" borderId="1" xfId="1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3" fontId="3" fillId="0" borderId="0" xfId="0" applyNumberFormat="1" applyFont="1" applyFill="1" applyBorder="1"/>
    <xf numFmtId="3" fontId="4" fillId="0" borderId="0" xfId="0" applyNumberFormat="1" applyFont="1" applyFill="1" applyBorder="1" applyAlignment="1">
      <alignment vertical="center"/>
    </xf>
    <xf numFmtId="37" fontId="6" fillId="0" borderId="0" xfId="2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170" fontId="3" fillId="0" borderId="0" xfId="1" applyNumberFormat="1" applyFont="1" applyFill="1" applyBorder="1"/>
    <xf numFmtId="165" fontId="4" fillId="5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3" fontId="3" fillId="5" borderId="0" xfId="0" applyNumberFormat="1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169" fontId="4" fillId="5" borderId="0" xfId="1" applyNumberFormat="1" applyFont="1" applyFill="1" applyBorder="1" applyAlignment="1">
      <alignment vertical="center"/>
    </xf>
    <xf numFmtId="9" fontId="3" fillId="0" borderId="0" xfId="0" applyNumberFormat="1" applyFont="1" applyFill="1" applyBorder="1" applyAlignment="1">
      <alignment vertical="center"/>
    </xf>
    <xf numFmtId="0" fontId="4" fillId="5" borderId="10" xfId="0" applyFont="1" applyFill="1" applyBorder="1" applyAlignment="1">
      <alignment horizontal="center" vertical="center"/>
    </xf>
    <xf numFmtId="9" fontId="4" fillId="5" borderId="10" xfId="1" applyNumberFormat="1" applyFont="1" applyFill="1" applyBorder="1" applyAlignment="1">
      <alignment vertical="center"/>
    </xf>
    <xf numFmtId="9" fontId="3" fillId="0" borderId="10" xfId="0" applyNumberFormat="1" applyFont="1" applyFill="1" applyBorder="1" applyAlignment="1">
      <alignment vertical="center"/>
    </xf>
    <xf numFmtId="3" fontId="4" fillId="5" borderId="10" xfId="0" applyNumberFormat="1" applyFont="1" applyFill="1" applyBorder="1" applyAlignment="1">
      <alignment vertical="center"/>
    </xf>
    <xf numFmtId="166" fontId="4" fillId="5" borderId="10" xfId="0" applyNumberFormat="1" applyFont="1" applyFill="1" applyBorder="1" applyAlignment="1">
      <alignment vertical="center"/>
    </xf>
    <xf numFmtId="9" fontId="3" fillId="4" borderId="10" xfId="0" applyNumberFormat="1" applyFont="1" applyFill="1" applyBorder="1" applyAlignment="1">
      <alignment vertical="center"/>
    </xf>
    <xf numFmtId="165" fontId="3" fillId="0" borderId="1" xfId="0" applyNumberFormat="1" applyFont="1" applyFill="1" applyBorder="1"/>
    <xf numFmtId="167" fontId="3" fillId="0" borderId="1" xfId="0" applyNumberFormat="1" applyFont="1" applyFill="1" applyBorder="1"/>
    <xf numFmtId="0" fontId="0" fillId="0" borderId="1" xfId="0" applyBorder="1"/>
    <xf numFmtId="0" fontId="28" fillId="24" borderId="11" xfId="0" applyFont="1" applyFill="1" applyBorder="1" applyAlignment="1">
      <alignment horizontal="center" vertical="center" wrapText="1" readingOrder="1"/>
    </xf>
    <xf numFmtId="0" fontId="28" fillId="24" borderId="12" xfId="0" applyFont="1" applyFill="1" applyBorder="1" applyAlignment="1">
      <alignment horizontal="center" vertical="center" wrapText="1" readingOrder="1"/>
    </xf>
    <xf numFmtId="0" fontId="0" fillId="24" borderId="13" xfId="0" applyFill="1" applyBorder="1" applyAlignment="1">
      <alignment horizontal="center" vertical="center" wrapText="1"/>
    </xf>
    <xf numFmtId="0" fontId="28" fillId="24" borderId="13" xfId="0" applyFont="1" applyFill="1" applyBorder="1" applyAlignment="1">
      <alignment horizontal="center" vertical="center" wrapText="1" readingOrder="1"/>
    </xf>
    <xf numFmtId="0" fontId="29" fillId="25" borderId="14" xfId="0" applyFont="1" applyFill="1" applyBorder="1" applyAlignment="1">
      <alignment horizontal="left" vertical="center" wrapText="1" indent="1" readingOrder="1"/>
    </xf>
    <xf numFmtId="0" fontId="29" fillId="25" borderId="14" xfId="0" applyFont="1" applyFill="1" applyBorder="1" applyAlignment="1">
      <alignment horizontal="center" vertical="center" wrapText="1" readingOrder="1"/>
    </xf>
    <xf numFmtId="9" fontId="29" fillId="25" borderId="14" xfId="0" applyNumberFormat="1" applyFont="1" applyFill="1" applyBorder="1" applyAlignment="1">
      <alignment horizontal="center" vertical="center" wrapText="1" readingOrder="1"/>
    </xf>
    <xf numFmtId="0" fontId="29" fillId="26" borderId="15" xfId="0" applyFont="1" applyFill="1" applyBorder="1" applyAlignment="1">
      <alignment horizontal="left" vertical="center" wrapText="1" indent="1" readingOrder="1"/>
    </xf>
    <xf numFmtId="0" fontId="29" fillId="26" borderId="15" xfId="0" applyFont="1" applyFill="1" applyBorder="1" applyAlignment="1">
      <alignment horizontal="center" vertical="center" wrapText="1" readingOrder="1"/>
    </xf>
    <xf numFmtId="9" fontId="29" fillId="26" borderId="15" xfId="0" applyNumberFormat="1" applyFont="1" applyFill="1" applyBorder="1" applyAlignment="1">
      <alignment horizontal="center" vertical="center" wrapText="1" readingOrder="1"/>
    </xf>
    <xf numFmtId="0" fontId="29" fillId="25" borderId="15" xfId="0" applyFont="1" applyFill="1" applyBorder="1" applyAlignment="1">
      <alignment horizontal="left" vertical="center" wrapText="1" indent="1" readingOrder="1"/>
    </xf>
    <xf numFmtId="0" fontId="29" fillId="25" borderId="15" xfId="0" applyFont="1" applyFill="1" applyBorder="1" applyAlignment="1">
      <alignment horizontal="center" vertical="center" wrapText="1" readingOrder="1"/>
    </xf>
    <xf numFmtId="9" fontId="29" fillId="25" borderId="15" xfId="0" applyNumberFormat="1" applyFont="1" applyFill="1" applyBorder="1" applyAlignment="1">
      <alignment horizontal="center" vertical="center" wrapText="1" readingOrder="1"/>
    </xf>
    <xf numFmtId="2" fontId="29" fillId="25" borderId="14" xfId="0" applyNumberFormat="1" applyFont="1" applyFill="1" applyBorder="1" applyAlignment="1">
      <alignment horizontal="center" vertical="center" wrapText="1" readingOrder="1"/>
    </xf>
    <xf numFmtId="2" fontId="29" fillId="26" borderId="15" xfId="0" applyNumberFormat="1" applyFont="1" applyFill="1" applyBorder="1" applyAlignment="1">
      <alignment horizontal="center" vertical="center" wrapText="1" readingOrder="1"/>
    </xf>
    <xf numFmtId="2" fontId="29" fillId="25" borderId="15" xfId="0" applyNumberFormat="1" applyFont="1" applyFill="1" applyBorder="1" applyAlignment="1">
      <alignment horizontal="center" vertical="center" wrapText="1" readingOrder="1"/>
    </xf>
    <xf numFmtId="9" fontId="29" fillId="27" borderId="15" xfId="0" applyNumberFormat="1" applyFont="1" applyFill="1" applyBorder="1" applyAlignment="1">
      <alignment horizontal="center" vertical="center" wrapText="1" readingOrder="1"/>
    </xf>
    <xf numFmtId="9" fontId="29" fillId="28" borderId="15" xfId="0" applyNumberFormat="1" applyFont="1" applyFill="1" applyBorder="1" applyAlignment="1">
      <alignment horizontal="center" vertical="center" wrapText="1" readingOrder="1"/>
    </xf>
    <xf numFmtId="9" fontId="29" fillId="29" borderId="14" xfId="0" applyNumberFormat="1" applyFont="1" applyFill="1" applyBorder="1" applyAlignment="1">
      <alignment horizontal="center" vertical="center" wrapText="1" readingOrder="1"/>
    </xf>
    <xf numFmtId="9" fontId="29" fillId="29" borderId="15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8" fillId="24" borderId="11" xfId="0" applyFont="1" applyFill="1" applyBorder="1" applyAlignment="1">
      <alignment horizontal="center" vertical="center" wrapText="1" readingOrder="1"/>
    </xf>
    <xf numFmtId="0" fontId="28" fillId="24" borderId="12" xfId="0" applyFont="1" applyFill="1" applyBorder="1" applyAlignment="1">
      <alignment horizontal="center" vertical="center" wrapText="1" readingOrder="1"/>
    </xf>
    <xf numFmtId="0" fontId="28" fillId="24" borderId="13" xfId="0" applyFont="1" applyFill="1" applyBorder="1" applyAlignment="1">
      <alignment horizontal="center" vertical="center" wrapText="1" readingOrder="1"/>
    </xf>
    <xf numFmtId="0" fontId="3" fillId="27" borderId="1" xfId="0" applyFont="1" applyFill="1" applyBorder="1" applyAlignment="1">
      <alignment horizontal="left" vertical="center"/>
    </xf>
    <xf numFmtId="0" fontId="3" fillId="27" borderId="1" xfId="0" applyFont="1" applyFill="1" applyBorder="1" applyAlignment="1">
      <alignment horizontal="center" vertical="center"/>
    </xf>
    <xf numFmtId="165" fontId="3" fillId="27" borderId="1" xfId="0" applyNumberFormat="1" applyFont="1" applyFill="1" applyBorder="1" applyAlignment="1">
      <alignment vertical="center"/>
    </xf>
    <xf numFmtId="166" fontId="3" fillId="27" borderId="1" xfId="0" applyNumberFormat="1" applyFont="1" applyFill="1" applyBorder="1" applyAlignment="1">
      <alignment vertical="center"/>
    </xf>
    <xf numFmtId="9" fontId="4" fillId="27" borderId="2" xfId="0" applyNumberFormat="1" applyFont="1" applyFill="1" applyBorder="1" applyAlignment="1">
      <alignment vertical="center"/>
    </xf>
    <xf numFmtId="166" fontId="3" fillId="27" borderId="2" xfId="0" applyNumberFormat="1" applyFont="1" applyFill="1" applyBorder="1" applyAlignment="1">
      <alignment vertical="center"/>
    </xf>
    <xf numFmtId="165" fontId="4" fillId="27" borderId="1" xfId="0" applyNumberFormat="1" applyFont="1" applyFill="1" applyBorder="1" applyAlignment="1">
      <alignment vertical="center"/>
    </xf>
    <xf numFmtId="3" fontId="3" fillId="27" borderId="1" xfId="0" applyNumberFormat="1" applyFont="1" applyFill="1" applyBorder="1" applyAlignment="1">
      <alignment vertical="center"/>
    </xf>
    <xf numFmtId="3" fontId="3" fillId="27" borderId="2" xfId="0" applyNumberFormat="1" applyFont="1" applyFill="1" applyBorder="1" applyAlignment="1">
      <alignment vertical="center"/>
    </xf>
    <xf numFmtId="0" fontId="3" fillId="27" borderId="1" xfId="0" applyFont="1" applyFill="1" applyBorder="1" applyAlignment="1">
      <alignment vertical="center"/>
    </xf>
    <xf numFmtId="167" fontId="3" fillId="27" borderId="1" xfId="0" applyNumberFormat="1" applyFont="1" applyFill="1" applyBorder="1" applyAlignment="1">
      <alignment vertical="center"/>
    </xf>
    <xf numFmtId="1" fontId="3" fillId="27" borderId="1" xfId="0" applyNumberFormat="1" applyFont="1" applyFill="1" applyBorder="1" applyAlignment="1">
      <alignment vertical="center"/>
    </xf>
    <xf numFmtId="1" fontId="3" fillId="27" borderId="2" xfId="0" applyNumberFormat="1" applyFont="1" applyFill="1" applyBorder="1" applyAlignment="1">
      <alignment vertical="center"/>
    </xf>
    <xf numFmtId="165" fontId="4" fillId="27" borderId="2" xfId="0" applyNumberFormat="1" applyFont="1" applyFill="1" applyBorder="1" applyAlignment="1">
      <alignment vertical="center"/>
    </xf>
    <xf numFmtId="165" fontId="3" fillId="27" borderId="2" xfId="0" applyNumberFormat="1" applyFont="1" applyFill="1" applyBorder="1" applyAlignment="1">
      <alignment vertical="center"/>
    </xf>
    <xf numFmtId="3" fontId="4" fillId="27" borderId="1" xfId="0" applyNumberFormat="1" applyFont="1" applyFill="1" applyBorder="1" applyAlignment="1">
      <alignment vertical="center"/>
    </xf>
    <xf numFmtId="9" fontId="4" fillId="27" borderId="1" xfId="0" applyNumberFormat="1" applyFont="1" applyFill="1" applyBorder="1" applyAlignment="1">
      <alignment vertical="center"/>
    </xf>
  </cellXfs>
  <cellStyles count="75">
    <cellStyle name="Normal 18" xfId="3"/>
    <cellStyle name="Normal 2" xfId="4"/>
    <cellStyle name="Normal 2 2" xfId="5"/>
    <cellStyle name="Percent 2" xfId="6"/>
    <cellStyle name="SAPBorder" xfId="7"/>
    <cellStyle name="SAPDataCell" xfId="8"/>
    <cellStyle name="SAPDataRemoved" xfId="9"/>
    <cellStyle name="SAPDataTotalCell" xfId="10"/>
    <cellStyle name="SAPDimensionCell" xfId="11"/>
    <cellStyle name="SAPEditableDataCell" xfId="12"/>
    <cellStyle name="SAPEditableDataTotalCell" xfId="13"/>
    <cellStyle name="SAPEmphasized" xfId="14"/>
    <cellStyle name="SAPEmphasizedEditableDataCell" xfId="15"/>
    <cellStyle name="SAPEmphasizedEditableDataTotalCell" xfId="16"/>
    <cellStyle name="SAPEmphasizedLockedDataCell" xfId="17"/>
    <cellStyle name="SAPEmphasizedLockedDataTotalCell" xfId="18"/>
    <cellStyle name="SAPEmphasizedReadonlyDataCell" xfId="19"/>
    <cellStyle name="SAPEmphasizedReadonlyDataTotalCell" xfId="20"/>
    <cellStyle name="SAPEmphasizedTotal" xfId="21"/>
    <cellStyle name="SAPError" xfId="22"/>
    <cellStyle name="SAPExceptionLevel1" xfId="23"/>
    <cellStyle name="SAPExceptionLevel2" xfId="24"/>
    <cellStyle name="SAPExceptionLevel3" xfId="25"/>
    <cellStyle name="SAPExceptionLevel4" xfId="26"/>
    <cellStyle name="SAPExceptionLevel5" xfId="27"/>
    <cellStyle name="SAPExceptionLevel6" xfId="28"/>
    <cellStyle name="SAPExceptionLevel7" xfId="29"/>
    <cellStyle name="SAPExceptionLevel8" xfId="30"/>
    <cellStyle name="SAPExceptionLevel9" xfId="31"/>
    <cellStyle name="SAPFormula" xfId="32"/>
    <cellStyle name="SAPGroupingFillCell" xfId="33"/>
    <cellStyle name="SAPHierarchyCell0" xfId="34"/>
    <cellStyle name="SAPHierarchyCell1" xfId="35"/>
    <cellStyle name="SAPHierarchyCell1 2" xfId="36"/>
    <cellStyle name="SAPHierarchyCell2" xfId="37"/>
    <cellStyle name="SAPHierarchyCell2 2" xfId="38"/>
    <cellStyle name="SAPHierarchyCell3" xfId="39"/>
    <cellStyle name="SAPHierarchyCell3 2" xfId="40"/>
    <cellStyle name="SAPHierarchyCell4" xfId="41"/>
    <cellStyle name="SAPLockedDataCell" xfId="42"/>
    <cellStyle name="SAPLockedDataTotalCell" xfId="43"/>
    <cellStyle name="SAPMemberCell" xfId="44"/>
    <cellStyle name="SAPMemberTotalCell" xfId="45"/>
    <cellStyle name="SAPMessageText" xfId="46"/>
    <cellStyle name="SAPReadonlyDataCell" xfId="2"/>
    <cellStyle name="SAPReadonlyDataCell 2" xfId="47"/>
    <cellStyle name="SAPReadonlyDataTotalCell" xfId="48"/>
    <cellStyle name="Обычный" xfId="0" builtinId="0"/>
    <cellStyle name="Обычный 10 6" xfId="49"/>
    <cellStyle name="Обычный 115" xfId="50"/>
    <cellStyle name="Обычный 2" xfId="51"/>
    <cellStyle name="Обычный 2 11" xfId="52"/>
    <cellStyle name="Обычный 2 2" xfId="53"/>
    <cellStyle name="Обычный 2 3" xfId="54"/>
    <cellStyle name="Обычный 3" xfId="55"/>
    <cellStyle name="Обычный 3 2" xfId="56"/>
    <cellStyle name="Обычный 5" xfId="57"/>
    <cellStyle name="Обычный 5 2" xfId="58"/>
    <cellStyle name="Процентный 2" xfId="59"/>
    <cellStyle name="Процентный 2 2" xfId="60"/>
    <cellStyle name="Стиль 1" xfId="61"/>
    <cellStyle name="Стиль 1 2" xfId="62"/>
    <cellStyle name="Финансовый" xfId="1" builtinId="3"/>
    <cellStyle name="Финансовый 10 3" xfId="63"/>
    <cellStyle name="Финансовый 11 6 18 2 5" xfId="64"/>
    <cellStyle name="Финансовый 11 6 18 2 5 2" xfId="65"/>
    <cellStyle name="Финансовый 12 3" xfId="66"/>
    <cellStyle name="Финансовый 158 2" xfId="67"/>
    <cellStyle name="Финансовый 158 2 2" xfId="68"/>
    <cellStyle name="Финансовый 2" xfId="69"/>
    <cellStyle name="Финансовый 2 2" xfId="70"/>
    <cellStyle name="Финансовый 2 3" xfId="71"/>
    <cellStyle name="Финансовый 3" xfId="72"/>
    <cellStyle name="Финансовый 4" xfId="73"/>
    <cellStyle name="Финансовый 80" xfId="74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Фонд!$A$3:$B$3</c:f>
              <c:strCache>
                <c:ptCount val="2"/>
                <c:pt idx="0">
                  <c:v>NOPLAT</c:v>
                </c:pt>
                <c:pt idx="1">
                  <c:v>млрд. тенге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Фонд!$C$2:$F$2</c:f>
              <c:strCache>
                <c:ptCount val="4"/>
                <c:pt idx="0">
                  <c:v>2017 1П Факт</c:v>
                </c:pt>
                <c:pt idx="1">
                  <c:v>2018 1П Факт</c:v>
                </c:pt>
                <c:pt idx="2">
                  <c:v>2018 ПЛАН</c:v>
                </c:pt>
                <c:pt idx="3">
                  <c:v>2018 ОЦЕНКА</c:v>
                </c:pt>
              </c:strCache>
            </c:strRef>
          </c:cat>
          <c:val>
            <c:numRef>
              <c:f>Фонд!$C$3:$F$3</c:f>
              <c:numCache>
                <c:formatCode>General</c:formatCode>
                <c:ptCount val="4"/>
                <c:pt idx="0">
                  <c:v>325</c:v>
                </c:pt>
                <c:pt idx="1">
                  <c:v>376</c:v>
                </c:pt>
                <c:pt idx="2">
                  <c:v>580</c:v>
                </c:pt>
                <c:pt idx="3">
                  <c:v>692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784488"/>
        <c:axId val="317784880"/>
      </c:barChart>
      <c:catAx>
        <c:axId val="317784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7784880"/>
        <c:crosses val="autoZero"/>
        <c:auto val="1"/>
        <c:lblAlgn val="ctr"/>
        <c:lblOffset val="100"/>
        <c:noMultiLvlLbl val="0"/>
      </c:catAx>
      <c:valAx>
        <c:axId val="3177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7784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Фонд!$A$4:$B$4</c:f>
              <c:strCache>
                <c:ptCount val="2"/>
                <c:pt idx="0">
                  <c:v>Чистый доход</c:v>
                </c:pt>
                <c:pt idx="1">
                  <c:v>млрд. тенге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Фонд!$C$2:$F$2</c:f>
              <c:strCache>
                <c:ptCount val="4"/>
                <c:pt idx="0">
                  <c:v>2017 1П Факт</c:v>
                </c:pt>
                <c:pt idx="1">
                  <c:v>2018 1П Факт</c:v>
                </c:pt>
                <c:pt idx="2">
                  <c:v>2018 ПЛАН</c:v>
                </c:pt>
                <c:pt idx="3">
                  <c:v>2018 ОЦЕНКА</c:v>
                </c:pt>
              </c:strCache>
            </c:strRef>
          </c:cat>
          <c:val>
            <c:numRef>
              <c:f>Фонд!$C$4:$F$4</c:f>
              <c:numCache>
                <c:formatCode>General</c:formatCode>
                <c:ptCount val="4"/>
                <c:pt idx="0">
                  <c:v>348</c:v>
                </c:pt>
                <c:pt idx="1">
                  <c:v>529</c:v>
                </c:pt>
                <c:pt idx="2">
                  <c:v>707</c:v>
                </c:pt>
                <c:pt idx="3">
                  <c:v>889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785664"/>
        <c:axId val="317786056"/>
      </c:barChart>
      <c:catAx>
        <c:axId val="31778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7786056"/>
        <c:crosses val="autoZero"/>
        <c:auto val="1"/>
        <c:lblAlgn val="ctr"/>
        <c:lblOffset val="100"/>
        <c:noMultiLvlLbl val="0"/>
      </c:catAx>
      <c:valAx>
        <c:axId val="31778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778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Фонд!$A$5:$B$5</c:f>
              <c:strCache>
                <c:ptCount val="2"/>
                <c:pt idx="0">
                  <c:v>ROIC</c:v>
                </c:pt>
                <c:pt idx="1">
                  <c:v>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Фонд!$C$5:$F$5</c:f>
              <c:numCache>
                <c:formatCode>General</c:formatCode>
                <c:ptCount val="4"/>
                <c:pt idx="0">
                  <c:v>3.2</c:v>
                </c:pt>
                <c:pt idx="1">
                  <c:v>3.2</c:v>
                </c:pt>
                <c:pt idx="2">
                  <c:v>5</c:v>
                </c:pt>
                <c:pt idx="3">
                  <c:v>6.3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786840"/>
        <c:axId val="317787232"/>
      </c:barChart>
      <c:catAx>
        <c:axId val="31778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7787232"/>
        <c:crosses val="autoZero"/>
        <c:auto val="1"/>
        <c:lblAlgn val="ctr"/>
        <c:lblOffset val="100"/>
        <c:noMultiLvlLbl val="0"/>
      </c:catAx>
      <c:valAx>
        <c:axId val="31778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778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14287</xdr:rowOff>
    </xdr:from>
    <xdr:to>
      <xdr:col>10</xdr:col>
      <xdr:colOff>590550</xdr:colOff>
      <xdr:row>7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9524</xdr:colOff>
      <xdr:row>1</xdr:row>
      <xdr:rowOff>4762</xdr:rowOff>
    </xdr:from>
    <xdr:to>
      <xdr:col>15</xdr:col>
      <xdr:colOff>190499</xdr:colOff>
      <xdr:row>7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171450</xdr:colOff>
      <xdr:row>1</xdr:row>
      <xdr:rowOff>4762</xdr:rowOff>
    </xdr:from>
    <xdr:to>
      <xdr:col>19</xdr:col>
      <xdr:colOff>95250</xdr:colOff>
      <xdr:row>8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120"/>
  <sheetViews>
    <sheetView tabSelected="1" view="pageBreakPreview" zoomScale="60" zoomScaleNormal="75" workbookViewId="0">
      <selection activeCell="A119" sqref="A119:O120"/>
    </sheetView>
  </sheetViews>
  <sheetFormatPr defaultColWidth="8.85546875" defaultRowHeight="20.25" outlineLevelCol="2" x14ac:dyDescent="0.3"/>
  <cols>
    <col min="1" max="1" width="82" style="1" customWidth="1"/>
    <col min="2" max="2" width="18.7109375" style="2" customWidth="1"/>
    <col min="3" max="3" width="12.42578125" style="3" hidden="1" customWidth="1"/>
    <col min="4" max="4" width="18.5703125" style="3" customWidth="1"/>
    <col min="5" max="5" width="17.7109375" style="3" hidden="1" customWidth="1" outlineLevel="2"/>
    <col min="6" max="6" width="18.5703125" style="1" hidden="1" customWidth="1" collapsed="1"/>
    <col min="7" max="8" width="12.42578125" style="3" hidden="1" customWidth="1"/>
    <col min="9" max="9" width="12.42578125" style="1" hidden="1" customWidth="1"/>
    <col min="10" max="10" width="12.85546875" style="1" hidden="1" customWidth="1"/>
    <col min="11" max="11" width="16.5703125" style="1" hidden="1" customWidth="1"/>
    <col min="12" max="15" width="18.7109375" style="1" customWidth="1"/>
    <col min="16" max="16384" width="8.85546875" style="1"/>
  </cols>
  <sheetData>
    <row r="1" spans="1:16" x14ac:dyDescent="0.3">
      <c r="A1" s="107" t="s">
        <v>100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16" ht="13.5" customHeight="1" x14ac:dyDescent="0.3"/>
    <row r="3" spans="1:16" s="7" customFormat="1" ht="60" customHeight="1" x14ac:dyDescent="0.2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4" t="s">
        <v>8</v>
      </c>
      <c r="J3" s="6" t="s">
        <v>9</v>
      </c>
      <c r="K3" s="6" t="s">
        <v>10</v>
      </c>
      <c r="L3" s="4" t="s">
        <v>11</v>
      </c>
      <c r="M3" s="4" t="s">
        <v>90</v>
      </c>
      <c r="N3" s="5" t="s">
        <v>91</v>
      </c>
      <c r="O3" s="5" t="s">
        <v>92</v>
      </c>
    </row>
    <row r="4" spans="1:16" s="8" customFormat="1" x14ac:dyDescent="0.25">
      <c r="A4" s="108" t="s">
        <v>12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</row>
    <row r="5" spans="1:16" s="8" customFormat="1" x14ac:dyDescent="0.25">
      <c r="A5" s="9" t="s">
        <v>13</v>
      </c>
      <c r="B5" s="10"/>
      <c r="C5" s="11"/>
      <c r="D5" s="11"/>
      <c r="E5" s="11"/>
      <c r="F5" s="12"/>
      <c r="G5" s="11"/>
      <c r="H5" s="11"/>
      <c r="I5" s="12"/>
      <c r="J5" s="13"/>
      <c r="K5" s="13"/>
      <c r="L5" s="12"/>
      <c r="M5" s="12"/>
      <c r="N5" s="12"/>
      <c r="O5" s="12"/>
    </row>
    <row r="6" spans="1:16" s="8" customFormat="1" x14ac:dyDescent="0.25">
      <c r="A6" s="14" t="s">
        <v>14</v>
      </c>
      <c r="B6" s="10" t="s">
        <v>15</v>
      </c>
      <c r="C6" s="15">
        <v>22.638560999999999</v>
      </c>
      <c r="D6" s="15">
        <v>23.362290999999999</v>
      </c>
      <c r="E6" s="15">
        <v>23.326654999999999</v>
      </c>
      <c r="F6" s="15">
        <v>23.326654999999999</v>
      </c>
      <c r="G6" s="15">
        <v>5.81</v>
      </c>
      <c r="H6" s="15">
        <v>5.8617929999999996</v>
      </c>
      <c r="I6" s="16">
        <f>D6/C6-1</f>
        <v>3.1968904737363912E-2</v>
      </c>
      <c r="J6" s="17">
        <f t="shared" ref="J6" si="0">IF(D6&lt;0,-(F6/D6-1),F6/D6-1)</f>
        <v>-1.525364100635529E-3</v>
      </c>
      <c r="K6" s="18"/>
      <c r="L6" s="15">
        <v>11.88</v>
      </c>
      <c r="M6" s="15">
        <v>15.9</v>
      </c>
      <c r="N6" s="15">
        <v>23.326000000000001</v>
      </c>
      <c r="O6" s="15">
        <v>24.454000000000001</v>
      </c>
    </row>
    <row r="7" spans="1:16" s="8" customFormat="1" x14ac:dyDescent="0.25">
      <c r="A7" s="14" t="s">
        <v>102</v>
      </c>
      <c r="B7" s="10" t="s">
        <v>15</v>
      </c>
      <c r="C7" s="15"/>
      <c r="D7" s="15">
        <v>17.774999999999999</v>
      </c>
      <c r="E7" s="15"/>
      <c r="F7" s="15"/>
      <c r="G7" s="15"/>
      <c r="H7" s="15"/>
      <c r="I7" s="16"/>
      <c r="J7" s="17"/>
      <c r="K7" s="18"/>
      <c r="L7" s="19">
        <v>9.2117619823373058</v>
      </c>
      <c r="M7" s="19">
        <v>12.328873360198919</v>
      </c>
      <c r="N7" s="19">
        <v>17.167885714800001</v>
      </c>
      <c r="O7" s="19">
        <v>18.138500000000001</v>
      </c>
    </row>
    <row r="8" spans="1:16" s="8" customFormat="1" x14ac:dyDescent="0.25">
      <c r="A8" s="14" t="s">
        <v>16</v>
      </c>
      <c r="B8" s="10" t="s">
        <v>15</v>
      </c>
      <c r="C8" s="15" t="e">
        <f>#REF!+#REF!</f>
        <v>#REF!</v>
      </c>
      <c r="D8" s="15">
        <v>65.48899999999999</v>
      </c>
      <c r="E8" s="15">
        <v>60.579000000000001</v>
      </c>
      <c r="F8" s="15">
        <v>60.579000000000001</v>
      </c>
      <c r="G8" s="15">
        <v>15.623000000000001</v>
      </c>
      <c r="H8" s="15">
        <v>15.623000000000001</v>
      </c>
      <c r="I8" s="16">
        <v>2.8794125225352962E-2</v>
      </c>
      <c r="J8" s="20">
        <v>-7.4974423185573014E-2</v>
      </c>
      <c r="K8" s="18"/>
      <c r="L8" s="19">
        <v>31.438000000000002</v>
      </c>
      <c r="M8" s="19">
        <v>47.326800000000006</v>
      </c>
      <c r="N8" s="19">
        <v>60.578000000000003</v>
      </c>
      <c r="O8" s="19">
        <v>56.506</v>
      </c>
    </row>
    <row r="9" spans="1:16" s="8" customFormat="1" x14ac:dyDescent="0.25">
      <c r="A9" s="14" t="s">
        <v>17</v>
      </c>
      <c r="B9" s="10" t="s">
        <v>18</v>
      </c>
      <c r="C9" s="15">
        <v>88.076630667900005</v>
      </c>
      <c r="D9" s="15">
        <v>100.8575</v>
      </c>
      <c r="E9" s="15">
        <v>101.738</v>
      </c>
      <c r="F9" s="15">
        <v>101.738</v>
      </c>
      <c r="G9" s="15">
        <v>26.837</v>
      </c>
      <c r="H9" s="15">
        <v>26.837</v>
      </c>
      <c r="I9" s="16">
        <v>0.14511078858467341</v>
      </c>
      <c r="J9" s="17">
        <v>8.7301390575811322E-3</v>
      </c>
      <c r="K9" s="18"/>
      <c r="L9" s="19">
        <v>54.875999999999998</v>
      </c>
      <c r="M9" s="15">
        <v>72.2894851792</v>
      </c>
      <c r="N9" s="19">
        <v>101.73699999999999</v>
      </c>
      <c r="O9" s="19">
        <v>115.935</v>
      </c>
    </row>
    <row r="10" spans="1:16" s="8" customFormat="1" x14ac:dyDescent="0.25">
      <c r="A10" s="14" t="s">
        <v>19</v>
      </c>
      <c r="B10" s="10" t="s">
        <v>15</v>
      </c>
      <c r="C10" s="15">
        <v>11.912990067000001</v>
      </c>
      <c r="D10" s="15">
        <v>12.173</v>
      </c>
      <c r="E10" s="15">
        <v>12.975</v>
      </c>
      <c r="F10" s="15">
        <v>12.975</v>
      </c>
      <c r="G10" s="15">
        <v>3.2429999999999999</v>
      </c>
      <c r="H10" s="15">
        <v>3.2440000000000002</v>
      </c>
      <c r="I10" s="16">
        <v>2.1825749164372077E-2</v>
      </c>
      <c r="J10" s="22">
        <v>6.5883512692023194E-2</v>
      </c>
      <c r="K10" s="18"/>
      <c r="L10" s="19">
        <v>6.3369999999999997</v>
      </c>
      <c r="M10" s="15">
        <v>8.0366666666666671</v>
      </c>
      <c r="N10" s="19">
        <v>11.436</v>
      </c>
      <c r="O10" s="19">
        <v>11.792999999999999</v>
      </c>
    </row>
    <row r="11" spans="1:16" s="8" customFormat="1" x14ac:dyDescent="0.25">
      <c r="A11" s="113" t="s">
        <v>93</v>
      </c>
      <c r="B11" s="114" t="s">
        <v>94</v>
      </c>
      <c r="C11" s="115"/>
      <c r="D11" s="115">
        <v>2458.835</v>
      </c>
      <c r="E11" s="115"/>
      <c r="F11" s="115"/>
      <c r="G11" s="115"/>
      <c r="H11" s="115"/>
      <c r="I11" s="116"/>
      <c r="J11" s="117"/>
      <c r="K11" s="118"/>
      <c r="L11" s="119">
        <v>3356.1888560000002</v>
      </c>
      <c r="M11" s="119">
        <v>4048.33</v>
      </c>
      <c r="N11" s="119">
        <v>5432.5729792055499</v>
      </c>
      <c r="O11" s="119">
        <v>5763.2282063438497</v>
      </c>
    </row>
    <row r="12" spans="1:16" s="8" customFormat="1" x14ac:dyDescent="0.25">
      <c r="A12" s="113" t="s">
        <v>101</v>
      </c>
      <c r="B12" s="114" t="s">
        <v>95</v>
      </c>
      <c r="C12" s="115"/>
      <c r="D12" s="115">
        <v>437.48599999999999</v>
      </c>
      <c r="E12" s="115"/>
      <c r="F12" s="115"/>
      <c r="G12" s="115"/>
      <c r="H12" s="115"/>
      <c r="I12" s="116"/>
      <c r="J12" s="117"/>
      <c r="K12" s="118"/>
      <c r="L12" s="119">
        <v>349.73695083000001</v>
      </c>
      <c r="M12" s="119">
        <v>492.78</v>
      </c>
      <c r="N12" s="119">
        <v>513.33710415013695</v>
      </c>
      <c r="O12" s="119">
        <v>600.51492733751206</v>
      </c>
    </row>
    <row r="13" spans="1:16" s="8" customFormat="1" x14ac:dyDescent="0.25">
      <c r="A13" s="14"/>
      <c r="B13" s="10"/>
      <c r="C13" s="15"/>
      <c r="D13" s="15"/>
      <c r="E13" s="15"/>
      <c r="F13" s="15"/>
      <c r="G13" s="15"/>
      <c r="H13" s="15"/>
      <c r="I13" s="16"/>
      <c r="J13" s="23"/>
      <c r="K13" s="24"/>
      <c r="L13" s="25"/>
      <c r="M13" s="25"/>
      <c r="N13" s="25"/>
      <c r="O13" s="25"/>
    </row>
    <row r="14" spans="1:16" s="8" customFormat="1" x14ac:dyDescent="0.25">
      <c r="A14" s="9" t="s">
        <v>20</v>
      </c>
      <c r="B14" s="10"/>
      <c r="C14" s="11"/>
      <c r="D14" s="11"/>
      <c r="E14" s="11"/>
      <c r="F14" s="12"/>
      <c r="G14" s="11"/>
      <c r="H14" s="11"/>
      <c r="I14" s="16"/>
      <c r="J14" s="26"/>
      <c r="K14" s="18"/>
      <c r="L14" s="12"/>
      <c r="M14" s="12"/>
      <c r="N14" s="12"/>
      <c r="O14" s="12"/>
    </row>
    <row r="15" spans="1:16" s="8" customFormat="1" x14ac:dyDescent="0.25">
      <c r="A15" s="14" t="s">
        <v>21</v>
      </c>
      <c r="B15" s="10" t="s">
        <v>22</v>
      </c>
      <c r="C15" s="11">
        <v>24423</v>
      </c>
      <c r="D15" s="11">
        <v>23390.7</v>
      </c>
      <c r="E15" s="11">
        <v>23754.780753571074</v>
      </c>
      <c r="F15" s="11">
        <v>23754.780753571074</v>
      </c>
      <c r="G15" s="11">
        <v>5555.5785350090173</v>
      </c>
      <c r="H15" s="11">
        <v>5311.8739999999998</v>
      </c>
      <c r="I15" s="16">
        <f>D15/C15-1</f>
        <v>-4.2267534700896614E-2</v>
      </c>
      <c r="J15" s="22">
        <f t="shared" ref="J15:J16" si="1">IF(D15&lt;0,-(F15/D15-1),F15/D15-1)</f>
        <v>1.5565192729207533E-2</v>
      </c>
      <c r="K15" s="11">
        <v>71.37</v>
      </c>
      <c r="L15" s="11">
        <v>10817</v>
      </c>
      <c r="M15" s="15">
        <f>L15/6*7.1</f>
        <v>12800.116666666665</v>
      </c>
      <c r="N15" s="11">
        <v>23755</v>
      </c>
      <c r="O15" s="11">
        <v>25164</v>
      </c>
    </row>
    <row r="16" spans="1:16" s="8" customFormat="1" x14ac:dyDescent="0.25">
      <c r="A16" s="14" t="s">
        <v>23</v>
      </c>
      <c r="B16" s="10" t="s">
        <v>22</v>
      </c>
      <c r="C16" s="11">
        <v>9726.8744619999979</v>
      </c>
      <c r="D16" s="11">
        <v>10110.644849</v>
      </c>
      <c r="E16" s="11">
        <f>8124+9860</f>
        <v>17984</v>
      </c>
      <c r="F16" s="11">
        <v>17984.145476923077</v>
      </c>
      <c r="G16" s="11">
        <v>2327</v>
      </c>
      <c r="H16" s="11">
        <v>2784</v>
      </c>
      <c r="I16" s="16">
        <f>D16/C16-1</f>
        <v>3.9454645837085689E-2</v>
      </c>
      <c r="J16" s="22">
        <f t="shared" si="1"/>
        <v>0.77873377470100835</v>
      </c>
      <c r="K16" s="11">
        <v>3236</v>
      </c>
      <c r="L16" s="11">
        <f>3019+3160</f>
        <v>6179</v>
      </c>
      <c r="M16" s="15">
        <f>L16/6*7.1</f>
        <v>7311.8166666666657</v>
      </c>
      <c r="N16" s="11">
        <v>17984</v>
      </c>
      <c r="O16" s="11">
        <v>18809</v>
      </c>
      <c r="P16" s="28"/>
    </row>
    <row r="17" spans="1:16" s="8" customFormat="1" x14ac:dyDescent="0.25">
      <c r="A17" s="113" t="s">
        <v>93</v>
      </c>
      <c r="B17" s="114" t="s">
        <v>94</v>
      </c>
      <c r="C17" s="120"/>
      <c r="D17" s="120">
        <v>336.5</v>
      </c>
      <c r="E17" s="120"/>
      <c r="F17" s="120"/>
      <c r="G17" s="120"/>
      <c r="H17" s="120"/>
      <c r="I17" s="116"/>
      <c r="J17" s="117"/>
      <c r="K17" s="121"/>
      <c r="L17" s="120">
        <v>145.03</v>
      </c>
      <c r="M17" s="115">
        <f>L17/6*6.2</f>
        <v>149.86433333333335</v>
      </c>
      <c r="N17" s="120">
        <v>472.34</v>
      </c>
      <c r="O17" s="120">
        <v>528.79999999999995</v>
      </c>
      <c r="P17" s="28"/>
    </row>
    <row r="18" spans="1:16" s="8" customFormat="1" x14ac:dyDescent="0.25">
      <c r="A18" s="113" t="s">
        <v>101</v>
      </c>
      <c r="B18" s="114" t="s">
        <v>95</v>
      </c>
      <c r="C18" s="120"/>
      <c r="D18" s="120">
        <v>138.5</v>
      </c>
      <c r="E18" s="120"/>
      <c r="F18" s="120"/>
      <c r="G18" s="120"/>
      <c r="H18" s="120"/>
      <c r="I18" s="116"/>
      <c r="J18" s="117"/>
      <c r="K18" s="121"/>
      <c r="L18" s="120">
        <v>114.22</v>
      </c>
      <c r="M18" s="115">
        <f>L18/6*6.2</f>
        <v>118.02733333333333</v>
      </c>
      <c r="N18" s="120">
        <v>165.29</v>
      </c>
      <c r="O18" s="120">
        <v>81.099999999999994</v>
      </c>
      <c r="P18" s="28"/>
    </row>
    <row r="19" spans="1:16" s="8" customFormat="1" x14ac:dyDescent="0.25">
      <c r="A19" s="14"/>
      <c r="B19" s="10"/>
      <c r="C19" s="15"/>
      <c r="D19" s="15"/>
      <c r="E19" s="15"/>
      <c r="F19" s="15"/>
      <c r="G19" s="15"/>
      <c r="H19" s="15"/>
      <c r="I19" s="16"/>
      <c r="J19" s="23"/>
      <c r="K19" s="24"/>
      <c r="L19" s="25"/>
      <c r="M19" s="15"/>
      <c r="N19" s="25"/>
      <c r="O19" s="25"/>
    </row>
    <row r="20" spans="1:16" s="8" customFormat="1" x14ac:dyDescent="0.25">
      <c r="A20" s="9" t="s">
        <v>24</v>
      </c>
      <c r="B20" s="10"/>
      <c r="C20" s="11"/>
      <c r="D20" s="11"/>
      <c r="E20" s="11"/>
      <c r="F20" s="12"/>
      <c r="G20" s="11"/>
      <c r="H20" s="11"/>
      <c r="I20" s="16"/>
      <c r="J20" s="26"/>
      <c r="K20" s="18"/>
      <c r="L20" s="12"/>
      <c r="M20" s="15"/>
      <c r="N20" s="12"/>
      <c r="O20" s="12"/>
    </row>
    <row r="21" spans="1:16" s="8" customFormat="1" x14ac:dyDescent="0.25">
      <c r="A21" s="14" t="s">
        <v>25</v>
      </c>
      <c r="B21" s="10" t="s">
        <v>26</v>
      </c>
      <c r="C21" s="12">
        <v>188.2</v>
      </c>
      <c r="D21" s="29">
        <v>206.25800000000001</v>
      </c>
      <c r="E21" s="29">
        <v>213.63200000000001</v>
      </c>
      <c r="F21" s="29">
        <v>214.75399999999999</v>
      </c>
      <c r="G21" s="29">
        <v>48.5</v>
      </c>
      <c r="H21" s="29">
        <v>52.7</v>
      </c>
      <c r="I21" s="16">
        <v>9.5951115834219003E-2</v>
      </c>
      <c r="J21" s="22">
        <v>4.1191129556186867E-2</v>
      </c>
      <c r="K21" s="29">
        <v>70.435000000000002</v>
      </c>
      <c r="L21" s="29">
        <v>106.5116551732</v>
      </c>
      <c r="M21" s="15">
        <v>128.34072</v>
      </c>
      <c r="N21" s="29">
        <v>213.63200000000001</v>
      </c>
      <c r="O21" s="29">
        <v>225.90199999999999</v>
      </c>
    </row>
    <row r="22" spans="1:16" s="8" customFormat="1" ht="19.149999999999999" customHeight="1" x14ac:dyDescent="0.25">
      <c r="A22" s="14" t="s">
        <v>27</v>
      </c>
      <c r="B22" s="10" t="s">
        <v>26</v>
      </c>
      <c r="C22" s="12">
        <v>22.9</v>
      </c>
      <c r="D22" s="29">
        <v>25.838000000000001</v>
      </c>
      <c r="E22" s="29">
        <v>32.268000000000001</v>
      </c>
      <c r="F22" s="29">
        <v>33.39</v>
      </c>
      <c r="G22" s="29">
        <v>5.9390000000000001</v>
      </c>
      <c r="H22" s="29">
        <v>7.3</v>
      </c>
      <c r="I22" s="16">
        <v>0.12829694323144114</v>
      </c>
      <c r="J22" s="22">
        <v>0.29228268441829863</v>
      </c>
      <c r="K22" s="29">
        <v>9.7360000000000007</v>
      </c>
      <c r="L22" s="29">
        <v>14.936003148600001</v>
      </c>
      <c r="M22" s="15">
        <v>18.3996</v>
      </c>
      <c r="N22" s="29">
        <v>32.268000000000001</v>
      </c>
      <c r="O22" s="29">
        <v>43.563000000000002</v>
      </c>
    </row>
    <row r="23" spans="1:16" s="8" customFormat="1" ht="3.6" hidden="1" customHeight="1" x14ac:dyDescent="0.25">
      <c r="A23" s="14" t="s">
        <v>28</v>
      </c>
      <c r="B23" s="10" t="s">
        <v>29</v>
      </c>
      <c r="C23" s="29">
        <v>105</v>
      </c>
      <c r="D23" s="29">
        <v>201</v>
      </c>
      <c r="E23" s="29">
        <v>346</v>
      </c>
      <c r="F23" s="29"/>
      <c r="G23" s="29">
        <v>40.6</v>
      </c>
      <c r="H23" s="29">
        <v>43.4</v>
      </c>
      <c r="I23" s="16">
        <v>0.91428571428571437</v>
      </c>
      <c r="J23" s="26">
        <v>-1</v>
      </c>
      <c r="K23" s="29"/>
      <c r="L23" s="29"/>
      <c r="M23" s="15">
        <v>2.718</v>
      </c>
      <c r="N23" s="29">
        <v>15.1</v>
      </c>
      <c r="O23" s="29">
        <v>0</v>
      </c>
    </row>
    <row r="24" spans="1:16" s="8" customFormat="1" x14ac:dyDescent="0.25">
      <c r="A24" s="14" t="s">
        <v>30</v>
      </c>
      <c r="B24" s="10" t="s">
        <v>31</v>
      </c>
      <c r="C24" s="12">
        <v>16.5</v>
      </c>
      <c r="D24" s="12">
        <v>15.2</v>
      </c>
      <c r="E24" s="12">
        <v>15.1</v>
      </c>
      <c r="F24" s="29">
        <v>15.0738</v>
      </c>
      <c r="G24" s="12">
        <v>3.3</v>
      </c>
      <c r="H24" s="12">
        <v>3.1</v>
      </c>
      <c r="I24" s="16">
        <v>-7.8787878787878851E-2</v>
      </c>
      <c r="J24" s="21">
        <v>-8.3026315789472838E-3</v>
      </c>
      <c r="K24" s="29">
        <v>4.1909999999999998</v>
      </c>
      <c r="L24" s="29">
        <v>6.7781000000000002</v>
      </c>
      <c r="M24" s="15">
        <v>8.767512</v>
      </c>
      <c r="N24" s="29">
        <v>15.1</v>
      </c>
      <c r="O24" s="29">
        <v>15.0739</v>
      </c>
    </row>
    <row r="25" spans="1:16" s="8" customFormat="1" x14ac:dyDescent="0.25">
      <c r="A25" s="113" t="s">
        <v>93</v>
      </c>
      <c r="B25" s="114" t="s">
        <v>94</v>
      </c>
      <c r="C25" s="122"/>
      <c r="D25" s="123">
        <v>914.141031</v>
      </c>
      <c r="E25" s="123">
        <v>914141.03099999996</v>
      </c>
      <c r="F25" s="123"/>
      <c r="G25" s="123"/>
      <c r="H25" s="123"/>
      <c r="I25" s="116"/>
      <c r="J25" s="117"/>
      <c r="K25" s="123"/>
      <c r="L25" s="123">
        <v>495.95760999999999</v>
      </c>
      <c r="M25" s="115">
        <v>588.34352000000001</v>
      </c>
      <c r="N25" s="123">
        <v>1092.0222039999999</v>
      </c>
      <c r="O25" s="123">
        <v>1222.2102030000001</v>
      </c>
    </row>
    <row r="26" spans="1:16" s="8" customFormat="1" x14ac:dyDescent="0.25">
      <c r="A26" s="113" t="s">
        <v>101</v>
      </c>
      <c r="B26" s="114" t="s">
        <v>95</v>
      </c>
      <c r="C26" s="122"/>
      <c r="D26" s="123">
        <v>12.689247999999999</v>
      </c>
      <c r="E26" s="123"/>
      <c r="F26" s="123"/>
      <c r="G26" s="123"/>
      <c r="H26" s="123"/>
      <c r="I26" s="116"/>
      <c r="J26" s="117"/>
      <c r="K26" s="123"/>
      <c r="L26" s="123">
        <v>-5.3524340000000006</v>
      </c>
      <c r="M26" s="115">
        <v>-10.470645000000001</v>
      </c>
      <c r="N26" s="123">
        <v>52.515675999999999</v>
      </c>
      <c r="O26" s="123">
        <v>120.286148</v>
      </c>
    </row>
    <row r="27" spans="1:16" s="8" customFormat="1" x14ac:dyDescent="0.25">
      <c r="A27" s="14"/>
      <c r="B27" s="10"/>
      <c r="C27" s="11"/>
      <c r="D27" s="11"/>
      <c r="E27" s="11"/>
      <c r="F27" s="12"/>
      <c r="G27" s="11"/>
      <c r="H27" s="11"/>
      <c r="I27" s="16"/>
      <c r="J27" s="26"/>
      <c r="K27" s="18"/>
      <c r="L27" s="12"/>
      <c r="M27" s="12"/>
      <c r="N27" s="12"/>
      <c r="O27" s="12"/>
    </row>
    <row r="28" spans="1:16" s="8" customFormat="1" x14ac:dyDescent="0.25">
      <c r="A28" s="9" t="s">
        <v>32</v>
      </c>
      <c r="B28" s="10"/>
      <c r="C28" s="11"/>
      <c r="D28" s="11"/>
      <c r="E28" s="11"/>
      <c r="F28" s="12"/>
      <c r="G28" s="11"/>
      <c r="H28" s="11"/>
      <c r="I28" s="16"/>
      <c r="J28" s="26"/>
      <c r="K28" s="29"/>
      <c r="L28" s="29"/>
      <c r="M28" s="29"/>
      <c r="N28" s="29"/>
      <c r="O28" s="29"/>
    </row>
    <row r="29" spans="1:16" s="8" customFormat="1" ht="18" customHeight="1" x14ac:dyDescent="0.25">
      <c r="A29" s="14" t="s">
        <v>34</v>
      </c>
      <c r="B29" s="10" t="s">
        <v>35</v>
      </c>
      <c r="C29" s="12">
        <v>3.75</v>
      </c>
      <c r="D29" s="12">
        <v>4.1900000000000004</v>
      </c>
      <c r="E29" s="12">
        <v>5.0999999999999996</v>
      </c>
      <c r="F29" s="29">
        <v>4.7009999999999996</v>
      </c>
      <c r="G29" s="12">
        <v>1.1000000000000001</v>
      </c>
      <c r="H29" s="12">
        <v>0.96799999999999997</v>
      </c>
      <c r="I29" s="16">
        <v>0.11733333333333351</v>
      </c>
      <c r="J29" s="22">
        <v>0.12195704057279211</v>
      </c>
      <c r="K29" s="29">
        <v>1.3280000000000001</v>
      </c>
      <c r="L29" s="30">
        <v>2.0830280000000001</v>
      </c>
      <c r="M29" s="30">
        <v>2.7</v>
      </c>
      <c r="N29" s="30">
        <v>5.0999999999999996</v>
      </c>
      <c r="O29" s="30">
        <v>5.7</v>
      </c>
    </row>
    <row r="30" spans="1:16" s="8" customFormat="1" ht="18" customHeight="1" x14ac:dyDescent="0.25">
      <c r="A30" s="14" t="s">
        <v>96</v>
      </c>
      <c r="B30" s="10" t="s">
        <v>99</v>
      </c>
      <c r="C30" s="12">
        <v>2.0499999999999998</v>
      </c>
      <c r="D30" s="12">
        <v>69</v>
      </c>
      <c r="E30" s="12">
        <v>0</v>
      </c>
      <c r="F30" s="29">
        <v>0</v>
      </c>
      <c r="G30" s="31">
        <v>0</v>
      </c>
      <c r="H30" s="12">
        <v>0</v>
      </c>
      <c r="I30" s="16">
        <v>0</v>
      </c>
      <c r="J30" s="26">
        <v>0</v>
      </c>
      <c r="K30" s="29">
        <v>0</v>
      </c>
      <c r="L30" s="29">
        <v>69</v>
      </c>
      <c r="M30" s="29">
        <v>69</v>
      </c>
      <c r="N30" s="29">
        <v>69</v>
      </c>
      <c r="O30" s="29">
        <v>66</v>
      </c>
    </row>
    <row r="31" spans="1:16" s="8" customFormat="1" ht="18" customHeight="1" x14ac:dyDescent="0.25">
      <c r="A31" s="14" t="s">
        <v>97</v>
      </c>
      <c r="B31" s="10" t="s">
        <v>99</v>
      </c>
      <c r="C31" s="12">
        <v>1.7</v>
      </c>
      <c r="D31" s="12">
        <v>21</v>
      </c>
      <c r="E31" s="12"/>
      <c r="F31" s="29"/>
      <c r="G31" s="31"/>
      <c r="H31" s="12"/>
      <c r="I31" s="16"/>
      <c r="J31" s="26"/>
      <c r="K31" s="29"/>
      <c r="L31" s="29">
        <v>20</v>
      </c>
      <c r="M31" s="29">
        <v>20</v>
      </c>
      <c r="N31" s="29">
        <v>20</v>
      </c>
      <c r="O31" s="29">
        <v>20</v>
      </c>
    </row>
    <row r="32" spans="1:16" s="8" customFormat="1" ht="18" customHeight="1" x14ac:dyDescent="0.25">
      <c r="A32" s="14" t="s">
        <v>98</v>
      </c>
      <c r="B32" s="10" t="s">
        <v>99</v>
      </c>
      <c r="C32" s="12">
        <v>0.31</v>
      </c>
      <c r="D32" s="12">
        <v>48</v>
      </c>
      <c r="E32" s="12"/>
      <c r="F32" s="29"/>
      <c r="G32" s="12"/>
      <c r="H32" s="12"/>
      <c r="I32" s="16"/>
      <c r="J32" s="26"/>
      <c r="K32" s="18"/>
      <c r="L32" s="12">
        <v>49</v>
      </c>
      <c r="M32" s="12">
        <v>49</v>
      </c>
      <c r="N32" s="12">
        <v>49</v>
      </c>
      <c r="O32" s="12">
        <v>46</v>
      </c>
    </row>
    <row r="33" spans="1:15" s="8" customFormat="1" x14ac:dyDescent="0.25">
      <c r="A33" s="113" t="s">
        <v>93</v>
      </c>
      <c r="B33" s="114" t="s">
        <v>94</v>
      </c>
      <c r="C33" s="122"/>
      <c r="D33" s="124">
        <v>20.621307744599992</v>
      </c>
      <c r="E33" s="124">
        <v>0</v>
      </c>
      <c r="F33" s="124">
        <v>0</v>
      </c>
      <c r="G33" s="124">
        <v>0</v>
      </c>
      <c r="H33" s="124">
        <v>0</v>
      </c>
      <c r="I33" s="124">
        <v>0</v>
      </c>
      <c r="J33" s="125">
        <v>0</v>
      </c>
      <c r="K33" s="124">
        <v>0</v>
      </c>
      <c r="L33" s="124">
        <v>126.20629782084399</v>
      </c>
      <c r="M33" s="124">
        <v>157.23513034000001</v>
      </c>
      <c r="N33" s="124">
        <v>289.3</v>
      </c>
      <c r="O33" s="124">
        <v>345.1787881435402</v>
      </c>
    </row>
    <row r="34" spans="1:15" s="8" customFormat="1" x14ac:dyDescent="0.25">
      <c r="A34" s="113" t="s">
        <v>101</v>
      </c>
      <c r="B34" s="114" t="s">
        <v>95</v>
      </c>
      <c r="C34" s="122"/>
      <c r="D34" s="123">
        <v>12.818</v>
      </c>
      <c r="E34" s="123">
        <v>0</v>
      </c>
      <c r="F34" s="123">
        <v>0</v>
      </c>
      <c r="G34" s="123">
        <v>0</v>
      </c>
      <c r="H34" s="123">
        <v>0</v>
      </c>
      <c r="I34" s="116">
        <v>0</v>
      </c>
      <c r="J34" s="117">
        <v>0</v>
      </c>
      <c r="K34" s="123">
        <v>0</v>
      </c>
      <c r="L34" s="123">
        <v>-5.9700974904114998</v>
      </c>
      <c r="M34" s="115">
        <v>-1.7221658400000002</v>
      </c>
      <c r="N34" s="123">
        <v>5.5</v>
      </c>
      <c r="O34" s="123">
        <v>14.192367878807001</v>
      </c>
    </row>
    <row r="35" spans="1:15" s="8" customFormat="1" x14ac:dyDescent="0.25">
      <c r="A35" s="14"/>
      <c r="B35" s="10"/>
      <c r="C35" s="11"/>
      <c r="D35" s="11"/>
      <c r="E35" s="11"/>
      <c r="F35" s="12"/>
      <c r="G35" s="11"/>
      <c r="H35" s="11"/>
      <c r="I35" s="16"/>
      <c r="J35" s="26"/>
      <c r="K35" s="18"/>
      <c r="L35" s="12"/>
      <c r="M35" s="12"/>
      <c r="N35" s="12"/>
      <c r="O35" s="12"/>
    </row>
    <row r="36" spans="1:15" s="8" customFormat="1" x14ac:dyDescent="0.25">
      <c r="A36" s="9" t="s">
        <v>38</v>
      </c>
      <c r="B36" s="10"/>
      <c r="C36" s="11"/>
      <c r="D36" s="11"/>
      <c r="E36" s="11"/>
      <c r="F36" s="12"/>
      <c r="G36" s="11"/>
      <c r="H36" s="11"/>
      <c r="I36" s="16"/>
      <c r="J36" s="26"/>
      <c r="K36" s="18"/>
      <c r="L36" s="12"/>
      <c r="M36" s="12"/>
      <c r="N36" s="12"/>
      <c r="O36" s="12"/>
    </row>
    <row r="37" spans="1:15" s="8" customFormat="1" x14ac:dyDescent="0.25">
      <c r="A37" s="14" t="s">
        <v>39</v>
      </c>
      <c r="B37" s="10" t="s">
        <v>40</v>
      </c>
      <c r="C37" s="11">
        <v>22485.1</v>
      </c>
      <c r="D37" s="15">
        <v>28661.5</v>
      </c>
      <c r="E37" s="15">
        <v>31687.7</v>
      </c>
      <c r="F37" s="15">
        <v>31687.7</v>
      </c>
      <c r="G37" s="15">
        <v>8581</v>
      </c>
      <c r="H37" s="15">
        <v>9029.2000000000007</v>
      </c>
      <c r="I37" s="15">
        <v>0.27468857154293302</v>
      </c>
      <c r="J37" s="32">
        <v>0.10558414597979882</v>
      </c>
      <c r="K37" s="15">
        <v>11455</v>
      </c>
      <c r="L37" s="19">
        <v>16394.5</v>
      </c>
      <c r="M37" s="19">
        <v>22243</v>
      </c>
      <c r="N37" s="19">
        <v>31688</v>
      </c>
      <c r="O37" s="19">
        <v>29230</v>
      </c>
    </row>
    <row r="38" spans="1:15" s="8" customFormat="1" x14ac:dyDescent="0.25">
      <c r="A38" s="14" t="s">
        <v>41</v>
      </c>
      <c r="B38" s="10" t="s">
        <v>40</v>
      </c>
      <c r="C38" s="11">
        <v>1992</v>
      </c>
      <c r="D38" s="15">
        <v>4706</v>
      </c>
      <c r="E38" s="15">
        <v>6100</v>
      </c>
      <c r="F38" s="15">
        <v>6100</v>
      </c>
      <c r="G38" s="15">
        <v>1504</v>
      </c>
      <c r="H38" s="15">
        <v>1628</v>
      </c>
      <c r="I38" s="15">
        <v>1.3624497991967872</v>
      </c>
      <c r="J38" s="32">
        <v>0.29621759456013597</v>
      </c>
      <c r="K38" s="15">
        <v>2232.14</v>
      </c>
      <c r="L38" s="15">
        <v>3313</v>
      </c>
      <c r="M38" s="15">
        <v>3313</v>
      </c>
      <c r="N38" s="15">
        <v>6100</v>
      </c>
      <c r="O38" s="15">
        <v>6100</v>
      </c>
    </row>
    <row r="39" spans="1:15" s="8" customFormat="1" x14ac:dyDescent="0.25">
      <c r="A39" s="14" t="s">
        <v>42</v>
      </c>
      <c r="B39" s="10" t="s">
        <v>43</v>
      </c>
      <c r="C39" s="11">
        <v>6804.8</v>
      </c>
      <c r="D39" s="15">
        <v>7029.3</v>
      </c>
      <c r="E39" s="15">
        <v>5591</v>
      </c>
      <c r="F39" s="15">
        <v>5591</v>
      </c>
      <c r="G39" s="15">
        <v>2423</v>
      </c>
      <c r="H39" s="15">
        <v>2519.1</v>
      </c>
      <c r="I39" s="15">
        <v>3.2991417822713309E-2</v>
      </c>
      <c r="J39" s="33">
        <v>-0.20461496877356211</v>
      </c>
      <c r="K39" s="15">
        <v>2773.1</v>
      </c>
      <c r="L39" s="15">
        <v>3108.80125</v>
      </c>
      <c r="M39" s="15">
        <v>3381.9760000000001</v>
      </c>
      <c r="N39" s="15">
        <v>5591</v>
      </c>
      <c r="O39" s="15">
        <v>5515</v>
      </c>
    </row>
    <row r="40" spans="1:15" s="8" customFormat="1" x14ac:dyDescent="0.25">
      <c r="A40" s="14" t="s">
        <v>44</v>
      </c>
      <c r="B40" s="10" t="s">
        <v>40</v>
      </c>
      <c r="C40" s="11">
        <v>12117.6</v>
      </c>
      <c r="D40" s="15">
        <v>12026.1</v>
      </c>
      <c r="E40" s="15">
        <v>6696.2</v>
      </c>
      <c r="F40" s="15">
        <v>6696.2</v>
      </c>
      <c r="G40" s="15">
        <v>1793</v>
      </c>
      <c r="H40" s="15">
        <v>1880.2</v>
      </c>
      <c r="I40" s="15">
        <v>-7.551000198058988E-3</v>
      </c>
      <c r="J40" s="34">
        <v>-0.44319438554477353</v>
      </c>
      <c r="K40" s="15">
        <v>2402</v>
      </c>
      <c r="L40" s="15">
        <v>3401.8</v>
      </c>
      <c r="M40" s="15">
        <v>4644.598</v>
      </c>
      <c r="N40" s="15">
        <v>6696</v>
      </c>
      <c r="O40" s="15">
        <v>6739</v>
      </c>
    </row>
    <row r="41" spans="1:15" s="8" customFormat="1" x14ac:dyDescent="0.25">
      <c r="A41" s="14" t="s">
        <v>45</v>
      </c>
      <c r="B41" s="10" t="s">
        <v>15</v>
      </c>
      <c r="C41" s="15">
        <v>35.1</v>
      </c>
      <c r="D41" s="15">
        <v>40.9</v>
      </c>
      <c r="E41" s="15">
        <v>41.3</v>
      </c>
      <c r="F41" s="15">
        <v>41.3</v>
      </c>
      <c r="G41" s="15">
        <v>11.9</v>
      </c>
      <c r="H41" s="15">
        <v>12</v>
      </c>
      <c r="I41" s="15">
        <v>0.16524216524216517</v>
      </c>
      <c r="J41" s="32">
        <v>9.7799511002445438E-3</v>
      </c>
      <c r="K41" s="15">
        <v>15.68</v>
      </c>
      <c r="L41" s="15">
        <v>21.9</v>
      </c>
      <c r="M41" s="15">
        <v>29.381999999999998</v>
      </c>
      <c r="N41" s="15">
        <v>41.3</v>
      </c>
      <c r="O41" s="15">
        <v>40.299999999999997</v>
      </c>
    </row>
    <row r="42" spans="1:15" s="8" customFormat="1" x14ac:dyDescent="0.25">
      <c r="A42" s="113" t="s">
        <v>93</v>
      </c>
      <c r="B42" s="114" t="s">
        <v>94</v>
      </c>
      <c r="C42" s="115"/>
      <c r="D42" s="115">
        <v>219.8</v>
      </c>
      <c r="E42" s="115"/>
      <c r="F42" s="115"/>
      <c r="G42" s="115"/>
      <c r="H42" s="115"/>
      <c r="I42" s="115"/>
      <c r="J42" s="126"/>
      <c r="K42" s="127"/>
      <c r="L42" s="115">
        <v>131.9</v>
      </c>
      <c r="M42" s="115">
        <v>153.1</v>
      </c>
      <c r="N42" s="115">
        <v>251.7</v>
      </c>
      <c r="O42" s="115">
        <v>193</v>
      </c>
    </row>
    <row r="43" spans="1:15" s="8" customFormat="1" x14ac:dyDescent="0.25">
      <c r="A43" s="113" t="s">
        <v>101</v>
      </c>
      <c r="B43" s="114" t="s">
        <v>95</v>
      </c>
      <c r="C43" s="115"/>
      <c r="D43" s="115">
        <v>-27</v>
      </c>
      <c r="E43" s="115"/>
      <c r="F43" s="115"/>
      <c r="G43" s="115"/>
      <c r="H43" s="115"/>
      <c r="I43" s="115"/>
      <c r="J43" s="126"/>
      <c r="K43" s="127"/>
      <c r="L43" s="115">
        <v>8.1999999999999993</v>
      </c>
      <c r="M43" s="115">
        <v>8.9</v>
      </c>
      <c r="N43" s="115">
        <v>1</v>
      </c>
      <c r="O43" s="115">
        <v>44</v>
      </c>
    </row>
    <row r="44" spans="1:15" s="8" customFormat="1" x14ac:dyDescent="0.25">
      <c r="A44" s="14"/>
      <c r="B44" s="10"/>
      <c r="C44" s="11"/>
      <c r="D44" s="11"/>
      <c r="E44" s="11"/>
      <c r="F44" s="12"/>
      <c r="G44" s="11"/>
      <c r="H44" s="11"/>
      <c r="I44" s="16"/>
      <c r="J44" s="18"/>
      <c r="K44" s="18"/>
      <c r="L44" s="12"/>
      <c r="M44" s="12"/>
      <c r="N44" s="12"/>
      <c r="O44" s="12"/>
    </row>
    <row r="45" spans="1:15" s="8" customFormat="1" x14ac:dyDescent="0.25">
      <c r="A45" s="9" t="s">
        <v>46</v>
      </c>
      <c r="B45" s="10"/>
      <c r="C45" s="11"/>
      <c r="D45" s="11"/>
      <c r="E45" s="11"/>
      <c r="F45" s="12"/>
      <c r="G45" s="11"/>
      <c r="H45" s="11"/>
      <c r="I45" s="16"/>
      <c r="J45" s="18"/>
      <c r="K45" s="18"/>
      <c r="L45" s="12"/>
      <c r="M45" s="12"/>
      <c r="N45" s="12"/>
      <c r="O45" s="12"/>
    </row>
    <row r="46" spans="1:15" s="8" customFormat="1" x14ac:dyDescent="0.25">
      <c r="A46" s="14" t="s">
        <v>47</v>
      </c>
      <c r="B46" s="10" t="s">
        <v>48</v>
      </c>
      <c r="C46" s="11">
        <v>38.139057999999999</v>
      </c>
      <c r="D46" s="15">
        <v>41.986824212648301</v>
      </c>
      <c r="E46" s="15">
        <v>41.8</v>
      </c>
      <c r="F46" s="15">
        <v>42</v>
      </c>
      <c r="G46" s="11">
        <v>10.8</v>
      </c>
      <c r="H46" s="11">
        <v>11.5</v>
      </c>
      <c r="I46" s="16">
        <f>D46/C46-1</f>
        <v>0.10088781460329477</v>
      </c>
      <c r="J46" s="22">
        <f t="shared" ref="J46:J48" si="2">IF(D46&lt;0,-(F46/D46-1),F46/D46-1)</f>
        <v>3.1380766701882834E-4</v>
      </c>
      <c r="K46" s="15">
        <v>14.6</v>
      </c>
      <c r="L46" s="15">
        <f>21361781.8202/1000000</f>
        <v>21.361781820200001</v>
      </c>
      <c r="M46" s="15">
        <v>25.2781084872367</v>
      </c>
      <c r="N46" s="15">
        <v>41</v>
      </c>
      <c r="O46" s="15">
        <v>42.5</v>
      </c>
    </row>
    <row r="47" spans="1:15" s="8" customFormat="1" x14ac:dyDescent="0.25">
      <c r="A47" s="14" t="s">
        <v>49</v>
      </c>
      <c r="B47" s="10" t="s">
        <v>48</v>
      </c>
      <c r="C47" s="11">
        <v>85.738635552031312</v>
      </c>
      <c r="D47" s="15">
        <v>93.610038790003799</v>
      </c>
      <c r="E47" s="15">
        <v>93</v>
      </c>
      <c r="F47" s="15">
        <v>94.8</v>
      </c>
      <c r="G47" s="11">
        <v>24.7</v>
      </c>
      <c r="H47" s="11">
        <v>26.1</v>
      </c>
      <c r="I47" s="16">
        <f>D47/C47-1</f>
        <v>9.1806957123730326E-2</v>
      </c>
      <c r="J47" s="22">
        <f t="shared" si="2"/>
        <v>1.2711897413755446E-2</v>
      </c>
      <c r="K47" s="15">
        <v>34.6</v>
      </c>
      <c r="L47" s="15">
        <f>49876463.671/1000000</f>
        <v>49.876463670999996</v>
      </c>
      <c r="M47" s="15">
        <v>59.020482010683303</v>
      </c>
      <c r="N47" s="15">
        <v>92.9</v>
      </c>
      <c r="O47" s="15">
        <v>91.3</v>
      </c>
    </row>
    <row r="48" spans="1:15" s="8" customFormat="1" x14ac:dyDescent="0.25">
      <c r="A48" s="14" t="s">
        <v>50</v>
      </c>
      <c r="B48" s="10" t="s">
        <v>48</v>
      </c>
      <c r="C48" s="11">
        <v>161.615995687733</v>
      </c>
      <c r="D48" s="15">
        <v>174.5347025282</v>
      </c>
      <c r="E48" s="15">
        <v>177</v>
      </c>
      <c r="F48" s="15">
        <v>180</v>
      </c>
      <c r="G48" s="11">
        <v>47</v>
      </c>
      <c r="H48" s="11">
        <v>48.8</v>
      </c>
      <c r="I48" s="16">
        <f>D48/C48-1</f>
        <v>7.9934580642796904E-2</v>
      </c>
      <c r="J48" s="22">
        <f t="shared" si="2"/>
        <v>3.1313529015337016E-2</v>
      </c>
      <c r="K48" s="15">
        <v>64.099999999999994</v>
      </c>
      <c r="L48" s="15">
        <f>92587129.103/1000000</f>
        <v>92.587129102999995</v>
      </c>
      <c r="M48" s="15">
        <v>109.56143610521666</v>
      </c>
      <c r="N48" s="15">
        <v>176.9</v>
      </c>
      <c r="O48" s="15">
        <v>175.3</v>
      </c>
    </row>
    <row r="49" spans="1:15" s="8" customFormat="1" x14ac:dyDescent="0.25">
      <c r="A49" s="113" t="s">
        <v>93</v>
      </c>
      <c r="B49" s="114" t="s">
        <v>94</v>
      </c>
      <c r="C49" s="120"/>
      <c r="D49" s="115">
        <v>155</v>
      </c>
      <c r="E49" s="115"/>
      <c r="F49" s="115"/>
      <c r="G49" s="120"/>
      <c r="H49" s="120"/>
      <c r="I49" s="116"/>
      <c r="J49" s="117"/>
      <c r="K49" s="127"/>
      <c r="L49" s="115">
        <v>87</v>
      </c>
      <c r="M49" s="115">
        <v>101.5</v>
      </c>
      <c r="N49" s="115">
        <v>171.2</v>
      </c>
      <c r="O49" s="115">
        <v>449</v>
      </c>
    </row>
    <row r="50" spans="1:15" s="8" customFormat="1" x14ac:dyDescent="0.25">
      <c r="A50" s="113" t="s">
        <v>101</v>
      </c>
      <c r="B50" s="114" t="s">
        <v>95</v>
      </c>
      <c r="C50" s="120"/>
      <c r="D50" s="115">
        <v>32.5</v>
      </c>
      <c r="E50" s="115"/>
      <c r="F50" s="115"/>
      <c r="G50" s="120"/>
      <c r="H50" s="120"/>
      <c r="I50" s="116"/>
      <c r="J50" s="117"/>
      <c r="K50" s="127"/>
      <c r="L50" s="115">
        <v>26.2</v>
      </c>
      <c r="M50" s="115">
        <v>27.073333333333331</v>
      </c>
      <c r="N50" s="115">
        <v>35</v>
      </c>
      <c r="O50" s="115">
        <v>46.7</v>
      </c>
    </row>
    <row r="51" spans="1:15" s="8" customFormat="1" x14ac:dyDescent="0.25">
      <c r="A51" s="14"/>
      <c r="B51" s="10"/>
      <c r="C51" s="11"/>
      <c r="D51" s="11"/>
      <c r="E51" s="11"/>
      <c r="F51" s="12"/>
      <c r="G51" s="11"/>
      <c r="H51" s="11"/>
      <c r="I51" s="16"/>
      <c r="J51" s="26"/>
      <c r="K51" s="18"/>
      <c r="L51" s="12"/>
      <c r="M51" s="12"/>
      <c r="N51" s="12"/>
      <c r="O51" s="12"/>
    </row>
    <row r="52" spans="1:15" s="8" customFormat="1" x14ac:dyDescent="0.25">
      <c r="A52" s="9" t="s">
        <v>51</v>
      </c>
      <c r="B52" s="10"/>
      <c r="C52" s="11"/>
      <c r="D52" s="11"/>
      <c r="E52" s="11"/>
      <c r="F52" s="12"/>
      <c r="G52" s="11"/>
      <c r="H52" s="11"/>
      <c r="I52" s="16"/>
      <c r="J52" s="27"/>
      <c r="K52" s="16"/>
      <c r="L52" s="12"/>
      <c r="M52" s="12"/>
      <c r="N52" s="12"/>
      <c r="O52" s="12"/>
    </row>
    <row r="53" spans="1:15" s="8" customFormat="1" x14ac:dyDescent="0.25">
      <c r="A53" s="14" t="s">
        <v>52</v>
      </c>
      <c r="B53" s="10" t="s">
        <v>53</v>
      </c>
      <c r="C53" s="11">
        <v>3670276</v>
      </c>
      <c r="D53" s="35">
        <v>3425559</v>
      </c>
      <c r="E53" s="35">
        <v>3064334</v>
      </c>
      <c r="F53" s="35">
        <v>3064334</v>
      </c>
      <c r="G53" s="11">
        <v>3182091</v>
      </c>
      <c r="H53" s="11">
        <v>3203479</v>
      </c>
      <c r="I53" s="16">
        <f>D53/C53-1</f>
        <v>-6.6675367193093971E-2</v>
      </c>
      <c r="J53" s="36">
        <f t="shared" ref="J53:J55" si="3">IF(D53&lt;0,-(F53/D53-1),F53/D53-1)</f>
        <v>-0.1054499426225034</v>
      </c>
      <c r="K53" s="11">
        <v>3115370</v>
      </c>
      <c r="L53" s="35">
        <v>3047083</v>
      </c>
      <c r="M53" s="35">
        <v>3016913.8613861385</v>
      </c>
      <c r="N53" s="35">
        <v>3064300</v>
      </c>
      <c r="O53" s="35">
        <f>M53*0.99</f>
        <v>2986744.722772277</v>
      </c>
    </row>
    <row r="54" spans="1:15" s="8" customFormat="1" x14ac:dyDescent="0.25">
      <c r="A54" s="14" t="s">
        <v>54</v>
      </c>
      <c r="B54" s="10" t="s">
        <v>53</v>
      </c>
      <c r="C54" s="11">
        <v>1592146</v>
      </c>
      <c r="D54" s="35">
        <v>1686785</v>
      </c>
      <c r="E54" s="35">
        <v>1720330</v>
      </c>
      <c r="F54" s="35">
        <v>1720330</v>
      </c>
      <c r="G54" s="11">
        <v>1685333</v>
      </c>
      <c r="H54" s="11">
        <v>1690946</v>
      </c>
      <c r="I54" s="16">
        <f>D54/C54-1</f>
        <v>5.9441156778335724E-2</v>
      </c>
      <c r="J54" s="37">
        <f t="shared" si="3"/>
        <v>1.9886944690639341E-2</v>
      </c>
      <c r="K54" s="11">
        <v>1692571</v>
      </c>
      <c r="L54" s="35">
        <v>1816074</v>
      </c>
      <c r="M54" s="35">
        <v>1834234.74</v>
      </c>
      <c r="N54" s="35">
        <v>1720300</v>
      </c>
      <c r="O54" s="35">
        <f>M54*1.08</f>
        <v>1980973.5192000002</v>
      </c>
    </row>
    <row r="55" spans="1:15" s="8" customFormat="1" x14ac:dyDescent="0.25">
      <c r="A55" s="14" t="s">
        <v>55</v>
      </c>
      <c r="B55" s="10" t="s">
        <v>53</v>
      </c>
      <c r="C55" s="11">
        <v>670127</v>
      </c>
      <c r="D55" s="35">
        <v>735419</v>
      </c>
      <c r="E55" s="35">
        <v>808903</v>
      </c>
      <c r="F55" s="35">
        <v>808903</v>
      </c>
      <c r="G55" s="11">
        <v>754530</v>
      </c>
      <c r="H55" s="11">
        <v>749337</v>
      </c>
      <c r="I55" s="16">
        <f>D55/C55-1</f>
        <v>9.7432277762274921E-2</v>
      </c>
      <c r="J55" s="37">
        <f t="shared" si="3"/>
        <v>9.9921269371609833E-2</v>
      </c>
      <c r="K55" s="11">
        <v>756978</v>
      </c>
      <c r="L55" s="35">
        <v>768909</v>
      </c>
      <c r="M55" s="35">
        <v>776598.09</v>
      </c>
      <c r="N55" s="35">
        <v>809000</v>
      </c>
      <c r="O55" s="35">
        <v>839194</v>
      </c>
    </row>
    <row r="56" spans="1:15" s="8" customFormat="1" x14ac:dyDescent="0.25">
      <c r="A56" s="113" t="s">
        <v>93</v>
      </c>
      <c r="B56" s="114" t="s">
        <v>94</v>
      </c>
      <c r="C56" s="120"/>
      <c r="D56" s="128">
        <v>210.2</v>
      </c>
      <c r="E56" s="128"/>
      <c r="F56" s="128"/>
      <c r="G56" s="120"/>
      <c r="H56" s="120"/>
      <c r="I56" s="116"/>
      <c r="J56" s="129"/>
      <c r="K56" s="120"/>
      <c r="L56" s="119">
        <v>103.6</v>
      </c>
      <c r="M56" s="128">
        <v>117.41333333333333</v>
      </c>
      <c r="N56" s="128">
        <v>215.2</v>
      </c>
      <c r="O56" s="128">
        <v>212</v>
      </c>
    </row>
    <row r="57" spans="1:15" s="8" customFormat="1" x14ac:dyDescent="0.25">
      <c r="A57" s="113" t="s">
        <v>101</v>
      </c>
      <c r="B57" s="114" t="s">
        <v>95</v>
      </c>
      <c r="C57" s="120"/>
      <c r="D57" s="119">
        <v>24.7</v>
      </c>
      <c r="E57" s="128"/>
      <c r="F57" s="128"/>
      <c r="G57" s="120"/>
      <c r="H57" s="120"/>
      <c r="I57" s="116"/>
      <c r="J57" s="129"/>
      <c r="K57" s="120"/>
      <c r="L57" s="128">
        <v>20</v>
      </c>
      <c r="M57" s="128">
        <v>20.666666666666668</v>
      </c>
      <c r="N57" s="128">
        <v>25</v>
      </c>
      <c r="O57" s="128">
        <v>30</v>
      </c>
    </row>
    <row r="58" spans="1:15" s="8" customFormat="1" x14ac:dyDescent="0.25">
      <c r="A58" s="14"/>
      <c r="B58" s="10"/>
      <c r="C58" s="11"/>
      <c r="D58" s="11"/>
      <c r="E58" s="11"/>
      <c r="F58" s="12"/>
      <c r="G58" s="11"/>
      <c r="H58" s="11"/>
      <c r="I58" s="16"/>
      <c r="J58" s="27"/>
      <c r="K58" s="16"/>
      <c r="L58" s="12"/>
      <c r="M58" s="12"/>
      <c r="N58" s="12"/>
      <c r="O58" s="12"/>
    </row>
    <row r="59" spans="1:15" s="8" customFormat="1" x14ac:dyDescent="0.25">
      <c r="A59" s="9" t="s">
        <v>56</v>
      </c>
      <c r="B59" s="10"/>
      <c r="C59" s="11"/>
      <c r="D59" s="11"/>
      <c r="E59" s="11"/>
      <c r="F59" s="12"/>
      <c r="G59" s="11"/>
      <c r="H59" s="11"/>
      <c r="I59" s="16"/>
      <c r="J59" s="27"/>
      <c r="K59" s="16"/>
      <c r="L59" s="12"/>
      <c r="M59" s="12"/>
      <c r="N59" s="12"/>
      <c r="O59" s="12"/>
    </row>
    <row r="60" spans="1:15" s="8" customFormat="1" x14ac:dyDescent="0.25">
      <c r="A60" s="14" t="s">
        <v>57</v>
      </c>
      <c r="B60" s="10" t="s">
        <v>58</v>
      </c>
      <c r="C60" s="11">
        <v>245.55247495</v>
      </c>
      <c r="D60" s="11">
        <v>222.93965199999997</v>
      </c>
      <c r="E60" s="11">
        <v>229.77512129706574</v>
      </c>
      <c r="F60" s="11">
        <f>E60</f>
        <v>229.77512129706574</v>
      </c>
      <c r="G60" s="11">
        <v>55.1</v>
      </c>
      <c r="H60" s="11">
        <v>56.582999999999998</v>
      </c>
      <c r="I60" s="16">
        <f>D60/C60-1</f>
        <v>-9.2089574558776199E-2</v>
      </c>
      <c r="J60" s="37">
        <f t="shared" ref="J60:J62" si="4">IF(D60&lt;0,-(F60/D60-1),F60/D60-1)</f>
        <v>3.0660626029261895E-2</v>
      </c>
      <c r="K60" s="12" t="e">
        <f>#REF!</f>
        <v>#REF!</v>
      </c>
      <c r="L60" s="15">
        <v>112.4</v>
      </c>
      <c r="M60" s="15">
        <v>114.3108</v>
      </c>
      <c r="N60" s="15">
        <v>230</v>
      </c>
      <c r="O60" s="15">
        <v>215</v>
      </c>
    </row>
    <row r="61" spans="1:15" s="8" customFormat="1" x14ac:dyDescent="0.25">
      <c r="A61" s="14" t="s">
        <v>59</v>
      </c>
      <c r="B61" s="10" t="s">
        <v>60</v>
      </c>
      <c r="C61" s="11">
        <v>1112.8575219999998</v>
      </c>
      <c r="D61" s="11">
        <v>1041.702</v>
      </c>
      <c r="E61" s="11">
        <v>1007.609332783249</v>
      </c>
      <c r="F61" s="11">
        <f>E61</f>
        <v>1007.609332783249</v>
      </c>
      <c r="G61" s="11">
        <v>242</v>
      </c>
      <c r="H61" s="11">
        <v>264.75200000000001</v>
      </c>
      <c r="I61" s="16">
        <f>D61/C61-1</f>
        <v>-6.3939471669401948E-2</v>
      </c>
      <c r="J61" s="38">
        <f t="shared" si="4"/>
        <v>-3.2727850399395408E-2</v>
      </c>
      <c r="K61" s="12" t="e">
        <f>#REF!</f>
        <v>#REF!</v>
      </c>
      <c r="L61" s="15">
        <f>537079186.890579/1000000</f>
        <v>537.07918689057897</v>
      </c>
      <c r="M61" s="15">
        <v>546.20953306771878</v>
      </c>
      <c r="N61" s="15">
        <v>1008</v>
      </c>
      <c r="O61" s="15">
        <v>1048</v>
      </c>
    </row>
    <row r="62" spans="1:15" s="8" customFormat="1" x14ac:dyDescent="0.25">
      <c r="A62" s="14" t="s">
        <v>61</v>
      </c>
      <c r="B62" s="10" t="s">
        <v>60</v>
      </c>
      <c r="C62" s="11">
        <v>24.526577</v>
      </c>
      <c r="D62" s="11">
        <v>35.216999999999999</v>
      </c>
      <c r="E62" s="11">
        <v>37.862499999999997</v>
      </c>
      <c r="F62" s="11">
        <f>E62</f>
        <v>37.862499999999997</v>
      </c>
      <c r="G62" s="11">
        <v>8.6999999999999993</v>
      </c>
      <c r="H62" s="11">
        <v>11</v>
      </c>
      <c r="I62" s="16">
        <f>D62/C62-1</f>
        <v>0.43587097376042316</v>
      </c>
      <c r="J62" s="37">
        <f t="shared" si="4"/>
        <v>7.5119970468807695E-2</v>
      </c>
      <c r="K62" s="12" t="e">
        <f>#REF!</f>
        <v>#REF!</v>
      </c>
      <c r="L62" s="15">
        <f>20555874.0372429/1000000</f>
        <v>20.555874037242901</v>
      </c>
      <c r="M62" s="15">
        <v>20.90532389587603</v>
      </c>
      <c r="N62" s="15">
        <v>38</v>
      </c>
      <c r="O62" s="15">
        <v>75.7</v>
      </c>
    </row>
    <row r="63" spans="1:15" hidden="1" x14ac:dyDescent="0.3">
      <c r="A63" s="39" t="s">
        <v>62</v>
      </c>
      <c r="B63" s="40"/>
      <c r="C63" s="41"/>
      <c r="D63" s="41"/>
      <c r="E63" s="41"/>
      <c r="F63" s="42"/>
      <c r="G63" s="41"/>
      <c r="H63" s="41"/>
      <c r="I63" s="42"/>
      <c r="J63" s="42"/>
      <c r="K63" s="42"/>
      <c r="L63" s="42"/>
      <c r="M63" s="65"/>
      <c r="N63" s="65"/>
      <c r="O63" s="65"/>
    </row>
    <row r="64" spans="1:15" hidden="1" x14ac:dyDescent="0.3">
      <c r="A64" s="14" t="s">
        <v>13</v>
      </c>
      <c r="B64" s="10" t="s">
        <v>63</v>
      </c>
      <c r="C64" s="41">
        <v>1561746.0190000001</v>
      </c>
      <c r="D64" s="41">
        <v>2379903.8709999998</v>
      </c>
      <c r="E64" s="41">
        <f>2262408301.12286/1000</f>
        <v>2262408.3011228601</v>
      </c>
      <c r="F64" s="41">
        <f>2293578242.85881/1000</f>
        <v>2293578.2428588099</v>
      </c>
      <c r="G64" s="41"/>
      <c r="H64" s="41"/>
      <c r="I64" s="16">
        <f t="shared" ref="I64:I71" si="5">D64/C64-1</f>
        <v>0.52387381946001277</v>
      </c>
      <c r="J64" s="16">
        <f t="shared" ref="J64:J71" si="6">F64/D64-1</f>
        <v>-3.6272737396287003E-2</v>
      </c>
      <c r="K64" s="42"/>
      <c r="L64" s="41"/>
      <c r="M64" s="66"/>
      <c r="N64" s="66"/>
      <c r="O64" s="66"/>
    </row>
    <row r="65" spans="1:15" ht="20.45" hidden="1" customHeight="1" x14ac:dyDescent="0.3">
      <c r="A65" s="14" t="s">
        <v>24</v>
      </c>
      <c r="B65" s="10" t="s">
        <v>63</v>
      </c>
      <c r="C65" s="41">
        <v>644112</v>
      </c>
      <c r="D65" s="35">
        <v>1836.51559034</v>
      </c>
      <c r="E65" s="35">
        <v>4684.1538642872001</v>
      </c>
      <c r="F65" s="35">
        <v>4684.1538642872001</v>
      </c>
      <c r="G65" s="41">
        <v>193864.36900000001</v>
      </c>
      <c r="H65" s="41">
        <v>190892.11300000001</v>
      </c>
      <c r="I65" s="16">
        <f t="shared" si="5"/>
        <v>-0.99714876358406612</v>
      </c>
      <c r="J65" s="16">
        <f t="shared" si="6"/>
        <v>1.5505658045734356</v>
      </c>
      <c r="K65" s="41">
        <v>251793</v>
      </c>
      <c r="L65" s="35"/>
      <c r="M65" s="67"/>
      <c r="N65" s="67"/>
      <c r="O65" s="67"/>
    </row>
    <row r="66" spans="1:15" hidden="1" x14ac:dyDescent="0.3">
      <c r="A66" s="14" t="s">
        <v>32</v>
      </c>
      <c r="B66" s="10" t="s">
        <v>63</v>
      </c>
      <c r="C66" s="41">
        <v>183547.86421199999</v>
      </c>
      <c r="D66" s="41">
        <v>210272.5632727</v>
      </c>
      <c r="E66" s="41">
        <v>259151.98241746801</v>
      </c>
      <c r="F66" s="41">
        <v>250446.75599999999</v>
      </c>
      <c r="G66" s="41">
        <v>58954.844709425597</v>
      </c>
      <c r="H66" s="41">
        <v>58332</v>
      </c>
      <c r="I66" s="16">
        <f t="shared" si="5"/>
        <v>0.14560070843337458</v>
      </c>
      <c r="J66" s="16">
        <f t="shared" si="6"/>
        <v>0.19105770197511962</v>
      </c>
      <c r="K66" s="41">
        <v>77328</v>
      </c>
      <c r="L66" s="41"/>
      <c r="M66" s="66"/>
      <c r="N66" s="66"/>
      <c r="O66" s="66"/>
    </row>
    <row r="67" spans="1:15" hidden="1" x14ac:dyDescent="0.3">
      <c r="A67" s="14" t="s">
        <v>64</v>
      </c>
      <c r="B67" s="10" t="s">
        <v>63</v>
      </c>
      <c r="C67" s="41">
        <v>308468.01730909798</v>
      </c>
      <c r="D67" s="41">
        <v>263864.12199999997</v>
      </c>
      <c r="E67" s="43">
        <v>378750.83926680201</v>
      </c>
      <c r="F67" s="44">
        <v>362967.06017368298</v>
      </c>
      <c r="G67" s="41">
        <v>62126.920494346603</v>
      </c>
      <c r="H67" s="41">
        <v>57443.307000000001</v>
      </c>
      <c r="I67" s="16">
        <f t="shared" si="5"/>
        <v>-0.14459811976034787</v>
      </c>
      <c r="J67" s="16">
        <f t="shared" si="6"/>
        <v>0.37558322602753491</v>
      </c>
      <c r="K67" s="44">
        <v>81055.206747693097</v>
      </c>
      <c r="L67" s="44"/>
      <c r="M67" s="68"/>
      <c r="N67" s="68"/>
      <c r="O67" s="68"/>
    </row>
    <row r="68" spans="1:15" hidden="1" x14ac:dyDescent="0.3">
      <c r="A68" s="14" t="s">
        <v>38</v>
      </c>
      <c r="B68" s="10" t="s">
        <v>63</v>
      </c>
      <c r="C68" s="41">
        <v>136127</v>
      </c>
      <c r="D68" s="41">
        <v>159611</v>
      </c>
      <c r="E68" s="43">
        <v>146676</v>
      </c>
      <c r="F68" s="41">
        <f>193776691.557251/1000</f>
        <v>193776.691557251</v>
      </c>
      <c r="G68" s="41">
        <v>50421</v>
      </c>
      <c r="H68" s="41">
        <v>48127</v>
      </c>
      <c r="I68" s="16">
        <f t="shared" si="5"/>
        <v>0.17251537167497988</v>
      </c>
      <c r="J68" s="16">
        <f t="shared" si="6"/>
        <v>0.21405599587278457</v>
      </c>
      <c r="K68" s="41">
        <f>62231212.4817467/1000</f>
        <v>62231.212481746705</v>
      </c>
      <c r="L68" s="41"/>
      <c r="M68" s="66"/>
      <c r="N68" s="66"/>
      <c r="O68" s="66"/>
    </row>
    <row r="69" spans="1:15" hidden="1" x14ac:dyDescent="0.3">
      <c r="A69" s="14" t="s">
        <v>46</v>
      </c>
      <c r="B69" s="10" t="s">
        <v>63</v>
      </c>
      <c r="C69" s="41">
        <v>79389.761905000007</v>
      </c>
      <c r="D69" s="41">
        <v>89399.049695099995</v>
      </c>
      <c r="E69" s="43">
        <v>107082</v>
      </c>
      <c r="F69" s="41">
        <f>102878983.189901/1000</f>
        <v>102878.98318990099</v>
      </c>
      <c r="G69" s="41">
        <v>24173</v>
      </c>
      <c r="H69" s="41">
        <v>22792</v>
      </c>
      <c r="I69" s="16">
        <f t="shared" si="5"/>
        <v>0.12607781595411982</v>
      </c>
      <c r="J69" s="16">
        <f t="shared" si="6"/>
        <v>0.1507838566603894</v>
      </c>
      <c r="K69" s="41">
        <f>29845409.9211926/1000</f>
        <v>29845.4099211926</v>
      </c>
      <c r="L69" s="41"/>
      <c r="M69" s="66"/>
      <c r="N69" s="66"/>
      <c r="O69" s="66"/>
    </row>
    <row r="70" spans="1:15" hidden="1" x14ac:dyDescent="0.3">
      <c r="A70" s="14" t="s">
        <v>51</v>
      </c>
      <c r="B70" s="10" t="s">
        <v>63</v>
      </c>
      <c r="C70" s="41">
        <v>138292.361</v>
      </c>
      <c r="D70" s="41">
        <v>151676.71599999999</v>
      </c>
      <c r="E70" s="43">
        <v>152638.72200000001</v>
      </c>
      <c r="F70" s="41">
        <v>153038.72200000001</v>
      </c>
      <c r="G70" s="41">
        <v>36913.046000000002</v>
      </c>
      <c r="H70" s="41">
        <v>31673.904999999999</v>
      </c>
      <c r="I70" s="16">
        <f t="shared" si="5"/>
        <v>9.6783039230923018E-2</v>
      </c>
      <c r="J70" s="16">
        <f t="shared" si="6"/>
        <v>8.9796643540200893E-3</v>
      </c>
      <c r="K70" s="41">
        <v>42692.750999999997</v>
      </c>
      <c r="L70" s="41"/>
      <c r="M70" s="66"/>
      <c r="N70" s="66"/>
      <c r="O70" s="66"/>
    </row>
    <row r="71" spans="1:15" hidden="1" x14ac:dyDescent="0.3">
      <c r="A71" s="14" t="s">
        <v>56</v>
      </c>
      <c r="B71" s="10" t="s">
        <v>63</v>
      </c>
      <c r="C71" s="41">
        <v>33157</v>
      </c>
      <c r="D71" s="41">
        <v>38693</v>
      </c>
      <c r="E71" s="43">
        <v>46805</v>
      </c>
      <c r="F71" s="41">
        <v>46376</v>
      </c>
      <c r="G71" s="41">
        <v>11243</v>
      </c>
      <c r="H71" s="41">
        <v>10182</v>
      </c>
      <c r="I71" s="16">
        <f t="shared" si="5"/>
        <v>0.16696323551587899</v>
      </c>
      <c r="J71" s="16">
        <f t="shared" si="6"/>
        <v>0.19856304757966559</v>
      </c>
      <c r="K71" s="45">
        <v>13818.28</v>
      </c>
      <c r="L71" s="41"/>
      <c r="M71" s="66"/>
      <c r="N71" s="66"/>
      <c r="O71" s="66"/>
    </row>
    <row r="72" spans="1:15" hidden="1" x14ac:dyDescent="0.3">
      <c r="A72" s="42"/>
      <c r="B72" s="40"/>
      <c r="C72" s="41"/>
      <c r="D72" s="41"/>
      <c r="E72" s="43"/>
      <c r="F72" s="42"/>
      <c r="G72" s="41"/>
      <c r="H72" s="41"/>
      <c r="I72" s="42"/>
      <c r="J72" s="42"/>
      <c r="K72" s="42"/>
      <c r="L72" s="42"/>
      <c r="M72" s="65"/>
      <c r="N72" s="65"/>
      <c r="O72" s="65"/>
    </row>
    <row r="73" spans="1:15" hidden="1" x14ac:dyDescent="0.3">
      <c r="A73" s="39" t="s">
        <v>65</v>
      </c>
      <c r="B73" s="40"/>
      <c r="C73" s="41"/>
      <c r="D73" s="41"/>
      <c r="E73" s="43"/>
      <c r="F73" s="42"/>
      <c r="G73" s="41"/>
      <c r="H73" s="41"/>
      <c r="I73" s="42"/>
      <c r="J73" s="42"/>
      <c r="K73" s="42"/>
      <c r="L73" s="42"/>
      <c r="M73" s="65"/>
      <c r="N73" s="65"/>
      <c r="O73" s="65"/>
    </row>
    <row r="74" spans="1:15" hidden="1" x14ac:dyDescent="0.3">
      <c r="A74" s="14" t="s">
        <v>13</v>
      </c>
      <c r="B74" s="10" t="s">
        <v>63</v>
      </c>
      <c r="C74" s="41">
        <v>117675</v>
      </c>
      <c r="D74" s="41">
        <v>152011.31899999999</v>
      </c>
      <c r="E74" s="43">
        <f>190788325.376961/1000</f>
        <v>190788.325376961</v>
      </c>
      <c r="F74" s="41">
        <f>181286858.887088/1000</f>
        <v>181286.85888708799</v>
      </c>
      <c r="G74" s="41"/>
      <c r="H74" s="41"/>
      <c r="I74" s="16">
        <f t="shared" ref="I74:I81" si="7">D74/C74-1</f>
        <v>0.29178941151476523</v>
      </c>
      <c r="J74" s="16">
        <f t="shared" ref="J74:J81" si="8">F74/D74-1</f>
        <v>0.19258789463624093</v>
      </c>
      <c r="K74" s="42"/>
      <c r="L74" s="41"/>
      <c r="M74" s="66"/>
      <c r="N74" s="66"/>
      <c r="O74" s="66"/>
    </row>
    <row r="75" spans="1:15" hidden="1" x14ac:dyDescent="0.3">
      <c r="A75" s="14" t="s">
        <v>24</v>
      </c>
      <c r="B75" s="10" t="s">
        <v>63</v>
      </c>
      <c r="C75" s="41">
        <v>87762</v>
      </c>
      <c r="D75" s="41">
        <v>105870.59699999999</v>
      </c>
      <c r="E75" s="43">
        <v>125232.132</v>
      </c>
      <c r="F75" s="41">
        <v>126504.41499999999</v>
      </c>
      <c r="G75" s="41">
        <v>30296.84</v>
      </c>
      <c r="H75" s="41">
        <v>26613.555</v>
      </c>
      <c r="I75" s="16">
        <f t="shared" si="7"/>
        <v>0.20633756067546316</v>
      </c>
      <c r="J75" s="16">
        <f t="shared" si="8"/>
        <v>0.19489658682098487</v>
      </c>
      <c r="K75" s="41">
        <v>33361</v>
      </c>
      <c r="L75" s="41"/>
      <c r="M75" s="66"/>
      <c r="N75" s="66"/>
      <c r="O75" s="66"/>
    </row>
    <row r="76" spans="1:15" hidden="1" x14ac:dyDescent="0.3">
      <c r="A76" s="14" t="s">
        <v>32</v>
      </c>
      <c r="B76" s="10" t="s">
        <v>63</v>
      </c>
      <c r="C76" s="41">
        <v>8168.9177785000002</v>
      </c>
      <c r="D76" s="41">
        <v>10812.588044800001</v>
      </c>
      <c r="E76" s="43">
        <v>14471.0384607265</v>
      </c>
      <c r="F76" s="41">
        <v>13653.526</v>
      </c>
      <c r="G76" s="41">
        <v>3190.5824575518</v>
      </c>
      <c r="H76" s="41">
        <v>3117</v>
      </c>
      <c r="I76" s="16">
        <f t="shared" si="7"/>
        <v>0.32362552029326941</v>
      </c>
      <c r="J76" s="16">
        <f t="shared" si="8"/>
        <v>0.26274356735215343</v>
      </c>
      <c r="K76" s="41">
        <v>4147</v>
      </c>
      <c r="L76" s="41"/>
      <c r="M76" s="66"/>
      <c r="N76" s="66"/>
      <c r="O76" s="66"/>
    </row>
    <row r="77" spans="1:15" hidden="1" x14ac:dyDescent="0.3">
      <c r="A77" s="14" t="s">
        <v>64</v>
      </c>
      <c r="B77" s="10" t="s">
        <v>63</v>
      </c>
      <c r="C77" s="41">
        <v>30876.907999999999</v>
      </c>
      <c r="D77" s="41">
        <v>32274.587</v>
      </c>
      <c r="E77" s="43">
        <v>46431.395945719203</v>
      </c>
      <c r="F77" s="41">
        <v>46044.831291181901</v>
      </c>
      <c r="G77" s="41">
        <v>9295.7547805285903</v>
      </c>
      <c r="H77" s="41">
        <v>63636.46</v>
      </c>
      <c r="I77" s="16">
        <f t="shared" si="7"/>
        <v>4.5266158126973099E-2</v>
      </c>
      <c r="J77" s="16">
        <f t="shared" si="8"/>
        <v>0.42665903954656037</v>
      </c>
      <c r="K77" s="41">
        <v>7421.3046207369798</v>
      </c>
      <c r="L77" s="41"/>
      <c r="M77" s="66"/>
      <c r="N77" s="66"/>
      <c r="O77" s="66"/>
    </row>
    <row r="78" spans="1:15" hidden="1" x14ac:dyDescent="0.3">
      <c r="A78" s="14" t="s">
        <v>38</v>
      </c>
      <c r="B78" s="10" t="s">
        <v>63</v>
      </c>
      <c r="C78" s="41">
        <v>12826</v>
      </c>
      <c r="D78" s="41">
        <v>12709</v>
      </c>
      <c r="E78" s="43">
        <v>12658</v>
      </c>
      <c r="F78" s="41">
        <f>14466819.0133301/1000</f>
        <v>14466.8190133301</v>
      </c>
      <c r="G78" s="41">
        <v>3700</v>
      </c>
      <c r="H78" s="41">
        <f>3212714.71052/1000</f>
        <v>3212.7147105200002</v>
      </c>
      <c r="I78" s="16">
        <f t="shared" si="7"/>
        <v>-9.1220957430220295E-3</v>
      </c>
      <c r="J78" s="16">
        <f t="shared" si="8"/>
        <v>0.13831292889527891</v>
      </c>
      <c r="K78" s="41">
        <f>3964433.24211/1000</f>
        <v>3964.4332421099998</v>
      </c>
      <c r="L78" s="41"/>
      <c r="M78" s="66"/>
      <c r="N78" s="66"/>
      <c r="O78" s="66"/>
    </row>
    <row r="79" spans="1:15" hidden="1" x14ac:dyDescent="0.3">
      <c r="A79" s="14" t="s">
        <v>46</v>
      </c>
      <c r="B79" s="10" t="s">
        <v>63</v>
      </c>
      <c r="C79" s="41">
        <f>17640430.0265126/1000</f>
        <v>17640.4300265126</v>
      </c>
      <c r="D79" s="41">
        <f>13142394.97941/1000</f>
        <v>13142.394979410001</v>
      </c>
      <c r="E79" s="43">
        <v>16848</v>
      </c>
      <c r="F79" s="41">
        <f>16480633.2923643/1000</f>
        <v>16480.633292364299</v>
      </c>
      <c r="G79" s="41">
        <v>4252</v>
      </c>
      <c r="H79" s="41">
        <v>3048</v>
      </c>
      <c r="I79" s="16">
        <f t="shared" si="7"/>
        <v>-0.25498443293855644</v>
      </c>
      <c r="J79" s="16">
        <f t="shared" si="8"/>
        <v>0.25400532537518972</v>
      </c>
      <c r="K79" s="41">
        <f>4285160.04793/1000</f>
        <v>4285.1600479300005</v>
      </c>
      <c r="L79" s="41"/>
      <c r="M79" s="66"/>
      <c r="N79" s="66"/>
      <c r="O79" s="66"/>
    </row>
    <row r="80" spans="1:15" hidden="1" x14ac:dyDescent="0.3">
      <c r="A80" s="14" t="s">
        <v>51</v>
      </c>
      <c r="B80" s="10" t="s">
        <v>63</v>
      </c>
      <c r="C80" s="41">
        <v>21791.041000000001</v>
      </c>
      <c r="D80" s="41">
        <v>21452.35</v>
      </c>
      <c r="E80" s="43">
        <v>23431.088</v>
      </c>
      <c r="F80" s="41">
        <v>23067.162</v>
      </c>
      <c r="G80" s="41">
        <v>5911.8720000000003</v>
      </c>
      <c r="H80" s="41">
        <v>5399.2740000000003</v>
      </c>
      <c r="I80" s="16">
        <f t="shared" si="7"/>
        <v>-1.5542671871435765E-2</v>
      </c>
      <c r="J80" s="16">
        <f t="shared" si="8"/>
        <v>7.5274363880880379E-2</v>
      </c>
      <c r="K80" s="41">
        <v>6068.5479999999998</v>
      </c>
      <c r="L80" s="41"/>
      <c r="M80" s="66"/>
      <c r="N80" s="66"/>
      <c r="O80" s="66"/>
    </row>
    <row r="81" spans="1:15" hidden="1" x14ac:dyDescent="0.3">
      <c r="A81" s="14" t="s">
        <v>56</v>
      </c>
      <c r="B81" s="10" t="s">
        <v>63</v>
      </c>
      <c r="C81" s="41">
        <v>6779</v>
      </c>
      <c r="D81" s="41">
        <v>7861</v>
      </c>
      <c r="E81" s="43">
        <v>7365</v>
      </c>
      <c r="F81" s="41">
        <v>7793</v>
      </c>
      <c r="G81" s="41">
        <v>1769</v>
      </c>
      <c r="H81" s="41">
        <v>1733</v>
      </c>
      <c r="I81" s="16">
        <f t="shared" si="7"/>
        <v>0.15961056202979784</v>
      </c>
      <c r="J81" s="16">
        <f t="shared" si="8"/>
        <v>-8.6502989441546996E-3</v>
      </c>
      <c r="K81" s="45" t="e">
        <f>#REF!</f>
        <v>#REF!</v>
      </c>
      <c r="L81" s="45"/>
      <c r="M81" s="69"/>
      <c r="N81" s="69"/>
      <c r="O81" s="69"/>
    </row>
    <row r="82" spans="1:15" hidden="1" x14ac:dyDescent="0.3">
      <c r="A82" s="42"/>
      <c r="B82" s="40"/>
      <c r="C82" s="41"/>
      <c r="D82" s="41"/>
      <c r="E82" s="43"/>
      <c r="F82" s="42"/>
      <c r="G82" s="41"/>
      <c r="H82" s="41"/>
      <c r="I82" s="42"/>
      <c r="J82" s="42"/>
      <c r="K82" s="42"/>
      <c r="L82" s="42"/>
      <c r="M82" s="65"/>
      <c r="N82" s="65"/>
      <c r="O82" s="65"/>
    </row>
    <row r="83" spans="1:15" hidden="1" x14ac:dyDescent="0.3">
      <c r="A83" s="39" t="s">
        <v>66</v>
      </c>
      <c r="B83" s="40"/>
      <c r="C83" s="41"/>
      <c r="D83" s="41"/>
      <c r="E83" s="43"/>
      <c r="F83" s="42"/>
      <c r="G83" s="41"/>
      <c r="H83" s="41"/>
      <c r="I83" s="42"/>
      <c r="J83" s="42"/>
      <c r="K83" s="42"/>
      <c r="L83" s="42"/>
      <c r="M83" s="65"/>
      <c r="N83" s="65"/>
      <c r="O83" s="65"/>
    </row>
    <row r="84" spans="1:15" hidden="1" x14ac:dyDescent="0.3">
      <c r="A84" s="14" t="s">
        <v>13</v>
      </c>
      <c r="B84" s="10" t="s">
        <v>63</v>
      </c>
      <c r="C84" s="41">
        <v>198473</v>
      </c>
      <c r="D84" s="41">
        <v>288527</v>
      </c>
      <c r="E84" s="43">
        <f>313884565.572789/1000</f>
        <v>313884.565572789</v>
      </c>
      <c r="F84" s="41">
        <f>344083807.11572/1000</f>
        <v>344083.80711572</v>
      </c>
      <c r="G84" s="41"/>
      <c r="H84" s="41"/>
      <c r="I84" s="16">
        <f t="shared" ref="I84:I91" si="9">D84/C84-1</f>
        <v>0.45373426108337145</v>
      </c>
      <c r="J84" s="16">
        <f t="shared" ref="J84:J91" si="10">F84/D84-1</f>
        <v>0.19255323458712703</v>
      </c>
      <c r="K84" s="42"/>
      <c r="L84" s="41"/>
      <c r="M84" s="66"/>
      <c r="N84" s="66"/>
      <c r="O84" s="66"/>
    </row>
    <row r="85" spans="1:15" hidden="1" x14ac:dyDescent="0.3">
      <c r="A85" s="14" t="s">
        <v>24</v>
      </c>
      <c r="B85" s="10" t="s">
        <v>63</v>
      </c>
      <c r="C85" s="41">
        <v>21</v>
      </c>
      <c r="D85" s="41">
        <v>15.108000000000001</v>
      </c>
      <c r="E85" s="43">
        <v>21.565999999999999</v>
      </c>
      <c r="F85" s="41">
        <v>21.565999999999999</v>
      </c>
      <c r="G85" s="41">
        <v>5.0910000000000002</v>
      </c>
      <c r="H85" s="41">
        <v>2.9260000000000002</v>
      </c>
      <c r="I85" s="16">
        <f t="shared" si="9"/>
        <v>-0.28057142857142858</v>
      </c>
      <c r="J85" s="16">
        <f t="shared" si="10"/>
        <v>0.4274556526343658</v>
      </c>
      <c r="K85" s="41">
        <v>3.6320000000000001</v>
      </c>
      <c r="L85" s="41"/>
      <c r="M85" s="66"/>
      <c r="N85" s="66"/>
      <c r="O85" s="66"/>
    </row>
    <row r="86" spans="1:15" hidden="1" x14ac:dyDescent="0.3">
      <c r="A86" s="14" t="s">
        <v>32</v>
      </c>
      <c r="B86" s="10" t="s">
        <v>63</v>
      </c>
      <c r="C86" s="41">
        <v>6752.6362517500002</v>
      </c>
      <c r="D86" s="41">
        <v>8510.4234963599993</v>
      </c>
      <c r="E86" s="43">
        <v>10591.801363712701</v>
      </c>
      <c r="F86" s="41">
        <v>9396.44</v>
      </c>
      <c r="G86" s="41">
        <v>2462.8800405472998</v>
      </c>
      <c r="H86" s="41">
        <v>2047</v>
      </c>
      <c r="I86" s="16">
        <f t="shared" si="9"/>
        <v>0.26031125905152286</v>
      </c>
      <c r="J86" s="16">
        <f t="shared" si="10"/>
        <v>0.10410956681755734</v>
      </c>
      <c r="K86" s="41">
        <v>2772</v>
      </c>
      <c r="L86" s="41"/>
      <c r="M86" s="66"/>
      <c r="N86" s="66"/>
      <c r="O86" s="66"/>
    </row>
    <row r="87" spans="1:15" hidden="1" x14ac:dyDescent="0.3">
      <c r="A87" s="14" t="s">
        <v>64</v>
      </c>
      <c r="B87" s="10" t="s">
        <v>63</v>
      </c>
      <c r="C87" s="41">
        <v>6313.8310000000001</v>
      </c>
      <c r="D87" s="41">
        <v>4857.6019999999999</v>
      </c>
      <c r="E87" s="43">
        <v>12872.054551142101</v>
      </c>
      <c r="F87" s="41">
        <v>12714.484283550401</v>
      </c>
      <c r="G87" s="41">
        <v>2485.82323081086</v>
      </c>
      <c r="H87" s="41">
        <v>2106.364</v>
      </c>
      <c r="I87" s="16">
        <f t="shared" si="9"/>
        <v>-0.2306411115533501</v>
      </c>
      <c r="J87" s="16">
        <f t="shared" si="10"/>
        <v>1.6174405156186942</v>
      </c>
      <c r="K87" s="41">
        <v>2425.2075603349999</v>
      </c>
      <c r="L87" s="41"/>
      <c r="M87" s="66"/>
      <c r="N87" s="66"/>
      <c r="O87" s="66"/>
    </row>
    <row r="88" spans="1:15" hidden="1" x14ac:dyDescent="0.3">
      <c r="A88" s="14" t="s">
        <v>38</v>
      </c>
      <c r="B88" s="10" t="s">
        <v>63</v>
      </c>
      <c r="C88" s="41">
        <v>3016</v>
      </c>
      <c r="D88" s="41">
        <v>15145</v>
      </c>
      <c r="E88" s="43">
        <v>16277</v>
      </c>
      <c r="F88" s="41">
        <v>16277</v>
      </c>
      <c r="G88" s="41">
        <v>4080</v>
      </c>
      <c r="H88" s="41">
        <v>4619</v>
      </c>
      <c r="I88" s="16">
        <f t="shared" si="9"/>
        <v>4.0215517241379306</v>
      </c>
      <c r="J88" s="16">
        <f t="shared" si="10"/>
        <v>7.4744139980191582E-2</v>
      </c>
      <c r="K88" s="42">
        <v>6176</v>
      </c>
      <c r="L88" s="42"/>
      <c r="M88" s="65"/>
      <c r="N88" s="65"/>
      <c r="O88" s="65"/>
    </row>
    <row r="89" spans="1:15" hidden="1" x14ac:dyDescent="0.3">
      <c r="A89" s="14" t="s">
        <v>46</v>
      </c>
      <c r="B89" s="10" t="s">
        <v>63</v>
      </c>
      <c r="C89" s="41">
        <v>215</v>
      </c>
      <c r="D89" s="41">
        <v>247</v>
      </c>
      <c r="E89" s="43">
        <v>279</v>
      </c>
      <c r="F89" s="41">
        <v>280</v>
      </c>
      <c r="G89" s="41">
        <v>68</v>
      </c>
      <c r="H89" s="41">
        <v>61</v>
      </c>
      <c r="I89" s="16">
        <f t="shared" si="9"/>
        <v>0.14883720930232558</v>
      </c>
      <c r="J89" s="16">
        <f t="shared" si="10"/>
        <v>0.1336032388663968</v>
      </c>
      <c r="K89" s="46">
        <v>77</v>
      </c>
      <c r="L89" s="46"/>
      <c r="M89" s="70"/>
      <c r="N89" s="70"/>
      <c r="O89" s="70"/>
    </row>
    <row r="90" spans="1:15" hidden="1" x14ac:dyDescent="0.3">
      <c r="A90" s="14" t="s">
        <v>51</v>
      </c>
      <c r="B90" s="10" t="s">
        <v>63</v>
      </c>
      <c r="C90" s="41">
        <v>2928.7959999999998</v>
      </c>
      <c r="D90" s="41">
        <v>3802.172</v>
      </c>
      <c r="E90" s="43">
        <v>4153.4229999999998</v>
      </c>
      <c r="F90" s="41">
        <v>3442.2049999999999</v>
      </c>
      <c r="G90" s="41">
        <v>501.04500000000002</v>
      </c>
      <c r="H90" s="41">
        <v>696.673</v>
      </c>
      <c r="I90" s="16">
        <f t="shared" si="9"/>
        <v>0.29820308413423136</v>
      </c>
      <c r="J90" s="16">
        <f t="shared" si="10"/>
        <v>-9.4674044204207553E-2</v>
      </c>
      <c r="K90" s="41">
        <v>898.84799999999996</v>
      </c>
      <c r="L90" s="41"/>
      <c r="M90" s="66"/>
      <c r="N90" s="66"/>
      <c r="O90" s="66"/>
    </row>
    <row r="91" spans="1:15" hidden="1" x14ac:dyDescent="0.3">
      <c r="A91" s="14" t="s">
        <v>56</v>
      </c>
      <c r="B91" s="10" t="s">
        <v>63</v>
      </c>
      <c r="C91" s="41">
        <v>60.667999999999999</v>
      </c>
      <c r="D91" s="41">
        <v>247.31299999999999</v>
      </c>
      <c r="E91" s="43">
        <v>300</v>
      </c>
      <c r="F91" s="41">
        <f>E91</f>
        <v>300</v>
      </c>
      <c r="G91" s="41">
        <v>72.069000000000003</v>
      </c>
      <c r="H91" s="41">
        <v>3.76</v>
      </c>
      <c r="I91" s="16">
        <f t="shared" si="9"/>
        <v>3.0764983187182695</v>
      </c>
      <c r="J91" s="16">
        <f t="shared" si="10"/>
        <v>0.21303772951684707</v>
      </c>
      <c r="K91" s="45">
        <v>26.207000000000001</v>
      </c>
      <c r="L91" s="45"/>
      <c r="M91" s="69"/>
      <c r="N91" s="69"/>
      <c r="O91" s="69"/>
    </row>
    <row r="92" spans="1:15" hidden="1" x14ac:dyDescent="0.3">
      <c r="A92" s="42"/>
      <c r="B92" s="40"/>
      <c r="C92" s="41"/>
      <c r="D92" s="41"/>
      <c r="E92" s="41"/>
      <c r="F92" s="42"/>
      <c r="G92" s="41"/>
      <c r="H92" s="41"/>
      <c r="I92" s="42"/>
      <c r="J92" s="42"/>
      <c r="K92" s="42"/>
      <c r="L92" s="42"/>
      <c r="M92" s="65"/>
      <c r="N92" s="65"/>
      <c r="O92" s="65"/>
    </row>
    <row r="93" spans="1:15" hidden="1" x14ac:dyDescent="0.3">
      <c r="A93" s="42"/>
      <c r="B93" s="40"/>
      <c r="C93" s="41"/>
      <c r="D93" s="41"/>
      <c r="E93" s="41"/>
      <c r="F93" s="42"/>
      <c r="G93" s="41"/>
      <c r="H93" s="41"/>
      <c r="I93" s="42"/>
      <c r="J93" s="42"/>
      <c r="K93" s="42"/>
      <c r="L93" s="41"/>
      <c r="M93" s="66"/>
      <c r="N93" s="66"/>
      <c r="O93" s="66"/>
    </row>
    <row r="94" spans="1:15" hidden="1" x14ac:dyDescent="0.3">
      <c r="A94" s="42"/>
      <c r="B94" s="40"/>
      <c r="C94" s="41"/>
      <c r="D94" s="41"/>
      <c r="E94" s="41"/>
      <c r="F94" s="42"/>
      <c r="G94" s="41"/>
      <c r="H94" s="41"/>
      <c r="I94" s="42"/>
      <c r="J94" s="42"/>
      <c r="K94" s="42"/>
      <c r="L94" s="42"/>
      <c r="M94" s="65"/>
      <c r="N94" s="65"/>
      <c r="O94" s="65"/>
    </row>
    <row r="95" spans="1:15" hidden="1" x14ac:dyDescent="0.3">
      <c r="A95" s="47" t="s">
        <v>67</v>
      </c>
      <c r="B95" s="48"/>
      <c r="C95" s="49"/>
      <c r="D95" s="49"/>
      <c r="E95" s="49"/>
      <c r="F95" s="49"/>
      <c r="G95" s="50"/>
      <c r="H95" s="50"/>
      <c r="I95" s="51"/>
      <c r="J95" s="51"/>
      <c r="K95" s="52"/>
      <c r="L95" s="50"/>
      <c r="M95" s="71"/>
      <c r="N95" s="71"/>
      <c r="O95" s="71"/>
    </row>
    <row r="96" spans="1:15" hidden="1" x14ac:dyDescent="0.3">
      <c r="A96" s="53" t="s">
        <v>68</v>
      </c>
      <c r="B96" s="48" t="s">
        <v>69</v>
      </c>
      <c r="C96" s="54">
        <v>12</v>
      </c>
      <c r="D96" s="15">
        <v>18.002339940000002</v>
      </c>
      <c r="E96" s="15">
        <v>20</v>
      </c>
      <c r="F96" s="15">
        <v>20</v>
      </c>
      <c r="G96" s="55"/>
      <c r="H96" s="55"/>
      <c r="I96" s="51">
        <f>IF(C96&lt;0,-(D96/C96-1),D96/C96-1)</f>
        <v>0.5001949950000002</v>
      </c>
      <c r="J96" s="37">
        <f t="shared" ref="J96:J99" si="11">IF(D96&lt;0,-(F96/D96-1),F96/D96-1)</f>
        <v>0.1109666891447445</v>
      </c>
      <c r="K96" s="55"/>
      <c r="L96" s="15"/>
      <c r="M96" s="72"/>
      <c r="N96" s="72"/>
      <c r="O96" s="72"/>
    </row>
    <row r="97" spans="1:15" hidden="1" x14ac:dyDescent="0.3">
      <c r="A97" s="53" t="s">
        <v>70</v>
      </c>
      <c r="B97" s="48" t="s">
        <v>69</v>
      </c>
      <c r="C97" s="54">
        <v>11.220774001261542</v>
      </c>
      <c r="D97" s="15">
        <v>14.630024749999999</v>
      </c>
      <c r="E97" s="15">
        <v>16.510000000000002</v>
      </c>
      <c r="F97" s="15">
        <v>16.936690340035032</v>
      </c>
      <c r="G97" s="55"/>
      <c r="H97" s="55"/>
      <c r="I97" s="51">
        <f>IF(C97&lt;0,-(D97/C97-1),D97/C97-1)</f>
        <v>0.30383383074600356</v>
      </c>
      <c r="J97" s="37">
        <f t="shared" si="11"/>
        <v>0.15766655418918774</v>
      </c>
      <c r="K97" s="55"/>
      <c r="L97" s="15"/>
      <c r="M97" s="72"/>
      <c r="N97" s="72"/>
      <c r="O97" s="72"/>
    </row>
    <row r="98" spans="1:15" hidden="1" x14ac:dyDescent="0.3">
      <c r="A98" s="53" t="s">
        <v>71</v>
      </c>
      <c r="B98" s="48" t="s">
        <v>69</v>
      </c>
      <c r="C98" s="56">
        <v>19512.88</v>
      </c>
      <c r="D98" s="11">
        <v>15772.239999999998</v>
      </c>
      <c r="E98" s="11">
        <v>21052.096602028112</v>
      </c>
      <c r="F98" s="11">
        <v>20043.87</v>
      </c>
      <c r="G98" s="57"/>
      <c r="H98" s="57"/>
      <c r="I98" s="51">
        <f>IF(C98&lt;0,-(D98/C98-1),D98/C98-1)</f>
        <v>-0.19170107129239777</v>
      </c>
      <c r="J98" s="37">
        <f t="shared" si="11"/>
        <v>0.27083217095352352</v>
      </c>
      <c r="K98" s="57"/>
      <c r="L98" s="11"/>
      <c r="M98" s="73"/>
      <c r="N98" s="73"/>
      <c r="O98" s="73"/>
    </row>
    <row r="99" spans="1:15" hidden="1" x14ac:dyDescent="0.3">
      <c r="A99" s="53" t="s">
        <v>72</v>
      </c>
      <c r="B99" s="48" t="s">
        <v>69</v>
      </c>
      <c r="C99" s="56">
        <v>20252.05</v>
      </c>
      <c r="D99" s="11">
        <v>16810.349999999999</v>
      </c>
      <c r="E99" s="11">
        <v>20500</v>
      </c>
      <c r="F99" s="11">
        <v>21352.46</v>
      </c>
      <c r="G99" s="57"/>
      <c r="H99" s="57"/>
      <c r="I99" s="51">
        <f>IF(C99&lt;0,-(D99/C99-1),D99/C99-1)</f>
        <v>-0.16994328969166084</v>
      </c>
      <c r="J99" s="37">
        <f t="shared" si="11"/>
        <v>0.27019722968290383</v>
      </c>
      <c r="K99" s="57"/>
      <c r="L99" s="11"/>
      <c r="M99" s="73"/>
      <c r="N99" s="73"/>
      <c r="O99" s="73"/>
    </row>
    <row r="100" spans="1:15" hidden="1" x14ac:dyDescent="0.3">
      <c r="A100" s="53"/>
      <c r="B100" s="48"/>
      <c r="C100" s="57"/>
      <c r="D100" s="35"/>
      <c r="E100" s="57"/>
      <c r="F100" s="57"/>
      <c r="G100" s="57"/>
      <c r="H100" s="57"/>
      <c r="I100" s="51"/>
      <c r="J100" s="51"/>
      <c r="K100" s="57"/>
      <c r="L100" s="58"/>
      <c r="M100" s="74"/>
      <c r="N100" s="74"/>
      <c r="O100" s="74"/>
    </row>
    <row r="101" spans="1:15" hidden="1" x14ac:dyDescent="0.3">
      <c r="A101" s="59" t="s">
        <v>73</v>
      </c>
      <c r="B101" s="48"/>
      <c r="C101" s="57"/>
      <c r="D101" s="57"/>
      <c r="E101" s="57"/>
      <c r="F101" s="60"/>
      <c r="G101" s="57"/>
      <c r="H101" s="57"/>
      <c r="I101" s="60"/>
      <c r="J101" s="60"/>
      <c r="K101" s="60"/>
      <c r="L101" s="60"/>
      <c r="M101" s="75"/>
      <c r="N101" s="75"/>
      <c r="O101" s="75"/>
    </row>
    <row r="102" spans="1:15" hidden="1" x14ac:dyDescent="0.3">
      <c r="A102" s="61" t="s">
        <v>74</v>
      </c>
      <c r="B102" s="48" t="s">
        <v>75</v>
      </c>
      <c r="C102" s="54">
        <v>136.69800000000001</v>
      </c>
      <c r="D102" s="11">
        <v>133.979176</v>
      </c>
      <c r="E102" s="11">
        <v>180.36</v>
      </c>
      <c r="F102" s="11">
        <v>124.63476</v>
      </c>
      <c r="G102" s="54"/>
      <c r="H102" s="54"/>
      <c r="I102" s="51">
        <f>IF(C102&lt;0,-(D102/C102-1),D102/C102-1)</f>
        <v>-1.9889274166410731E-2</v>
      </c>
      <c r="J102" s="36">
        <f t="shared" ref="J102:J105" si="12">IF(D102&lt;0,-(F102/D102-1),F102/D102-1)</f>
        <v>-6.9745286386893368E-2</v>
      </c>
      <c r="K102" s="54"/>
      <c r="L102" s="11"/>
      <c r="M102" s="73"/>
      <c r="N102" s="73"/>
      <c r="O102" s="73"/>
    </row>
    <row r="103" spans="1:15" hidden="1" x14ac:dyDescent="0.3">
      <c r="A103" s="61" t="s">
        <v>76</v>
      </c>
      <c r="B103" s="48" t="s">
        <v>75</v>
      </c>
      <c r="C103" s="54">
        <v>225.82300000000001</v>
      </c>
      <c r="D103" s="11">
        <v>177.25248300000001</v>
      </c>
      <c r="E103" s="11">
        <v>193.935</v>
      </c>
      <c r="F103" s="11">
        <v>195.435</v>
      </c>
      <c r="G103" s="62"/>
      <c r="H103" s="62"/>
      <c r="I103" s="51">
        <f>IF(C103&lt;0,-(D103/C103-1),D103/C103-1)</f>
        <v>-0.2150822414014516</v>
      </c>
      <c r="J103" s="37">
        <f t="shared" si="12"/>
        <v>0.10257975906605488</v>
      </c>
      <c r="K103" s="62"/>
      <c r="L103" s="11"/>
      <c r="M103" s="73"/>
      <c r="N103" s="73"/>
      <c r="O103" s="73"/>
    </row>
    <row r="104" spans="1:15" hidden="1" x14ac:dyDescent="0.3">
      <c r="A104" s="61" t="s">
        <v>77</v>
      </c>
      <c r="B104" s="48" t="s">
        <v>75</v>
      </c>
      <c r="C104" s="54">
        <v>1.7370000000000001</v>
      </c>
      <c r="D104" s="15">
        <v>2.9668344480000002</v>
      </c>
      <c r="E104" s="15">
        <v>6.23</v>
      </c>
      <c r="F104" s="15">
        <v>6.23</v>
      </c>
      <c r="G104" s="54">
        <v>0</v>
      </c>
      <c r="H104" s="54">
        <v>0</v>
      </c>
      <c r="I104" s="51">
        <f>IF(C104&lt;0,-(D104/C104-1),D104/C104-1)</f>
        <v>0.70802213471502595</v>
      </c>
      <c r="J104" s="37">
        <f t="shared" si="12"/>
        <v>1.0998812401547253</v>
      </c>
      <c r="K104" s="54">
        <v>0</v>
      </c>
      <c r="L104" s="15"/>
      <c r="M104" s="72"/>
      <c r="N104" s="72"/>
      <c r="O104" s="72"/>
    </row>
    <row r="105" spans="1:15" hidden="1" x14ac:dyDescent="0.3">
      <c r="A105" s="61" t="s">
        <v>78</v>
      </c>
      <c r="B105" s="48" t="s">
        <v>79</v>
      </c>
      <c r="C105" s="54">
        <v>7.7109389999999998</v>
      </c>
      <c r="D105" s="15">
        <v>12.583915624999999</v>
      </c>
      <c r="E105" s="15">
        <v>19.2</v>
      </c>
      <c r="F105" s="15">
        <v>19.2</v>
      </c>
      <c r="G105" s="54">
        <v>0</v>
      </c>
      <c r="H105" s="54">
        <v>0</v>
      </c>
      <c r="I105" s="51">
        <f>IF(C105&lt;0,-(D105/C105-1),D105/C105-1)</f>
        <v>0.63195631880890257</v>
      </c>
      <c r="J105" s="37">
        <f t="shared" si="12"/>
        <v>0.52575721040723367</v>
      </c>
      <c r="K105" s="54">
        <v>0</v>
      </c>
      <c r="L105" s="15"/>
      <c r="M105" s="72"/>
      <c r="N105" s="72"/>
      <c r="O105" s="72"/>
    </row>
    <row r="106" spans="1:15" hidden="1" x14ac:dyDescent="0.3">
      <c r="A106" s="53"/>
      <c r="B106" s="48"/>
      <c r="C106" s="57"/>
      <c r="D106" s="35"/>
      <c r="E106" s="57"/>
      <c r="F106" s="57"/>
      <c r="G106" s="57"/>
      <c r="H106" s="57"/>
      <c r="I106" s="51"/>
      <c r="J106" s="51"/>
      <c r="K106" s="57"/>
      <c r="L106" s="58"/>
      <c r="M106" s="74"/>
      <c r="N106" s="74"/>
      <c r="O106" s="74"/>
    </row>
    <row r="107" spans="1:15" hidden="1" x14ac:dyDescent="0.3">
      <c r="A107" s="63" t="s">
        <v>80</v>
      </c>
      <c r="B107" s="48"/>
      <c r="C107" s="54"/>
      <c r="D107" s="54"/>
      <c r="E107" s="54"/>
      <c r="F107" s="54"/>
      <c r="G107" s="54"/>
      <c r="H107" s="54"/>
      <c r="I107" s="51"/>
      <c r="J107" s="51"/>
      <c r="K107" s="54"/>
      <c r="L107" s="54"/>
      <c r="M107" s="76"/>
      <c r="N107" s="76"/>
      <c r="O107" s="76"/>
    </row>
    <row r="108" spans="1:15" hidden="1" x14ac:dyDescent="0.3">
      <c r="A108" s="53" t="s">
        <v>81</v>
      </c>
      <c r="B108" s="48" t="s">
        <v>63</v>
      </c>
      <c r="C108" s="54">
        <v>61.795565000000003</v>
      </c>
      <c r="D108" s="11">
        <v>71.525284919930002</v>
      </c>
      <c r="E108" s="11">
        <v>76.994476935555554</v>
      </c>
      <c r="F108" s="11">
        <v>82.292250962305545</v>
      </c>
      <c r="G108" s="50"/>
      <c r="H108" s="50"/>
      <c r="I108" s="51">
        <f>IF(C108&lt;0,-(D108/C108-1),D108/C108-1)</f>
        <v>0.15745013286843479</v>
      </c>
      <c r="J108" s="37">
        <f t="shared" ref="J108:J110" si="13">IF(D108&lt;0,-(F108/D108-1),F108/D108-1)</f>
        <v>0.15053370363262131</v>
      </c>
      <c r="K108" s="52"/>
      <c r="L108" s="15"/>
      <c r="M108" s="72"/>
      <c r="N108" s="72"/>
      <c r="O108" s="72"/>
    </row>
    <row r="109" spans="1:15" hidden="1" x14ac:dyDescent="0.3">
      <c r="A109" s="64" t="s">
        <v>82</v>
      </c>
      <c r="B109" s="48" t="s">
        <v>63</v>
      </c>
      <c r="C109" s="54">
        <v>6.9298529999999996</v>
      </c>
      <c r="D109" s="15">
        <v>10.822393229000001</v>
      </c>
      <c r="E109" s="15">
        <v>12.819337622763898</v>
      </c>
      <c r="F109" s="15">
        <v>11.671633839843899</v>
      </c>
      <c r="G109" s="50"/>
      <c r="H109" s="50"/>
      <c r="I109" s="51">
        <f>IF(C109&lt;0,-(D109/C109-1),D109/C109-1)</f>
        <v>0.56170603171524736</v>
      </c>
      <c r="J109" s="37">
        <f t="shared" si="13"/>
        <v>7.8470685076222235E-2</v>
      </c>
      <c r="K109" s="52"/>
      <c r="L109" s="15"/>
      <c r="M109" s="72"/>
      <c r="N109" s="72"/>
      <c r="O109" s="72"/>
    </row>
    <row r="110" spans="1:15" hidden="1" x14ac:dyDescent="0.3">
      <c r="A110" s="53" t="s">
        <v>83</v>
      </c>
      <c r="B110" s="48" t="s">
        <v>63</v>
      </c>
      <c r="C110" s="54">
        <v>2.6058150000000002</v>
      </c>
      <c r="D110" s="15">
        <v>1.271827633</v>
      </c>
      <c r="E110" s="15">
        <v>1.2053045</v>
      </c>
      <c r="F110" s="15">
        <v>1.2053045</v>
      </c>
      <c r="G110" s="50"/>
      <c r="H110" s="50"/>
      <c r="I110" s="51">
        <f>IF(C110&lt;0,-(D110/C110-1),D110/C110-1)</f>
        <v>-0.51192711953841696</v>
      </c>
      <c r="J110" s="36">
        <f t="shared" si="13"/>
        <v>-5.2305148334514939E-2</v>
      </c>
      <c r="K110" s="52"/>
      <c r="L110" s="15"/>
      <c r="M110" s="72"/>
      <c r="N110" s="72"/>
      <c r="O110" s="72"/>
    </row>
    <row r="111" spans="1:15" hidden="1" x14ac:dyDescent="0.3">
      <c r="A111" s="53"/>
      <c r="B111" s="48"/>
      <c r="C111" s="57"/>
      <c r="D111" s="35"/>
      <c r="E111" s="57"/>
      <c r="F111" s="57"/>
      <c r="G111" s="57"/>
      <c r="H111" s="57"/>
      <c r="I111" s="51"/>
      <c r="J111" s="51"/>
      <c r="K111" s="57"/>
      <c r="L111" s="58"/>
      <c r="M111" s="74"/>
      <c r="N111" s="74"/>
      <c r="O111" s="74"/>
    </row>
    <row r="112" spans="1:15" hidden="1" x14ac:dyDescent="0.3">
      <c r="A112" s="63" t="s">
        <v>84</v>
      </c>
      <c r="B112" s="48"/>
      <c r="C112" s="54"/>
      <c r="D112" s="54"/>
      <c r="E112" s="54"/>
      <c r="F112" s="54"/>
      <c r="G112" s="54"/>
      <c r="H112" s="54"/>
      <c r="I112" s="51"/>
      <c r="J112" s="51"/>
      <c r="K112" s="54"/>
      <c r="L112" s="54"/>
      <c r="M112" s="76"/>
      <c r="N112" s="76"/>
      <c r="O112" s="76"/>
    </row>
    <row r="113" spans="1:15" hidden="1" x14ac:dyDescent="0.3">
      <c r="A113" s="61" t="s">
        <v>85</v>
      </c>
      <c r="B113" s="48" t="s">
        <v>86</v>
      </c>
      <c r="C113" s="54">
        <v>35.5</v>
      </c>
      <c r="D113" s="11">
        <v>140.82</v>
      </c>
      <c r="E113" s="11">
        <v>617.26</v>
      </c>
      <c r="F113" s="11">
        <v>552.62</v>
      </c>
      <c r="G113" s="54"/>
      <c r="H113" s="54"/>
      <c r="I113" s="51">
        <f>IF(C113&lt;0,-(D113/C113-1),D113/C113-1)</f>
        <v>2.9667605633802814</v>
      </c>
      <c r="J113" s="37">
        <f t="shared" ref="J113" si="14">IF(D113&lt;0,-(F113/D113-1),F113/D113-1)</f>
        <v>2.9243005254935381</v>
      </c>
      <c r="K113" s="54"/>
      <c r="L113" s="15"/>
      <c r="M113" s="72"/>
      <c r="N113" s="72"/>
      <c r="O113" s="72"/>
    </row>
    <row r="114" spans="1:15" hidden="1" x14ac:dyDescent="0.3">
      <c r="A114" s="53"/>
      <c r="B114" s="48"/>
      <c r="C114" s="57"/>
      <c r="D114" s="35"/>
      <c r="E114" s="57"/>
      <c r="F114" s="57"/>
      <c r="G114" s="57"/>
      <c r="H114" s="57"/>
      <c r="I114" s="51"/>
      <c r="J114" s="51"/>
      <c r="K114" s="57"/>
      <c r="L114" s="58"/>
      <c r="M114" s="74"/>
      <c r="N114" s="74"/>
      <c r="O114" s="74"/>
    </row>
    <row r="115" spans="1:15" hidden="1" x14ac:dyDescent="0.3">
      <c r="A115" s="47" t="s">
        <v>87</v>
      </c>
      <c r="B115" s="48"/>
      <c r="C115" s="57"/>
      <c r="D115" s="35"/>
      <c r="E115" s="57"/>
      <c r="F115" s="57"/>
      <c r="G115" s="57"/>
      <c r="H115" s="57"/>
      <c r="I115" s="51"/>
      <c r="J115" s="51"/>
      <c r="K115" s="57"/>
      <c r="L115" s="58"/>
      <c r="M115" s="74"/>
      <c r="N115" s="74"/>
      <c r="O115" s="74"/>
    </row>
    <row r="116" spans="1:15" hidden="1" x14ac:dyDescent="0.3">
      <c r="A116" s="53" t="s">
        <v>33</v>
      </c>
      <c r="B116" s="48" t="s">
        <v>88</v>
      </c>
      <c r="C116" s="56">
        <v>251351</v>
      </c>
      <c r="D116" s="11">
        <v>290148</v>
      </c>
      <c r="E116" s="11">
        <v>297585.34900000005</v>
      </c>
      <c r="F116" s="11">
        <v>298615.86366666661</v>
      </c>
      <c r="G116" s="57"/>
      <c r="H116" s="57"/>
      <c r="I116" s="51">
        <f>IF(C116&lt;0,-(D116/C116-1),D116/C116-1)</f>
        <v>0.15435387167745507</v>
      </c>
      <c r="J116" s="37">
        <f t="shared" ref="J116:J118" si="15">IF(D116&lt;0,-(F116/D116-1),F116/D116-1)</f>
        <v>2.9184635657204749E-2</v>
      </c>
      <c r="K116" s="57"/>
      <c r="L116" s="11"/>
      <c r="M116" s="73"/>
      <c r="N116" s="73"/>
      <c r="O116" s="73"/>
    </row>
    <row r="117" spans="1:15" hidden="1" x14ac:dyDescent="0.3">
      <c r="A117" s="53" t="s">
        <v>34</v>
      </c>
      <c r="B117" s="48" t="s">
        <v>89</v>
      </c>
      <c r="C117" s="56">
        <v>163778</v>
      </c>
      <c r="D117" s="11">
        <v>251036</v>
      </c>
      <c r="E117" s="11">
        <v>286735.53438874992</v>
      </c>
      <c r="F117" s="11">
        <v>292111</v>
      </c>
      <c r="G117" s="57"/>
      <c r="H117" s="57"/>
      <c r="I117" s="51">
        <f>IF(C117&lt;0,-(D117/C117-1),D117/C117-1)</f>
        <v>0.53278218075687822</v>
      </c>
      <c r="J117" s="37">
        <f t="shared" si="15"/>
        <v>0.16362195063656215</v>
      </c>
      <c r="K117" s="57"/>
      <c r="L117" s="11"/>
      <c r="M117" s="73"/>
      <c r="N117" s="73"/>
      <c r="O117" s="73"/>
    </row>
    <row r="118" spans="1:15" hidden="1" x14ac:dyDescent="0.3">
      <c r="A118" s="53" t="s">
        <v>36</v>
      </c>
      <c r="B118" s="78" t="s">
        <v>37</v>
      </c>
      <c r="C118" s="79">
        <v>0.59195308552581849</v>
      </c>
      <c r="D118" s="80">
        <v>0.72140080234914594</v>
      </c>
      <c r="E118" s="80">
        <v>0.68845380457619576</v>
      </c>
      <c r="F118" s="80">
        <v>0.69441752270541734</v>
      </c>
      <c r="G118" s="81"/>
      <c r="H118" s="81"/>
      <c r="I118" s="82">
        <f>IF(C118&lt;0,-(D118/C118-1),D118/C118-1)</f>
        <v>0.21867901357139141</v>
      </c>
      <c r="J118" s="83">
        <f t="shared" si="15"/>
        <v>-3.7404005590042533E-2</v>
      </c>
      <c r="K118" s="81"/>
      <c r="L118" s="80"/>
      <c r="M118" s="77"/>
      <c r="N118" s="77"/>
      <c r="O118" s="77"/>
    </row>
    <row r="119" spans="1:15" x14ac:dyDescent="0.3">
      <c r="A119" s="14" t="s">
        <v>93</v>
      </c>
      <c r="B119" s="10" t="s">
        <v>94</v>
      </c>
      <c r="C119" s="41"/>
      <c r="D119" s="41">
        <v>48.3</v>
      </c>
      <c r="E119" s="41"/>
      <c r="F119" s="42"/>
      <c r="G119" s="41"/>
      <c r="H119" s="41"/>
      <c r="I119" s="42"/>
      <c r="J119" s="42"/>
      <c r="K119" s="42"/>
      <c r="L119" s="42">
        <v>23.5</v>
      </c>
      <c r="M119" s="42">
        <v>25.615000000000002</v>
      </c>
      <c r="N119" s="42">
        <v>53.9</v>
      </c>
      <c r="O119" s="85">
        <v>61</v>
      </c>
    </row>
    <row r="120" spans="1:15" x14ac:dyDescent="0.3">
      <c r="A120" s="14" t="s">
        <v>101</v>
      </c>
      <c r="B120" s="10" t="s">
        <v>95</v>
      </c>
      <c r="C120" s="41"/>
      <c r="D120" s="84">
        <v>1.2</v>
      </c>
      <c r="E120" s="41"/>
      <c r="F120" s="42"/>
      <c r="G120" s="41"/>
      <c r="H120" s="41"/>
      <c r="I120" s="42"/>
      <c r="J120" s="42"/>
      <c r="K120" s="42"/>
      <c r="L120" s="42">
        <v>-0.1</v>
      </c>
      <c r="M120" s="42">
        <v>0.1</v>
      </c>
      <c r="N120" s="42">
        <v>0.1</v>
      </c>
      <c r="O120" s="42">
        <v>2.1</v>
      </c>
    </row>
  </sheetData>
  <dataConsolidate/>
  <mergeCells count="2">
    <mergeCell ref="A1:K1"/>
    <mergeCell ref="A4:K4"/>
  </mergeCells>
  <conditionalFormatting sqref="P6:P14">
    <cfRule type="cellIs" dxfId="1" priority="22" operator="lessThan">
      <formula>0</formula>
    </cfRule>
    <cfRule type="cellIs" dxfId="0" priority="23" operator="lessThan">
      <formula>5</formula>
    </cfRule>
  </conditionalFormatting>
  <pageMargins left="0.70866141732283472" right="0.70866141732283472" top="0.74803149606299213" bottom="0.74803149606299213" header="0.31496062992125984" footer="0.31496062992125984"/>
  <pageSetup paperSize="9" scale="67" fitToHeight="0" orientation="landscape" horizontalDpi="300" r:id="rId1"/>
  <rowBreaks count="1" manualBreakCount="1">
    <brk id="93" max="23" man="1"/>
  </rowBreaks>
  <colBreaks count="1" manualBreakCount="1">
    <brk id="1" max="137" man="1"/>
  </colBreaks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21" sqref="K21"/>
    </sheetView>
  </sheetViews>
  <sheetFormatPr defaultRowHeight="15" x14ac:dyDescent="0.25"/>
  <cols>
    <col min="1" max="1" width="26.5703125" customWidth="1"/>
    <col min="2" max="2" width="22" customWidth="1"/>
    <col min="3" max="4" width="12.42578125" bestFit="1" customWidth="1"/>
    <col min="5" max="5" width="10.5703125" bestFit="1" customWidth="1"/>
    <col min="6" max="6" width="13.140625" bestFit="1" customWidth="1"/>
  </cols>
  <sheetData>
    <row r="1" spans="1:7" x14ac:dyDescent="0.25">
      <c r="A1" t="s">
        <v>110</v>
      </c>
    </row>
    <row r="2" spans="1:7" x14ac:dyDescent="0.25">
      <c r="A2" s="86" t="s">
        <v>103</v>
      </c>
      <c r="B2" s="86" t="s">
        <v>111</v>
      </c>
      <c r="C2" s="86" t="s">
        <v>106</v>
      </c>
      <c r="D2" s="86" t="s">
        <v>107</v>
      </c>
      <c r="E2" s="86" t="s">
        <v>108</v>
      </c>
      <c r="F2" s="86" t="s">
        <v>109</v>
      </c>
    </row>
    <row r="3" spans="1:7" x14ac:dyDescent="0.25">
      <c r="A3" s="86" t="s">
        <v>104</v>
      </c>
      <c r="B3" s="86" t="s">
        <v>94</v>
      </c>
      <c r="C3" s="86">
        <v>325</v>
      </c>
      <c r="D3" s="86">
        <v>376</v>
      </c>
      <c r="E3" s="86">
        <v>580</v>
      </c>
      <c r="F3" s="86">
        <v>692</v>
      </c>
    </row>
    <row r="4" spans="1:7" x14ac:dyDescent="0.25">
      <c r="A4" s="86" t="s">
        <v>101</v>
      </c>
      <c r="B4" s="86" t="s">
        <v>94</v>
      </c>
      <c r="C4" s="86">
        <v>348</v>
      </c>
      <c r="D4" s="86">
        <v>529</v>
      </c>
      <c r="E4" s="86">
        <v>707</v>
      </c>
      <c r="F4" s="86">
        <v>889</v>
      </c>
    </row>
    <row r="5" spans="1:7" x14ac:dyDescent="0.25">
      <c r="A5" s="86" t="s">
        <v>105</v>
      </c>
      <c r="B5" s="86" t="s">
        <v>37</v>
      </c>
      <c r="C5" s="86">
        <v>3.2</v>
      </c>
      <c r="D5" s="86">
        <v>3.2</v>
      </c>
      <c r="E5" s="86">
        <v>5</v>
      </c>
      <c r="F5" s="86">
        <v>6.3</v>
      </c>
    </row>
    <row r="9" spans="1:7" ht="15.75" thickBot="1" x14ac:dyDescent="0.3">
      <c r="A9" t="s">
        <v>140</v>
      </c>
    </row>
    <row r="10" spans="1:7" ht="25.5" x14ac:dyDescent="0.25">
      <c r="A10" s="87" t="s">
        <v>112</v>
      </c>
      <c r="B10" s="110" t="s">
        <v>114</v>
      </c>
      <c r="C10" s="87" t="s">
        <v>115</v>
      </c>
      <c r="D10" s="87" t="s">
        <v>117</v>
      </c>
      <c r="E10" s="87" t="s">
        <v>119</v>
      </c>
      <c r="F10" s="87">
        <v>2018</v>
      </c>
      <c r="G10" s="87" t="s">
        <v>121</v>
      </c>
    </row>
    <row r="11" spans="1:7" ht="25.5" x14ac:dyDescent="0.25">
      <c r="A11" s="88" t="s">
        <v>113</v>
      </c>
      <c r="B11" s="111"/>
      <c r="C11" s="88" t="s">
        <v>116</v>
      </c>
      <c r="D11" s="88" t="s">
        <v>118</v>
      </c>
      <c r="E11" s="88" t="s">
        <v>37</v>
      </c>
      <c r="F11" s="88" t="s">
        <v>120</v>
      </c>
      <c r="G11" s="88" t="s">
        <v>122</v>
      </c>
    </row>
    <row r="12" spans="1:7" ht="15.75" thickBot="1" x14ac:dyDescent="0.3">
      <c r="A12" s="89"/>
      <c r="B12" s="112"/>
      <c r="C12" s="89"/>
      <c r="D12" s="89"/>
      <c r="E12" s="89"/>
      <c r="F12" s="89"/>
      <c r="G12" s="90" t="s">
        <v>123</v>
      </c>
    </row>
    <row r="13" spans="1:7" ht="27" thickTop="1" thickBot="1" x14ac:dyDescent="0.3">
      <c r="A13" s="91" t="s">
        <v>14</v>
      </c>
      <c r="B13" s="92" t="s">
        <v>124</v>
      </c>
      <c r="C13" s="100">
        <v>13.3</v>
      </c>
      <c r="D13" s="100">
        <v>13.8</v>
      </c>
      <c r="E13" s="93">
        <v>0.04</v>
      </c>
      <c r="F13" s="100">
        <v>23.3</v>
      </c>
      <c r="G13" s="105">
        <v>0.59</v>
      </c>
    </row>
    <row r="14" spans="1:7" ht="26.25" thickBot="1" x14ac:dyDescent="0.3">
      <c r="A14" s="94" t="s">
        <v>125</v>
      </c>
      <c r="B14" s="95" t="s">
        <v>126</v>
      </c>
      <c r="C14" s="101">
        <v>3.2</v>
      </c>
      <c r="D14" s="101">
        <v>5.5</v>
      </c>
      <c r="E14" s="96">
        <v>0.73</v>
      </c>
      <c r="F14" s="101">
        <v>7</v>
      </c>
      <c r="G14" s="104">
        <v>0.79</v>
      </c>
    </row>
    <row r="15" spans="1:7" ht="15.75" thickBot="1" x14ac:dyDescent="0.3">
      <c r="A15" s="97" t="s">
        <v>127</v>
      </c>
      <c r="B15" s="98" t="s">
        <v>128</v>
      </c>
      <c r="C15" s="102">
        <v>9.8000000000000007</v>
      </c>
      <c r="D15" s="102">
        <v>10.9</v>
      </c>
      <c r="E15" s="99">
        <v>0.11</v>
      </c>
      <c r="F15" s="102">
        <v>13</v>
      </c>
      <c r="G15" s="104">
        <v>0.84</v>
      </c>
    </row>
    <row r="16" spans="1:7" ht="26.25" thickBot="1" x14ac:dyDescent="0.3">
      <c r="A16" s="94" t="s">
        <v>129</v>
      </c>
      <c r="B16" s="95" t="s">
        <v>130</v>
      </c>
      <c r="C16" s="101">
        <v>115.5</v>
      </c>
      <c r="D16" s="101">
        <v>124.8</v>
      </c>
      <c r="E16" s="96">
        <v>0.08</v>
      </c>
      <c r="F16" s="101">
        <v>213.63</v>
      </c>
      <c r="G16" s="106">
        <v>0.57999999999999996</v>
      </c>
    </row>
    <row r="17" spans="1:7" ht="26.25" thickBot="1" x14ac:dyDescent="0.3">
      <c r="A17" s="97" t="s">
        <v>131</v>
      </c>
      <c r="B17" s="98" t="s">
        <v>132</v>
      </c>
      <c r="C17" s="102">
        <v>10.6</v>
      </c>
      <c r="D17" s="102">
        <v>8.4</v>
      </c>
      <c r="E17" s="99">
        <v>-0.21</v>
      </c>
      <c r="F17" s="102">
        <v>15.07</v>
      </c>
      <c r="G17" s="106">
        <v>0.56000000000000005</v>
      </c>
    </row>
    <row r="18" spans="1:7" ht="27.75" thickBot="1" x14ac:dyDescent="0.3">
      <c r="A18" s="94" t="s">
        <v>133</v>
      </c>
      <c r="B18" s="95" t="s">
        <v>75</v>
      </c>
      <c r="C18" s="101">
        <v>6.9</v>
      </c>
      <c r="D18" s="101">
        <v>6.4</v>
      </c>
      <c r="E18" s="96">
        <v>-7.0000000000000007E-2</v>
      </c>
      <c r="F18" s="101">
        <v>12.5</v>
      </c>
      <c r="G18" s="106">
        <v>0.51</v>
      </c>
    </row>
    <row r="19" spans="1:7" ht="26.25" thickBot="1" x14ac:dyDescent="0.3">
      <c r="A19" s="97" t="s">
        <v>134</v>
      </c>
      <c r="B19" s="98" t="s">
        <v>135</v>
      </c>
      <c r="C19" s="102">
        <v>18.100000000000001</v>
      </c>
      <c r="D19" s="102">
        <v>18.899999999999999</v>
      </c>
      <c r="E19" s="99">
        <v>0.04</v>
      </c>
      <c r="F19" s="102">
        <v>31.69</v>
      </c>
      <c r="G19" s="106">
        <v>0.59</v>
      </c>
    </row>
    <row r="20" spans="1:7" ht="26.25" thickBot="1" x14ac:dyDescent="0.3">
      <c r="A20" s="94" t="s">
        <v>136</v>
      </c>
      <c r="B20" s="95" t="s">
        <v>135</v>
      </c>
      <c r="C20" s="101">
        <v>24.2</v>
      </c>
      <c r="D20" s="101">
        <v>26.5</v>
      </c>
      <c r="E20" s="96">
        <v>0.1</v>
      </c>
      <c r="F20" s="101">
        <v>41.8</v>
      </c>
      <c r="G20" s="106">
        <v>0.63</v>
      </c>
    </row>
    <row r="21" spans="1:7" ht="26.25" thickBot="1" x14ac:dyDescent="0.3">
      <c r="A21" s="97" t="s">
        <v>137</v>
      </c>
      <c r="B21" s="98" t="s">
        <v>138</v>
      </c>
      <c r="C21" s="102" t="s">
        <v>139</v>
      </c>
      <c r="D21" s="102">
        <v>92.4</v>
      </c>
      <c r="E21" s="99">
        <v>1</v>
      </c>
      <c r="F21" s="102">
        <v>617.26</v>
      </c>
      <c r="G21" s="103">
        <v>0.15</v>
      </c>
    </row>
  </sheetData>
  <mergeCells count="1">
    <mergeCell ref="B10:B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Произв.</vt:lpstr>
      <vt:lpstr>Фонд</vt:lpstr>
      <vt:lpstr>Произв.!Заголовки_для_печати</vt:lpstr>
      <vt:lpstr>Произв.!Область_печати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Kanapyanov, Daniyar</dc:creator>
  <cp:lastModifiedBy>Каржавин А.В.</cp:lastModifiedBy>
  <dcterms:created xsi:type="dcterms:W3CDTF">2018-09-04T10:01:32Z</dcterms:created>
  <dcterms:modified xsi:type="dcterms:W3CDTF">2018-09-05T07:25:35Z</dcterms:modified>
</cp:coreProperties>
</file>