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8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9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10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11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ocuments\@folder dinda\@SKRIPSI (1)\spk penilaian kinerja karyawan (1)\perhitungan dan data skripsi\"/>
    </mc:Choice>
  </mc:AlternateContent>
  <bookViews>
    <workbookView xWindow="0" yWindow="0" windowWidth="19200" windowHeight="6936"/>
  </bookViews>
  <sheets>
    <sheet name="NILAI KRITERIA" sheetId="1" r:id="rId1"/>
    <sheet name="PRODUCTIVITY" sheetId="2" r:id="rId2"/>
    <sheet name="KOMUNIKASI &amp; KERJASAMA" sheetId="3" r:id="rId3"/>
    <sheet name="Pelaksanaan 5R" sheetId="7" r:id="rId4"/>
    <sheet name="DOKUMENTASI" sheetId="4" r:id="rId5"/>
    <sheet name="Pemahaman &amp; Pelaksanaan K3" sheetId="8" r:id="rId6"/>
    <sheet name="Pemahaman SOP &amp; SPK" sheetId="5" r:id="rId7"/>
    <sheet name="PEMAHAMAN TOOLS" sheetId="9" r:id="rId8"/>
    <sheet name="KEHADIRAN" sheetId="11" r:id="rId9"/>
    <sheet name="KEDISIPILINAN" sheetId="10" r:id="rId10"/>
    <sheet name="INISIATIF" sheetId="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9" l="1"/>
  <c r="D21" i="9"/>
  <c r="D21" i="8"/>
  <c r="D21" i="7"/>
  <c r="C36" i="4"/>
  <c r="C22" i="2" l="1"/>
  <c r="N110" i="1" l="1"/>
  <c r="M110" i="1" l="1"/>
  <c r="C111" i="1"/>
  <c r="C110" i="1"/>
  <c r="C49" i="1" l="1"/>
  <c r="O36" i="1"/>
  <c r="O37" i="1"/>
  <c r="N36" i="1"/>
  <c r="M37" i="1"/>
  <c r="L122" i="1" l="1"/>
  <c r="L120" i="1"/>
  <c r="L111" i="1"/>
  <c r="L112" i="1"/>
  <c r="L113" i="1"/>
  <c r="L114" i="1"/>
  <c r="L115" i="1"/>
  <c r="L116" i="1"/>
  <c r="L117" i="1"/>
  <c r="L118" i="1"/>
  <c r="L119" i="1"/>
  <c r="L121" i="1"/>
  <c r="L110" i="1"/>
  <c r="K119" i="1"/>
  <c r="K111" i="1"/>
  <c r="K112" i="1"/>
  <c r="K113" i="1"/>
  <c r="K114" i="1"/>
  <c r="K115" i="1"/>
  <c r="K116" i="1"/>
  <c r="K117" i="1"/>
  <c r="K118" i="1"/>
  <c r="K120" i="1"/>
  <c r="K121" i="1"/>
  <c r="K122" i="1"/>
  <c r="K110" i="1"/>
  <c r="J122" i="1"/>
  <c r="J121" i="1"/>
  <c r="J120" i="1"/>
  <c r="J119" i="1"/>
  <c r="J118" i="1"/>
  <c r="J117" i="1"/>
  <c r="J116" i="1"/>
  <c r="J115" i="1"/>
  <c r="J114" i="1"/>
  <c r="J113" i="1"/>
  <c r="J111" i="1"/>
  <c r="J112" i="1"/>
  <c r="J110" i="1"/>
  <c r="I122" i="1"/>
  <c r="I111" i="1"/>
  <c r="I112" i="1"/>
  <c r="I113" i="1"/>
  <c r="I114" i="1"/>
  <c r="I115" i="1"/>
  <c r="I116" i="1"/>
  <c r="I117" i="1"/>
  <c r="I118" i="1"/>
  <c r="I119" i="1"/>
  <c r="I120" i="1"/>
  <c r="I121" i="1"/>
  <c r="I110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10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D122" i="1"/>
  <c r="D119" i="1"/>
  <c r="D121" i="1"/>
  <c r="D120" i="1"/>
  <c r="D118" i="1"/>
  <c r="D117" i="1"/>
  <c r="D116" i="1"/>
  <c r="D115" i="1"/>
  <c r="D114" i="1"/>
  <c r="D113" i="1"/>
  <c r="D112" i="1"/>
  <c r="D111" i="1"/>
  <c r="D110" i="1"/>
  <c r="C120" i="1"/>
  <c r="C122" i="1"/>
  <c r="C121" i="1"/>
  <c r="C117" i="1"/>
  <c r="C116" i="1"/>
  <c r="C119" i="1"/>
  <c r="C118" i="1"/>
  <c r="C115" i="1"/>
  <c r="C114" i="1"/>
  <c r="M114" i="1" s="1"/>
  <c r="N114" i="1" s="1"/>
  <c r="O114" i="1" s="1"/>
  <c r="C113" i="1"/>
  <c r="C112" i="1"/>
  <c r="O110" i="1"/>
  <c r="M111" i="1" l="1"/>
  <c r="N111" i="1" s="1"/>
  <c r="O111" i="1" s="1"/>
  <c r="M115" i="1"/>
  <c r="N115" i="1" s="1"/>
  <c r="O115" i="1" s="1"/>
  <c r="M117" i="1"/>
  <c r="N117" i="1" s="1"/>
  <c r="O117" i="1" s="1"/>
  <c r="M112" i="1"/>
  <c r="N112" i="1" s="1"/>
  <c r="O112" i="1" s="1"/>
  <c r="M116" i="1"/>
  <c r="N116" i="1" s="1"/>
  <c r="O116" i="1" s="1"/>
  <c r="M120" i="1"/>
  <c r="N120" i="1" s="1"/>
  <c r="O120" i="1" s="1"/>
  <c r="M118" i="1"/>
  <c r="N118" i="1" s="1"/>
  <c r="O118" i="1" s="1"/>
  <c r="M121" i="1"/>
  <c r="N121" i="1" s="1"/>
  <c r="O121" i="1" s="1"/>
  <c r="M113" i="1"/>
  <c r="N113" i="1" s="1"/>
  <c r="O113" i="1" s="1"/>
  <c r="M119" i="1"/>
  <c r="N119" i="1" s="1"/>
  <c r="O119" i="1" s="1"/>
  <c r="M122" i="1"/>
  <c r="N122" i="1" s="1"/>
  <c r="O122" i="1" s="1"/>
  <c r="C39" i="11"/>
  <c r="D39" i="11"/>
  <c r="E39" i="11"/>
  <c r="K39" i="11" s="1"/>
  <c r="L39" i="11" s="1"/>
  <c r="M39" i="11" s="1"/>
  <c r="F39" i="11"/>
  <c r="G39" i="11"/>
  <c r="H39" i="11"/>
  <c r="I39" i="11"/>
  <c r="J39" i="11"/>
  <c r="C21" i="10" l="1"/>
  <c r="E29" i="10"/>
  <c r="E22" i="10"/>
  <c r="E31" i="10" s="1"/>
  <c r="C22" i="10"/>
  <c r="D21" i="10"/>
  <c r="D22" i="10" s="1"/>
  <c r="C20" i="10"/>
  <c r="C31" i="10" l="1"/>
  <c r="C30" i="10"/>
  <c r="C29" i="10"/>
  <c r="F29" i="10" s="1"/>
  <c r="E30" i="10"/>
  <c r="D30" i="10"/>
  <c r="D29" i="10"/>
  <c r="F30" i="10"/>
  <c r="G30" i="10" s="1"/>
  <c r="D31" i="10"/>
  <c r="F31" i="10" s="1"/>
  <c r="G31" i="10" s="1"/>
  <c r="G27" i="11"/>
  <c r="D27" i="11"/>
  <c r="E27" i="11"/>
  <c r="I27" i="11"/>
  <c r="I28" i="11"/>
  <c r="H27" i="11"/>
  <c r="H26" i="11"/>
  <c r="G26" i="11"/>
  <c r="G25" i="11"/>
  <c r="F27" i="11"/>
  <c r="F26" i="11"/>
  <c r="F25" i="11"/>
  <c r="F24" i="11"/>
  <c r="E26" i="11"/>
  <c r="E25" i="11"/>
  <c r="E24" i="11"/>
  <c r="E23" i="11"/>
  <c r="D26" i="11"/>
  <c r="D25" i="11"/>
  <c r="D24" i="11"/>
  <c r="D23" i="11"/>
  <c r="D22" i="11"/>
  <c r="C27" i="11"/>
  <c r="C26" i="11"/>
  <c r="C25" i="11"/>
  <c r="C24" i="11"/>
  <c r="C23" i="11"/>
  <c r="C22" i="11"/>
  <c r="C21" i="11"/>
  <c r="J28" i="11"/>
  <c r="J41" i="11" s="1"/>
  <c r="H28" i="11"/>
  <c r="D28" i="11"/>
  <c r="C20" i="9"/>
  <c r="E22" i="9"/>
  <c r="E30" i="9" s="1"/>
  <c r="C21" i="8"/>
  <c r="C20" i="8"/>
  <c r="E22" i="8"/>
  <c r="E31" i="8" s="1"/>
  <c r="D22" i="8"/>
  <c r="C21" i="7"/>
  <c r="C20" i="7"/>
  <c r="D22" i="7"/>
  <c r="D29" i="7" s="1"/>
  <c r="E22" i="6"/>
  <c r="D22" i="6"/>
  <c r="D21" i="6"/>
  <c r="C22" i="6"/>
  <c r="C21" i="6"/>
  <c r="C20" i="6"/>
  <c r="F23" i="6"/>
  <c r="F33" i="6" s="1"/>
  <c r="C23" i="6"/>
  <c r="C30" i="6" s="1"/>
  <c r="E22" i="5"/>
  <c r="D22" i="5"/>
  <c r="D21" i="5"/>
  <c r="C22" i="5"/>
  <c r="C21" i="5"/>
  <c r="C20" i="5"/>
  <c r="F23" i="5"/>
  <c r="F32" i="5" s="1"/>
  <c r="E23" i="5"/>
  <c r="E31" i="5" s="1"/>
  <c r="D23" i="5"/>
  <c r="C23" i="5"/>
  <c r="C33" i="5" s="1"/>
  <c r="E22" i="4"/>
  <c r="D22" i="4"/>
  <c r="D21" i="4"/>
  <c r="C22" i="4"/>
  <c r="C21" i="4"/>
  <c r="C20" i="4"/>
  <c r="F23" i="4"/>
  <c r="F31" i="4" s="1"/>
  <c r="E23" i="4"/>
  <c r="D23" i="4"/>
  <c r="G30" i="3"/>
  <c r="C30" i="3"/>
  <c r="E22" i="3"/>
  <c r="D22" i="3"/>
  <c r="D21" i="3"/>
  <c r="C22" i="3"/>
  <c r="C20" i="3"/>
  <c r="C21" i="3"/>
  <c r="F23" i="3"/>
  <c r="F31" i="3" s="1"/>
  <c r="E23" i="3"/>
  <c r="C23" i="3"/>
  <c r="E22" i="2"/>
  <c r="D22" i="2"/>
  <c r="D21" i="2"/>
  <c r="C21" i="2"/>
  <c r="C20" i="2"/>
  <c r="E23" i="2"/>
  <c r="D23" i="2"/>
  <c r="D31" i="2" s="1"/>
  <c r="F23" i="2"/>
  <c r="F30" i="2" s="1"/>
  <c r="F32" i="10" l="1"/>
  <c r="G29" i="10"/>
  <c r="G32" i="10" s="1"/>
  <c r="D38" i="11"/>
  <c r="I37" i="11"/>
  <c r="J42" i="11"/>
  <c r="J37" i="11"/>
  <c r="I42" i="11"/>
  <c r="J40" i="11"/>
  <c r="I38" i="11"/>
  <c r="J38" i="11"/>
  <c r="J44" i="11"/>
  <c r="D43" i="11"/>
  <c r="D37" i="11"/>
  <c r="I41" i="11"/>
  <c r="I44" i="11"/>
  <c r="I40" i="11"/>
  <c r="I43" i="11"/>
  <c r="J43" i="11"/>
  <c r="H38" i="11"/>
  <c r="H42" i="11"/>
  <c r="D42" i="11"/>
  <c r="D41" i="11"/>
  <c r="D45" i="11"/>
  <c r="D40" i="11"/>
  <c r="D44" i="11"/>
  <c r="H37" i="11"/>
  <c r="H41" i="11"/>
  <c r="H44" i="11"/>
  <c r="H40" i="11"/>
  <c r="H43" i="11"/>
  <c r="E28" i="11"/>
  <c r="F28" i="11"/>
  <c r="G28" i="11"/>
  <c r="C28" i="11"/>
  <c r="C42" i="11" s="1"/>
  <c r="E31" i="9"/>
  <c r="E29" i="9"/>
  <c r="C22" i="9"/>
  <c r="D22" i="9"/>
  <c r="E29" i="8"/>
  <c r="E30" i="8"/>
  <c r="D30" i="8"/>
  <c r="D29" i="8"/>
  <c r="C22" i="8"/>
  <c r="D31" i="8"/>
  <c r="D31" i="7"/>
  <c r="E22" i="7"/>
  <c r="C22" i="7"/>
  <c r="C29" i="7" s="1"/>
  <c r="D30" i="7"/>
  <c r="C31" i="6"/>
  <c r="C32" i="6"/>
  <c r="C33" i="6"/>
  <c r="F32" i="6"/>
  <c r="D23" i="6"/>
  <c r="D32" i="6" s="1"/>
  <c r="E23" i="6"/>
  <c r="E33" i="6" s="1"/>
  <c r="F31" i="6"/>
  <c r="F30" i="6"/>
  <c r="E33" i="5"/>
  <c r="F31" i="5"/>
  <c r="D30" i="5"/>
  <c r="D32" i="5"/>
  <c r="D31" i="5"/>
  <c r="C32" i="5"/>
  <c r="C30" i="5"/>
  <c r="D33" i="5"/>
  <c r="G33" i="5" s="1"/>
  <c r="H33" i="5" s="1"/>
  <c r="I33" i="5" s="1"/>
  <c r="C31" i="5"/>
  <c r="E32" i="5"/>
  <c r="F33" i="5"/>
  <c r="E30" i="5"/>
  <c r="F30" i="5"/>
  <c r="D33" i="4"/>
  <c r="E30" i="4"/>
  <c r="E31" i="4"/>
  <c r="E32" i="4"/>
  <c r="D30" i="4"/>
  <c r="D31" i="4"/>
  <c r="D32" i="4"/>
  <c r="F30" i="4"/>
  <c r="E33" i="4"/>
  <c r="C23" i="4"/>
  <c r="F33" i="4"/>
  <c r="F32" i="4"/>
  <c r="F30" i="3"/>
  <c r="C33" i="3"/>
  <c r="C31" i="3"/>
  <c r="C32" i="3"/>
  <c r="E31" i="3"/>
  <c r="E30" i="3"/>
  <c r="E32" i="3"/>
  <c r="D23" i="3"/>
  <c r="D32" i="3" s="1"/>
  <c r="F32" i="3"/>
  <c r="E33" i="3"/>
  <c r="F33" i="3"/>
  <c r="E31" i="2"/>
  <c r="E30" i="2"/>
  <c r="E32" i="2"/>
  <c r="D33" i="2"/>
  <c r="D32" i="2"/>
  <c r="F33" i="2"/>
  <c r="E33" i="2"/>
  <c r="F32" i="2"/>
  <c r="F31" i="2"/>
  <c r="C23" i="2"/>
  <c r="C33" i="2" s="1"/>
  <c r="D30" i="2"/>
  <c r="G29" i="1"/>
  <c r="G38" i="1" s="1"/>
  <c r="K28" i="1"/>
  <c r="J28" i="1"/>
  <c r="J27" i="1"/>
  <c r="L25" i="1"/>
  <c r="K25" i="1"/>
  <c r="J25" i="1"/>
  <c r="L24" i="1"/>
  <c r="K24" i="1"/>
  <c r="J24" i="1"/>
  <c r="H25" i="1"/>
  <c r="L23" i="1"/>
  <c r="K23" i="1"/>
  <c r="J23" i="1"/>
  <c r="I23" i="1"/>
  <c r="I29" i="1" s="1"/>
  <c r="I38" i="1" s="1"/>
  <c r="H23" i="1"/>
  <c r="L22" i="1"/>
  <c r="L21" i="1"/>
  <c r="K22" i="1"/>
  <c r="J22" i="1"/>
  <c r="F25" i="1"/>
  <c r="F24" i="1"/>
  <c r="F23" i="1"/>
  <c r="K21" i="1"/>
  <c r="J21" i="1"/>
  <c r="E25" i="1"/>
  <c r="E24" i="1"/>
  <c r="E23" i="1"/>
  <c r="F21" i="1"/>
  <c r="D28" i="1"/>
  <c r="D27" i="1"/>
  <c r="J20" i="1"/>
  <c r="D25" i="1"/>
  <c r="D24" i="1"/>
  <c r="D23" i="1"/>
  <c r="D22" i="1"/>
  <c r="D21" i="1"/>
  <c r="C28" i="1"/>
  <c r="C20" i="1"/>
  <c r="C26" i="1"/>
  <c r="C27" i="1"/>
  <c r="C25" i="1"/>
  <c r="C24" i="1"/>
  <c r="C23" i="1"/>
  <c r="C22" i="1"/>
  <c r="C21" i="1"/>
  <c r="G43" i="11" l="1"/>
  <c r="G37" i="11"/>
  <c r="G40" i="11"/>
  <c r="G44" i="11"/>
  <c r="G41" i="11"/>
  <c r="G38" i="11"/>
  <c r="G42" i="11"/>
  <c r="F40" i="11"/>
  <c r="F44" i="11"/>
  <c r="F41" i="11"/>
  <c r="F37" i="11"/>
  <c r="F38" i="11"/>
  <c r="F42" i="11"/>
  <c r="F43" i="11"/>
  <c r="E38" i="11"/>
  <c r="E42" i="11"/>
  <c r="E41" i="11"/>
  <c r="E43" i="11"/>
  <c r="E37" i="11"/>
  <c r="E40" i="11"/>
  <c r="E44" i="11"/>
  <c r="E45" i="11"/>
  <c r="H45" i="11"/>
  <c r="C37" i="11"/>
  <c r="C38" i="11"/>
  <c r="C44" i="11"/>
  <c r="C41" i="11"/>
  <c r="C43" i="11"/>
  <c r="C40" i="11"/>
  <c r="D31" i="9"/>
  <c r="C29" i="9"/>
  <c r="C31" i="9"/>
  <c r="D30" i="9"/>
  <c r="D29" i="9"/>
  <c r="C30" i="9"/>
  <c r="C31" i="8"/>
  <c r="F31" i="8" s="1"/>
  <c r="G31" i="8" s="1"/>
  <c r="C29" i="8"/>
  <c r="F29" i="8" s="1"/>
  <c r="C30" i="8"/>
  <c r="F30" i="8" s="1"/>
  <c r="G30" i="8" s="1"/>
  <c r="H30" i="9" s="1"/>
  <c r="E30" i="7"/>
  <c r="E31" i="7"/>
  <c r="C30" i="7"/>
  <c r="C31" i="7"/>
  <c r="E29" i="7"/>
  <c r="F29" i="7" s="1"/>
  <c r="G29" i="7" s="1"/>
  <c r="H29" i="7" s="1"/>
  <c r="E32" i="6"/>
  <c r="G32" i="6" s="1"/>
  <c r="H32" i="6" s="1"/>
  <c r="I32" i="6" s="1"/>
  <c r="E30" i="6"/>
  <c r="E31" i="6"/>
  <c r="D30" i="6"/>
  <c r="G30" i="6" s="1"/>
  <c r="D31" i="6"/>
  <c r="D33" i="6"/>
  <c r="G33" i="6" s="1"/>
  <c r="H33" i="6" s="1"/>
  <c r="I33" i="6" s="1"/>
  <c r="G31" i="5"/>
  <c r="H31" i="5" s="1"/>
  <c r="I31" i="5" s="1"/>
  <c r="G30" i="5"/>
  <c r="H30" i="5" s="1"/>
  <c r="G32" i="5"/>
  <c r="H32" i="5" s="1"/>
  <c r="I32" i="5" s="1"/>
  <c r="C30" i="4"/>
  <c r="G30" i="4" s="1"/>
  <c r="C31" i="4"/>
  <c r="G31" i="4" s="1"/>
  <c r="H31" i="4" s="1"/>
  <c r="I31" i="4" s="1"/>
  <c r="C32" i="4"/>
  <c r="G32" i="4" s="1"/>
  <c r="H32" i="4" s="1"/>
  <c r="I32" i="4" s="1"/>
  <c r="C33" i="4"/>
  <c r="G33" i="4" s="1"/>
  <c r="H33" i="4" s="1"/>
  <c r="I33" i="4" s="1"/>
  <c r="G32" i="3"/>
  <c r="H32" i="3" s="1"/>
  <c r="I32" i="3" s="1"/>
  <c r="D33" i="3"/>
  <c r="G33" i="3" s="1"/>
  <c r="H33" i="3" s="1"/>
  <c r="I33" i="3" s="1"/>
  <c r="D31" i="3"/>
  <c r="G31" i="3" s="1"/>
  <c r="H31" i="3" s="1"/>
  <c r="I31" i="3" s="1"/>
  <c r="D30" i="3"/>
  <c r="G33" i="2"/>
  <c r="H33" i="2" s="1"/>
  <c r="I33" i="2" s="1"/>
  <c r="C30" i="2"/>
  <c r="G30" i="2" s="1"/>
  <c r="C31" i="2"/>
  <c r="G31" i="2" s="1"/>
  <c r="H31" i="2" s="1"/>
  <c r="I31" i="2" s="1"/>
  <c r="C32" i="2"/>
  <c r="G32" i="2" s="1"/>
  <c r="H32" i="2" s="1"/>
  <c r="I32" i="2" s="1"/>
  <c r="G44" i="1"/>
  <c r="G41" i="1"/>
  <c r="G37" i="1"/>
  <c r="I45" i="1"/>
  <c r="E29" i="1"/>
  <c r="E36" i="1" s="1"/>
  <c r="H29" i="1"/>
  <c r="H36" i="1" s="1"/>
  <c r="G45" i="1"/>
  <c r="G36" i="1"/>
  <c r="G40" i="1"/>
  <c r="I41" i="1"/>
  <c r="J29" i="1"/>
  <c r="J36" i="1" s="1"/>
  <c r="K29" i="1"/>
  <c r="K40" i="1" s="1"/>
  <c r="I37" i="1"/>
  <c r="E40" i="1"/>
  <c r="I40" i="1"/>
  <c r="L29" i="1"/>
  <c r="G43" i="1"/>
  <c r="G39" i="1"/>
  <c r="I43" i="1"/>
  <c r="I39" i="1"/>
  <c r="C29" i="1"/>
  <c r="I44" i="1"/>
  <c r="I36" i="1"/>
  <c r="D29" i="1"/>
  <c r="D36" i="1" s="1"/>
  <c r="F29" i="1"/>
  <c r="F40" i="1" s="1"/>
  <c r="G42" i="1"/>
  <c r="I42" i="1"/>
  <c r="F29" i="9" l="1"/>
  <c r="G29" i="9" s="1"/>
  <c r="H30" i="8"/>
  <c r="H30" i="10"/>
  <c r="H31" i="8"/>
  <c r="H31" i="10"/>
  <c r="H31" i="9"/>
  <c r="H43" i="1"/>
  <c r="C36" i="1"/>
  <c r="L40" i="1"/>
  <c r="L36" i="1"/>
  <c r="H38" i="1"/>
  <c r="C38" i="1"/>
  <c r="K42" i="11"/>
  <c r="L42" i="11" s="1"/>
  <c r="M42" i="11" s="1"/>
  <c r="K37" i="11"/>
  <c r="L37" i="11" s="1"/>
  <c r="M37" i="11" s="1"/>
  <c r="F45" i="11"/>
  <c r="G45" i="11"/>
  <c r="K44" i="11"/>
  <c r="L44" i="11" s="1"/>
  <c r="M44" i="11" s="1"/>
  <c r="K43" i="11"/>
  <c r="L43" i="11" s="1"/>
  <c r="M43" i="11" s="1"/>
  <c r="K40" i="11"/>
  <c r="L40" i="11" s="1"/>
  <c r="M40" i="11" s="1"/>
  <c r="K41" i="11"/>
  <c r="L41" i="11" s="1"/>
  <c r="M41" i="11" s="1"/>
  <c r="K38" i="11"/>
  <c r="L38" i="11" s="1"/>
  <c r="M38" i="11" s="1"/>
  <c r="C45" i="11"/>
  <c r="F31" i="9"/>
  <c r="G31" i="9" s="1"/>
  <c r="F30" i="9"/>
  <c r="G30" i="9" s="1"/>
  <c r="F32" i="8"/>
  <c r="G29" i="8"/>
  <c r="F31" i="7"/>
  <c r="G31" i="7" s="1"/>
  <c r="H31" i="7" s="1"/>
  <c r="F30" i="7"/>
  <c r="G30" i="7" s="1"/>
  <c r="H30" i="7" s="1"/>
  <c r="G31" i="6"/>
  <c r="H31" i="6" s="1"/>
  <c r="I31" i="6" s="1"/>
  <c r="H30" i="6"/>
  <c r="G34" i="5"/>
  <c r="H34" i="5"/>
  <c r="I30" i="5"/>
  <c r="I34" i="5" s="1"/>
  <c r="C36" i="5" s="1"/>
  <c r="C38" i="5" s="1"/>
  <c r="D38" i="5" s="1"/>
  <c r="H30" i="4"/>
  <c r="G34" i="4"/>
  <c r="H30" i="3"/>
  <c r="G34" i="3"/>
  <c r="H30" i="2"/>
  <c r="G34" i="2"/>
  <c r="H44" i="1"/>
  <c r="H41" i="1"/>
  <c r="J45" i="1"/>
  <c r="J38" i="1"/>
  <c r="J43" i="1"/>
  <c r="J37" i="1"/>
  <c r="J42" i="1"/>
  <c r="K36" i="1"/>
  <c r="J44" i="1"/>
  <c r="K42" i="1"/>
  <c r="K38" i="1"/>
  <c r="K45" i="1"/>
  <c r="K39" i="1"/>
  <c r="J39" i="1"/>
  <c r="H45" i="1"/>
  <c r="H39" i="1"/>
  <c r="G46" i="1"/>
  <c r="K44" i="1"/>
  <c r="K37" i="1"/>
  <c r="H40" i="1"/>
  <c r="K43" i="1"/>
  <c r="H37" i="1"/>
  <c r="K41" i="1"/>
  <c r="H42" i="1"/>
  <c r="J41" i="1"/>
  <c r="C43" i="1"/>
  <c r="C37" i="1"/>
  <c r="C40" i="1"/>
  <c r="I46" i="1"/>
  <c r="L41" i="1"/>
  <c r="D44" i="1"/>
  <c r="D45" i="1"/>
  <c r="C39" i="1"/>
  <c r="J40" i="1"/>
  <c r="D38" i="1"/>
  <c r="D37" i="1"/>
  <c r="D42" i="1"/>
  <c r="D43" i="1"/>
  <c r="C44" i="1"/>
  <c r="C45" i="1"/>
  <c r="C41" i="1"/>
  <c r="D41" i="1"/>
  <c r="F41" i="1"/>
  <c r="E38" i="1"/>
  <c r="E41" i="1"/>
  <c r="E39" i="1"/>
  <c r="E43" i="1"/>
  <c r="E44" i="1"/>
  <c r="E37" i="1"/>
  <c r="E45" i="1"/>
  <c r="F36" i="1"/>
  <c r="F44" i="1"/>
  <c r="F38" i="1"/>
  <c r="F42" i="1"/>
  <c r="F43" i="1"/>
  <c r="F37" i="1"/>
  <c r="F45" i="1"/>
  <c r="F39" i="1"/>
  <c r="L44" i="1"/>
  <c r="L42" i="1"/>
  <c r="L43" i="1"/>
  <c r="L37" i="1"/>
  <c r="L45" i="1"/>
  <c r="L38" i="1"/>
  <c r="L39" i="1"/>
  <c r="D39" i="1"/>
  <c r="C42" i="1"/>
  <c r="E42" i="1"/>
  <c r="D40" i="1"/>
  <c r="H29" i="10" l="1"/>
  <c r="H32" i="10" s="1"/>
  <c r="C34" i="10" s="1"/>
  <c r="C36" i="10" s="1"/>
  <c r="D36" i="10" s="1"/>
  <c r="H29" i="9"/>
  <c r="H32" i="9" s="1"/>
  <c r="C34" i="9" s="1"/>
  <c r="C36" i="9" s="1"/>
  <c r="D36" i="9" s="1"/>
  <c r="M36" i="1"/>
  <c r="K45" i="11"/>
  <c r="L45" i="11"/>
  <c r="G32" i="9"/>
  <c r="F32" i="9"/>
  <c r="G32" i="8"/>
  <c r="H29" i="8"/>
  <c r="H32" i="8" s="1"/>
  <c r="C34" i="8" s="1"/>
  <c r="C36" i="8" s="1"/>
  <c r="D36" i="8" s="1"/>
  <c r="F32" i="7"/>
  <c r="G32" i="7"/>
  <c r="H32" i="7"/>
  <c r="G34" i="6"/>
  <c r="H34" i="6"/>
  <c r="I30" i="6"/>
  <c r="I34" i="6" s="1"/>
  <c r="C36" i="6" s="1"/>
  <c r="C38" i="6" s="1"/>
  <c r="D38" i="6" s="1"/>
  <c r="H34" i="4"/>
  <c r="I30" i="4"/>
  <c r="I34" i="4" s="1"/>
  <c r="C38" i="4" s="1"/>
  <c r="D38" i="4" s="1"/>
  <c r="I30" i="3"/>
  <c r="I34" i="3" s="1"/>
  <c r="C36" i="3" s="1"/>
  <c r="C38" i="3" s="1"/>
  <c r="D38" i="3" s="1"/>
  <c r="H34" i="3"/>
  <c r="H34" i="2"/>
  <c r="I30" i="2"/>
  <c r="I34" i="2" s="1"/>
  <c r="C36" i="2" s="1"/>
  <c r="C38" i="2" s="1"/>
  <c r="D38" i="2" s="1"/>
  <c r="D46" i="1"/>
  <c r="K46" i="1"/>
  <c r="H46" i="1"/>
  <c r="J46" i="1"/>
  <c r="M44" i="1"/>
  <c r="N44" i="1" s="1"/>
  <c r="O44" i="1" s="1"/>
  <c r="L46" i="1"/>
  <c r="F46" i="1"/>
  <c r="N37" i="1"/>
  <c r="M43" i="1"/>
  <c r="N43" i="1" s="1"/>
  <c r="O43" i="1" s="1"/>
  <c r="E46" i="1"/>
  <c r="M41" i="1"/>
  <c r="N41" i="1" s="1"/>
  <c r="O41" i="1" s="1"/>
  <c r="M38" i="1"/>
  <c r="N38" i="1" s="1"/>
  <c r="O38" i="1" s="1"/>
  <c r="C46" i="1"/>
  <c r="M42" i="1"/>
  <c r="N42" i="1" s="1"/>
  <c r="O42" i="1" s="1"/>
  <c r="M45" i="1"/>
  <c r="N45" i="1" s="1"/>
  <c r="O45" i="1" s="1"/>
  <c r="M39" i="1"/>
  <c r="N39" i="1" s="1"/>
  <c r="O39" i="1" s="1"/>
  <c r="M40" i="1"/>
  <c r="N40" i="1" s="1"/>
  <c r="O40" i="1" s="1"/>
  <c r="C34" i="7" l="1"/>
  <c r="C36" i="7" s="1"/>
  <c r="D36" i="7" s="1"/>
  <c r="M46" i="1"/>
  <c r="O46" i="1" l="1"/>
  <c r="N46" i="1"/>
  <c r="C51" i="1" l="1"/>
  <c r="D51" i="1" s="1"/>
  <c r="M45" i="11"/>
  <c r="C48" i="11" s="1"/>
  <c r="C50" i="11" l="1"/>
  <c r="D50" i="11" s="1"/>
</calcChain>
</file>

<file path=xl/sharedStrings.xml><?xml version="1.0" encoding="utf-8"?>
<sst xmlns="http://schemas.openxmlformats.org/spreadsheetml/2006/main" count="729" uniqueCount="144">
  <si>
    <t>Penentuan Bonus Karyawan Berdasarkan Penilaian Kinerja (Operator)</t>
  </si>
  <si>
    <t xml:space="preserve">Tahap 1 </t>
  </si>
  <si>
    <t xml:space="preserve">Menentukan Matriks Perbandingan Kriteria </t>
  </si>
  <si>
    <t xml:space="preserve">MATRIKS PERBANDINGAN KRITERIA </t>
  </si>
  <si>
    <t>Productivity</t>
  </si>
  <si>
    <t>Komunikasi dan Kerjasama</t>
  </si>
  <si>
    <t>Pelaksanaan 5R</t>
  </si>
  <si>
    <t>Dokumentasi</t>
  </si>
  <si>
    <t>Pemahaman dan Pelaksanaan K3</t>
  </si>
  <si>
    <t>Pemahaman SOP</t>
  </si>
  <si>
    <t>Pemahaman Tools</t>
  </si>
  <si>
    <t>Kehadiran</t>
  </si>
  <si>
    <t>Kedisiplinan</t>
  </si>
  <si>
    <t>Inisiatif</t>
  </si>
  <si>
    <t>TOTAL</t>
  </si>
  <si>
    <t>Column1</t>
  </si>
  <si>
    <t>JUMLAH</t>
  </si>
  <si>
    <t>PRIORITAS</t>
  </si>
  <si>
    <t>EIGEN VALUE</t>
  </si>
  <si>
    <t>CI</t>
  </si>
  <si>
    <t>RI</t>
  </si>
  <si>
    <t>CR</t>
  </si>
  <si>
    <t xml:space="preserve">MATRIKS NILAI KRITERIA </t>
  </si>
  <si>
    <t xml:space="preserve">TAHAP 2 </t>
  </si>
  <si>
    <t>Menentukan Matriks nilai kriteria</t>
  </si>
  <si>
    <t>Pekerjaan selesai &gt;90%</t>
  </si>
  <si>
    <t>Pekerjaan selsesai 80 - 90 %</t>
  </si>
  <si>
    <t>Pekerjaan selesai 60 - 79%</t>
  </si>
  <si>
    <t>Pekerjaan selesai &lt; 60 %</t>
  </si>
  <si>
    <t>Sangat Baik</t>
  </si>
  <si>
    <t xml:space="preserve">Baik </t>
  </si>
  <si>
    <t>Kurang</t>
  </si>
  <si>
    <t>Tidak Mampu</t>
  </si>
  <si>
    <t>Tahap 1 +F27A4:F23</t>
  </si>
  <si>
    <t>Sangat Lengkap dan sesuai</t>
  </si>
  <si>
    <t>Lengkap</t>
  </si>
  <si>
    <t>Kurang Lengkap dan tidak sesuai</t>
  </si>
  <si>
    <t>Tahap 1</t>
  </si>
  <si>
    <t>Sangat Mampu</t>
  </si>
  <si>
    <t>Mampu</t>
  </si>
  <si>
    <t>Kurang Mampu</t>
  </si>
  <si>
    <t>Sangat Bagus</t>
  </si>
  <si>
    <t xml:space="preserve">Bagus </t>
  </si>
  <si>
    <t>Kurang Bagus</t>
  </si>
  <si>
    <t>Melaksanakan</t>
  </si>
  <si>
    <t xml:space="preserve">Kurang Melaksanakan </t>
  </si>
  <si>
    <t>Tidak Melaksanakan</t>
  </si>
  <si>
    <t>Paham dan Melaksanakan</t>
  </si>
  <si>
    <t xml:space="preserve">Kurang Memahami </t>
  </si>
  <si>
    <t>Tidak Memahami dan Melaksanakan</t>
  </si>
  <si>
    <t xml:space="preserve">Pemahaman Baik </t>
  </si>
  <si>
    <t xml:space="preserve">Pemahaman Kurang Baik </t>
  </si>
  <si>
    <t xml:space="preserve">Tidak Memahami </t>
  </si>
  <si>
    <t xml:space="preserve">Pemahaman Kurang </t>
  </si>
  <si>
    <t>Hadir 100%</t>
  </si>
  <si>
    <t>Hadir 100% ada terlambat</t>
  </si>
  <si>
    <t>Hadir &lt; 80 %</t>
  </si>
  <si>
    <t>Hadir &lt;80 % ada terlambat</t>
  </si>
  <si>
    <t xml:space="preserve">Hadir 80-90 % </t>
  </si>
  <si>
    <t xml:space="preserve">Hadir &gt; 90 % </t>
  </si>
  <si>
    <t>Hadir &gt;90 % ada terlambat</t>
  </si>
  <si>
    <t>Hadir 80-90 % ada terlambat</t>
  </si>
  <si>
    <t xml:space="preserve">Hadir &gt;=90 % </t>
  </si>
  <si>
    <t>Hadir &gt; 90 % ada terlambat</t>
  </si>
  <si>
    <t>Nama</t>
  </si>
  <si>
    <t>Divisi</t>
  </si>
  <si>
    <t>KRITERI PENILAIAN</t>
  </si>
  <si>
    <t>Pelaksanaan 5R(Ringkas, Rapi, Resik, Rawat, Rajin)</t>
  </si>
  <si>
    <t>Dokumentasi/Pencatatan Laporan/Penglolaan Data</t>
  </si>
  <si>
    <t>Pemahaman SOP/SPK</t>
  </si>
  <si>
    <t>Pemahaman Tools / Software / Alat Bantu Kerja</t>
  </si>
  <si>
    <t>kehadiran</t>
  </si>
  <si>
    <t>B</t>
  </si>
  <si>
    <t>C</t>
  </si>
  <si>
    <t>MUNGKI SATRIO</t>
  </si>
  <si>
    <t>AFDAN SAKURO</t>
  </si>
  <si>
    <t>A</t>
  </si>
  <si>
    <t>Tidak Ada Pelanggaran</t>
  </si>
  <si>
    <t xml:space="preserve">Sedikit Pelanggaran </t>
  </si>
  <si>
    <t>Banyak Pelanggaran</t>
  </si>
  <si>
    <t>Kedisipilinan</t>
  </si>
  <si>
    <t>Total</t>
  </si>
  <si>
    <t>KET GRADE</t>
  </si>
  <si>
    <t>D</t>
  </si>
  <si>
    <t>BONUS</t>
  </si>
  <si>
    <t>HASIL PERHITUNGAN ALTERNATIF</t>
  </si>
  <si>
    <t>DATA PENILAIAN ALTERNATIF</t>
  </si>
  <si>
    <t xml:space="preserve">BESARAN BONUS </t>
  </si>
  <si>
    <t>25% dari pembagaian omset per divisi</t>
  </si>
  <si>
    <t>50% dari pembagaian omset per divisi</t>
  </si>
  <si>
    <t>75% dari pembagaian omset per divisi</t>
  </si>
  <si>
    <t>100% dari pembagaian omset per divisi</t>
  </si>
  <si>
    <t>NILAI KRITERIA</t>
  </si>
  <si>
    <t>PRODUCTIVITY</t>
  </si>
  <si>
    <t>KOMUNIKASI &amp;KERJASAMA</t>
  </si>
  <si>
    <t>PELAKSANAAN 5R</t>
  </si>
  <si>
    <t>DOKUMENTASI</t>
  </si>
  <si>
    <t>PEMAHAMAN DAN PELAKSANAAN K3</t>
  </si>
  <si>
    <t>PEMAHAMAN SOP</t>
  </si>
  <si>
    <t>PEMAHAMAN TOOLS</t>
  </si>
  <si>
    <t>KEHADIRAN</t>
  </si>
  <si>
    <t>KEDISIPILINAN</t>
  </si>
  <si>
    <t>INISIATIF</t>
  </si>
  <si>
    <t>Tahap 3</t>
  </si>
  <si>
    <t>Hadir &lt; 80 %Aada terlambat</t>
  </si>
  <si>
    <t>Nilai dibawah 200</t>
  </si>
  <si>
    <t>Nilai lebih dari sama dengan 200 dan kurang dari 300</t>
  </si>
  <si>
    <t>Hadir &gt;=90 % ada terlambat</t>
  </si>
  <si>
    <t>BLOWER</t>
  </si>
  <si>
    <t>SIGIT WIDARTO</t>
  </si>
  <si>
    <t>ANDI FAISAL NUGROHO</t>
  </si>
  <si>
    <t>WINAGIL CATUR ARIF</t>
  </si>
  <si>
    <t>M. RIDHO ADHE</t>
  </si>
  <si>
    <t>ABDUS SALAM</t>
  </si>
  <si>
    <t>GUFRON ARIF</t>
  </si>
  <si>
    <t>RAHMAT HIDAYAT</t>
  </si>
  <si>
    <t>FERDIANSYAH WICAKSONO</t>
  </si>
  <si>
    <t>SOFYAN ARIF</t>
  </si>
  <si>
    <t>VICKY CANDRA LESMANA</t>
  </si>
  <si>
    <t>AJI WAHYUDI</t>
  </si>
  <si>
    <t>No.</t>
  </si>
  <si>
    <t>kedisiplinan</t>
  </si>
  <si>
    <t>Produktivitas kerja 80-90%</t>
  </si>
  <si>
    <t>Baik</t>
  </si>
  <si>
    <t>Kurang melaksanakan</t>
  </si>
  <si>
    <t>Pemahaman Baik</t>
  </si>
  <si>
    <t>Hadir &gt;=90%</t>
  </si>
  <si>
    <t>Sedikit Pelanggaran</t>
  </si>
  <si>
    <t>Bagus</t>
  </si>
  <si>
    <t>Produktivitas kerja 60-79%</t>
  </si>
  <si>
    <t>Kurang Melaksanakan</t>
  </si>
  <si>
    <t>Kurang Lengkap</t>
  </si>
  <si>
    <t>Hadir 80-90%</t>
  </si>
  <si>
    <t>Hadir &lt;80%</t>
  </si>
  <si>
    <t>Produktivitas kerja &lt; 60%</t>
  </si>
  <si>
    <t>Nilai lebih dari sama dengan 300 dan kurang dari 375</t>
  </si>
  <si>
    <t>Nilai lebih dari sama dengan 375</t>
  </si>
  <si>
    <t>Produktivitas kerja  &gt;90%</t>
  </si>
  <si>
    <t>Produktivitas kerja 80 - 90 %</t>
  </si>
  <si>
    <t>Produktivitas kerjai 60 - 79%</t>
  </si>
  <si>
    <t>Produktivitas kerja &lt; 60 %</t>
  </si>
  <si>
    <t xml:space="preserve">Nilai </t>
  </si>
  <si>
    <t>Hasil Konsistensi</t>
  </si>
  <si>
    <t>Penilaian Alternatif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</si>
</sst>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Tw Cen MT"/>
      <family val="2"/>
    </font>
    <font>
      <sz val="10"/>
      <name val="Arial"/>
      <family val="2"/>
    </font>
    <font>
      <sz val="10"/>
      <name val="Tw Cen MT"/>
      <family val="2"/>
    </font>
    <font>
      <sz val="11"/>
      <name val="Tw Cen MT"/>
      <family val="2"/>
    </font>
    <font>
      <b/>
      <sz val="11"/>
      <name val="Tw Cen MT"/>
      <family val="2"/>
    </font>
    <font>
      <b/>
      <sz val="8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6" fillId="0" borderId="0"/>
    <xf numFmtId="0" fontId="5" fillId="0" borderId="0"/>
    <xf numFmtId="0" fontId="8" fillId="0" borderId="0"/>
    <xf numFmtId="0" fontId="8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1" fillId="0" borderId="1" xfId="1" applyAlignment="1">
      <alignment horizontal="left"/>
    </xf>
    <xf numFmtId="0" fontId="2" fillId="0" borderId="0" xfId="0" applyFont="1"/>
    <xf numFmtId="49" fontId="0" fillId="0" borderId="0" xfId="0" applyNumberFormat="1" applyFont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0" fillId="3" borderId="2" xfId="0" applyNumberFormat="1" applyFont="1" applyFill="1" applyBorder="1"/>
    <xf numFmtId="0" fontId="0" fillId="3" borderId="3" xfId="0" applyNumberFormat="1" applyFont="1" applyFill="1" applyBorder="1" applyAlignment="1">
      <alignment horizontal="center"/>
    </xf>
    <xf numFmtId="0" fontId="0" fillId="3" borderId="4" xfId="0" applyNumberFormat="1" applyFont="1" applyFill="1" applyBorder="1" applyAlignment="1">
      <alignment horizontal="center"/>
    </xf>
    <xf numFmtId="49" fontId="0" fillId="0" borderId="2" xfId="0" applyNumberFormat="1" applyFont="1" applyBorder="1"/>
    <xf numFmtId="0" fontId="0" fillId="0" borderId="3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2" fillId="0" borderId="5" xfId="0" applyFont="1" applyBorder="1" applyAlignment="1">
      <alignment horizontal="right"/>
    </xf>
    <xf numFmtId="49" fontId="0" fillId="0" borderId="5" xfId="0" applyNumberFormat="1" applyFill="1" applyBorder="1"/>
    <xf numFmtId="49" fontId="0" fillId="0" borderId="5" xfId="0" applyNumberFormat="1" applyBorder="1"/>
    <xf numFmtId="0" fontId="0" fillId="0" borderId="5" xfId="0" applyNumberFormat="1" applyBorder="1" applyAlignment="1">
      <alignment horizontal="righ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NumberFormat="1"/>
    <xf numFmtId="0" fontId="7" fillId="0" borderId="7" xfId="3" applyFont="1" applyBorder="1" applyAlignment="1">
      <alignment horizontal="left" vertical="center"/>
    </xf>
    <xf numFmtId="0" fontId="9" fillId="0" borderId="8" xfId="4" applyFont="1" applyBorder="1" applyAlignment="1" applyProtection="1">
      <alignment vertical="center"/>
      <protection hidden="1"/>
    </xf>
    <xf numFmtId="0" fontId="6" fillId="0" borderId="5" xfId="2" applyBorder="1"/>
    <xf numFmtId="49" fontId="0" fillId="3" borderId="5" xfId="0" applyNumberFormat="1" applyFont="1" applyFill="1" applyBorder="1"/>
    <xf numFmtId="49" fontId="0" fillId="0" borderId="5" xfId="0" applyNumberFormat="1" applyFont="1" applyBorder="1"/>
    <xf numFmtId="0" fontId="0" fillId="0" borderId="5" xfId="0" applyBorder="1" applyAlignment="1">
      <alignment wrapText="1"/>
    </xf>
    <xf numFmtId="49" fontId="0" fillId="0" borderId="5" xfId="0" applyNumberFormat="1" applyFont="1" applyBorder="1" applyAlignment="1">
      <alignment wrapText="1"/>
    </xf>
    <xf numFmtId="49" fontId="0" fillId="3" borderId="5" xfId="0" applyNumberFormat="1" applyFont="1" applyFill="1" applyBorder="1" applyAlignment="1">
      <alignment wrapText="1"/>
    </xf>
    <xf numFmtId="0" fontId="9" fillId="0" borderId="5" xfId="4" applyFont="1" applyBorder="1" applyAlignment="1" applyProtection="1">
      <alignment vertical="center"/>
      <protection hidden="1"/>
    </xf>
    <xf numFmtId="0" fontId="7" fillId="0" borderId="5" xfId="3" applyFont="1" applyFill="1" applyBorder="1" applyAlignment="1">
      <alignment horizontal="left" vertical="center"/>
    </xf>
    <xf numFmtId="0" fontId="10" fillId="0" borderId="5" xfId="4" applyFont="1" applyBorder="1" applyAlignment="1">
      <alignment horizontal="center" vertical="center"/>
    </xf>
    <xf numFmtId="0" fontId="0" fillId="0" borderId="5" xfId="0" applyNumberFormat="1" applyBorder="1" applyAlignment="1">
      <alignment wrapText="1"/>
    </xf>
    <xf numFmtId="0" fontId="0" fillId="0" borderId="5" xfId="0" applyNumberFormat="1" applyBorder="1"/>
    <xf numFmtId="0" fontId="11" fillId="0" borderId="5" xfId="4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12" fillId="0" borderId="5" xfId="4" applyFont="1" applyBorder="1" applyAlignment="1">
      <alignment horizontal="center" vertical="center"/>
    </xf>
    <xf numFmtId="0" fontId="6" fillId="0" borderId="7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9" xfId="2" applyBorder="1" applyAlignment="1">
      <alignment horizontal="center"/>
    </xf>
    <xf numFmtId="0" fontId="6" fillId="4" borderId="5" xfId="2" applyFill="1" applyBorder="1"/>
    <xf numFmtId="0" fontId="0" fillId="4" borderId="5" xfId="0" applyFill="1" applyBorder="1"/>
    <xf numFmtId="0" fontId="6" fillId="0" borderId="7" xfId="2" applyBorder="1"/>
    <xf numFmtId="2" fontId="0" fillId="0" borderId="5" xfId="0" applyNumberFormat="1" applyBorder="1"/>
    <xf numFmtId="0" fontId="2" fillId="5" borderId="5" xfId="0" applyFont="1" applyFill="1" applyBorder="1" applyAlignment="1">
      <alignment horizontal="center"/>
    </xf>
    <xf numFmtId="0" fontId="0" fillId="5" borderId="0" xfId="0" applyFill="1"/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5" xfId="3" applyFont="1" applyBorder="1" applyAlignment="1">
      <alignment horizontal="left" vertical="center"/>
    </xf>
    <xf numFmtId="49" fontId="4" fillId="2" borderId="2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7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5" xfId="2" applyBorder="1" applyAlignment="1">
      <alignment horizontal="center"/>
    </xf>
    <xf numFmtId="0" fontId="6" fillId="0" borderId="6" xfId="2" applyBorder="1" applyAlignment="1">
      <alignment horizontal="center"/>
    </xf>
    <xf numFmtId="0" fontId="6" fillId="0" borderId="10" xfId="2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6">
    <cellStyle name="Heading 1" xfId="1" builtinId="16"/>
    <cellStyle name="Normal" xfId="0" builtinId="0"/>
    <cellStyle name="Normal 2" xfId="2"/>
    <cellStyle name="Normal 2 2" xfId="5"/>
    <cellStyle name="Normal 3" xfId="4"/>
    <cellStyle name="Normal 3 2 2 2" xfId="3"/>
  </cellStyles>
  <dxfs count="15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237539</xdr:colOff>
      <xdr:row>5</xdr:row>
      <xdr:rowOff>0</xdr:rowOff>
    </xdr:from>
    <xdr:to>
      <xdr:col>3</xdr:col>
      <xdr:colOff>17145</xdr:colOff>
      <xdr:row>15</xdr:row>
      <xdr:rowOff>74295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139" y="952500"/>
          <a:ext cx="3599131" cy="1884045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47625</xdr:rowOff>
    </xdr:from>
    <xdr:to>
      <xdr:col>1</xdr:col>
      <xdr:colOff>762000</xdr:colOff>
      <xdr:row>17</xdr:row>
      <xdr:rowOff>161925</xdr:rowOff>
    </xdr:to>
    <xdr:sp macro="" textlink="">
      <xdr:nvSpPr>
        <xdr:cNvPr id="3" name="Rectangle 2"/>
        <xdr:cNvSpPr/>
      </xdr:nvSpPr>
      <xdr:spPr>
        <a:xfrm>
          <a:off x="638175" y="3171825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</xdr:colOff>
      <xdr:row>34</xdr:row>
      <xdr:rowOff>38100</xdr:rowOff>
    </xdr:from>
    <xdr:to>
      <xdr:col>1</xdr:col>
      <xdr:colOff>762000</xdr:colOff>
      <xdr:row>34</xdr:row>
      <xdr:rowOff>152400</xdr:rowOff>
    </xdr:to>
    <xdr:sp macro="" textlink="">
      <xdr:nvSpPr>
        <xdr:cNvPr id="5" name="Rectangle 4"/>
        <xdr:cNvSpPr/>
      </xdr:nvSpPr>
      <xdr:spPr>
        <a:xfrm>
          <a:off x="638175" y="316230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647700</xdr:colOff>
      <xdr:row>47</xdr:row>
      <xdr:rowOff>9525</xdr:rowOff>
    </xdr:from>
    <xdr:to>
      <xdr:col>6</xdr:col>
      <xdr:colOff>1013533</xdr:colOff>
      <xdr:row>58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8562975"/>
          <a:ext cx="3299533" cy="21431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4" name="Rectangle 3"/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1584960</xdr:colOff>
      <xdr:row>33</xdr:row>
      <xdr:rowOff>38100</xdr:rowOff>
    </xdr:from>
    <xdr:to>
      <xdr:col>7</xdr:col>
      <xdr:colOff>897328</xdr:colOff>
      <xdr:row>48</xdr:row>
      <xdr:rowOff>43815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6073140"/>
          <a:ext cx="3297628" cy="2832735"/>
        </a:xfrm>
        <a:prstGeom prst="rect">
          <a:avLst/>
        </a:prstGeom>
      </xdr:spPr>
    </xdr:pic>
    <xdr:clientData/>
  </xdr:twoCellAnchor>
  <xdr:twoCellAnchor editAs="oneCell">
    <xdr:from>
      <xdr:col>1</xdr:col>
      <xdr:colOff>37514</xdr:colOff>
      <xdr:row>4</xdr:row>
      <xdr:rowOff>114300</xdr:rowOff>
    </xdr:from>
    <xdr:to>
      <xdr:col>3</xdr:col>
      <xdr:colOff>440055</xdr:colOff>
      <xdr:row>15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7" name="Rectangle 6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8" name="Rectangle 7"/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6</xdr:col>
      <xdr:colOff>1110688</xdr:colOff>
      <xdr:row>47</xdr:row>
      <xdr:rowOff>165735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6096000"/>
          <a:ext cx="3297628" cy="2748915"/>
        </a:xfrm>
        <a:prstGeom prst="rect">
          <a:avLst/>
        </a:prstGeom>
      </xdr:spPr>
    </xdr:pic>
    <xdr:clientData/>
  </xdr:twoCellAnchor>
  <xdr:twoCellAnchor>
    <xdr:from>
      <xdr:col>0</xdr:col>
      <xdr:colOff>592455</xdr:colOff>
      <xdr:row>57</xdr:row>
      <xdr:rowOff>0</xdr:rowOff>
    </xdr:from>
    <xdr:to>
      <xdr:col>2</xdr:col>
      <xdr:colOff>0</xdr:colOff>
      <xdr:row>57</xdr:row>
      <xdr:rowOff>175260</xdr:rowOff>
    </xdr:to>
    <xdr:sp macro="" textlink="">
      <xdr:nvSpPr>
        <xdr:cNvPr id="10" name="Rectangle 9"/>
        <xdr:cNvSpPr/>
      </xdr:nvSpPr>
      <xdr:spPr>
        <a:xfrm>
          <a:off x="592455" y="493776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57</xdr:row>
      <xdr:rowOff>0</xdr:rowOff>
    </xdr:from>
    <xdr:to>
      <xdr:col>2</xdr:col>
      <xdr:colOff>0</xdr:colOff>
      <xdr:row>57</xdr:row>
      <xdr:rowOff>175260</xdr:rowOff>
    </xdr:to>
    <xdr:sp macro="" textlink="">
      <xdr:nvSpPr>
        <xdr:cNvPr id="11" name="Rectangle 10"/>
        <xdr:cNvSpPr/>
      </xdr:nvSpPr>
      <xdr:spPr>
        <a:xfrm>
          <a:off x="592455" y="493776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531495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135064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1141168</xdr:colOff>
      <xdr:row>48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6461760"/>
          <a:ext cx="3297628" cy="2497455"/>
        </a:xfrm>
        <a:prstGeom prst="rect">
          <a:avLst/>
        </a:prstGeom>
      </xdr:spPr>
    </xdr:pic>
    <xdr:clientData/>
  </xdr:twoCellAnchor>
  <xdr:twoCellAnchor>
    <xdr:from>
      <xdr:col>0</xdr:col>
      <xdr:colOff>607695</xdr:colOff>
      <xdr:row>51</xdr:row>
      <xdr:rowOff>7620</xdr:rowOff>
    </xdr:from>
    <xdr:to>
      <xdr:col>2</xdr:col>
      <xdr:colOff>15240</xdr:colOff>
      <xdr:row>52</xdr:row>
      <xdr:rowOff>0</xdr:rowOff>
    </xdr:to>
    <xdr:sp macro="" textlink="">
      <xdr:nvSpPr>
        <xdr:cNvPr id="6" name="Rectangle 5"/>
        <xdr:cNvSpPr/>
      </xdr:nvSpPr>
      <xdr:spPr>
        <a:xfrm>
          <a:off x="607695" y="5128260"/>
          <a:ext cx="1320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51</xdr:row>
      <xdr:rowOff>7620</xdr:rowOff>
    </xdr:from>
    <xdr:to>
      <xdr:col>2</xdr:col>
      <xdr:colOff>15240</xdr:colOff>
      <xdr:row>52</xdr:row>
      <xdr:rowOff>0</xdr:rowOff>
    </xdr:to>
    <xdr:sp macro="" textlink="">
      <xdr:nvSpPr>
        <xdr:cNvPr id="7" name="Rectangle 6"/>
        <xdr:cNvSpPr/>
      </xdr:nvSpPr>
      <xdr:spPr>
        <a:xfrm>
          <a:off x="607695" y="9418320"/>
          <a:ext cx="1320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150495</xdr:colOff>
      <xdr:row>15</xdr:row>
      <xdr:rowOff>7620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9154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11" name="Rectangle 10"/>
        <xdr:cNvSpPr/>
      </xdr:nvSpPr>
      <xdr:spPr>
        <a:xfrm>
          <a:off x="638175" y="319278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</xdr:colOff>
      <xdr:row>28</xdr:row>
      <xdr:rowOff>0</xdr:rowOff>
    </xdr:from>
    <xdr:to>
      <xdr:col>2</xdr:col>
      <xdr:colOff>22860</xdr:colOff>
      <xdr:row>28</xdr:row>
      <xdr:rowOff>175260</xdr:rowOff>
    </xdr:to>
    <xdr:sp macro="" textlink="">
      <xdr:nvSpPr>
        <xdr:cNvPr id="12" name="Rectangle 11"/>
        <xdr:cNvSpPr/>
      </xdr:nvSpPr>
      <xdr:spPr>
        <a:xfrm>
          <a:off x="615315" y="512064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371548</xdr:colOff>
      <xdr:row>47</xdr:row>
      <xdr:rowOff>28575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6461760"/>
          <a:ext cx="3297628" cy="2245995"/>
        </a:xfrm>
        <a:prstGeom prst="rect">
          <a:avLst/>
        </a:prstGeom>
      </xdr:spPr>
    </xdr:pic>
    <xdr:clientData/>
  </xdr:twoCellAnchor>
  <xdr:twoCellAnchor>
    <xdr:from>
      <xdr:col>1</xdr:col>
      <xdr:colOff>5715</xdr:colOff>
      <xdr:row>50</xdr:row>
      <xdr:rowOff>0</xdr:rowOff>
    </xdr:from>
    <xdr:to>
      <xdr:col>2</xdr:col>
      <xdr:colOff>0</xdr:colOff>
      <xdr:row>51</xdr:row>
      <xdr:rowOff>15240</xdr:rowOff>
    </xdr:to>
    <xdr:sp macro="" textlink="">
      <xdr:nvSpPr>
        <xdr:cNvPr id="8" name="Rectangle 7"/>
        <xdr:cNvSpPr/>
      </xdr:nvSpPr>
      <xdr:spPr>
        <a:xfrm>
          <a:off x="615315" y="9227820"/>
          <a:ext cx="1678305" cy="1981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196215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249628</xdr:colOff>
      <xdr:row>47</xdr:row>
      <xdr:rowOff>112395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6461760"/>
          <a:ext cx="3297628" cy="2245995"/>
        </a:xfrm>
        <a:prstGeom prst="rect">
          <a:avLst/>
        </a:prstGeom>
      </xdr:spPr>
    </xdr:pic>
    <xdr:clientData/>
  </xdr:twoCellAnchor>
  <xdr:twoCellAnchor>
    <xdr:from>
      <xdr:col>0</xdr:col>
      <xdr:colOff>607695</xdr:colOff>
      <xdr:row>65</xdr:row>
      <xdr:rowOff>7620</xdr:rowOff>
    </xdr:from>
    <xdr:to>
      <xdr:col>2</xdr:col>
      <xdr:colOff>15240</xdr:colOff>
      <xdr:row>66</xdr:row>
      <xdr:rowOff>0</xdr:rowOff>
    </xdr:to>
    <xdr:sp macro="" textlink="">
      <xdr:nvSpPr>
        <xdr:cNvPr id="6" name="Rectangle 5"/>
        <xdr:cNvSpPr/>
      </xdr:nvSpPr>
      <xdr:spPr>
        <a:xfrm>
          <a:off x="607695" y="51282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1880235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4" name="Rectangle 3"/>
        <xdr:cNvSpPr/>
      </xdr:nvSpPr>
      <xdr:spPr>
        <a:xfrm>
          <a:off x="592455" y="49377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6</xdr:col>
      <xdr:colOff>737308</xdr:colOff>
      <xdr:row>46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6461760"/>
          <a:ext cx="3297628" cy="2497455"/>
        </a:xfrm>
        <a:prstGeom prst="rect">
          <a:avLst/>
        </a:prstGeom>
      </xdr:spPr>
    </xdr:pic>
    <xdr:clientData/>
  </xdr:twoCellAnchor>
  <xdr:twoCellAnchor>
    <xdr:from>
      <xdr:col>0</xdr:col>
      <xdr:colOff>592455</xdr:colOff>
      <xdr:row>50</xdr:row>
      <xdr:rowOff>0</xdr:rowOff>
    </xdr:from>
    <xdr:to>
      <xdr:col>2</xdr:col>
      <xdr:colOff>0</xdr:colOff>
      <xdr:row>50</xdr:row>
      <xdr:rowOff>175260</xdr:rowOff>
    </xdr:to>
    <xdr:sp macro="" textlink="">
      <xdr:nvSpPr>
        <xdr:cNvPr id="6" name="Rectangle 5"/>
        <xdr:cNvSpPr/>
      </xdr:nvSpPr>
      <xdr:spPr>
        <a:xfrm>
          <a:off x="592455" y="5029200"/>
          <a:ext cx="1778212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1590675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66748</xdr:colOff>
      <xdr:row>48</xdr:row>
      <xdr:rowOff>13335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6461760"/>
          <a:ext cx="3297628" cy="2329815"/>
        </a:xfrm>
        <a:prstGeom prst="rect">
          <a:avLst/>
        </a:prstGeom>
      </xdr:spPr>
    </xdr:pic>
    <xdr:clientData/>
  </xdr:twoCellAnchor>
  <xdr:twoCellAnchor>
    <xdr:from>
      <xdr:col>0</xdr:col>
      <xdr:colOff>607695</xdr:colOff>
      <xdr:row>58</xdr:row>
      <xdr:rowOff>7620</xdr:rowOff>
    </xdr:from>
    <xdr:to>
      <xdr:col>2</xdr:col>
      <xdr:colOff>15240</xdr:colOff>
      <xdr:row>59</xdr:row>
      <xdr:rowOff>0</xdr:rowOff>
    </xdr:to>
    <xdr:sp macro="" textlink="">
      <xdr:nvSpPr>
        <xdr:cNvPr id="6" name="Rectangle 5"/>
        <xdr:cNvSpPr/>
      </xdr:nvSpPr>
      <xdr:spPr>
        <a:xfrm>
          <a:off x="607695" y="5128260"/>
          <a:ext cx="20669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1171575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4" name="Rectangle 3"/>
        <xdr:cNvSpPr/>
      </xdr:nvSpPr>
      <xdr:spPr>
        <a:xfrm>
          <a:off x="592455" y="49377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6</xdr:col>
      <xdr:colOff>219148</xdr:colOff>
      <xdr:row>47</xdr:row>
      <xdr:rowOff>81915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6096000"/>
          <a:ext cx="3297628" cy="2581275"/>
        </a:xfrm>
        <a:prstGeom prst="rect">
          <a:avLst/>
        </a:prstGeom>
      </xdr:spPr>
    </xdr:pic>
    <xdr:clientData/>
  </xdr:twoCellAnchor>
  <xdr:twoCellAnchor>
    <xdr:from>
      <xdr:col>0</xdr:col>
      <xdr:colOff>592455</xdr:colOff>
      <xdr:row>55</xdr:row>
      <xdr:rowOff>0</xdr:rowOff>
    </xdr:from>
    <xdr:to>
      <xdr:col>2</xdr:col>
      <xdr:colOff>0</xdr:colOff>
      <xdr:row>55</xdr:row>
      <xdr:rowOff>175260</xdr:rowOff>
    </xdr:to>
    <xdr:sp macro="" textlink="">
      <xdr:nvSpPr>
        <xdr:cNvPr id="6" name="Rectangle 5"/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89535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20669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5</xdr:col>
      <xdr:colOff>1331668</xdr:colOff>
      <xdr:row>48</xdr:row>
      <xdr:rowOff>97155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6461760"/>
          <a:ext cx="3297628" cy="2413635"/>
        </a:xfrm>
        <a:prstGeom prst="rect">
          <a:avLst/>
        </a:prstGeom>
      </xdr:spPr>
    </xdr:pic>
    <xdr:clientData/>
  </xdr:twoCellAnchor>
  <xdr:twoCellAnchor>
    <xdr:from>
      <xdr:col>0</xdr:col>
      <xdr:colOff>607695</xdr:colOff>
      <xdr:row>56</xdr:row>
      <xdr:rowOff>7620</xdr:rowOff>
    </xdr:from>
    <xdr:to>
      <xdr:col>2</xdr:col>
      <xdr:colOff>15240</xdr:colOff>
      <xdr:row>57</xdr:row>
      <xdr:rowOff>0</xdr:rowOff>
    </xdr:to>
    <xdr:sp macro="" textlink="">
      <xdr:nvSpPr>
        <xdr:cNvPr id="6" name="Rectangle 5"/>
        <xdr:cNvSpPr/>
      </xdr:nvSpPr>
      <xdr:spPr>
        <a:xfrm>
          <a:off x="607695" y="5128260"/>
          <a:ext cx="135064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1171575</xdr:colOff>
      <xdr:row>15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7" name="Rectangle 6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8" name="Rectangle 7"/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7</xdr:col>
      <xdr:colOff>188668</xdr:colOff>
      <xdr:row>47</xdr:row>
      <xdr:rowOff>165735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7620" y="6096000"/>
          <a:ext cx="3297628" cy="2665095"/>
        </a:xfrm>
        <a:prstGeom prst="rect">
          <a:avLst/>
        </a:prstGeom>
      </xdr:spPr>
    </xdr:pic>
    <xdr:clientData/>
  </xdr:twoCellAnchor>
  <xdr:twoCellAnchor>
    <xdr:from>
      <xdr:col>0</xdr:col>
      <xdr:colOff>592455</xdr:colOff>
      <xdr:row>61</xdr:row>
      <xdr:rowOff>0</xdr:rowOff>
    </xdr:from>
    <xdr:to>
      <xdr:col>2</xdr:col>
      <xdr:colOff>0</xdr:colOff>
      <xdr:row>61</xdr:row>
      <xdr:rowOff>175260</xdr:rowOff>
    </xdr:to>
    <xdr:sp macro="" textlink="">
      <xdr:nvSpPr>
        <xdr:cNvPr id="10" name="Rectangle 9"/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5</xdr:row>
      <xdr:rowOff>114300</xdr:rowOff>
    </xdr:from>
    <xdr:to>
      <xdr:col>3</xdr:col>
      <xdr:colOff>43815</xdr:colOff>
      <xdr:row>16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9154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18</xdr:row>
      <xdr:rowOff>38100</xdr:rowOff>
    </xdr:from>
    <xdr:to>
      <xdr:col>1</xdr:col>
      <xdr:colOff>762000</xdr:colOff>
      <xdr:row>18</xdr:row>
      <xdr:rowOff>152400</xdr:rowOff>
    </xdr:to>
    <xdr:sp macro="" textlink="">
      <xdr:nvSpPr>
        <xdr:cNvPr id="7" name="Rectangle 6"/>
        <xdr:cNvSpPr/>
      </xdr:nvSpPr>
      <xdr:spPr>
        <a:xfrm>
          <a:off x="638175" y="319278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</xdr:colOff>
      <xdr:row>35</xdr:row>
      <xdr:rowOff>38100</xdr:rowOff>
    </xdr:from>
    <xdr:to>
      <xdr:col>1</xdr:col>
      <xdr:colOff>762000</xdr:colOff>
      <xdr:row>35</xdr:row>
      <xdr:rowOff>152400</xdr:rowOff>
    </xdr:to>
    <xdr:sp macro="" textlink="">
      <xdr:nvSpPr>
        <xdr:cNvPr id="8" name="Rectangle 7"/>
        <xdr:cNvSpPr/>
      </xdr:nvSpPr>
      <xdr:spPr>
        <a:xfrm>
          <a:off x="638175" y="630174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647700</xdr:colOff>
      <xdr:row>46</xdr:row>
      <xdr:rowOff>9525</xdr:rowOff>
    </xdr:from>
    <xdr:to>
      <xdr:col>6</xdr:col>
      <xdr:colOff>851608</xdr:colOff>
      <xdr:row>57</xdr:row>
      <xdr:rowOff>160020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0320" y="8650605"/>
          <a:ext cx="3297628" cy="2162175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62</xdr:row>
      <xdr:rowOff>38100</xdr:rowOff>
    </xdr:from>
    <xdr:to>
      <xdr:col>1</xdr:col>
      <xdr:colOff>762000</xdr:colOff>
      <xdr:row>62</xdr:row>
      <xdr:rowOff>152400</xdr:rowOff>
    </xdr:to>
    <xdr:sp macro="" textlink="">
      <xdr:nvSpPr>
        <xdr:cNvPr id="10" name="Rectangle 9"/>
        <xdr:cNvSpPr/>
      </xdr:nvSpPr>
      <xdr:spPr>
        <a:xfrm>
          <a:off x="638175" y="651510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4" name="Table4" displayName="Table4" ref="B18:L34" totalsRowShown="0" headerRowDxfId="150" dataDxfId="149">
  <autoFilter ref="B18:L3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olumn1" dataDxfId="148"/>
    <tableColumn id="2" name="Productivity" dataDxfId="147"/>
    <tableColumn id="3" name="Komunikasi dan Kerjasama" dataDxfId="146"/>
    <tableColumn id="4" name="Pelaksanaan 5R" dataDxfId="145"/>
    <tableColumn id="5" name="Dokumentasi" dataDxfId="144"/>
    <tableColumn id="6" name="Pemahaman dan Pelaksanaan K3" dataDxfId="143"/>
    <tableColumn id="7" name="Pemahaman SOP" dataDxfId="142"/>
    <tableColumn id="8" name="Pemahaman Tools" dataDxfId="141"/>
    <tableColumn id="9" name="Kehadiran" dataDxfId="140"/>
    <tableColumn id="10" name="Kedisiplinan" dataDxfId="139"/>
    <tableColumn id="11" name="Inisiatif" dataDxfId="1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1114161822" displayName="Table1114161822" ref="F28:G32" totalsRowShown="0" headerRowDxfId="93" dataDxfId="92">
  <autoFilter ref="F28:G32"/>
  <tableColumns count="2">
    <tableColumn id="2" name="JUMLAH" dataDxfId="91">
      <calculatedColumnFormula>SUM(E35:L35)</calculatedColumnFormula>
    </tableColumn>
    <tableColumn id="3" name="PRIORITAS" dataDxfId="90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9" displayName="Table9" ref="C51:D54" totalsRowShown="0">
  <autoFilter ref="C51:D54"/>
  <tableColumns count="2">
    <tableColumn id="1" name="JUMLAH"/>
    <tableColumn id="2" name="PRIORIT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4" name="Table481315" displayName="Table481315" ref="B18:F28" totalsRowShown="0" headerRowDxfId="89" dataDxfId="88">
  <autoFilter ref="B18:F28"/>
  <tableColumns count="5">
    <tableColumn id="1" name="Column1" dataDxfId="87"/>
    <tableColumn id="2" name="Sangat Lengkap dan sesuai" dataDxfId="86"/>
    <tableColumn id="3" name="Lengkap" dataDxfId="85"/>
    <tableColumn id="4" name="Kurang Lengkap dan tidak sesuai" dataDxfId="84"/>
    <tableColumn id="5" name="Tidak Mampu" dataDxfId="8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111416" displayName="Table111416" ref="G29:H34" totalsRowShown="0" headerRowDxfId="82" dataDxfId="81">
  <autoFilter ref="G29:H34"/>
  <tableColumns count="2">
    <tableColumn id="2" name="JUMLAH" dataDxfId="80">
      <calculatedColumnFormula>SUM(E36:L36)</calculatedColumnFormula>
    </tableColumn>
    <tableColumn id="3" name="PRIORITAS" dataDxfId="79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10" displayName="Table10" ref="C59:D63" totalsRowShown="0">
  <autoFilter ref="C59:D63"/>
  <tableColumns count="2">
    <tableColumn id="1" name="JUMLAH"/>
    <tableColumn id="2" name="PRIORITA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2" name="Table481315172123" displayName="Table481315172123" ref="B18:E27" totalsRowShown="0" headerRowDxfId="78" dataDxfId="77">
  <autoFilter ref="B18:E27"/>
  <tableColumns count="4">
    <tableColumn id="1" name="Column1" dataDxfId="76"/>
    <tableColumn id="2" name="Paham dan Melaksanakan" dataDxfId="75"/>
    <tableColumn id="3" name="Kurang Memahami " dataDxfId="74"/>
    <tableColumn id="4" name="Tidak Memahami dan Melaksanakan" dataDxfId="7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3" name="Table111416182224" displayName="Table111416182224" ref="F28:G32" totalsRowShown="0" headerRowDxfId="72" dataDxfId="71">
  <autoFilter ref="F28:G32"/>
  <tableColumns count="2">
    <tableColumn id="2" name="JUMLAH" dataDxfId="70">
      <calculatedColumnFormula>SUM(E35:L35)</calculatedColumnFormula>
    </tableColumn>
    <tableColumn id="3" name="PRIORITAS" dataDxfId="69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4" name="Table24" displayName="Table24" ref="C56:D59" totalsRowShown="0">
  <autoFilter ref="C56:D59"/>
  <tableColumns count="2">
    <tableColumn id="1" name="JUMLAH"/>
    <tableColumn id="2" name="PRIORITA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16" name="Table48131517" displayName="Table48131517" ref="B18:F28" totalsRowShown="0" headerRowDxfId="68" dataDxfId="67">
  <autoFilter ref="B18:F28"/>
  <tableColumns count="5">
    <tableColumn id="1" name="Column1" dataDxfId="66"/>
    <tableColumn id="2" name="Sangat Mampu" dataDxfId="65"/>
    <tableColumn id="3" name="Mampu" dataDxfId="64"/>
    <tableColumn id="4" name="Kurang Mampu" dataDxfId="63"/>
    <tableColumn id="5" name="Tidak Mampu" dataDxfId="6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7" name="Table11141618" displayName="Table11141618" ref="G29:H34" totalsRowShown="0" headerRowDxfId="61" dataDxfId="60">
  <autoFilter ref="G29:H34"/>
  <tableColumns count="2">
    <tableColumn id="2" name="JUMLAH" dataDxfId="59">
      <calculatedColumnFormula>SUM(E36:L36)</calculatedColumnFormula>
    </tableColumn>
    <tableColumn id="3" name="PRIORITAS" dataDxfId="58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47" displayName="Table47" ref="B35:O46" totalsRowShown="0" headerRowDxfId="137" dataDxfId="136">
  <autoFilter ref="B35:O4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Column1" dataDxfId="135"/>
    <tableColumn id="2" name="Productivity" dataDxfId="134">
      <calculatedColumnFormula>C19/$C$29</calculatedColumnFormula>
    </tableColumn>
    <tableColumn id="3" name="Komunikasi dan Kerjasama" dataDxfId="133">
      <calculatedColumnFormula>D19/$D$29</calculatedColumnFormula>
    </tableColumn>
    <tableColumn id="4" name="Pelaksanaan 5R" dataDxfId="132">
      <calculatedColumnFormula>E19/$E$29</calculatedColumnFormula>
    </tableColumn>
    <tableColumn id="5" name="Dokumentasi" dataDxfId="131">
      <calculatedColumnFormula>F19/$F$29</calculatedColumnFormula>
    </tableColumn>
    <tableColumn id="6" name="Pemahaman dan Pelaksanaan K3" dataDxfId="130">
      <calculatedColumnFormula>G19/$G$29</calculatedColumnFormula>
    </tableColumn>
    <tableColumn id="7" name="Pemahaman SOP" dataDxfId="129">
      <calculatedColumnFormula>H19/$H$29</calculatedColumnFormula>
    </tableColumn>
    <tableColumn id="8" name="Pemahaman Tools" dataDxfId="128">
      <calculatedColumnFormula>I19/$I$29</calculatedColumnFormula>
    </tableColumn>
    <tableColumn id="9" name="Kehadiran" dataDxfId="127">
      <calculatedColumnFormula>J19/$J$29</calculatedColumnFormula>
    </tableColumn>
    <tableColumn id="10" name="Kedisiplinan" dataDxfId="126">
      <calculatedColumnFormula>K19/$K$29</calculatedColumnFormula>
    </tableColumn>
    <tableColumn id="11" name="Inisiatif" dataDxfId="125">
      <calculatedColumnFormula>L19/$L$29</calculatedColumnFormula>
    </tableColumn>
    <tableColumn id="12" name="JUMLAH" dataDxfId="124">
      <calculatedColumnFormula>SUM(C36:L36)</calculatedColumnFormula>
    </tableColumn>
    <tableColumn id="13" name="PRIORITAS" dataDxfId="123">
      <calculatedColumnFormula>Table47[[#This Row],[JUMLAH]]/10</calculatedColumnFormula>
    </tableColumn>
    <tableColumn id="14" name="EIGEN VALUE" dataDxfId="122">
      <calculatedColumnFormula>$N36*D28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Table25" displayName="Table25" ref="C57:D61" totalsRowShown="0">
  <autoFilter ref="C57:D61"/>
  <tableColumns count="2">
    <tableColumn id="1" name="JUMLAH"/>
    <tableColumn id="2" name="PRIORITA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6" name="Table48131517212327" displayName="Table48131517212327" ref="B18:E27" totalsRowShown="0" headerRowDxfId="57" dataDxfId="56">
  <autoFilter ref="B18:E27"/>
  <tableColumns count="4">
    <tableColumn id="1" name="Column1" dataDxfId="55"/>
    <tableColumn id="2" name="Pemahaman Baik " dataDxfId="54"/>
    <tableColumn id="3" name="Pemahaman Kurang " dataDxfId="53"/>
    <tableColumn id="4" name="Tidak Memahami " dataDxfId="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Table11141618222428" displayName="Table11141618222428" ref="F28:H32" totalsRowShown="0" headerRowDxfId="51" dataDxfId="50">
  <autoFilter ref="F28:H32"/>
  <tableColumns count="3">
    <tableColumn id="2" name="JUMLAH" dataDxfId="49">
      <calculatedColumnFormula>SUM(E35:L35)</calculatedColumnFormula>
    </tableColumn>
    <tableColumn id="3" name="PRIORITAS" dataDxfId="48">
      <calculatedColumnFormula>Table47[[#This Row],[JUMLAH]]/10</calculatedColumnFormula>
    </tableColumn>
    <tableColumn id="4" name="EIGEN VALUE" dataDxfId="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Table28" displayName="Table28" ref="C62:D65" totalsRowShown="0">
  <autoFilter ref="C62:D65"/>
  <tableColumns count="2">
    <tableColumn id="1" name="JUMLAH"/>
    <tableColumn id="2" name="PRIORITA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3" name="Table4734" displayName="Table4734" ref="B36:M45" totalsRowShown="0" headerRowDxfId="46" dataDxfId="45">
  <autoFilter ref="B36:M45"/>
  <tableColumns count="12">
    <tableColumn id="1" name="Column1" dataDxfId="44"/>
    <tableColumn id="2" name="Hadir 100%" dataDxfId="43">
      <calculatedColumnFormula>C20/$C$29</calculatedColumnFormula>
    </tableColumn>
    <tableColumn id="3" name="Hadir 100% ada terlambat" dataDxfId="42">
      <calculatedColumnFormula>D20/$D$28</calculatedColumnFormula>
    </tableColumn>
    <tableColumn id="4" name="Hadir &gt; 90 % " dataDxfId="41">
      <calculatedColumnFormula>E20/$E$28</calculatedColumnFormula>
    </tableColumn>
    <tableColumn id="5" name="Hadir &gt;90 % ada terlambat" dataDxfId="40">
      <calculatedColumnFormula>F20/$F$29</calculatedColumnFormula>
    </tableColumn>
    <tableColumn id="6" name="Hadir 80-90 % " dataDxfId="39">
      <calculatedColumnFormula>G20/$G$29</calculatedColumnFormula>
    </tableColumn>
    <tableColumn id="7" name="Hadir 80-90 % ada terlambat" dataDxfId="38">
      <calculatedColumnFormula>H20/$H$29</calculatedColumnFormula>
    </tableColumn>
    <tableColumn id="12" name="Hadir &lt; 80 %" dataDxfId="37"/>
    <tableColumn id="13" name="Hadir &lt; 80 %Aada terlambat" dataDxfId="36"/>
    <tableColumn id="8" name="JUMLAH" dataDxfId="35"/>
    <tableColumn id="9" name="PRIORITAS" dataDxfId="34"/>
    <tableColumn id="10" name="EIGEN VALUE" dataDxfId="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2" name="Table433" displayName="Table433" ref="B19:J35" totalsRowShown="0" headerRowDxfId="32" dataDxfId="31">
  <autoFilter ref="B19:J35"/>
  <tableColumns count="9">
    <tableColumn id="1" name="Column1" dataDxfId="30"/>
    <tableColumn id="2" name="Hadir 100%" dataDxfId="29"/>
    <tableColumn id="3" name="Hadir 100% ada terlambat" dataDxfId="28"/>
    <tableColumn id="4" name="Hadir &gt; 90 % " dataDxfId="27"/>
    <tableColumn id="5" name="Hadir &gt;90 % ada terlambat" dataDxfId="26"/>
    <tableColumn id="6" name="Hadir 80-90 % " dataDxfId="25"/>
    <tableColumn id="7" name="Hadir 80-90 % ada terlambat" dataDxfId="24"/>
    <tableColumn id="8" name="Hadir &lt; 80 %" dataDxfId="23"/>
    <tableColumn id="9" name="Hadir &lt;80 % ada terlambat" dataDxfId="2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9" name="Table29" displayName="Table29" ref="C63:D71" totalsRowShown="0">
  <autoFilter ref="C63:D71"/>
  <tableColumns count="2">
    <tableColumn id="1" name="JUMLAH"/>
    <tableColumn id="2" name="PRIORITA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1" name="Table481315172123272" displayName="Table481315172123272" ref="B18:E27" totalsRowShown="0" headerRowDxfId="21" dataDxfId="20">
  <autoFilter ref="B18:E27"/>
  <tableColumns count="4">
    <tableColumn id="1" name="Column1" dataDxfId="19"/>
    <tableColumn id="2" name="Tidak Ada Pelanggaran" dataDxfId="18"/>
    <tableColumn id="3" name="Sedikit Pelanggaran " dataDxfId="17"/>
    <tableColumn id="4" name="Banyak Pelanggaran" dataDxfId="16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" name="Table111416182224283" displayName="Table111416182224283" ref="F28:H32" totalsRowShown="0" headerRowDxfId="15" dataDxfId="14">
  <autoFilter ref="F28:H32"/>
  <tableColumns count="3">
    <tableColumn id="2" name="JUMLAH" dataDxfId="13">
      <calculatedColumnFormula>SUM(E35:L35)</calculatedColumnFormula>
    </tableColumn>
    <tableColumn id="3" name="PRIORITAS" dataDxfId="12">
      <calculatedColumnFormula>Table47[[#This Row],[JUMLAH]]/10</calculatedColumnFormula>
    </tableColumn>
    <tableColumn id="4" name="EIGEN VALUE" dataDxfId="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0" name="Table30" displayName="Table30" ref="C58:D61" totalsRowShown="0">
  <autoFilter ref="C58:D61"/>
  <tableColumns count="2">
    <tableColumn id="1" name="JUMLAH"/>
    <tableColumn id="2" name="PRIORITA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48" displayName="Table48" ref="B18:F28" totalsRowShown="0" headerRowDxfId="121" dataDxfId="120">
  <autoFilter ref="B18:F28"/>
  <tableColumns count="5">
    <tableColumn id="1" name="Column1" dataDxfId="119"/>
    <tableColumn id="2" name="Pekerjaan selesai &gt;90%" dataDxfId="118"/>
    <tableColumn id="3" name="Pekerjaan selsesai 80 - 90 %" dataDxfId="117"/>
    <tableColumn id="4" name="Pekerjaan selesai 60 - 79%" dataDxfId="116"/>
    <tableColumn id="5" name="Pekerjaan selesai &lt; 60 %" dataDxfId="11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18" name="Table4813151719" displayName="Table4813151719" ref="B18:F28" totalsRowShown="0" headerRowDxfId="10" dataDxfId="9">
  <autoFilter ref="B18:F28"/>
  <tableColumns count="5">
    <tableColumn id="1" name="Column1" dataDxfId="8"/>
    <tableColumn id="2" name="Sangat Bagus" dataDxfId="7"/>
    <tableColumn id="3" name="Bagus " dataDxfId="6"/>
    <tableColumn id="4" name="Kurang Bagus" dataDxfId="5"/>
    <tableColumn id="5" name="Tidak Mampu" dataDxfId="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9" name="Table1114161820" displayName="Table1114161820" ref="G29:H34" totalsRowShown="0" headerRowDxfId="3" dataDxfId="2">
  <autoFilter ref="G29:H34"/>
  <tableColumns count="2">
    <tableColumn id="2" name="JUMLAH" dataDxfId="1">
      <calculatedColumnFormula>SUM(E36:L36)</calculatedColumnFormula>
    </tableColumn>
    <tableColumn id="3" name="PRIORITAS" dataDxfId="0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1" name="Table31" displayName="Table31" ref="C52:D56" totalsRowShown="0">
  <autoFilter ref="C52:D56"/>
  <tableColumns count="2">
    <tableColumn id="1" name="JUMLAH"/>
    <tableColumn id="2" name="PRIORITA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G29:H34" totalsRowShown="0" headerRowDxfId="114" dataDxfId="113">
  <autoFilter ref="G29:H34"/>
  <tableColumns count="2">
    <tableColumn id="2" name="JUMLAH" dataDxfId="112">
      <calculatedColumnFormula>SUM(E36:L36)</calculatedColumnFormula>
    </tableColumn>
    <tableColumn id="3" name="PRIORITAS" dataDxfId="111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51:D55" totalsRowShown="0">
  <autoFilter ref="C51:D55"/>
  <tableColumns count="2">
    <tableColumn id="1" name="JUMLAH"/>
    <tableColumn id="2" name="PRIORITA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2" name="Table4813" displayName="Table4813" ref="B18:F28" totalsRowShown="0" headerRowDxfId="110" dataDxfId="109">
  <autoFilter ref="B18:F28"/>
  <tableColumns count="5">
    <tableColumn id="1" name="Column1" dataDxfId="108"/>
    <tableColumn id="2" name="Sangat Baik" dataDxfId="107"/>
    <tableColumn id="3" name="Baik " dataDxfId="106"/>
    <tableColumn id="4" name="Kurang" dataDxfId="105"/>
    <tableColumn id="5" name="Tidak Mampu" dataDxfId="1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114" displayName="Table1114" ref="G29:H34" totalsRowShown="0" headerRowDxfId="103" dataDxfId="102">
  <autoFilter ref="G29:H34"/>
  <tableColumns count="2">
    <tableColumn id="2" name="JUMLAH" dataDxfId="101">
      <calculatedColumnFormula>SUM(E36:L36)</calculatedColumnFormula>
    </tableColumn>
    <tableColumn id="3" name="PRIORITAS" dataDxfId="100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C66:D70" totalsRowShown="0">
  <autoFilter ref="C66:D70"/>
  <tableColumns count="2">
    <tableColumn id="1" name="JUMLAH"/>
    <tableColumn id="2" name="PRIORITA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0" name="Table4813151721" displayName="Table4813151721" ref="B18:E27" totalsRowShown="0" headerRowDxfId="99" dataDxfId="98">
  <autoFilter ref="B18:E27"/>
  <tableColumns count="4">
    <tableColumn id="1" name="Column1" dataDxfId="97"/>
    <tableColumn id="2" name="Melaksanakan" dataDxfId="96"/>
    <tableColumn id="3" name="Kurang Melaksanakan " dataDxfId="95"/>
    <tableColumn id="4" name="Tidak Melaksanakan" dataDxfId="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10.xml"/><Relationship Id="rId4" Type="http://schemas.openxmlformats.org/officeDocument/2006/relationships/table" Target="../tables/table2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drawing" Target="../drawings/drawing11.xml"/><Relationship Id="rId4" Type="http://schemas.openxmlformats.org/officeDocument/2006/relationships/table" Target="../tables/table3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7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8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9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8"/>
  <sheetViews>
    <sheetView tabSelected="1" topLeftCell="K43" zoomScale="80" zoomScaleNormal="80" workbookViewId="0">
      <selection activeCell="O55" sqref="O55"/>
    </sheetView>
  </sheetViews>
  <sheetFormatPr defaultRowHeight="14.4" x14ac:dyDescent="0.3"/>
  <cols>
    <col min="2" max="2" width="32.5546875" customWidth="1"/>
    <col min="3" max="3" width="23.21875" customWidth="1"/>
    <col min="4" max="4" width="25.88671875" customWidth="1"/>
    <col min="5" max="5" width="16.33203125" customWidth="1"/>
    <col min="6" max="6" width="26.44140625" customWidth="1"/>
    <col min="7" max="7" width="30.88671875" customWidth="1"/>
    <col min="8" max="8" width="25.21875" customWidth="1"/>
    <col min="9" max="9" width="29" customWidth="1"/>
    <col min="10" max="10" width="31.33203125" customWidth="1"/>
    <col min="11" max="11" width="54.109375" customWidth="1"/>
    <col min="12" max="12" width="39.33203125" customWidth="1"/>
    <col min="13" max="13" width="37.21875" customWidth="1"/>
    <col min="14" max="14" width="13.77734375" customWidth="1"/>
    <col min="15" max="15" width="36.5546875" customWidth="1"/>
  </cols>
  <sheetData>
    <row r="2" spans="1:18" ht="18" x14ac:dyDescent="0.35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4" spans="1:18" x14ac:dyDescent="0.3">
      <c r="A4" s="8" t="s">
        <v>1</v>
      </c>
      <c r="B4" s="8" t="s">
        <v>2</v>
      </c>
    </row>
    <row r="17" spans="1:16" x14ac:dyDescent="0.3">
      <c r="B17" s="8" t="s">
        <v>3</v>
      </c>
    </row>
    <row r="18" spans="1:16" x14ac:dyDescent="0.3">
      <c r="B18" s="3" t="s">
        <v>15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/>
      <c r="N18" s="3"/>
      <c r="O18" s="3"/>
    </row>
    <row r="19" spans="1:16" x14ac:dyDescent="0.3">
      <c r="B19" s="3" t="s">
        <v>4</v>
      </c>
      <c r="C19" s="4">
        <v>1</v>
      </c>
      <c r="D19" s="4">
        <v>4</v>
      </c>
      <c r="E19" s="4">
        <v>5</v>
      </c>
      <c r="F19" s="4">
        <v>5</v>
      </c>
      <c r="G19" s="4">
        <v>7</v>
      </c>
      <c r="H19" s="4">
        <v>7</v>
      </c>
      <c r="I19" s="4">
        <v>7</v>
      </c>
      <c r="J19" s="4">
        <v>3</v>
      </c>
      <c r="K19" s="4">
        <v>5</v>
      </c>
      <c r="L19" s="4">
        <v>5</v>
      </c>
      <c r="M19" s="4"/>
      <c r="N19" s="4"/>
      <c r="O19" s="4"/>
      <c r="P19" s="1"/>
    </row>
    <row r="20" spans="1:16" x14ac:dyDescent="0.3">
      <c r="B20" s="3" t="s">
        <v>5</v>
      </c>
      <c r="C20" s="4">
        <f>1/4</f>
        <v>0.25</v>
      </c>
      <c r="D20" s="4">
        <v>1</v>
      </c>
      <c r="E20" s="4">
        <v>2</v>
      </c>
      <c r="F20" s="4">
        <v>2</v>
      </c>
      <c r="G20" s="4">
        <v>3</v>
      </c>
      <c r="H20" s="4">
        <v>3</v>
      </c>
      <c r="I20" s="4">
        <v>3</v>
      </c>
      <c r="J20" s="4">
        <f>1/3</f>
        <v>0.33333333333333331</v>
      </c>
      <c r="K20" s="4">
        <v>2</v>
      </c>
      <c r="L20" s="4">
        <v>2</v>
      </c>
      <c r="M20" s="4"/>
      <c r="N20" s="4"/>
      <c r="O20" s="4"/>
      <c r="P20" s="1"/>
    </row>
    <row r="21" spans="1:16" x14ac:dyDescent="0.3">
      <c r="B21" s="3" t="s">
        <v>6</v>
      </c>
      <c r="C21" s="4">
        <f>1/5</f>
        <v>0.2</v>
      </c>
      <c r="D21" s="4">
        <f>1/2</f>
        <v>0.5</v>
      </c>
      <c r="E21" s="4">
        <v>1</v>
      </c>
      <c r="F21" s="4">
        <f>1/3</f>
        <v>0.33333333333333331</v>
      </c>
      <c r="G21" s="4">
        <v>2</v>
      </c>
      <c r="H21" s="4">
        <v>3</v>
      </c>
      <c r="I21" s="4">
        <v>3</v>
      </c>
      <c r="J21" s="4">
        <f>1/4</f>
        <v>0.25</v>
      </c>
      <c r="K21" s="4">
        <f>1/2</f>
        <v>0.5</v>
      </c>
      <c r="L21" s="4">
        <f>1/2</f>
        <v>0.5</v>
      </c>
      <c r="M21" s="4"/>
      <c r="N21" s="4"/>
      <c r="O21" s="4"/>
      <c r="P21" s="1"/>
    </row>
    <row r="22" spans="1:16" x14ac:dyDescent="0.3">
      <c r="B22" s="3" t="s">
        <v>7</v>
      </c>
      <c r="C22" s="4">
        <f>1/5</f>
        <v>0.2</v>
      </c>
      <c r="D22" s="4">
        <f>1/2</f>
        <v>0.5</v>
      </c>
      <c r="E22" s="4">
        <v>3</v>
      </c>
      <c r="F22" s="4">
        <v>1</v>
      </c>
      <c r="G22" s="4">
        <v>3</v>
      </c>
      <c r="H22" s="4">
        <v>3</v>
      </c>
      <c r="I22" s="4">
        <v>3</v>
      </c>
      <c r="J22" s="4">
        <f>1/4</f>
        <v>0.25</v>
      </c>
      <c r="K22" s="4">
        <f>1/2</f>
        <v>0.5</v>
      </c>
      <c r="L22" s="4">
        <f>1/3</f>
        <v>0.33333333333333331</v>
      </c>
      <c r="M22" s="4"/>
      <c r="N22" s="4"/>
      <c r="O22" s="4"/>
      <c r="P22" s="1"/>
    </row>
    <row r="23" spans="1:16" x14ac:dyDescent="0.3">
      <c r="B23" s="3" t="s">
        <v>8</v>
      </c>
      <c r="C23" s="4">
        <f>1/7</f>
        <v>0.14285714285714285</v>
      </c>
      <c r="D23" s="4">
        <f>1/3</f>
        <v>0.33333333333333331</v>
      </c>
      <c r="E23" s="4">
        <f>1/2</f>
        <v>0.5</v>
      </c>
      <c r="F23" s="4">
        <f>1/3</f>
        <v>0.33333333333333331</v>
      </c>
      <c r="G23" s="4">
        <v>1</v>
      </c>
      <c r="H23" s="4">
        <f>1/2</f>
        <v>0.5</v>
      </c>
      <c r="I23" s="4">
        <f>1/2</f>
        <v>0.5</v>
      </c>
      <c r="J23" s="4">
        <f>1/5</f>
        <v>0.2</v>
      </c>
      <c r="K23" s="4">
        <f t="shared" ref="K23:L25" si="0">1/4</f>
        <v>0.25</v>
      </c>
      <c r="L23" s="4">
        <f t="shared" si="0"/>
        <v>0.25</v>
      </c>
      <c r="M23" s="4"/>
      <c r="N23" s="4"/>
      <c r="O23" s="4"/>
      <c r="P23" s="1"/>
    </row>
    <row r="24" spans="1:16" x14ac:dyDescent="0.3">
      <c r="B24" s="3" t="s">
        <v>9</v>
      </c>
      <c r="C24" s="4">
        <f>1/7</f>
        <v>0.14285714285714285</v>
      </c>
      <c r="D24" s="4">
        <f>1/3</f>
        <v>0.33333333333333331</v>
      </c>
      <c r="E24" s="4">
        <f>1/3</f>
        <v>0.33333333333333331</v>
      </c>
      <c r="F24" s="4">
        <f>1/3</f>
        <v>0.33333333333333331</v>
      </c>
      <c r="G24" s="4">
        <v>2</v>
      </c>
      <c r="H24" s="4">
        <v>1</v>
      </c>
      <c r="I24" s="4">
        <v>2</v>
      </c>
      <c r="J24" s="4">
        <f>1/5</f>
        <v>0.2</v>
      </c>
      <c r="K24" s="4">
        <f t="shared" si="0"/>
        <v>0.25</v>
      </c>
      <c r="L24" s="4">
        <f t="shared" si="0"/>
        <v>0.25</v>
      </c>
      <c r="M24" s="4"/>
      <c r="N24" s="4"/>
      <c r="O24" s="4"/>
      <c r="P24" s="1"/>
    </row>
    <row r="25" spans="1:16" x14ac:dyDescent="0.3">
      <c r="B25" s="3" t="s">
        <v>10</v>
      </c>
      <c r="C25" s="4">
        <f>1/7</f>
        <v>0.14285714285714285</v>
      </c>
      <c r="D25" s="4">
        <f>1/3</f>
        <v>0.33333333333333331</v>
      </c>
      <c r="E25" s="4">
        <f>1/3</f>
        <v>0.33333333333333331</v>
      </c>
      <c r="F25" s="4">
        <f>1/3</f>
        <v>0.33333333333333331</v>
      </c>
      <c r="G25" s="4">
        <v>2</v>
      </c>
      <c r="H25" s="4">
        <f>1/2</f>
        <v>0.5</v>
      </c>
      <c r="I25" s="4">
        <v>1</v>
      </c>
      <c r="J25" s="4">
        <f>1/5</f>
        <v>0.2</v>
      </c>
      <c r="K25" s="4">
        <f t="shared" si="0"/>
        <v>0.25</v>
      </c>
      <c r="L25" s="4">
        <f t="shared" si="0"/>
        <v>0.25</v>
      </c>
      <c r="M25" s="4"/>
      <c r="N25" s="4"/>
      <c r="O25" s="4"/>
      <c r="P25" s="1"/>
    </row>
    <row r="26" spans="1:16" x14ac:dyDescent="0.3">
      <c r="B26" s="3" t="s">
        <v>11</v>
      </c>
      <c r="C26" s="4">
        <f>1/3</f>
        <v>0.33333333333333331</v>
      </c>
      <c r="D26" s="4">
        <v>3</v>
      </c>
      <c r="E26" s="4">
        <v>4</v>
      </c>
      <c r="F26" s="4">
        <v>4</v>
      </c>
      <c r="G26" s="4">
        <v>5</v>
      </c>
      <c r="H26" s="4">
        <v>5</v>
      </c>
      <c r="I26" s="4">
        <v>5</v>
      </c>
      <c r="J26" s="4">
        <v>1</v>
      </c>
      <c r="K26" s="4">
        <v>3</v>
      </c>
      <c r="L26" s="4">
        <v>3</v>
      </c>
      <c r="M26" s="4"/>
      <c r="N26" s="4"/>
      <c r="O26" s="4"/>
      <c r="P26" s="1"/>
    </row>
    <row r="27" spans="1:16" x14ac:dyDescent="0.3">
      <c r="B27" s="3" t="s">
        <v>12</v>
      </c>
      <c r="C27" s="4">
        <f>1/5</f>
        <v>0.2</v>
      </c>
      <c r="D27" s="4">
        <f>1/2</f>
        <v>0.5</v>
      </c>
      <c r="E27" s="4">
        <v>2</v>
      </c>
      <c r="F27" s="4">
        <v>2</v>
      </c>
      <c r="G27" s="4">
        <v>4</v>
      </c>
      <c r="H27" s="4">
        <v>4</v>
      </c>
      <c r="I27" s="4">
        <v>4</v>
      </c>
      <c r="J27" s="4">
        <f>1/3</f>
        <v>0.33333333333333331</v>
      </c>
      <c r="K27" s="4">
        <v>1</v>
      </c>
      <c r="L27" s="4">
        <v>2</v>
      </c>
      <c r="M27" s="4"/>
      <c r="N27" s="4"/>
      <c r="O27" s="4"/>
      <c r="P27" s="1"/>
    </row>
    <row r="28" spans="1:16" x14ac:dyDescent="0.3">
      <c r="B28" s="3" t="s">
        <v>13</v>
      </c>
      <c r="C28" s="4">
        <f>1/5</f>
        <v>0.2</v>
      </c>
      <c r="D28" s="4">
        <f>1/2</f>
        <v>0.5</v>
      </c>
      <c r="E28" s="4">
        <v>2</v>
      </c>
      <c r="F28" s="4">
        <v>3</v>
      </c>
      <c r="G28" s="4">
        <v>4</v>
      </c>
      <c r="H28" s="4">
        <v>4</v>
      </c>
      <c r="I28" s="4">
        <v>4</v>
      </c>
      <c r="J28" s="4">
        <f>1/3</f>
        <v>0.33333333333333331</v>
      </c>
      <c r="K28" s="4">
        <f>1/2</f>
        <v>0.5</v>
      </c>
      <c r="L28" s="4">
        <v>1</v>
      </c>
      <c r="M28" s="4"/>
      <c r="N28" s="4"/>
      <c r="O28" s="4"/>
      <c r="P28" s="1"/>
    </row>
    <row r="29" spans="1:16" x14ac:dyDescent="0.3">
      <c r="B29" s="5" t="s">
        <v>14</v>
      </c>
      <c r="C29" s="6">
        <f t="shared" ref="C29:L29" si="1">SUM(C19:C28)</f>
        <v>2.8119047619047621</v>
      </c>
      <c r="D29" s="6">
        <f t="shared" si="1"/>
        <v>11</v>
      </c>
      <c r="E29" s="6">
        <f t="shared" si="1"/>
        <v>20.166666666666668</v>
      </c>
      <c r="F29" s="6">
        <f t="shared" si="1"/>
        <v>18.333333333333336</v>
      </c>
      <c r="G29" s="6">
        <f t="shared" si="1"/>
        <v>33</v>
      </c>
      <c r="H29" s="6">
        <f t="shared" si="1"/>
        <v>31</v>
      </c>
      <c r="I29" s="6">
        <f t="shared" si="1"/>
        <v>32.5</v>
      </c>
      <c r="J29" s="6">
        <f t="shared" si="1"/>
        <v>6.1</v>
      </c>
      <c r="K29" s="6">
        <f t="shared" si="1"/>
        <v>13.25</v>
      </c>
      <c r="L29" s="6">
        <f t="shared" si="1"/>
        <v>14.583333333333332</v>
      </c>
      <c r="M29" s="6"/>
      <c r="N29" s="6"/>
      <c r="O29" s="6"/>
      <c r="P29" s="1"/>
    </row>
    <row r="30" spans="1:16" x14ac:dyDescent="0.3">
      <c r="M30" s="6"/>
      <c r="N30" s="6"/>
      <c r="O30" s="6"/>
      <c r="P30" s="1"/>
    </row>
    <row r="31" spans="1:16" x14ac:dyDescent="0.3">
      <c r="M31" s="6"/>
      <c r="N31" s="6"/>
      <c r="O31" s="6"/>
      <c r="P31" s="1"/>
    </row>
    <row r="32" spans="1:16" x14ac:dyDescent="0.3">
      <c r="A32" s="8" t="s">
        <v>23</v>
      </c>
      <c r="B32" s="5" t="s">
        <v>24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"/>
    </row>
    <row r="33" spans="2:16" x14ac:dyDescent="0.3"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"/>
    </row>
    <row r="34" spans="2:16" x14ac:dyDescent="0.3">
      <c r="B34" s="5" t="s">
        <v>22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6" x14ac:dyDescent="0.3">
      <c r="B35" s="3" t="s">
        <v>15</v>
      </c>
      <c r="C35" s="3" t="s">
        <v>4</v>
      </c>
      <c r="D35" s="3" t="s">
        <v>5</v>
      </c>
      <c r="E35" s="3" t="s">
        <v>6</v>
      </c>
      <c r="F35" s="3" t="s">
        <v>7</v>
      </c>
      <c r="G35" s="3" t="s">
        <v>8</v>
      </c>
      <c r="H35" s="3" t="s">
        <v>9</v>
      </c>
      <c r="I35" s="3" t="s">
        <v>10</v>
      </c>
      <c r="J35" s="3" t="s">
        <v>11</v>
      </c>
      <c r="K35" s="3" t="s">
        <v>12</v>
      </c>
      <c r="L35" s="3" t="s">
        <v>13</v>
      </c>
      <c r="M35" s="3" t="s">
        <v>16</v>
      </c>
      <c r="N35" s="3" t="s">
        <v>17</v>
      </c>
      <c r="O35" s="3" t="s">
        <v>18</v>
      </c>
    </row>
    <row r="36" spans="2:16" x14ac:dyDescent="0.3">
      <c r="B36" s="3" t="s">
        <v>4</v>
      </c>
      <c r="C36" s="4">
        <f>C19/$C$29</f>
        <v>0.35563082133784923</v>
      </c>
      <c r="D36" s="4">
        <f>D19/$D$29</f>
        <v>0.36363636363636365</v>
      </c>
      <c r="E36" s="4">
        <f t="shared" ref="E36:E45" si="2">E19/$E$29</f>
        <v>0.24793388429752064</v>
      </c>
      <c r="F36" s="4">
        <f t="shared" ref="F36:F45" si="3">F19/$F$29</f>
        <v>0.27272727272727271</v>
      </c>
      <c r="G36" s="4">
        <f t="shared" ref="G36:G45" si="4">G19/$G$29</f>
        <v>0.21212121212121213</v>
      </c>
      <c r="H36" s="4">
        <f t="shared" ref="H36:H45" si="5">H19/$H$29</f>
        <v>0.22580645161290322</v>
      </c>
      <c r="I36" s="4">
        <f t="shared" ref="I36:I45" si="6">I19/$I$29</f>
        <v>0.2153846153846154</v>
      </c>
      <c r="J36" s="4">
        <f t="shared" ref="J36:J45" si="7">J19/$J$29</f>
        <v>0.49180327868852464</v>
      </c>
      <c r="K36" s="4">
        <f t="shared" ref="K36:K45" si="8">K19/$K$29</f>
        <v>0.37735849056603776</v>
      </c>
      <c r="L36" s="4">
        <f>L19/$L$29</f>
        <v>0.34285714285714286</v>
      </c>
      <c r="M36" s="4">
        <f>SUM(C36:L36)</f>
        <v>3.1052595332294426</v>
      </c>
      <c r="N36" s="4">
        <f>Table47[[#This Row],[JUMLAH]]/10</f>
        <v>0.31052595332294425</v>
      </c>
      <c r="O36" s="4">
        <f>Table47[[#This Row],[PRIORITAS]]*C29</f>
        <v>0.87316940684380284</v>
      </c>
    </row>
    <row r="37" spans="2:16" x14ac:dyDescent="0.3">
      <c r="B37" s="3" t="s">
        <v>5</v>
      </c>
      <c r="C37" s="4">
        <f t="shared" ref="C37:C45" si="9">C20/$C$29</f>
        <v>8.8907705334462309E-2</v>
      </c>
      <c r="D37" s="4">
        <f t="shared" ref="D37:D45" si="10">D20/$D$29</f>
        <v>9.0909090909090912E-2</v>
      </c>
      <c r="E37" s="4">
        <f t="shared" si="2"/>
        <v>9.9173553719008253E-2</v>
      </c>
      <c r="F37" s="4">
        <f t="shared" si="3"/>
        <v>0.10909090909090907</v>
      </c>
      <c r="G37" s="4">
        <f t="shared" si="4"/>
        <v>9.0909090909090912E-2</v>
      </c>
      <c r="H37" s="4">
        <f t="shared" si="5"/>
        <v>9.6774193548387094E-2</v>
      </c>
      <c r="I37" s="4">
        <f t="shared" si="6"/>
        <v>9.2307692307692313E-2</v>
      </c>
      <c r="J37" s="4">
        <f t="shared" si="7"/>
        <v>5.4644808743169397E-2</v>
      </c>
      <c r="K37" s="4">
        <f t="shared" si="8"/>
        <v>0.15094339622641509</v>
      </c>
      <c r="L37" s="4">
        <f t="shared" ref="L37:L45" si="11">L20/$L$29</f>
        <v>0.13714285714285715</v>
      </c>
      <c r="M37" s="4">
        <f>SUM(C37:L37)</f>
        <v>1.0108032979310826</v>
      </c>
      <c r="N37" s="4">
        <f>Table47[[#This Row],[JUMLAH]]/10</f>
        <v>0.10108032979310826</v>
      </c>
      <c r="O37" s="4">
        <f>Table47[[#This Row],[PRIORITAS]]*D29</f>
        <v>1.1118836277241908</v>
      </c>
    </row>
    <row r="38" spans="2:16" x14ac:dyDescent="0.3">
      <c r="B38" s="3" t="s">
        <v>6</v>
      </c>
      <c r="C38" s="4">
        <f>C21/$C$29</f>
        <v>7.1126164267569861E-2</v>
      </c>
      <c r="D38" s="4">
        <f t="shared" si="10"/>
        <v>4.5454545454545456E-2</v>
      </c>
      <c r="E38" s="4">
        <f t="shared" si="2"/>
        <v>4.9586776859504127E-2</v>
      </c>
      <c r="F38" s="4">
        <f t="shared" si="3"/>
        <v>1.8181818181818177E-2</v>
      </c>
      <c r="G38" s="4">
        <f t="shared" si="4"/>
        <v>6.0606060606060608E-2</v>
      </c>
      <c r="H38" s="4">
        <f t="shared" si="5"/>
        <v>9.6774193548387094E-2</v>
      </c>
      <c r="I38" s="4">
        <f t="shared" si="6"/>
        <v>9.2307692307692313E-2</v>
      </c>
      <c r="J38" s="4">
        <f t="shared" si="7"/>
        <v>4.0983606557377053E-2</v>
      </c>
      <c r="K38" s="4">
        <f t="shared" si="8"/>
        <v>3.7735849056603772E-2</v>
      </c>
      <c r="L38" s="4">
        <f t="shared" si="11"/>
        <v>3.4285714285714287E-2</v>
      </c>
      <c r="M38" s="4">
        <f t="shared" ref="M38:M45" si="12">SUM(C38:L38)</f>
        <v>0.54704242112527279</v>
      </c>
      <c r="N38" s="4">
        <f>Table47[[#This Row],[JUMLAH]]/10</f>
        <v>5.4704242112527279E-2</v>
      </c>
      <c r="O38" s="4">
        <f>Table47[[#This Row],[PRIORITAS]]*E29</f>
        <v>1.1032022159359669</v>
      </c>
    </row>
    <row r="39" spans="2:16" x14ac:dyDescent="0.3">
      <c r="B39" s="3" t="s">
        <v>7</v>
      </c>
      <c r="C39" s="4">
        <f t="shared" si="9"/>
        <v>7.1126164267569861E-2</v>
      </c>
      <c r="D39" s="4">
        <f t="shared" si="10"/>
        <v>4.5454545454545456E-2</v>
      </c>
      <c r="E39" s="4">
        <f t="shared" si="2"/>
        <v>0.1487603305785124</v>
      </c>
      <c r="F39" s="4">
        <f t="shared" si="3"/>
        <v>5.4545454545454536E-2</v>
      </c>
      <c r="G39" s="4">
        <f t="shared" si="4"/>
        <v>9.0909090909090912E-2</v>
      </c>
      <c r="H39" s="4">
        <f t="shared" si="5"/>
        <v>9.6774193548387094E-2</v>
      </c>
      <c r="I39" s="4">
        <f t="shared" si="6"/>
        <v>9.2307692307692313E-2</v>
      </c>
      <c r="J39" s="4">
        <f t="shared" si="7"/>
        <v>4.0983606557377053E-2</v>
      </c>
      <c r="K39" s="4">
        <f t="shared" si="8"/>
        <v>3.7735849056603772E-2</v>
      </c>
      <c r="L39" s="4">
        <f t="shared" si="11"/>
        <v>2.2857142857142857E-2</v>
      </c>
      <c r="M39" s="4">
        <f t="shared" si="12"/>
        <v>0.70145407008237637</v>
      </c>
      <c r="N39" s="4">
        <f>Table47[[#This Row],[JUMLAH]]/10</f>
        <v>7.014540700823764E-2</v>
      </c>
      <c r="O39" s="4">
        <f>Table47[[#This Row],[PRIORITAS]]*F29</f>
        <v>1.2859991284843568</v>
      </c>
    </row>
    <row r="40" spans="2:16" x14ac:dyDescent="0.3">
      <c r="B40" s="3" t="s">
        <v>8</v>
      </c>
      <c r="C40" s="4">
        <f t="shared" si="9"/>
        <v>5.0804403048264175E-2</v>
      </c>
      <c r="D40" s="4">
        <f t="shared" si="10"/>
        <v>3.03030303030303E-2</v>
      </c>
      <c r="E40" s="4">
        <f t="shared" si="2"/>
        <v>2.4793388429752063E-2</v>
      </c>
      <c r="F40" s="4">
        <f t="shared" si="3"/>
        <v>1.8181818181818177E-2</v>
      </c>
      <c r="G40" s="4">
        <f t="shared" si="4"/>
        <v>3.0303030303030304E-2</v>
      </c>
      <c r="H40" s="4">
        <f t="shared" si="5"/>
        <v>1.6129032258064516E-2</v>
      </c>
      <c r="I40" s="4">
        <f t="shared" si="6"/>
        <v>1.5384615384615385E-2</v>
      </c>
      <c r="J40" s="4">
        <f t="shared" si="7"/>
        <v>3.2786885245901641E-2</v>
      </c>
      <c r="K40" s="4">
        <f t="shared" si="8"/>
        <v>1.8867924528301886E-2</v>
      </c>
      <c r="L40" s="4">
        <f t="shared" si="11"/>
        <v>1.7142857142857144E-2</v>
      </c>
      <c r="M40" s="4">
        <f t="shared" si="12"/>
        <v>0.25469698482563558</v>
      </c>
      <c r="N40" s="4">
        <f>Table47[[#This Row],[JUMLAH]]/10</f>
        <v>2.5469698482563558E-2</v>
      </c>
      <c r="O40" s="4">
        <f>Table47[[#This Row],[PRIORITAS]]*G29</f>
        <v>0.84050004992459737</v>
      </c>
    </row>
    <row r="41" spans="2:16" x14ac:dyDescent="0.3">
      <c r="B41" s="3" t="s">
        <v>9</v>
      </c>
      <c r="C41" s="4">
        <f t="shared" si="9"/>
        <v>5.0804403048264175E-2</v>
      </c>
      <c r="D41" s="4">
        <f t="shared" si="10"/>
        <v>3.03030303030303E-2</v>
      </c>
      <c r="E41" s="4">
        <f t="shared" si="2"/>
        <v>1.6528925619834708E-2</v>
      </c>
      <c r="F41" s="4">
        <f t="shared" si="3"/>
        <v>1.8181818181818177E-2</v>
      </c>
      <c r="G41" s="4">
        <f t="shared" si="4"/>
        <v>6.0606060606060608E-2</v>
      </c>
      <c r="H41" s="4">
        <f t="shared" si="5"/>
        <v>3.2258064516129031E-2</v>
      </c>
      <c r="I41" s="4">
        <f t="shared" si="6"/>
        <v>6.1538461538461542E-2</v>
      </c>
      <c r="J41" s="4">
        <f t="shared" si="7"/>
        <v>3.2786885245901641E-2</v>
      </c>
      <c r="K41" s="4">
        <f t="shared" si="8"/>
        <v>1.8867924528301886E-2</v>
      </c>
      <c r="L41" s="4">
        <f t="shared" si="11"/>
        <v>1.7142857142857144E-2</v>
      </c>
      <c r="M41" s="4">
        <f t="shared" si="12"/>
        <v>0.33901843073065913</v>
      </c>
      <c r="N41" s="4">
        <f>Table47[[#This Row],[JUMLAH]]/10</f>
        <v>3.3901843073065915E-2</v>
      </c>
      <c r="O41" s="4">
        <f>Table47[[#This Row],[PRIORITAS]]*H29</f>
        <v>1.0509571352650433</v>
      </c>
    </row>
    <row r="42" spans="2:16" x14ac:dyDescent="0.3">
      <c r="B42" s="3" t="s">
        <v>10</v>
      </c>
      <c r="C42" s="4">
        <f t="shared" si="9"/>
        <v>5.0804403048264175E-2</v>
      </c>
      <c r="D42" s="4">
        <f t="shared" si="10"/>
        <v>3.03030303030303E-2</v>
      </c>
      <c r="E42" s="4">
        <f t="shared" si="2"/>
        <v>1.6528925619834708E-2</v>
      </c>
      <c r="F42" s="4">
        <f t="shared" si="3"/>
        <v>1.8181818181818177E-2</v>
      </c>
      <c r="G42" s="4">
        <f t="shared" si="4"/>
        <v>6.0606060606060608E-2</v>
      </c>
      <c r="H42" s="4">
        <f t="shared" si="5"/>
        <v>1.6129032258064516E-2</v>
      </c>
      <c r="I42" s="4">
        <f t="shared" si="6"/>
        <v>3.0769230769230771E-2</v>
      </c>
      <c r="J42" s="4">
        <f t="shared" si="7"/>
        <v>3.2786885245901641E-2</v>
      </c>
      <c r="K42" s="4">
        <f t="shared" si="8"/>
        <v>1.8867924528301886E-2</v>
      </c>
      <c r="L42" s="4">
        <f t="shared" si="11"/>
        <v>1.7142857142857144E-2</v>
      </c>
      <c r="M42" s="4">
        <f t="shared" si="12"/>
        <v>0.29212016770336385</v>
      </c>
      <c r="N42" s="4">
        <f>Table47[[#This Row],[JUMLAH]]/10</f>
        <v>2.9212016770336385E-2</v>
      </c>
      <c r="O42" s="4">
        <f>Table47[[#This Row],[PRIORITAS]]*I29</f>
        <v>0.94939054503593256</v>
      </c>
    </row>
    <row r="43" spans="2:16" x14ac:dyDescent="0.3">
      <c r="B43" s="3" t="s">
        <v>11</v>
      </c>
      <c r="C43" s="4">
        <f t="shared" si="9"/>
        <v>0.11854360711261641</v>
      </c>
      <c r="D43" s="4">
        <f t="shared" si="10"/>
        <v>0.27272727272727271</v>
      </c>
      <c r="E43" s="4">
        <f t="shared" si="2"/>
        <v>0.19834710743801651</v>
      </c>
      <c r="F43" s="4">
        <f t="shared" si="3"/>
        <v>0.21818181818181814</v>
      </c>
      <c r="G43" s="4">
        <f t="shared" si="4"/>
        <v>0.15151515151515152</v>
      </c>
      <c r="H43" s="4">
        <f t="shared" si="5"/>
        <v>0.16129032258064516</v>
      </c>
      <c r="I43" s="4">
        <f t="shared" si="6"/>
        <v>0.15384615384615385</v>
      </c>
      <c r="J43" s="4">
        <f t="shared" si="7"/>
        <v>0.16393442622950821</v>
      </c>
      <c r="K43" s="4">
        <f t="shared" si="8"/>
        <v>0.22641509433962265</v>
      </c>
      <c r="L43" s="4">
        <f t="shared" si="11"/>
        <v>0.20571428571428574</v>
      </c>
      <c r="M43" s="4">
        <f t="shared" si="12"/>
        <v>1.8705152396850906</v>
      </c>
      <c r="N43" s="4">
        <f>Table47[[#This Row],[JUMLAH]]/10</f>
        <v>0.18705152396850905</v>
      </c>
      <c r="O43" s="4">
        <f>Table47[[#This Row],[PRIORITAS]]*J29</f>
        <v>1.1410142962079051</v>
      </c>
    </row>
    <row r="44" spans="2:16" x14ac:dyDescent="0.3">
      <c r="B44" s="3" t="s">
        <v>12</v>
      </c>
      <c r="C44" s="4">
        <f t="shared" si="9"/>
        <v>7.1126164267569861E-2</v>
      </c>
      <c r="D44" s="4">
        <f t="shared" si="10"/>
        <v>4.5454545454545456E-2</v>
      </c>
      <c r="E44" s="4">
        <f t="shared" si="2"/>
        <v>9.9173553719008253E-2</v>
      </c>
      <c r="F44" s="4">
        <f t="shared" si="3"/>
        <v>0.10909090909090907</v>
      </c>
      <c r="G44" s="4">
        <f t="shared" si="4"/>
        <v>0.12121212121212122</v>
      </c>
      <c r="H44" s="4">
        <f t="shared" si="5"/>
        <v>0.12903225806451613</v>
      </c>
      <c r="I44" s="4">
        <f t="shared" si="6"/>
        <v>0.12307692307692308</v>
      </c>
      <c r="J44" s="4">
        <f t="shared" si="7"/>
        <v>5.4644808743169397E-2</v>
      </c>
      <c r="K44" s="4">
        <f t="shared" si="8"/>
        <v>7.5471698113207544E-2</v>
      </c>
      <c r="L44" s="4">
        <f t="shared" si="11"/>
        <v>0.13714285714285715</v>
      </c>
      <c r="M44" s="4">
        <f t="shared" si="12"/>
        <v>0.96542583888482714</v>
      </c>
      <c r="N44" s="4">
        <f>Table47[[#This Row],[JUMLAH]]/10</f>
        <v>9.6542583888482719E-2</v>
      </c>
      <c r="O44" s="4">
        <f>Table47[[#This Row],[PRIORITAS]]*K29</f>
        <v>1.279189236522396</v>
      </c>
    </row>
    <row r="45" spans="2:16" x14ac:dyDescent="0.3">
      <c r="B45" s="3" t="s">
        <v>13</v>
      </c>
      <c r="C45" s="4">
        <f t="shared" si="9"/>
        <v>7.1126164267569861E-2</v>
      </c>
      <c r="D45" s="4">
        <f t="shared" si="10"/>
        <v>4.5454545454545456E-2</v>
      </c>
      <c r="E45" s="4">
        <f t="shared" si="2"/>
        <v>9.9173553719008253E-2</v>
      </c>
      <c r="F45" s="4">
        <f t="shared" si="3"/>
        <v>0.16363636363636361</v>
      </c>
      <c r="G45" s="4">
        <f t="shared" si="4"/>
        <v>0.12121212121212122</v>
      </c>
      <c r="H45" s="4">
        <f t="shared" si="5"/>
        <v>0.12903225806451613</v>
      </c>
      <c r="I45" s="4">
        <f t="shared" si="6"/>
        <v>0.12307692307692308</v>
      </c>
      <c r="J45" s="4">
        <f t="shared" si="7"/>
        <v>5.4644808743169397E-2</v>
      </c>
      <c r="K45" s="4">
        <f t="shared" si="8"/>
        <v>3.7735849056603772E-2</v>
      </c>
      <c r="L45" s="4">
        <f t="shared" si="11"/>
        <v>6.8571428571428575E-2</v>
      </c>
      <c r="M45" s="4">
        <f t="shared" si="12"/>
        <v>0.91366401580224932</v>
      </c>
      <c r="N45" s="4">
        <f>Table47[[#This Row],[JUMLAH]]/10</f>
        <v>9.1366401580224937E-2</v>
      </c>
      <c r="O45" s="4">
        <f>Table47[[#This Row],[PRIORITAS]]*L29</f>
        <v>1.3324266897116135</v>
      </c>
    </row>
    <row r="46" spans="2:16" x14ac:dyDescent="0.3">
      <c r="B46" s="3" t="s">
        <v>14</v>
      </c>
      <c r="C46" s="4">
        <f>SUM(C36:C45)</f>
        <v>1</v>
      </c>
      <c r="D46" s="4">
        <f t="shared" ref="D46:O46" si="13">SUM(D36:D45)</f>
        <v>0.99999999999999978</v>
      </c>
      <c r="E46" s="4">
        <f t="shared" si="13"/>
        <v>0.99999999999999989</v>
      </c>
      <c r="F46" s="4">
        <f t="shared" si="13"/>
        <v>0.99999999999999978</v>
      </c>
      <c r="G46" s="4">
        <f t="shared" si="13"/>
        <v>0.99999999999999989</v>
      </c>
      <c r="H46" s="4">
        <f t="shared" si="13"/>
        <v>0.99999999999999989</v>
      </c>
      <c r="I46" s="4">
        <f t="shared" si="13"/>
        <v>1</v>
      </c>
      <c r="J46" s="4">
        <f t="shared" si="13"/>
        <v>1.0000000000000002</v>
      </c>
      <c r="K46" s="4">
        <f t="shared" si="13"/>
        <v>1</v>
      </c>
      <c r="L46" s="4">
        <f t="shared" si="13"/>
        <v>1</v>
      </c>
      <c r="M46" s="4">
        <f>SUM(M36:M45)</f>
        <v>9.9999999999999982</v>
      </c>
      <c r="N46" s="4">
        <f t="shared" si="13"/>
        <v>0.99999999999999989</v>
      </c>
      <c r="O46" s="4">
        <f t="shared" si="13"/>
        <v>10.967732331655803</v>
      </c>
    </row>
    <row r="48" spans="2:16" x14ac:dyDescent="0.3">
      <c r="B48" t="s">
        <v>142</v>
      </c>
    </row>
    <row r="49" spans="1:9" x14ac:dyDescent="0.3">
      <c r="B49" s="18" t="s">
        <v>19</v>
      </c>
      <c r="C49" s="20">
        <f>(O46-10)/(10-1)</f>
        <v>0.10752581462842256</v>
      </c>
    </row>
    <row r="50" spans="1:9" x14ac:dyDescent="0.3">
      <c r="B50" s="18" t="s">
        <v>20</v>
      </c>
      <c r="C50" s="20">
        <v>1.49</v>
      </c>
    </row>
    <row r="51" spans="1:9" ht="20.399999999999999" thickBot="1" x14ac:dyDescent="0.45">
      <c r="B51" s="18" t="s">
        <v>21</v>
      </c>
      <c r="C51" s="21">
        <f>C49/C50</f>
        <v>7.2164976260686284E-2</v>
      </c>
      <c r="D51" s="7" t="str">
        <f>IF(C51&lt;=0.1, "KONSISTEN", "TIDAK KONSISTEN")</f>
        <v>KONSISTEN</v>
      </c>
    </row>
    <row r="52" spans="1:9" ht="15" thickTop="1" x14ac:dyDescent="0.3"/>
    <row r="58" spans="1:9" x14ac:dyDescent="0.3">
      <c r="A58" s="8" t="s">
        <v>103</v>
      </c>
      <c r="B58" t="s">
        <v>143</v>
      </c>
    </row>
    <row r="60" spans="1:9" x14ac:dyDescent="0.3">
      <c r="B60" s="8" t="s">
        <v>92</v>
      </c>
    </row>
    <row r="61" spans="1:9" x14ac:dyDescent="0.3">
      <c r="B61" s="31" t="s">
        <v>4</v>
      </c>
      <c r="C61" s="19">
        <v>0.31052595332294425</v>
      </c>
      <c r="E61" s="8" t="s">
        <v>93</v>
      </c>
      <c r="H61" s="8" t="s">
        <v>94</v>
      </c>
    </row>
    <row r="62" spans="1:9" ht="28.8" x14ac:dyDescent="0.3">
      <c r="B62" s="32" t="s">
        <v>5</v>
      </c>
      <c r="C62" s="19">
        <v>0.10108032979310826</v>
      </c>
      <c r="E62" s="33" t="s">
        <v>137</v>
      </c>
      <c r="F62" s="19">
        <v>0.56122714234880688</v>
      </c>
      <c r="H62" s="19" t="s">
        <v>29</v>
      </c>
      <c r="I62" s="19">
        <v>0.55789247517188689</v>
      </c>
    </row>
    <row r="63" spans="1:9" ht="28.8" x14ac:dyDescent="0.3">
      <c r="B63" s="31" t="s">
        <v>6</v>
      </c>
      <c r="C63" s="19">
        <v>5.4704242112527279E-2</v>
      </c>
      <c r="E63" s="33" t="s">
        <v>138</v>
      </c>
      <c r="F63" s="19">
        <v>0.28300101123002108</v>
      </c>
      <c r="H63" s="19" t="s">
        <v>30</v>
      </c>
      <c r="I63" s="19">
        <v>0.26334511077158135</v>
      </c>
    </row>
    <row r="64" spans="1:9" ht="28.8" x14ac:dyDescent="0.3">
      <c r="B64" s="32" t="s">
        <v>7</v>
      </c>
      <c r="C64" s="19">
        <v>7.014540700823764E-2</v>
      </c>
      <c r="E64" s="33" t="s">
        <v>139</v>
      </c>
      <c r="F64" s="19">
        <v>0.10822358139925491</v>
      </c>
      <c r="H64" s="19" t="s">
        <v>31</v>
      </c>
      <c r="I64" s="19">
        <v>0.12187261268143622</v>
      </c>
    </row>
    <row r="65" spans="2:9" ht="28.8" x14ac:dyDescent="0.3">
      <c r="B65" s="31" t="s">
        <v>8</v>
      </c>
      <c r="C65" s="19">
        <v>2.5469698482563558E-2</v>
      </c>
      <c r="E65" s="33" t="s">
        <v>140</v>
      </c>
      <c r="F65" s="19">
        <v>4.7548265021917197E-2</v>
      </c>
      <c r="H65" s="19" t="s">
        <v>32</v>
      </c>
      <c r="I65" s="19">
        <v>5.68898013750955E-2</v>
      </c>
    </row>
    <row r="66" spans="2:9" x14ac:dyDescent="0.3">
      <c r="B66" s="32" t="s">
        <v>9</v>
      </c>
      <c r="C66" s="19">
        <v>3.3901843073065915E-2</v>
      </c>
      <c r="E66" s="19"/>
      <c r="F66" s="19"/>
    </row>
    <row r="67" spans="2:9" x14ac:dyDescent="0.3">
      <c r="B67" s="31" t="s">
        <v>10</v>
      </c>
      <c r="C67" s="19">
        <v>2.9212016770336385E-2</v>
      </c>
    </row>
    <row r="68" spans="2:9" x14ac:dyDescent="0.3">
      <c r="B68" s="32" t="s">
        <v>11</v>
      </c>
      <c r="C68" s="19">
        <v>0.18705152396850905</v>
      </c>
      <c r="E68" s="43" t="s">
        <v>95</v>
      </c>
      <c r="H68" t="s">
        <v>96</v>
      </c>
    </row>
    <row r="69" spans="2:9" x14ac:dyDescent="0.3">
      <c r="B69" s="31" t="s">
        <v>12</v>
      </c>
      <c r="C69" s="19">
        <v>9.6542583888482719E-2</v>
      </c>
      <c r="E69" s="31" t="s">
        <v>44</v>
      </c>
      <c r="F69" s="19">
        <v>0.723367198838897</v>
      </c>
      <c r="H69" s="33" t="s">
        <v>34</v>
      </c>
      <c r="I69" s="19">
        <v>0.50117381987773368</v>
      </c>
    </row>
    <row r="70" spans="2:9" ht="28.8" x14ac:dyDescent="0.3">
      <c r="B70" s="32" t="s">
        <v>13</v>
      </c>
      <c r="C70" s="19">
        <v>9.1366401580224937E-2</v>
      </c>
      <c r="E70" s="34" t="s">
        <v>45</v>
      </c>
      <c r="F70" s="19">
        <v>0.20621190130624092</v>
      </c>
      <c r="H70" s="19" t="s">
        <v>35</v>
      </c>
      <c r="I70" s="19">
        <v>0.32189449801474762</v>
      </c>
    </row>
    <row r="71" spans="2:9" ht="28.8" x14ac:dyDescent="0.3">
      <c r="E71" s="35" t="s">
        <v>46</v>
      </c>
      <c r="F71" s="19">
        <v>7.0420899854862121E-2</v>
      </c>
      <c r="H71" s="33" t="s">
        <v>36</v>
      </c>
      <c r="I71" s="19">
        <v>0.12537026533056028</v>
      </c>
    </row>
    <row r="72" spans="2:9" x14ac:dyDescent="0.3">
      <c r="H72" s="19" t="s">
        <v>32</v>
      </c>
      <c r="I72" s="19">
        <v>5.1561416776958469E-2</v>
      </c>
    </row>
    <row r="73" spans="2:9" x14ac:dyDescent="0.3">
      <c r="B73" s="8" t="s">
        <v>97</v>
      </c>
      <c r="E73" s="8" t="s">
        <v>98</v>
      </c>
    </row>
    <row r="74" spans="2:9" x14ac:dyDescent="0.3">
      <c r="B74" s="19" t="s">
        <v>47</v>
      </c>
      <c r="C74" s="19">
        <v>0.72551773647330553</v>
      </c>
      <c r="E74" s="19" t="s">
        <v>38</v>
      </c>
      <c r="F74" s="19">
        <v>0.60569340287453721</v>
      </c>
      <c r="H74" s="8" t="s">
        <v>99</v>
      </c>
    </row>
    <row r="75" spans="2:9" x14ac:dyDescent="0.3">
      <c r="B75" s="19" t="s">
        <v>48</v>
      </c>
      <c r="C75" s="19">
        <v>0.20664200883312267</v>
      </c>
      <c r="E75" s="19" t="s">
        <v>39</v>
      </c>
      <c r="F75" s="19">
        <v>0.231831320358103</v>
      </c>
      <c r="H75" s="19" t="s">
        <v>50</v>
      </c>
      <c r="I75" s="19">
        <v>0.74816441364166619</v>
      </c>
    </row>
    <row r="76" spans="2:9" x14ac:dyDescent="0.3">
      <c r="B76" s="19" t="s">
        <v>49</v>
      </c>
      <c r="C76" s="19">
        <v>6.78402546935718E-2</v>
      </c>
      <c r="E76" s="19" t="s">
        <v>40</v>
      </c>
      <c r="F76" s="19">
        <v>0.11039846343680276</v>
      </c>
      <c r="H76" s="33" t="s">
        <v>51</v>
      </c>
      <c r="I76" s="19">
        <v>0.18040211349756399</v>
      </c>
    </row>
    <row r="77" spans="2:9" x14ac:dyDescent="0.3">
      <c r="E77" s="19" t="s">
        <v>32</v>
      </c>
      <c r="F77" s="19">
        <v>5.2076813330556956E-2</v>
      </c>
      <c r="H77" s="19" t="s">
        <v>52</v>
      </c>
      <c r="I77" s="19">
        <v>7.1433472860769912E-2</v>
      </c>
    </row>
    <row r="78" spans="2:9" x14ac:dyDescent="0.3">
      <c r="B78" s="8" t="s">
        <v>100</v>
      </c>
    </row>
    <row r="79" spans="2:9" x14ac:dyDescent="0.3">
      <c r="B79" s="19" t="s">
        <v>54</v>
      </c>
      <c r="C79" s="19">
        <v>0.32780748692877526</v>
      </c>
      <c r="E79" s="8" t="s">
        <v>101</v>
      </c>
      <c r="H79" s="8" t="s">
        <v>102</v>
      </c>
    </row>
    <row r="80" spans="2:9" ht="28.8" x14ac:dyDescent="0.3">
      <c r="B80" s="19" t="s">
        <v>55</v>
      </c>
      <c r="C80" s="19">
        <v>0.23492157543945874</v>
      </c>
      <c r="E80" s="33" t="s">
        <v>77</v>
      </c>
      <c r="F80" s="19">
        <v>0.73695244400308946</v>
      </c>
      <c r="H80" s="19" t="s">
        <v>41</v>
      </c>
      <c r="I80" s="19">
        <v>0.557907895445931</v>
      </c>
    </row>
    <row r="81" spans="1:13" ht="28.8" x14ac:dyDescent="0.3">
      <c r="B81" s="19" t="s">
        <v>62</v>
      </c>
      <c r="C81" s="19">
        <v>0.15594629652626857</v>
      </c>
      <c r="E81" s="33" t="s">
        <v>78</v>
      </c>
      <c r="F81" s="19">
        <v>0.18627937768950678</v>
      </c>
      <c r="H81" s="19" t="s">
        <v>42</v>
      </c>
      <c r="I81" s="19">
        <v>0.2767346368753989</v>
      </c>
    </row>
    <row r="82" spans="1:13" ht="28.8" x14ac:dyDescent="0.3">
      <c r="B82" s="19" t="s">
        <v>63</v>
      </c>
      <c r="C82" s="19">
        <v>0.1186709536542713</v>
      </c>
      <c r="E82" s="33" t="s">
        <v>79</v>
      </c>
      <c r="F82" s="19">
        <v>7.6768178307403734E-2</v>
      </c>
      <c r="H82" s="19" t="s">
        <v>43</v>
      </c>
      <c r="I82" s="19">
        <v>0.11250689303498926</v>
      </c>
    </row>
    <row r="83" spans="1:13" x14ac:dyDescent="0.3">
      <c r="B83" s="19" t="s">
        <v>58</v>
      </c>
      <c r="C83" s="19">
        <v>7.4640203931419055E-2</v>
      </c>
      <c r="H83" s="19" t="s">
        <v>32</v>
      </c>
      <c r="I83" s="19">
        <v>5.2850574643680856E-2</v>
      </c>
    </row>
    <row r="84" spans="1:13" x14ac:dyDescent="0.3">
      <c r="B84" s="19" t="s">
        <v>61</v>
      </c>
      <c r="C84" s="19">
        <v>4.1363495855818985E-2</v>
      </c>
    </row>
    <row r="85" spans="1:13" x14ac:dyDescent="0.3">
      <c r="B85" s="19" t="s">
        <v>56</v>
      </c>
      <c r="C85" s="19">
        <v>2.7711652475463491E-2</v>
      </c>
    </row>
    <row r="86" spans="1:13" x14ac:dyDescent="0.3">
      <c r="B86" s="19" t="s">
        <v>57</v>
      </c>
      <c r="C86" s="19">
        <v>1.8938335188524648E-2</v>
      </c>
    </row>
    <row r="88" spans="1:13" x14ac:dyDescent="0.3">
      <c r="B88" s="8" t="s">
        <v>86</v>
      </c>
    </row>
    <row r="90" spans="1:13" x14ac:dyDescent="0.3">
      <c r="A90" s="63" t="s">
        <v>120</v>
      </c>
      <c r="B90" s="63" t="s">
        <v>64</v>
      </c>
      <c r="C90" s="63" t="s">
        <v>65</v>
      </c>
      <c r="D90" s="60" t="s">
        <v>66</v>
      </c>
      <c r="E90" s="61"/>
      <c r="F90" s="61"/>
      <c r="G90" s="61"/>
      <c r="H90" s="61"/>
      <c r="I90" s="61"/>
      <c r="J90" s="61"/>
      <c r="K90" s="61"/>
      <c r="L90" s="61"/>
      <c r="M90" s="62"/>
    </row>
    <row r="91" spans="1:13" x14ac:dyDescent="0.3">
      <c r="A91" s="63"/>
      <c r="B91" s="63"/>
      <c r="C91" s="63"/>
      <c r="D91" s="30" t="s">
        <v>4</v>
      </c>
      <c r="E91" s="28" t="s">
        <v>5</v>
      </c>
      <c r="F91" s="28" t="s">
        <v>67</v>
      </c>
      <c r="G91" s="28" t="s">
        <v>68</v>
      </c>
      <c r="H91" s="28" t="s">
        <v>8</v>
      </c>
      <c r="I91" s="28" t="s">
        <v>69</v>
      </c>
      <c r="J91" s="56" t="s">
        <v>70</v>
      </c>
      <c r="K91" s="36" t="s">
        <v>71</v>
      </c>
      <c r="L91" s="36" t="s">
        <v>121</v>
      </c>
      <c r="M91" s="37" t="s">
        <v>13</v>
      </c>
    </row>
    <row r="92" spans="1:13" x14ac:dyDescent="0.3">
      <c r="A92" s="30">
        <v>1</v>
      </c>
      <c r="B92" s="30" t="s">
        <v>74</v>
      </c>
      <c r="C92" s="30" t="s">
        <v>108</v>
      </c>
      <c r="D92" s="48" t="s">
        <v>122</v>
      </c>
      <c r="E92" s="48" t="s">
        <v>123</v>
      </c>
      <c r="F92" s="48" t="s">
        <v>44</v>
      </c>
      <c r="G92" s="48" t="s">
        <v>35</v>
      </c>
      <c r="H92" s="48" t="s">
        <v>124</v>
      </c>
      <c r="I92" s="48" t="s">
        <v>39</v>
      </c>
      <c r="J92" s="48" t="s">
        <v>125</v>
      </c>
      <c r="K92" s="48" t="s">
        <v>126</v>
      </c>
      <c r="L92" s="48" t="s">
        <v>127</v>
      </c>
      <c r="M92" s="49" t="s">
        <v>128</v>
      </c>
    </row>
    <row r="93" spans="1:13" x14ac:dyDescent="0.3">
      <c r="A93" s="30">
        <v>2</v>
      </c>
      <c r="B93" s="30" t="s">
        <v>75</v>
      </c>
      <c r="C93" s="30" t="s">
        <v>108</v>
      </c>
      <c r="D93" s="48" t="s">
        <v>129</v>
      </c>
      <c r="E93" s="48" t="s">
        <v>31</v>
      </c>
      <c r="F93" s="48" t="s">
        <v>130</v>
      </c>
      <c r="G93" s="48" t="s">
        <v>131</v>
      </c>
      <c r="H93" s="48" t="s">
        <v>124</v>
      </c>
      <c r="I93" s="48" t="s">
        <v>39</v>
      </c>
      <c r="J93" s="48" t="s">
        <v>125</v>
      </c>
      <c r="K93" s="48" t="s">
        <v>126</v>
      </c>
      <c r="L93" s="48" t="s">
        <v>127</v>
      </c>
      <c r="M93" s="49" t="s">
        <v>128</v>
      </c>
    </row>
    <row r="94" spans="1:13" x14ac:dyDescent="0.3">
      <c r="A94" s="30">
        <v>3</v>
      </c>
      <c r="B94" s="30" t="s">
        <v>109</v>
      </c>
      <c r="C94" s="30" t="s">
        <v>108</v>
      </c>
      <c r="D94" s="48" t="s">
        <v>122</v>
      </c>
      <c r="E94" s="48" t="s">
        <v>123</v>
      </c>
      <c r="F94" s="48" t="s">
        <v>130</v>
      </c>
      <c r="G94" s="48" t="s">
        <v>131</v>
      </c>
      <c r="H94" s="48" t="s">
        <v>124</v>
      </c>
      <c r="I94" s="48" t="s">
        <v>39</v>
      </c>
      <c r="J94" s="48" t="s">
        <v>125</v>
      </c>
      <c r="K94" s="48" t="s">
        <v>132</v>
      </c>
      <c r="L94" s="48" t="s">
        <v>127</v>
      </c>
      <c r="M94" s="49" t="s">
        <v>128</v>
      </c>
    </row>
    <row r="95" spans="1:13" x14ac:dyDescent="0.3">
      <c r="A95" s="30">
        <v>4</v>
      </c>
      <c r="B95" s="30" t="s">
        <v>110</v>
      </c>
      <c r="C95" s="30" t="s">
        <v>108</v>
      </c>
      <c r="D95" s="48" t="s">
        <v>122</v>
      </c>
      <c r="E95" s="48" t="s">
        <v>123</v>
      </c>
      <c r="F95" s="48" t="s">
        <v>130</v>
      </c>
      <c r="G95" s="48" t="s">
        <v>131</v>
      </c>
      <c r="H95" s="48" t="s">
        <v>124</v>
      </c>
      <c r="I95" s="48" t="s">
        <v>39</v>
      </c>
      <c r="J95" s="48" t="s">
        <v>125</v>
      </c>
      <c r="K95" s="48" t="s">
        <v>126</v>
      </c>
      <c r="L95" s="48" t="s">
        <v>127</v>
      </c>
      <c r="M95" s="49" t="s">
        <v>128</v>
      </c>
    </row>
    <row r="96" spans="1:13" x14ac:dyDescent="0.3">
      <c r="A96" s="30">
        <v>5</v>
      </c>
      <c r="B96" s="30" t="s">
        <v>111</v>
      </c>
      <c r="C96" s="30" t="s">
        <v>108</v>
      </c>
      <c r="D96" s="48" t="s">
        <v>122</v>
      </c>
      <c r="E96" s="48" t="s">
        <v>123</v>
      </c>
      <c r="F96" s="48" t="s">
        <v>44</v>
      </c>
      <c r="G96" s="48" t="s">
        <v>35</v>
      </c>
      <c r="H96" s="48" t="s">
        <v>124</v>
      </c>
      <c r="I96" s="48" t="s">
        <v>39</v>
      </c>
      <c r="J96" s="48" t="s">
        <v>125</v>
      </c>
      <c r="K96" s="48" t="s">
        <v>126</v>
      </c>
      <c r="L96" s="48" t="s">
        <v>127</v>
      </c>
      <c r="M96" s="49" t="s">
        <v>128</v>
      </c>
    </row>
    <row r="97" spans="1:16" x14ac:dyDescent="0.3">
      <c r="A97" s="30">
        <v>6</v>
      </c>
      <c r="B97" s="30" t="s">
        <v>112</v>
      </c>
      <c r="C97" s="30" t="s">
        <v>108</v>
      </c>
      <c r="D97" s="48" t="s">
        <v>122</v>
      </c>
      <c r="E97" s="48" t="s">
        <v>123</v>
      </c>
      <c r="F97" s="48" t="s">
        <v>44</v>
      </c>
      <c r="G97" s="48" t="s">
        <v>35</v>
      </c>
      <c r="H97" s="48" t="s">
        <v>124</v>
      </c>
      <c r="I97" s="48" t="s">
        <v>39</v>
      </c>
      <c r="J97" s="48" t="s">
        <v>125</v>
      </c>
      <c r="K97" s="48" t="s">
        <v>126</v>
      </c>
      <c r="L97" s="48" t="s">
        <v>127</v>
      </c>
      <c r="M97" s="49" t="s">
        <v>128</v>
      </c>
    </row>
    <row r="98" spans="1:16" x14ac:dyDescent="0.3">
      <c r="A98" s="30">
        <v>7</v>
      </c>
      <c r="B98" s="30" t="s">
        <v>113</v>
      </c>
      <c r="C98" s="30" t="s">
        <v>108</v>
      </c>
      <c r="D98" s="48" t="s">
        <v>129</v>
      </c>
      <c r="E98" s="48" t="s">
        <v>123</v>
      </c>
      <c r="F98" s="48" t="s">
        <v>130</v>
      </c>
      <c r="G98" s="48" t="s">
        <v>131</v>
      </c>
      <c r="H98" s="48" t="s">
        <v>124</v>
      </c>
      <c r="I98" s="48" t="s">
        <v>39</v>
      </c>
      <c r="J98" s="48" t="s">
        <v>125</v>
      </c>
      <c r="K98" s="48" t="s">
        <v>126</v>
      </c>
      <c r="L98" s="48" t="s">
        <v>127</v>
      </c>
      <c r="M98" s="49" t="s">
        <v>128</v>
      </c>
    </row>
    <row r="99" spans="1:16" x14ac:dyDescent="0.3">
      <c r="A99" s="30">
        <v>8</v>
      </c>
      <c r="B99" s="30" t="s">
        <v>114</v>
      </c>
      <c r="C99" s="30" t="s">
        <v>108</v>
      </c>
      <c r="D99" s="48" t="s">
        <v>129</v>
      </c>
      <c r="E99" s="48" t="s">
        <v>32</v>
      </c>
      <c r="F99" s="48" t="s">
        <v>46</v>
      </c>
      <c r="G99" s="48" t="s">
        <v>32</v>
      </c>
      <c r="H99" s="48" t="s">
        <v>124</v>
      </c>
      <c r="I99" s="48" t="s">
        <v>32</v>
      </c>
      <c r="J99" s="48" t="s">
        <v>125</v>
      </c>
      <c r="K99" s="48" t="s">
        <v>126</v>
      </c>
      <c r="L99" s="48" t="s">
        <v>127</v>
      </c>
      <c r="M99" s="49" t="s">
        <v>128</v>
      </c>
    </row>
    <row r="100" spans="1:16" x14ac:dyDescent="0.3">
      <c r="A100" s="30">
        <v>9</v>
      </c>
      <c r="B100" s="30" t="s">
        <v>115</v>
      </c>
      <c r="C100" s="30" t="s">
        <v>108</v>
      </c>
      <c r="D100" s="48" t="s">
        <v>129</v>
      </c>
      <c r="E100" s="48" t="s">
        <v>32</v>
      </c>
      <c r="F100" s="48" t="s">
        <v>46</v>
      </c>
      <c r="G100" s="48" t="s">
        <v>131</v>
      </c>
      <c r="H100" s="48" t="s">
        <v>124</v>
      </c>
      <c r="I100" s="48" t="s">
        <v>39</v>
      </c>
      <c r="J100" s="48" t="s">
        <v>125</v>
      </c>
      <c r="K100" s="48" t="s">
        <v>133</v>
      </c>
      <c r="L100" s="48" t="s">
        <v>127</v>
      </c>
      <c r="M100" s="49" t="s">
        <v>128</v>
      </c>
    </row>
    <row r="101" spans="1:16" x14ac:dyDescent="0.3">
      <c r="A101" s="30">
        <v>10</v>
      </c>
      <c r="B101" s="30" t="s">
        <v>116</v>
      </c>
      <c r="C101" s="30" t="s">
        <v>108</v>
      </c>
      <c r="D101" s="48" t="s">
        <v>129</v>
      </c>
      <c r="E101" s="48" t="s">
        <v>31</v>
      </c>
      <c r="F101" s="48" t="s">
        <v>46</v>
      </c>
      <c r="G101" s="48" t="s">
        <v>35</v>
      </c>
      <c r="H101" s="48" t="s">
        <v>124</v>
      </c>
      <c r="I101" s="48" t="s">
        <v>39</v>
      </c>
      <c r="J101" s="48" t="s">
        <v>125</v>
      </c>
      <c r="K101" s="48" t="s">
        <v>133</v>
      </c>
      <c r="L101" s="48" t="s">
        <v>79</v>
      </c>
      <c r="M101" s="49" t="s">
        <v>128</v>
      </c>
    </row>
    <row r="102" spans="1:16" x14ac:dyDescent="0.3">
      <c r="A102" s="30">
        <v>11</v>
      </c>
      <c r="B102" s="30" t="s">
        <v>117</v>
      </c>
      <c r="C102" s="30" t="s">
        <v>108</v>
      </c>
      <c r="D102" s="48" t="s">
        <v>134</v>
      </c>
      <c r="E102" s="48" t="s">
        <v>32</v>
      </c>
      <c r="F102" s="48" t="s">
        <v>130</v>
      </c>
      <c r="G102" s="48" t="s">
        <v>131</v>
      </c>
      <c r="H102" s="48" t="s">
        <v>124</v>
      </c>
      <c r="I102" s="48" t="s">
        <v>39</v>
      </c>
      <c r="J102" s="48" t="s">
        <v>125</v>
      </c>
      <c r="K102" s="48" t="s">
        <v>126</v>
      </c>
      <c r="L102" s="48" t="s">
        <v>127</v>
      </c>
      <c r="M102" s="49" t="s">
        <v>128</v>
      </c>
    </row>
    <row r="103" spans="1:16" x14ac:dyDescent="0.3">
      <c r="A103" s="30">
        <v>12</v>
      </c>
      <c r="B103" s="30" t="s">
        <v>118</v>
      </c>
      <c r="C103" s="30" t="s">
        <v>108</v>
      </c>
      <c r="D103" s="48" t="s">
        <v>129</v>
      </c>
      <c r="E103" s="48" t="s">
        <v>32</v>
      </c>
      <c r="F103" s="48" t="s">
        <v>130</v>
      </c>
      <c r="G103" s="48" t="s">
        <v>131</v>
      </c>
      <c r="H103" s="48" t="s">
        <v>124</v>
      </c>
      <c r="I103" s="48" t="s">
        <v>39</v>
      </c>
      <c r="J103" s="48" t="s">
        <v>125</v>
      </c>
      <c r="K103" s="48" t="s">
        <v>126</v>
      </c>
      <c r="L103" s="48" t="s">
        <v>127</v>
      </c>
      <c r="M103" s="49" t="s">
        <v>32</v>
      </c>
    </row>
    <row r="104" spans="1:16" x14ac:dyDescent="0.3">
      <c r="A104" s="30">
        <v>13</v>
      </c>
      <c r="B104" s="30" t="s">
        <v>119</v>
      </c>
      <c r="C104" s="30" t="s">
        <v>108</v>
      </c>
      <c r="D104" s="48" t="s">
        <v>122</v>
      </c>
      <c r="E104" s="48" t="s">
        <v>123</v>
      </c>
      <c r="F104" s="48" t="s">
        <v>130</v>
      </c>
      <c r="G104" s="48" t="s">
        <v>35</v>
      </c>
      <c r="H104" s="48" t="s">
        <v>124</v>
      </c>
      <c r="I104" s="48" t="s">
        <v>39</v>
      </c>
      <c r="J104" s="48" t="s">
        <v>125</v>
      </c>
      <c r="K104" s="48" t="s">
        <v>126</v>
      </c>
      <c r="L104" s="48" t="s">
        <v>127</v>
      </c>
      <c r="M104" s="49" t="s">
        <v>128</v>
      </c>
    </row>
    <row r="106" spans="1:16" x14ac:dyDescent="0.3">
      <c r="B106" s="8" t="s">
        <v>85</v>
      </c>
    </row>
    <row r="108" spans="1:16" x14ac:dyDescent="0.3">
      <c r="B108" s="64" t="s">
        <v>64</v>
      </c>
      <c r="C108" s="45" t="s">
        <v>66</v>
      </c>
      <c r="D108" s="46"/>
      <c r="E108" s="46"/>
      <c r="F108" s="46"/>
      <c r="G108" s="46"/>
      <c r="H108" s="46"/>
      <c r="I108" s="46"/>
      <c r="J108" s="46"/>
      <c r="K108" s="46"/>
      <c r="L108" s="47"/>
      <c r="M108" s="66" t="s">
        <v>81</v>
      </c>
      <c r="N108" s="68" t="s">
        <v>141</v>
      </c>
      <c r="O108" s="54" t="s">
        <v>84</v>
      </c>
    </row>
    <row r="109" spans="1:16" x14ac:dyDescent="0.3">
      <c r="B109" s="65"/>
      <c r="C109" s="30" t="s">
        <v>4</v>
      </c>
      <c r="D109" s="28" t="s">
        <v>5</v>
      </c>
      <c r="E109" s="28" t="s">
        <v>67</v>
      </c>
      <c r="F109" s="28" t="s">
        <v>68</v>
      </c>
      <c r="G109" s="28" t="s">
        <v>8</v>
      </c>
      <c r="H109" s="28" t="s">
        <v>69</v>
      </c>
      <c r="I109" s="28" t="s">
        <v>70</v>
      </c>
      <c r="J109" s="29" t="s">
        <v>71</v>
      </c>
      <c r="K109" s="36" t="s">
        <v>80</v>
      </c>
      <c r="L109" s="37" t="s">
        <v>13</v>
      </c>
      <c r="M109" s="67"/>
      <c r="N109" s="68"/>
      <c r="O109" s="55"/>
    </row>
    <row r="110" spans="1:16" x14ac:dyDescent="0.3">
      <c r="B110" s="50" t="s">
        <v>74</v>
      </c>
      <c r="C110" s="39">
        <f>F63*$C$61</f>
        <v>8.7879158803559551E-2</v>
      </c>
      <c r="D110" s="40">
        <f>I63*$C$62</f>
        <v>2.6619010646194069E-2</v>
      </c>
      <c r="E110" s="40">
        <f>F69*$C$63</f>
        <v>3.9571254381543686E-2</v>
      </c>
      <c r="F110" s="40">
        <f>I70*$C$64</f>
        <v>2.2579420576956815E-2</v>
      </c>
      <c r="G110" s="40">
        <f>$C$75*$C$65</f>
        <v>5.2631096588108698E-3</v>
      </c>
      <c r="H110" s="40">
        <f>F75*$C$66</f>
        <v>7.8595090422020793E-3</v>
      </c>
      <c r="I110" s="40">
        <f>$I$75*$C$67</f>
        <v>2.1855391398269242E-2</v>
      </c>
      <c r="J110" s="40">
        <f>C81*$C$68</f>
        <v>2.9169992422483543E-2</v>
      </c>
      <c r="K110" s="40">
        <f>$F$81*$C$69</f>
        <v>1.7983892447283566E-2</v>
      </c>
      <c r="L110" s="40">
        <f>$I$81*$C$70</f>
        <v>2.5284247963915419E-2</v>
      </c>
      <c r="M110" s="51">
        <f>SUM(C110:L110)*1000</f>
        <v>284.06498734121885</v>
      </c>
      <c r="N110" s="52" t="str">
        <f>IF(M110&gt;=375,"A",IF(AND(M110&gt;=300,M110&lt;400),"B",IF(AND(M110&gt;=200,M110&lt;300),"C","D")))</f>
        <v>C</v>
      </c>
      <c r="O110" s="19" t="str">
        <f t="shared" ref="O110:O122" si="14">IF(N110="A","100% dari pembagaian omset per divisi",IF(N110="B","75% dari pembagian omset per divisi",IF(N110="C","50% dari pembagian omset per divisi","25% dari pembagian omset per divisi")))</f>
        <v>50% dari pembagian omset per divisi</v>
      </c>
      <c r="P110" s="53" t="s">
        <v>72</v>
      </c>
    </row>
    <row r="111" spans="1:16" x14ac:dyDescent="0.3">
      <c r="B111" s="50" t="s">
        <v>75</v>
      </c>
      <c r="C111" s="39">
        <f>F64*$C$61</f>
        <v>3.3606230786026883E-2</v>
      </c>
      <c r="D111" s="40">
        <f>I64*$C$62</f>
        <v>1.231892388258732E-2</v>
      </c>
      <c r="E111" s="40">
        <f t="shared" ref="E111" si="15">F70*$C$63</f>
        <v>1.1280665775541184E-2</v>
      </c>
      <c r="F111" s="40">
        <f t="shared" ref="F111" si="16">I71*$C$64</f>
        <v>8.7941482883428963E-3</v>
      </c>
      <c r="G111" s="40">
        <f t="shared" ref="G111:G122" si="17">$C$75*$C$65</f>
        <v>5.2631096588108698E-3</v>
      </c>
      <c r="H111" s="40">
        <f>F75*$C$66</f>
        <v>7.8595090422020793E-3</v>
      </c>
      <c r="I111" s="40">
        <f t="shared" ref="I111:I121" si="18">$I$75*$C$67</f>
        <v>2.1855391398269242E-2</v>
      </c>
      <c r="J111" s="40">
        <f>C81*$C$68</f>
        <v>2.9169992422483543E-2</v>
      </c>
      <c r="K111" s="40">
        <f t="shared" ref="K111:K122" si="19">$F$81*$C$69</f>
        <v>1.7983892447283566E-2</v>
      </c>
      <c r="L111" s="40">
        <f t="shared" ref="L111:L122" si="20">$I$81*$C$70</f>
        <v>2.5284247963915419E-2</v>
      </c>
      <c r="M111" s="51">
        <f t="shared" ref="M111:M122" si="21">SUM(C111:L111)*1000</f>
        <v>173.41611166546301</v>
      </c>
      <c r="N111" s="52" t="str">
        <f t="shared" ref="N111:N122" si="22">IF(M111&gt;=375,"A",IF(AND(M111&gt;=300,M111&lt;400),"B",IF(AND(M111&gt;=200,M111&lt;300),"C","D")))</f>
        <v>D</v>
      </c>
      <c r="O111" s="19" t="str">
        <f t="shared" si="14"/>
        <v>25% dari pembagian omset per divisi</v>
      </c>
      <c r="P111" s="53" t="s">
        <v>73</v>
      </c>
    </row>
    <row r="112" spans="1:16" x14ac:dyDescent="0.3">
      <c r="B112" s="50" t="s">
        <v>109</v>
      </c>
      <c r="C112" s="39">
        <f>F63*$C$61</f>
        <v>8.7879158803559551E-2</v>
      </c>
      <c r="D112" s="40">
        <f>I63*$C$62</f>
        <v>2.6619010646194069E-2</v>
      </c>
      <c r="E112" s="40">
        <f>F70*$C$63</f>
        <v>1.1280665775541184E-2</v>
      </c>
      <c r="F112" s="40">
        <f>I71*$C$64</f>
        <v>8.7941482883428963E-3</v>
      </c>
      <c r="G112" s="40">
        <f t="shared" si="17"/>
        <v>5.2631096588108698E-3</v>
      </c>
      <c r="H112" s="40">
        <f>F75*$C$66</f>
        <v>7.8595090422020793E-3</v>
      </c>
      <c r="I112" s="40">
        <f t="shared" si="18"/>
        <v>2.1855391398269242E-2</v>
      </c>
      <c r="J112" s="40">
        <f t="shared" ref="J112" si="23">C83*$C$68</f>
        <v>1.3961563894692235E-2</v>
      </c>
      <c r="K112" s="40">
        <f t="shared" si="19"/>
        <v>1.7983892447283566E-2</v>
      </c>
      <c r="L112" s="40">
        <f t="shared" si="20"/>
        <v>2.5284247963915419E-2</v>
      </c>
      <c r="M112" s="51">
        <f t="shared" si="21"/>
        <v>226.7806979188112</v>
      </c>
      <c r="N112" s="42" t="str">
        <f t="shared" si="22"/>
        <v>C</v>
      </c>
      <c r="O112" s="19" t="str">
        <f t="shared" si="14"/>
        <v>50% dari pembagian omset per divisi</v>
      </c>
      <c r="P112" t="s">
        <v>73</v>
      </c>
    </row>
    <row r="113" spans="2:16" x14ac:dyDescent="0.3">
      <c r="B113" s="50" t="s">
        <v>110</v>
      </c>
      <c r="C113" s="39">
        <f>F63*$C$61</f>
        <v>8.7879158803559551E-2</v>
      </c>
      <c r="D113" s="40">
        <f>I63*$C$62</f>
        <v>2.6619010646194069E-2</v>
      </c>
      <c r="E113" s="40">
        <f>F70*$C$63</f>
        <v>1.1280665775541184E-2</v>
      </c>
      <c r="F113" s="40">
        <f>I71*$C$64</f>
        <v>8.7941482883428963E-3</v>
      </c>
      <c r="G113" s="40">
        <f t="shared" si="17"/>
        <v>5.2631096588108698E-3</v>
      </c>
      <c r="H113" s="40">
        <f>F75*$C$66</f>
        <v>7.8595090422020793E-3</v>
      </c>
      <c r="I113" s="40">
        <f t="shared" si="18"/>
        <v>2.1855391398269242E-2</v>
      </c>
      <c r="J113" s="40">
        <f>C81*$C$68</f>
        <v>2.9169992422483543E-2</v>
      </c>
      <c r="K113" s="40">
        <f t="shared" si="19"/>
        <v>1.7983892447283566E-2</v>
      </c>
      <c r="L113" s="40">
        <f t="shared" si="20"/>
        <v>2.5284247963915419E-2</v>
      </c>
      <c r="M113" s="51">
        <f t="shared" si="21"/>
        <v>241.98912644660251</v>
      </c>
      <c r="N113" s="42" t="str">
        <f t="shared" si="22"/>
        <v>C</v>
      </c>
      <c r="O113" s="19" t="str">
        <f t="shared" si="14"/>
        <v>50% dari pembagian omset per divisi</v>
      </c>
      <c r="P113" t="s">
        <v>73</v>
      </c>
    </row>
    <row r="114" spans="2:16" x14ac:dyDescent="0.3">
      <c r="B114" s="50" t="s">
        <v>111</v>
      </c>
      <c r="C114" s="39">
        <f>F63*$C$61</f>
        <v>8.7879158803559551E-2</v>
      </c>
      <c r="D114" s="40">
        <f>I63*$C$62</f>
        <v>2.6619010646194069E-2</v>
      </c>
      <c r="E114" s="40">
        <f>F69*$C$63</f>
        <v>3.9571254381543686E-2</v>
      </c>
      <c r="F114" s="40">
        <f>I70*$C$64</f>
        <v>2.2579420576956815E-2</v>
      </c>
      <c r="G114" s="40">
        <f t="shared" si="17"/>
        <v>5.2631096588108698E-3</v>
      </c>
      <c r="H114" s="40">
        <f>F75*$C$66</f>
        <v>7.8595090422020793E-3</v>
      </c>
      <c r="I114" s="40">
        <f t="shared" si="18"/>
        <v>2.1855391398269242E-2</v>
      </c>
      <c r="J114" s="40">
        <f>C81*$C$68</f>
        <v>2.9169992422483543E-2</v>
      </c>
      <c r="K114" s="40">
        <f t="shared" si="19"/>
        <v>1.7983892447283566E-2</v>
      </c>
      <c r="L114" s="40">
        <f t="shared" si="20"/>
        <v>2.5284247963915419E-2</v>
      </c>
      <c r="M114" s="51">
        <f t="shared" si="21"/>
        <v>284.06498734121885</v>
      </c>
      <c r="N114" s="52" t="str">
        <f t="shared" si="22"/>
        <v>C</v>
      </c>
      <c r="O114" s="19" t="str">
        <f t="shared" si="14"/>
        <v>50% dari pembagian omset per divisi</v>
      </c>
      <c r="P114" s="53" t="s">
        <v>72</v>
      </c>
    </row>
    <row r="115" spans="2:16" x14ac:dyDescent="0.3">
      <c r="B115" s="50" t="s">
        <v>112</v>
      </c>
      <c r="C115" s="39">
        <f>F63*$C$61</f>
        <v>8.7879158803559551E-2</v>
      </c>
      <c r="D115" s="40">
        <f>I63*$C$62</f>
        <v>2.6619010646194069E-2</v>
      </c>
      <c r="E115" s="40">
        <f>F69*$C$63</f>
        <v>3.9571254381543686E-2</v>
      </c>
      <c r="F115" s="40">
        <f>I70*$C$64</f>
        <v>2.2579420576956815E-2</v>
      </c>
      <c r="G115" s="40">
        <f t="shared" si="17"/>
        <v>5.2631096588108698E-3</v>
      </c>
      <c r="H115" s="40">
        <f>F75*$C$66</f>
        <v>7.8595090422020793E-3</v>
      </c>
      <c r="I115" s="40">
        <f t="shared" si="18"/>
        <v>2.1855391398269242E-2</v>
      </c>
      <c r="J115" s="40">
        <f>C81*$C$68</f>
        <v>2.9169992422483543E-2</v>
      </c>
      <c r="K115" s="40">
        <f t="shared" si="19"/>
        <v>1.7983892447283566E-2</v>
      </c>
      <c r="L115" s="40">
        <f t="shared" si="20"/>
        <v>2.5284247963915419E-2</v>
      </c>
      <c r="M115" s="51">
        <f t="shared" si="21"/>
        <v>284.06498734121885</v>
      </c>
      <c r="N115" s="52" t="str">
        <f t="shared" si="22"/>
        <v>C</v>
      </c>
      <c r="O115" s="19" t="str">
        <f t="shared" si="14"/>
        <v>50% dari pembagian omset per divisi</v>
      </c>
      <c r="P115" s="53" t="s">
        <v>72</v>
      </c>
    </row>
    <row r="116" spans="2:16" x14ac:dyDescent="0.3">
      <c r="B116" s="50" t="s">
        <v>113</v>
      </c>
      <c r="C116" s="39">
        <f>F64*$C$61</f>
        <v>3.3606230786026883E-2</v>
      </c>
      <c r="D116" s="40">
        <f>I63*$C$62</f>
        <v>2.6619010646194069E-2</v>
      </c>
      <c r="E116" s="40">
        <f>F70*$C$63</f>
        <v>1.1280665775541184E-2</v>
      </c>
      <c r="F116" s="40">
        <f>I71*$C$64</f>
        <v>8.7941482883428963E-3</v>
      </c>
      <c r="G116" s="40">
        <f t="shared" si="17"/>
        <v>5.2631096588108698E-3</v>
      </c>
      <c r="H116" s="40">
        <f>F75*$C$66</f>
        <v>7.8595090422020793E-3</v>
      </c>
      <c r="I116" s="40">
        <f t="shared" si="18"/>
        <v>2.1855391398269242E-2</v>
      </c>
      <c r="J116" s="40">
        <f>C81*$C$68</f>
        <v>2.9169992422483543E-2</v>
      </c>
      <c r="K116" s="40">
        <f t="shared" si="19"/>
        <v>1.7983892447283566E-2</v>
      </c>
      <c r="L116" s="40">
        <f t="shared" si="20"/>
        <v>2.5284247963915419E-2</v>
      </c>
      <c r="M116" s="51">
        <f t="shared" si="21"/>
        <v>187.71619842906975</v>
      </c>
      <c r="N116" s="52" t="str">
        <f t="shared" si="22"/>
        <v>D</v>
      </c>
      <c r="O116" s="19" t="str">
        <f t="shared" si="14"/>
        <v>25% dari pembagian omset per divisi</v>
      </c>
      <c r="P116" s="53" t="s">
        <v>73</v>
      </c>
    </row>
    <row r="117" spans="2:16" x14ac:dyDescent="0.3">
      <c r="B117" s="50" t="s">
        <v>114</v>
      </c>
      <c r="C117" s="39">
        <f>F64*$C$61</f>
        <v>3.3606230786026883E-2</v>
      </c>
      <c r="D117" s="40">
        <f>I65*$C$62</f>
        <v>5.7504398848590771E-3</v>
      </c>
      <c r="E117" s="40">
        <f>F71*$C$63</f>
        <v>3.8523219554424146E-3</v>
      </c>
      <c r="F117" s="40">
        <f>I72*$C$64</f>
        <v>3.6167965657411243E-3</v>
      </c>
      <c r="G117" s="40">
        <f t="shared" si="17"/>
        <v>5.2631096588108698E-3</v>
      </c>
      <c r="H117" s="40">
        <f>F77*$C$66</f>
        <v>1.7654999532778892E-3</v>
      </c>
      <c r="I117" s="40">
        <f t="shared" si="18"/>
        <v>2.1855391398269242E-2</v>
      </c>
      <c r="J117" s="40">
        <f>C81*$C$68</f>
        <v>2.9169992422483543E-2</v>
      </c>
      <c r="K117" s="40">
        <f t="shared" si="19"/>
        <v>1.7983892447283566E-2</v>
      </c>
      <c r="L117" s="40">
        <f t="shared" si="20"/>
        <v>2.5284247963915419E-2</v>
      </c>
      <c r="M117" s="51">
        <f t="shared" si="21"/>
        <v>148.14792303611006</v>
      </c>
      <c r="N117" s="52" t="str">
        <f t="shared" si="22"/>
        <v>D</v>
      </c>
      <c r="O117" s="19" t="str">
        <f t="shared" si="14"/>
        <v>25% dari pembagian omset per divisi</v>
      </c>
      <c r="P117" s="53" t="s">
        <v>73</v>
      </c>
    </row>
    <row r="118" spans="2:16" x14ac:dyDescent="0.3">
      <c r="B118" s="50" t="s">
        <v>115</v>
      </c>
      <c r="C118" s="39">
        <f>F64*$C$61</f>
        <v>3.3606230786026883E-2</v>
      </c>
      <c r="D118" s="40">
        <f>I65*$C$62</f>
        <v>5.7504398848590771E-3</v>
      </c>
      <c r="E118" s="40">
        <f>F71*$C$63</f>
        <v>3.8523219554424146E-3</v>
      </c>
      <c r="F118" s="40">
        <f>I71*$C$64</f>
        <v>8.7941482883428963E-3</v>
      </c>
      <c r="G118" s="40">
        <f t="shared" si="17"/>
        <v>5.2631096588108698E-3</v>
      </c>
      <c r="H118" s="40">
        <f>F75*$C$66</f>
        <v>7.8595090422020793E-3</v>
      </c>
      <c r="I118" s="40">
        <f t="shared" si="18"/>
        <v>2.1855391398269242E-2</v>
      </c>
      <c r="J118" s="40">
        <f>C85*$C$68</f>
        <v>5.1835068272211527E-3</v>
      </c>
      <c r="K118" s="40">
        <f t="shared" si="19"/>
        <v>1.7983892447283566E-2</v>
      </c>
      <c r="L118" s="40">
        <f t="shared" si="20"/>
        <v>2.5284247963915419E-2</v>
      </c>
      <c r="M118" s="51">
        <f t="shared" si="21"/>
        <v>135.4327982523736</v>
      </c>
      <c r="N118" s="42" t="str">
        <f t="shared" si="22"/>
        <v>D</v>
      </c>
      <c r="O118" s="19" t="str">
        <f t="shared" si="14"/>
        <v>25% dari pembagian omset per divisi</v>
      </c>
      <c r="P118" t="s">
        <v>83</v>
      </c>
    </row>
    <row r="119" spans="2:16" x14ac:dyDescent="0.3">
      <c r="B119" s="50" t="s">
        <v>116</v>
      </c>
      <c r="C119" s="39">
        <f>F64*$C$61</f>
        <v>3.3606230786026883E-2</v>
      </c>
      <c r="D119" s="40">
        <f>I64*$C$62</f>
        <v>1.231892388258732E-2</v>
      </c>
      <c r="E119" s="40">
        <f>F71*$C$63</f>
        <v>3.8523219554424146E-3</v>
      </c>
      <c r="F119" s="40">
        <f>I70*$C$64</f>
        <v>2.2579420576956815E-2</v>
      </c>
      <c r="G119" s="40">
        <f t="shared" si="17"/>
        <v>5.2631096588108698E-3</v>
      </c>
      <c r="H119" s="40">
        <f>F75*$C$66</f>
        <v>7.8595090422020793E-3</v>
      </c>
      <c r="I119" s="40">
        <f t="shared" si="18"/>
        <v>2.1855391398269242E-2</v>
      </c>
      <c r="J119" s="40">
        <f>C85*$C$68</f>
        <v>5.1835068272211527E-3</v>
      </c>
      <c r="K119" s="40">
        <f>F82*$C$69</f>
        <v>7.4113982942085243E-3</v>
      </c>
      <c r="L119" s="40">
        <f t="shared" si="20"/>
        <v>2.5284247963915419E-2</v>
      </c>
      <c r="M119" s="51">
        <f t="shared" si="21"/>
        <v>145.21406038564072</v>
      </c>
      <c r="N119" s="42" t="str">
        <f t="shared" si="22"/>
        <v>D</v>
      </c>
      <c r="O119" s="19" t="str">
        <f t="shared" si="14"/>
        <v>25% dari pembagian omset per divisi</v>
      </c>
      <c r="P119" t="s">
        <v>83</v>
      </c>
    </row>
    <row r="120" spans="2:16" x14ac:dyDescent="0.3">
      <c r="B120" s="50" t="s">
        <v>117</v>
      </c>
      <c r="C120" s="39">
        <f>F65*$C$61</f>
        <v>1.4764970324782842E-2</v>
      </c>
      <c r="D120" s="40">
        <f>I65*$C$62</f>
        <v>5.7504398848590771E-3</v>
      </c>
      <c r="E120" s="40">
        <f>F70*$C$63</f>
        <v>1.1280665775541184E-2</v>
      </c>
      <c r="F120" s="40">
        <f>I71*$C$64</f>
        <v>8.7941482883428963E-3</v>
      </c>
      <c r="G120" s="40">
        <f t="shared" si="17"/>
        <v>5.2631096588108698E-3</v>
      </c>
      <c r="H120" s="40">
        <f>F75*$C$66</f>
        <v>7.8595090422020793E-3</v>
      </c>
      <c r="I120" s="40">
        <f t="shared" si="18"/>
        <v>2.1855391398269242E-2</v>
      </c>
      <c r="J120" s="40">
        <f>C81*$C$68</f>
        <v>2.9169992422483543E-2</v>
      </c>
      <c r="K120" s="40">
        <f t="shared" si="19"/>
        <v>1.7983892447283566E-2</v>
      </c>
      <c r="L120" s="40">
        <f>I83*$C$70</f>
        <v>4.828766826640199E-3</v>
      </c>
      <c r="M120" s="51">
        <f t="shared" si="21"/>
        <v>127.55088606921549</v>
      </c>
      <c r="N120" s="52" t="str">
        <f t="shared" si="22"/>
        <v>D</v>
      </c>
      <c r="O120" s="19" t="str">
        <f t="shared" si="14"/>
        <v>25% dari pembagian omset per divisi</v>
      </c>
      <c r="P120" s="53" t="s">
        <v>73</v>
      </c>
    </row>
    <row r="121" spans="2:16" x14ac:dyDescent="0.3">
      <c r="B121" s="50" t="s">
        <v>118</v>
      </c>
      <c r="C121" s="39">
        <f>F64*$C$61</f>
        <v>3.3606230786026883E-2</v>
      </c>
      <c r="D121" s="40">
        <f>I65*$C$62</f>
        <v>5.7504398848590771E-3</v>
      </c>
      <c r="E121" s="40">
        <f>F70*$C$63</f>
        <v>1.1280665775541184E-2</v>
      </c>
      <c r="F121" s="40">
        <f>I71*$C$64</f>
        <v>8.7941482883428963E-3</v>
      </c>
      <c r="G121" s="40">
        <f t="shared" si="17"/>
        <v>5.2631096588108698E-3</v>
      </c>
      <c r="H121" s="40">
        <f>F75*$C$66</f>
        <v>7.8595090422020793E-3</v>
      </c>
      <c r="I121" s="40">
        <f t="shared" si="18"/>
        <v>2.1855391398269242E-2</v>
      </c>
      <c r="J121" s="40">
        <f>C81*$C$68</f>
        <v>2.9169992422483543E-2</v>
      </c>
      <c r="K121" s="40">
        <f t="shared" si="19"/>
        <v>1.7983892447283566E-2</v>
      </c>
      <c r="L121" s="40">
        <f t="shared" si="20"/>
        <v>2.5284247963915419E-2</v>
      </c>
      <c r="M121" s="51">
        <f t="shared" si="21"/>
        <v>166.84762766773474</v>
      </c>
      <c r="N121" s="52" t="str">
        <f t="shared" si="22"/>
        <v>D</v>
      </c>
      <c r="O121" s="19" t="str">
        <f t="shared" si="14"/>
        <v>25% dari pembagian omset per divisi</v>
      </c>
      <c r="P121" s="53" t="s">
        <v>73</v>
      </c>
    </row>
    <row r="122" spans="2:16" x14ac:dyDescent="0.3">
      <c r="B122" s="50" t="s">
        <v>119</v>
      </c>
      <c r="C122" s="39">
        <f>F63*$C$61</f>
        <v>8.7879158803559551E-2</v>
      </c>
      <c r="D122" s="40">
        <f>I63*$C$62</f>
        <v>2.6619010646194069E-2</v>
      </c>
      <c r="E122" s="40">
        <f>F70*$C$63</f>
        <v>1.1280665775541184E-2</v>
      </c>
      <c r="F122" s="40">
        <f>I70*$C$64</f>
        <v>2.2579420576956815E-2</v>
      </c>
      <c r="G122" s="40">
        <f t="shared" si="17"/>
        <v>5.2631096588108698E-3</v>
      </c>
      <c r="H122" s="40">
        <f>F75*$C$66</f>
        <v>7.8595090422020793E-3</v>
      </c>
      <c r="I122" s="40">
        <f>$I$75*$C$67</f>
        <v>2.1855391398269242E-2</v>
      </c>
      <c r="J122" s="40">
        <f>C81*$C$68</f>
        <v>2.9169992422483543E-2</v>
      </c>
      <c r="K122" s="40">
        <f t="shared" si="19"/>
        <v>1.7983892447283566E-2</v>
      </c>
      <c r="L122" s="40">
        <f t="shared" si="20"/>
        <v>2.5284247963915419E-2</v>
      </c>
      <c r="M122" s="51">
        <f t="shared" si="21"/>
        <v>255.77439873521641</v>
      </c>
      <c r="N122" s="42" t="str">
        <f t="shared" si="22"/>
        <v>C</v>
      </c>
      <c r="O122" s="19" t="str">
        <f t="shared" si="14"/>
        <v>50% dari pembagian omset per divisi</v>
      </c>
      <c r="P122" t="s">
        <v>73</v>
      </c>
    </row>
    <row r="124" spans="2:16" x14ac:dyDescent="0.3">
      <c r="K124" s="44" t="s">
        <v>82</v>
      </c>
      <c r="L124" s="44"/>
      <c r="M124" s="19" t="s">
        <v>87</v>
      </c>
    </row>
    <row r="125" spans="2:16" x14ac:dyDescent="0.3">
      <c r="K125" s="38" t="s">
        <v>105</v>
      </c>
      <c r="L125" s="41" t="s">
        <v>83</v>
      </c>
      <c r="M125" s="19" t="s">
        <v>88</v>
      </c>
    </row>
    <row r="126" spans="2:16" x14ac:dyDescent="0.3">
      <c r="K126" s="38" t="s">
        <v>106</v>
      </c>
      <c r="L126" s="41" t="s">
        <v>73</v>
      </c>
      <c r="M126" s="19" t="s">
        <v>89</v>
      </c>
    </row>
    <row r="127" spans="2:16" x14ac:dyDescent="0.3">
      <c r="K127" s="38" t="s">
        <v>135</v>
      </c>
      <c r="L127" s="41" t="s">
        <v>72</v>
      </c>
      <c r="M127" s="19" t="s">
        <v>90</v>
      </c>
    </row>
    <row r="128" spans="2:16" x14ac:dyDescent="0.3">
      <c r="K128" s="38" t="s">
        <v>136</v>
      </c>
      <c r="L128" s="41" t="s">
        <v>76</v>
      </c>
      <c r="M128" s="19" t="s">
        <v>91</v>
      </c>
    </row>
  </sheetData>
  <mergeCells count="8">
    <mergeCell ref="A2:R2"/>
    <mergeCell ref="D90:M90"/>
    <mergeCell ref="B90:B91"/>
    <mergeCell ref="B108:B109"/>
    <mergeCell ref="M108:M109"/>
    <mergeCell ref="A90:A91"/>
    <mergeCell ref="C90:C91"/>
    <mergeCell ref="N108:N109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1"/>
  <sheetViews>
    <sheetView topLeftCell="A29" workbookViewId="0">
      <selection activeCell="C34" sqref="C34"/>
    </sheetView>
  </sheetViews>
  <sheetFormatPr defaultRowHeight="14.4" x14ac:dyDescent="0.3"/>
  <cols>
    <col min="2" max="2" width="24.5546875" customWidth="1"/>
    <col min="3" max="3" width="22.109375" customWidth="1"/>
    <col min="4" max="4" width="23" customWidth="1"/>
    <col min="5" max="5" width="25.5546875" customWidth="1"/>
    <col min="6" max="6" width="14.21875" customWidth="1"/>
    <col min="7" max="7" width="18.33203125" customWidth="1"/>
    <col min="8" max="8" width="15.6640625" customWidth="1"/>
  </cols>
  <sheetData>
    <row r="4" spans="1:2" x14ac:dyDescent="0.3">
      <c r="A4" s="8" t="s">
        <v>37</v>
      </c>
      <c r="B4" s="8" t="s">
        <v>2</v>
      </c>
    </row>
    <row r="17" spans="1:8" x14ac:dyDescent="0.3">
      <c r="B17" s="8" t="s">
        <v>3</v>
      </c>
    </row>
    <row r="18" spans="1:8" x14ac:dyDescent="0.3">
      <c r="B18" s="3" t="s">
        <v>15</v>
      </c>
      <c r="C18" s="3" t="s">
        <v>77</v>
      </c>
      <c r="D18" s="3" t="s">
        <v>78</v>
      </c>
      <c r="E18" s="3" t="s">
        <v>79</v>
      </c>
      <c r="F18" s="3"/>
    </row>
    <row r="19" spans="1:8" x14ac:dyDescent="0.3">
      <c r="B19" s="3" t="s">
        <v>77</v>
      </c>
      <c r="C19" s="4">
        <v>1</v>
      </c>
      <c r="D19" s="4">
        <v>5</v>
      </c>
      <c r="E19" s="4">
        <v>8</v>
      </c>
      <c r="F19" s="4"/>
    </row>
    <row r="20" spans="1:8" x14ac:dyDescent="0.3">
      <c r="B20" s="3" t="s">
        <v>78</v>
      </c>
      <c r="C20" s="4">
        <f>1/5</f>
        <v>0.2</v>
      </c>
      <c r="D20" s="4">
        <v>1</v>
      </c>
      <c r="E20" s="4">
        <v>3</v>
      </c>
      <c r="F20" s="4"/>
    </row>
    <row r="21" spans="1:8" x14ac:dyDescent="0.3">
      <c r="B21" s="3" t="s">
        <v>79</v>
      </c>
      <c r="C21" s="4">
        <f>1/8</f>
        <v>0.125</v>
      </c>
      <c r="D21" s="4">
        <f>1/3</f>
        <v>0.33333333333333331</v>
      </c>
      <c r="E21" s="4">
        <v>1</v>
      </c>
      <c r="F21" s="4"/>
    </row>
    <row r="22" spans="1:8" x14ac:dyDescent="0.3">
      <c r="B22" s="5" t="s">
        <v>14</v>
      </c>
      <c r="C22" s="6">
        <f>SUM(C19:C21)</f>
        <v>1.325</v>
      </c>
      <c r="D22" s="6">
        <f>SUM(D19:D21)</f>
        <v>6.333333333333333</v>
      </c>
      <c r="E22" s="6">
        <f>SUM(E19:E21)</f>
        <v>12</v>
      </c>
      <c r="F22" s="4"/>
    </row>
    <row r="23" spans="1:8" x14ac:dyDescent="0.3">
      <c r="F23" s="4"/>
    </row>
    <row r="24" spans="1:8" x14ac:dyDescent="0.3">
      <c r="F24" s="4"/>
    </row>
    <row r="25" spans="1:8" x14ac:dyDescent="0.3">
      <c r="B25" s="5" t="s">
        <v>24</v>
      </c>
      <c r="C25" s="6"/>
      <c r="D25" s="6"/>
      <c r="E25" s="6"/>
      <c r="F25" s="4"/>
    </row>
    <row r="26" spans="1:8" x14ac:dyDescent="0.3">
      <c r="A26" s="8" t="s">
        <v>23</v>
      </c>
      <c r="B26" s="9"/>
      <c r="C26" s="6"/>
      <c r="D26" s="6"/>
      <c r="E26" s="6"/>
      <c r="F26" s="4"/>
    </row>
    <row r="27" spans="1:8" x14ac:dyDescent="0.3">
      <c r="B27" s="5" t="s">
        <v>22</v>
      </c>
      <c r="C27" s="4"/>
      <c r="D27" s="4"/>
      <c r="E27" s="4"/>
      <c r="F27" s="4"/>
    </row>
    <row r="28" spans="1:8" x14ac:dyDescent="0.3">
      <c r="B28" s="3" t="s">
        <v>15</v>
      </c>
      <c r="C28" s="12" t="s">
        <v>77</v>
      </c>
      <c r="D28" s="15" t="s">
        <v>78</v>
      </c>
      <c r="E28" s="12" t="s">
        <v>79</v>
      </c>
      <c r="F28" s="3" t="s">
        <v>16</v>
      </c>
      <c r="G28" s="3" t="s">
        <v>17</v>
      </c>
      <c r="H28" s="11" t="s">
        <v>18</v>
      </c>
    </row>
    <row r="29" spans="1:8" x14ac:dyDescent="0.3">
      <c r="B29" s="12" t="s">
        <v>77</v>
      </c>
      <c r="C29" s="13">
        <f>C19/$C$22</f>
        <v>0.75471698113207553</v>
      </c>
      <c r="D29" s="13">
        <f>D19/$D$22</f>
        <v>0.78947368421052633</v>
      </c>
      <c r="E29" s="13">
        <f>E19/$E$22</f>
        <v>0.66666666666666663</v>
      </c>
      <c r="F29" s="4">
        <f>SUM(C29:E29)</f>
        <v>2.2108573320092684</v>
      </c>
      <c r="G29" s="4">
        <f>Table111416182224283[[#This Row],[JUMLAH]]/3</f>
        <v>0.73695244400308946</v>
      </c>
      <c r="H29" s="14">
        <f>Table111416182224[[#This Row],[PRIORITAS]]*C22</f>
        <v>0.97646198830409348</v>
      </c>
    </row>
    <row r="30" spans="1:8" x14ac:dyDescent="0.3">
      <c r="B30" s="15" t="s">
        <v>78</v>
      </c>
      <c r="C30" s="13">
        <f>C20/$C$22</f>
        <v>0.15094339622641512</v>
      </c>
      <c r="D30" s="13">
        <f>D20/$D$22</f>
        <v>0.15789473684210528</v>
      </c>
      <c r="E30" s="13">
        <f>E20/$E$22</f>
        <v>0.25</v>
      </c>
      <c r="F30" s="4">
        <f>SUM(C30:E30)</f>
        <v>0.55883813306852037</v>
      </c>
      <c r="G30" s="4">
        <f>Table111416182224283[[#This Row],[JUMLAH]]/3</f>
        <v>0.18627937768950678</v>
      </c>
      <c r="H30" s="17">
        <f>Table111416182224[[#This Row],[PRIORITAS]]*D22</f>
        <v>1.1797693920335428</v>
      </c>
    </row>
    <row r="31" spans="1:8" x14ac:dyDescent="0.3">
      <c r="B31" s="12" t="s">
        <v>79</v>
      </c>
      <c r="C31" s="13">
        <f>C21/$C$22</f>
        <v>9.4339622641509441E-2</v>
      </c>
      <c r="D31" s="13">
        <f>D21/$D$22</f>
        <v>5.2631578947368418E-2</v>
      </c>
      <c r="E31" s="13">
        <f>E21/$E$22</f>
        <v>8.3333333333333329E-2</v>
      </c>
      <c r="F31" s="4">
        <f t="shared" ref="F31" si="0">SUM(C31:E31)</f>
        <v>0.2303045349222112</v>
      </c>
      <c r="G31" s="4">
        <f>Table111416182224283[[#This Row],[JUMLAH]]/3</f>
        <v>7.6768178307403734E-2</v>
      </c>
      <c r="H31" s="14">
        <f>Table111416182224[[#This Row],[PRIORITAS]]*E22</f>
        <v>0.92121813968884481</v>
      </c>
    </row>
    <row r="32" spans="1:8" x14ac:dyDescent="0.3">
      <c r="B32" s="3"/>
      <c r="C32" s="4"/>
      <c r="D32" s="4"/>
      <c r="E32" s="4"/>
      <c r="F32" s="4">
        <f>SUM(F29:F31)</f>
        <v>3</v>
      </c>
      <c r="G32" s="4">
        <f>SUM(G29:G31)</f>
        <v>1</v>
      </c>
      <c r="H32" s="14">
        <f>SUM(H29:H31)</f>
        <v>3.0774495200264811</v>
      </c>
    </row>
    <row r="33" spans="2:7" x14ac:dyDescent="0.3">
      <c r="E33" s="4"/>
      <c r="F33" s="4"/>
    </row>
    <row r="34" spans="2:7" x14ac:dyDescent="0.3">
      <c r="B34" s="22" t="s">
        <v>19</v>
      </c>
      <c r="C34" s="19">
        <f>(H32-3)/(3-1)</f>
        <v>3.8724760013240545E-2</v>
      </c>
      <c r="E34" s="4"/>
      <c r="F34" s="4"/>
      <c r="G34" s="4"/>
    </row>
    <row r="35" spans="2:7" x14ac:dyDescent="0.3">
      <c r="B35" s="22" t="s">
        <v>20</v>
      </c>
      <c r="C35" s="19">
        <v>0.57999999999999996</v>
      </c>
      <c r="E35" s="4"/>
      <c r="G35" s="4"/>
    </row>
    <row r="36" spans="2:7" ht="20.399999999999999" thickBot="1" x14ac:dyDescent="0.45">
      <c r="B36" s="23" t="s">
        <v>21</v>
      </c>
      <c r="C36" s="24">
        <f>C34/C35</f>
        <v>6.676682760903542E-2</v>
      </c>
      <c r="D36" s="7" t="str">
        <f>IF(C36&lt;=0.1, "KONSISTEN", "TIDAK KONSISTEN")</f>
        <v>KONSISTEN</v>
      </c>
      <c r="E36" s="4"/>
      <c r="G36" s="4"/>
    </row>
    <row r="37" spans="2:7" ht="15" thickTop="1" x14ac:dyDescent="0.3">
      <c r="E37" s="4"/>
      <c r="G37" s="4"/>
    </row>
    <row r="38" spans="2:7" x14ac:dyDescent="0.3">
      <c r="E38" s="4"/>
      <c r="G38" s="4"/>
    </row>
    <row r="40" spans="2:7" x14ac:dyDescent="0.3">
      <c r="G40" s="4"/>
    </row>
    <row r="41" spans="2:7" x14ac:dyDescent="0.3">
      <c r="G41" s="4"/>
    </row>
    <row r="42" spans="2:7" x14ac:dyDescent="0.3">
      <c r="G42" s="4"/>
    </row>
    <row r="43" spans="2:7" x14ac:dyDescent="0.3">
      <c r="G43" s="4"/>
    </row>
    <row r="44" spans="2:7" x14ac:dyDescent="0.3">
      <c r="G44" s="4"/>
    </row>
    <row r="45" spans="2:7" x14ac:dyDescent="0.3">
      <c r="G45" s="4"/>
    </row>
    <row r="58" spans="2:4" x14ac:dyDescent="0.3">
      <c r="B58" s="3" t="s">
        <v>15</v>
      </c>
      <c r="C58" t="s">
        <v>16</v>
      </c>
      <c r="D58" t="s">
        <v>17</v>
      </c>
    </row>
    <row r="59" spans="2:4" x14ac:dyDescent="0.3">
      <c r="B59" s="12" t="s">
        <v>77</v>
      </c>
      <c r="C59">
        <v>2.2108573320092684</v>
      </c>
      <c r="D59">
        <v>0.73695244400308946</v>
      </c>
    </row>
    <row r="60" spans="2:4" x14ac:dyDescent="0.3">
      <c r="B60" s="15" t="s">
        <v>78</v>
      </c>
      <c r="C60">
        <v>0.55883813306852037</v>
      </c>
      <c r="D60">
        <v>0.18627937768950678</v>
      </c>
    </row>
    <row r="61" spans="2:4" x14ac:dyDescent="0.3">
      <c r="B61" s="12" t="s">
        <v>79</v>
      </c>
      <c r="C61">
        <v>0.2303045349222112</v>
      </c>
      <c r="D61">
        <v>7.6768178307403734E-2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6"/>
  <sheetViews>
    <sheetView topLeftCell="A26" workbookViewId="0">
      <selection activeCell="H56" sqref="H56"/>
    </sheetView>
  </sheetViews>
  <sheetFormatPr defaultRowHeight="14.4" x14ac:dyDescent="0.3"/>
  <cols>
    <col min="2" max="2" width="19" customWidth="1"/>
    <col min="3" max="3" width="26.33203125" customWidth="1"/>
    <col min="4" max="4" width="24.33203125" customWidth="1"/>
    <col min="5" max="5" width="18.33203125" customWidth="1"/>
    <col min="6" max="6" width="21" customWidth="1"/>
    <col min="7" max="7" width="19.88671875" customWidth="1"/>
    <col min="8" max="8" width="16.88671875" customWidth="1"/>
    <col min="9" max="9" width="15.33203125" customWidth="1"/>
  </cols>
  <sheetData>
    <row r="4" spans="1:2" x14ac:dyDescent="0.3">
      <c r="A4" s="8" t="s">
        <v>37</v>
      </c>
      <c r="B4" s="8" t="s">
        <v>2</v>
      </c>
    </row>
    <row r="17" spans="1:9" x14ac:dyDescent="0.3">
      <c r="B17" s="8" t="s">
        <v>3</v>
      </c>
    </row>
    <row r="18" spans="1:9" x14ac:dyDescent="0.3">
      <c r="B18" s="3" t="s">
        <v>15</v>
      </c>
      <c r="C18" s="3" t="s">
        <v>41</v>
      </c>
      <c r="D18" s="3" t="s">
        <v>42</v>
      </c>
      <c r="E18" s="3" t="s">
        <v>43</v>
      </c>
      <c r="F18" s="3" t="s">
        <v>32</v>
      </c>
      <c r="G18" s="3"/>
    </row>
    <row r="19" spans="1:9" x14ac:dyDescent="0.3">
      <c r="B19" s="3" t="s">
        <v>41</v>
      </c>
      <c r="C19" s="4">
        <v>1</v>
      </c>
      <c r="D19" s="4">
        <v>3</v>
      </c>
      <c r="E19" s="4">
        <v>5</v>
      </c>
      <c r="F19" s="4">
        <v>8</v>
      </c>
      <c r="G19" s="4"/>
    </row>
    <row r="20" spans="1:9" x14ac:dyDescent="0.3">
      <c r="B20" s="3" t="s">
        <v>42</v>
      </c>
      <c r="C20" s="4">
        <f>1/3</f>
        <v>0.33333333333333331</v>
      </c>
      <c r="D20" s="4">
        <v>1</v>
      </c>
      <c r="E20" s="4">
        <v>4</v>
      </c>
      <c r="F20" s="4">
        <v>5</v>
      </c>
      <c r="G20" s="4"/>
    </row>
    <row r="21" spans="1:9" x14ac:dyDescent="0.3">
      <c r="B21" s="3" t="s">
        <v>43</v>
      </c>
      <c r="C21" s="4">
        <f>1/5</f>
        <v>0.2</v>
      </c>
      <c r="D21" s="4">
        <f>1/4</f>
        <v>0.25</v>
      </c>
      <c r="E21" s="4">
        <v>1</v>
      </c>
      <c r="F21" s="4">
        <v>3</v>
      </c>
      <c r="G21" s="4"/>
    </row>
    <row r="22" spans="1:9" x14ac:dyDescent="0.3">
      <c r="B22" s="3" t="s">
        <v>32</v>
      </c>
      <c r="C22" s="4">
        <f>1/8</f>
        <v>0.125</v>
      </c>
      <c r="D22" s="4">
        <f>1/5</f>
        <v>0.2</v>
      </c>
      <c r="E22" s="4">
        <f>1/3</f>
        <v>0.33333333333333331</v>
      </c>
      <c r="F22" s="4">
        <v>1</v>
      </c>
      <c r="G22" s="4"/>
    </row>
    <row r="23" spans="1:9" x14ac:dyDescent="0.3">
      <c r="B23" s="5" t="s">
        <v>14</v>
      </c>
      <c r="C23" s="6">
        <f>SUM(C19:C22)</f>
        <v>1.6583333333333332</v>
      </c>
      <c r="D23" s="6">
        <f>SUM(D19:D22)</f>
        <v>4.45</v>
      </c>
      <c r="E23" s="6">
        <f>SUM(E19:E22)</f>
        <v>10.333333333333334</v>
      </c>
      <c r="F23" s="6">
        <f>SUM(F19:F22)</f>
        <v>17</v>
      </c>
      <c r="G23" s="4"/>
    </row>
    <row r="24" spans="1:9" x14ac:dyDescent="0.3">
      <c r="G24" s="4"/>
    </row>
    <row r="25" spans="1:9" x14ac:dyDescent="0.3">
      <c r="G25" s="4"/>
    </row>
    <row r="26" spans="1:9" x14ac:dyDescent="0.3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3">
      <c r="B27" s="9"/>
      <c r="C27" s="6"/>
      <c r="D27" s="6"/>
      <c r="E27" s="6"/>
      <c r="F27" s="6"/>
      <c r="G27" s="4"/>
    </row>
    <row r="28" spans="1:9" x14ac:dyDescent="0.3">
      <c r="B28" s="5" t="s">
        <v>22</v>
      </c>
      <c r="C28" s="4"/>
      <c r="D28" s="4"/>
      <c r="E28" s="4"/>
      <c r="F28" s="4"/>
      <c r="G28" s="4"/>
    </row>
    <row r="29" spans="1:9" x14ac:dyDescent="0.3">
      <c r="B29" s="3" t="s">
        <v>15</v>
      </c>
      <c r="C29" s="12" t="s">
        <v>41</v>
      </c>
      <c r="D29" s="15" t="s">
        <v>42</v>
      </c>
      <c r="E29" s="12" t="s">
        <v>43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3">
      <c r="B30" s="12" t="s">
        <v>41</v>
      </c>
      <c r="C30" s="13">
        <f>C19/$C$23</f>
        <v>0.60301507537688448</v>
      </c>
      <c r="D30" s="13">
        <f>D19/$D$23</f>
        <v>0.6741573033707865</v>
      </c>
      <c r="E30" s="13">
        <f>E19/$E$23</f>
        <v>0.48387096774193544</v>
      </c>
      <c r="F30" s="13">
        <f>F19/$F$23</f>
        <v>0.47058823529411764</v>
      </c>
      <c r="G30" s="4">
        <f>SUM(C30:F30)</f>
        <v>2.231631581783724</v>
      </c>
      <c r="H30" s="4">
        <f>Table1114161820[[#This Row],[JUMLAH]]/4</f>
        <v>0.557907895445931</v>
      </c>
      <c r="I30" s="14">
        <f>Table1114161820[[#This Row],[PRIORITAS]]*C23</f>
        <v>0.92519725994783553</v>
      </c>
    </row>
    <row r="31" spans="1:9" x14ac:dyDescent="0.3">
      <c r="B31" s="15" t="s">
        <v>42</v>
      </c>
      <c r="C31" s="13">
        <f>C20/$C$23</f>
        <v>0.20100502512562815</v>
      </c>
      <c r="D31" s="13">
        <f>D20/$D$23</f>
        <v>0.2247191011235955</v>
      </c>
      <c r="E31" s="13">
        <f t="shared" ref="E31:E32" si="0">E20/$E$23</f>
        <v>0.38709677419354838</v>
      </c>
      <c r="F31" s="13">
        <f>F20/$F$23</f>
        <v>0.29411764705882354</v>
      </c>
      <c r="G31" s="4">
        <f>SUM(C31:F31)</f>
        <v>1.1069385475015956</v>
      </c>
      <c r="H31" s="4">
        <f>Table1114161820[[#This Row],[JUMLAH]]/4</f>
        <v>0.2767346368753989</v>
      </c>
      <c r="I31" s="17">
        <f>Table1114161820[[#This Row],[PRIORITAS]]*D23</f>
        <v>1.2314691340955251</v>
      </c>
    </row>
    <row r="32" spans="1:9" x14ac:dyDescent="0.3">
      <c r="B32" s="12" t="s">
        <v>43</v>
      </c>
      <c r="C32" s="13">
        <f>C21/$C$23</f>
        <v>0.12060301507537689</v>
      </c>
      <c r="D32" s="13">
        <f t="shared" ref="D32:D33" si="1">D21/$D$23</f>
        <v>5.6179775280898875E-2</v>
      </c>
      <c r="E32" s="13">
        <f t="shared" si="0"/>
        <v>9.6774193548387094E-2</v>
      </c>
      <c r="F32" s="13">
        <f>F21/$F$23</f>
        <v>0.17647058823529413</v>
      </c>
      <c r="G32" s="4">
        <f>SUM(C32:F32)</f>
        <v>0.45002757213995703</v>
      </c>
      <c r="H32" s="4">
        <f>Table1114161820[[#This Row],[JUMLAH]]/4</f>
        <v>0.11250689303498926</v>
      </c>
      <c r="I32" s="14">
        <f>Table1114161820[[#This Row],[PRIORITAS]]*E23</f>
        <v>1.1625712280282223</v>
      </c>
    </row>
    <row r="33" spans="2:9" x14ac:dyDescent="0.3">
      <c r="B33" s="15" t="s">
        <v>32</v>
      </c>
      <c r="C33" s="13">
        <f>C22/$C$23</f>
        <v>7.537688442211056E-2</v>
      </c>
      <c r="D33" s="13">
        <f t="shared" si="1"/>
        <v>4.49438202247191E-2</v>
      </c>
      <c r="E33" s="13">
        <f>E22/$E$23</f>
        <v>3.2258064516129031E-2</v>
      </c>
      <c r="F33" s="13">
        <f>F22/$F$23</f>
        <v>5.8823529411764705E-2</v>
      </c>
      <c r="G33" s="4">
        <f>SUM(C33:F33)</f>
        <v>0.21140229857472342</v>
      </c>
      <c r="H33" s="4">
        <f>Table1114161820[[#This Row],[JUMLAH]]/4</f>
        <v>5.2850574643680856E-2</v>
      </c>
      <c r="I33" s="17">
        <f>Table1114161820[[#This Row],[PRIORITAS]]*F23</f>
        <v>0.89845976894257451</v>
      </c>
    </row>
    <row r="34" spans="2:9" x14ac:dyDescent="0.3">
      <c r="B34" s="3"/>
      <c r="C34" s="4"/>
      <c r="D34" s="4"/>
      <c r="E34" s="4"/>
      <c r="F34" s="4"/>
      <c r="G34" s="4">
        <f>SUM(G30:G33)</f>
        <v>4</v>
      </c>
      <c r="H34" s="4">
        <f>SUM(H30:H33)</f>
        <v>1</v>
      </c>
      <c r="I34" s="14">
        <f>SUM(I30:I33)</f>
        <v>4.2176973910141573</v>
      </c>
    </row>
    <row r="35" spans="2:9" x14ac:dyDescent="0.3">
      <c r="E35" s="4"/>
      <c r="F35" s="4"/>
      <c r="G35" s="4"/>
    </row>
    <row r="36" spans="2:9" x14ac:dyDescent="0.3">
      <c r="B36" s="22" t="s">
        <v>19</v>
      </c>
      <c r="C36" s="19">
        <f>(I34-4)/(4-1)</f>
        <v>7.2565797004719101E-2</v>
      </c>
      <c r="E36" s="4"/>
      <c r="F36" s="4"/>
      <c r="G36" s="4"/>
    </row>
    <row r="37" spans="2:9" x14ac:dyDescent="0.3">
      <c r="B37" s="22" t="s">
        <v>20</v>
      </c>
      <c r="C37" s="19">
        <v>0.9</v>
      </c>
      <c r="E37" s="4"/>
      <c r="F37" s="4"/>
      <c r="G37" s="4"/>
    </row>
    <row r="38" spans="2:9" ht="20.399999999999999" thickBot="1" x14ac:dyDescent="0.45">
      <c r="B38" s="23" t="s">
        <v>21</v>
      </c>
      <c r="C38" s="24">
        <f>C36/C37</f>
        <v>8.0628663338576781E-2</v>
      </c>
      <c r="D38" s="7" t="str">
        <f>IF(C38&lt;=0.1, "KONSISTEN", "TIDAK KONSISTEN")</f>
        <v>KONSISTEN</v>
      </c>
      <c r="E38" s="4"/>
      <c r="F38" s="4"/>
      <c r="G38" s="4"/>
    </row>
    <row r="39" spans="2:9" ht="15" thickTop="1" x14ac:dyDescent="0.3">
      <c r="E39" s="4"/>
      <c r="F39" s="4"/>
      <c r="G39" s="4"/>
    </row>
    <row r="40" spans="2:9" x14ac:dyDescent="0.3">
      <c r="E40" s="4"/>
      <c r="F40" s="4"/>
    </row>
    <row r="41" spans="2:9" x14ac:dyDescent="0.3">
      <c r="G41" s="4"/>
    </row>
    <row r="42" spans="2:9" x14ac:dyDescent="0.3">
      <c r="G42" s="4"/>
    </row>
    <row r="43" spans="2:9" x14ac:dyDescent="0.3">
      <c r="G43" s="4"/>
    </row>
    <row r="44" spans="2:9" x14ac:dyDescent="0.3">
      <c r="G44" s="4"/>
    </row>
    <row r="45" spans="2:9" x14ac:dyDescent="0.3">
      <c r="G45" s="4"/>
    </row>
    <row r="46" spans="2:9" x14ac:dyDescent="0.3">
      <c r="G46" s="4"/>
    </row>
    <row r="52" spans="2:4" x14ac:dyDescent="0.3">
      <c r="B52" s="3" t="s">
        <v>15</v>
      </c>
      <c r="C52" t="s">
        <v>16</v>
      </c>
      <c r="D52" t="s">
        <v>17</v>
      </c>
    </row>
    <row r="53" spans="2:4" x14ac:dyDescent="0.3">
      <c r="B53" s="12" t="s">
        <v>41</v>
      </c>
      <c r="C53">
        <v>2.231631581783724</v>
      </c>
      <c r="D53">
        <v>0.557907895445931</v>
      </c>
    </row>
    <row r="54" spans="2:4" x14ac:dyDescent="0.3">
      <c r="B54" s="15" t="s">
        <v>42</v>
      </c>
      <c r="C54">
        <v>1.1069385475015956</v>
      </c>
      <c r="D54">
        <v>0.2767346368753989</v>
      </c>
    </row>
    <row r="55" spans="2:4" x14ac:dyDescent="0.3">
      <c r="B55" s="12" t="s">
        <v>43</v>
      </c>
      <c r="C55">
        <v>0.45002757213995703</v>
      </c>
      <c r="D55">
        <v>0.11250689303498926</v>
      </c>
    </row>
    <row r="56" spans="2:4" x14ac:dyDescent="0.3">
      <c r="B56" s="15" t="s">
        <v>32</v>
      </c>
      <c r="C56">
        <v>0.21140229857472342</v>
      </c>
      <c r="D56">
        <v>5.2850574643680856E-2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5"/>
  <sheetViews>
    <sheetView topLeftCell="A40" zoomScaleNormal="100" workbookViewId="0">
      <selection activeCell="D57" sqref="D57:E57"/>
    </sheetView>
  </sheetViews>
  <sheetFormatPr defaultRowHeight="14.4" x14ac:dyDescent="0.3"/>
  <cols>
    <col min="2" max="2" width="24.5546875" customWidth="1"/>
    <col min="3" max="3" width="26.33203125" customWidth="1"/>
    <col min="4" max="4" width="27.77734375" customWidth="1"/>
    <col min="5" max="5" width="27.21875" customWidth="1"/>
    <col min="6" max="6" width="23.33203125" customWidth="1"/>
    <col min="7" max="7" width="35.5546875" customWidth="1"/>
    <col min="8" max="8" width="21.5546875" customWidth="1"/>
    <col min="9" max="9" width="19" customWidth="1"/>
    <col min="10" max="10" width="15.109375" customWidth="1"/>
    <col min="11" max="11" width="13.44140625" customWidth="1"/>
    <col min="12" max="12" width="13.33203125" customWidth="1"/>
  </cols>
  <sheetData>
    <row r="4" spans="1:2" x14ac:dyDescent="0.3">
      <c r="A4" s="8" t="s">
        <v>1</v>
      </c>
      <c r="B4" s="8" t="s">
        <v>2</v>
      </c>
    </row>
    <row r="17" spans="1:9" x14ac:dyDescent="0.3">
      <c r="B17" s="8" t="s">
        <v>3</v>
      </c>
    </row>
    <row r="18" spans="1:9" x14ac:dyDescent="0.3">
      <c r="B18" s="3" t="s">
        <v>15</v>
      </c>
      <c r="C18" s="3" t="s">
        <v>25</v>
      </c>
      <c r="D18" s="3" t="s">
        <v>26</v>
      </c>
      <c r="E18" s="3" t="s">
        <v>27</v>
      </c>
      <c r="F18" s="3" t="s">
        <v>28</v>
      </c>
      <c r="G18" s="3"/>
      <c r="H18" s="3"/>
    </row>
    <row r="19" spans="1:9" x14ac:dyDescent="0.3">
      <c r="B19" s="3" t="s">
        <v>25</v>
      </c>
      <c r="C19" s="4">
        <v>1</v>
      </c>
      <c r="D19" s="4">
        <v>3</v>
      </c>
      <c r="E19" s="4">
        <v>5</v>
      </c>
      <c r="F19" s="4">
        <v>9</v>
      </c>
      <c r="G19" s="4"/>
      <c r="H19" s="4"/>
    </row>
    <row r="20" spans="1:9" x14ac:dyDescent="0.3">
      <c r="B20" s="3" t="s">
        <v>26</v>
      </c>
      <c r="C20" s="4">
        <f>1/3</f>
        <v>0.33333333333333331</v>
      </c>
      <c r="D20" s="4">
        <v>1</v>
      </c>
      <c r="E20" s="4">
        <v>4</v>
      </c>
      <c r="F20" s="4">
        <v>6</v>
      </c>
      <c r="G20" s="4"/>
      <c r="H20" s="4"/>
    </row>
    <row r="21" spans="1:9" x14ac:dyDescent="0.3">
      <c r="B21" s="3" t="s">
        <v>27</v>
      </c>
      <c r="C21" s="4">
        <f>1/5</f>
        <v>0.2</v>
      </c>
      <c r="D21" s="4">
        <f>1/4</f>
        <v>0.25</v>
      </c>
      <c r="E21" s="4">
        <v>1</v>
      </c>
      <c r="F21" s="4">
        <v>3</v>
      </c>
      <c r="G21" s="4"/>
      <c r="H21" s="4"/>
    </row>
    <row r="22" spans="1:9" x14ac:dyDescent="0.3">
      <c r="B22" s="3" t="s">
        <v>28</v>
      </c>
      <c r="C22" s="4">
        <f>1/9</f>
        <v>0.1111111111111111</v>
      </c>
      <c r="D22" s="4">
        <f>1/6</f>
        <v>0.16666666666666666</v>
      </c>
      <c r="E22" s="4">
        <f>1/3</f>
        <v>0.33333333333333331</v>
      </c>
      <c r="F22" s="4">
        <v>1</v>
      </c>
      <c r="G22" s="4"/>
      <c r="H22" s="4"/>
    </row>
    <row r="23" spans="1:9" x14ac:dyDescent="0.3">
      <c r="B23" s="5" t="s">
        <v>14</v>
      </c>
      <c r="C23" s="6">
        <f>SUM(C19:C22)</f>
        <v>1.6444444444444444</v>
      </c>
      <c r="D23" s="6">
        <f>SUM(D19:D22)</f>
        <v>4.416666666666667</v>
      </c>
      <c r="E23" s="6">
        <f>SUM(E19:E22)</f>
        <v>10.333333333333334</v>
      </c>
      <c r="F23" s="6">
        <f>SUM(F19:F22)</f>
        <v>19</v>
      </c>
      <c r="G23" s="4"/>
      <c r="H23" s="4"/>
    </row>
    <row r="24" spans="1:9" x14ac:dyDescent="0.3">
      <c r="G24" s="4"/>
      <c r="H24" s="4"/>
    </row>
    <row r="25" spans="1:9" x14ac:dyDescent="0.3">
      <c r="G25" s="4"/>
      <c r="H25" s="4"/>
    </row>
    <row r="26" spans="1:9" x14ac:dyDescent="0.3">
      <c r="A26" s="8" t="s">
        <v>23</v>
      </c>
      <c r="B26" s="5" t="s">
        <v>24</v>
      </c>
      <c r="C26" s="6"/>
      <c r="D26" s="6"/>
      <c r="E26" s="6"/>
      <c r="F26" s="6"/>
      <c r="G26" s="4"/>
      <c r="H26" s="4"/>
    </row>
    <row r="27" spans="1:9" x14ac:dyDescent="0.3">
      <c r="B27" s="9"/>
      <c r="C27" s="6"/>
      <c r="D27" s="6"/>
      <c r="E27" s="6"/>
      <c r="F27" s="6"/>
      <c r="G27" s="4"/>
      <c r="H27" s="4"/>
    </row>
    <row r="28" spans="1:9" x14ac:dyDescent="0.3">
      <c r="B28" s="5" t="s">
        <v>22</v>
      </c>
      <c r="C28" s="4"/>
      <c r="D28" s="4"/>
      <c r="E28" s="4"/>
      <c r="F28" s="4"/>
      <c r="G28" s="4"/>
      <c r="H28" s="4"/>
    </row>
    <row r="29" spans="1:9" x14ac:dyDescent="0.3">
      <c r="B29" s="3" t="s">
        <v>15</v>
      </c>
      <c r="C29" s="10" t="s">
        <v>25</v>
      </c>
      <c r="D29" s="10" t="s">
        <v>26</v>
      </c>
      <c r="E29" s="10" t="s">
        <v>27</v>
      </c>
      <c r="F29" s="11" t="s">
        <v>28</v>
      </c>
      <c r="G29" s="3" t="s">
        <v>16</v>
      </c>
      <c r="H29" s="3" t="s">
        <v>17</v>
      </c>
      <c r="I29" s="11" t="s">
        <v>18</v>
      </c>
    </row>
    <row r="30" spans="1:9" x14ac:dyDescent="0.3">
      <c r="B30" s="12" t="s">
        <v>25</v>
      </c>
      <c r="C30" s="13">
        <f>C19/$C$23</f>
        <v>0.60810810810810811</v>
      </c>
      <c r="D30" s="13">
        <f>D19/$D$23</f>
        <v>0.67924528301886788</v>
      </c>
      <c r="E30" s="13">
        <f>E19/$E$23</f>
        <v>0.48387096774193544</v>
      </c>
      <c r="F30" s="13">
        <f>F19/$F$23</f>
        <v>0.47368421052631576</v>
      </c>
      <c r="G30" s="4">
        <f>SUM(C30:F30)</f>
        <v>2.2449085693952275</v>
      </c>
      <c r="H30" s="4">
        <f>Table11[[#This Row],[JUMLAH]]/4</f>
        <v>0.56122714234880688</v>
      </c>
      <c r="I30" s="14">
        <f>Table11[[#This Row],[PRIORITAS]]*C23</f>
        <v>0.92290685630692681</v>
      </c>
    </row>
    <row r="31" spans="1:9" x14ac:dyDescent="0.3">
      <c r="B31" s="15" t="s">
        <v>26</v>
      </c>
      <c r="C31" s="13">
        <f>C20/$C$23</f>
        <v>0.20270270270270269</v>
      </c>
      <c r="D31" s="13">
        <f>D20/$D$23</f>
        <v>0.22641509433962262</v>
      </c>
      <c r="E31" s="13">
        <f t="shared" ref="E31:E32" si="0">E20/$E$23</f>
        <v>0.38709677419354838</v>
      </c>
      <c r="F31" s="13">
        <f t="shared" ref="F31:F33" si="1">F20/$F$23</f>
        <v>0.31578947368421051</v>
      </c>
      <c r="G31" s="4">
        <f>SUM(C31:F31)</f>
        <v>1.1320040449200843</v>
      </c>
      <c r="H31" s="4">
        <f>Table11[[#This Row],[JUMLAH]]/4</f>
        <v>0.28300101123002108</v>
      </c>
      <c r="I31" s="17">
        <f>Table11[[#This Row],[PRIORITAS]]*D23</f>
        <v>1.2499211329325932</v>
      </c>
    </row>
    <row r="32" spans="1:9" x14ac:dyDescent="0.3">
      <c r="B32" s="12" t="s">
        <v>27</v>
      </c>
      <c r="C32" s="13">
        <f>C21/$C$23</f>
        <v>0.12162162162162163</v>
      </c>
      <c r="D32" s="13">
        <f t="shared" ref="D32:D33" si="2">D21/$D$23</f>
        <v>5.6603773584905655E-2</v>
      </c>
      <c r="E32" s="13">
        <f t="shared" si="0"/>
        <v>9.6774193548387094E-2</v>
      </c>
      <c r="F32" s="13">
        <f t="shared" si="1"/>
        <v>0.15789473684210525</v>
      </c>
      <c r="G32" s="4">
        <f>SUM(C32:F32)</f>
        <v>0.43289432559701962</v>
      </c>
      <c r="H32" s="4">
        <f>Table11[[#This Row],[JUMLAH]]/4</f>
        <v>0.10822358139925491</v>
      </c>
      <c r="I32" s="14">
        <f>Table11[[#This Row],[PRIORITAS]]*E23</f>
        <v>1.1183103411256341</v>
      </c>
    </row>
    <row r="33" spans="2:11" x14ac:dyDescent="0.3">
      <c r="B33" s="15" t="s">
        <v>28</v>
      </c>
      <c r="C33" s="13">
        <f>C22/$C$23</f>
        <v>6.7567567567567571E-2</v>
      </c>
      <c r="D33" s="13">
        <f t="shared" si="2"/>
        <v>3.7735849056603772E-2</v>
      </c>
      <c r="E33" s="13">
        <f>E22/$E$23</f>
        <v>3.2258064516129031E-2</v>
      </c>
      <c r="F33" s="13">
        <f t="shared" si="1"/>
        <v>5.2631578947368418E-2</v>
      </c>
      <c r="G33" s="4">
        <f>SUM(C33:F33)</f>
        <v>0.19019306008766879</v>
      </c>
      <c r="H33" s="4">
        <f>Table11[[#This Row],[JUMLAH]]/4</f>
        <v>4.7548265021917197E-2</v>
      </c>
      <c r="I33" s="17">
        <f>Table11[[#This Row],[PRIORITAS]]*F23</f>
        <v>0.90341703541642671</v>
      </c>
    </row>
    <row r="34" spans="2:11" x14ac:dyDescent="0.3">
      <c r="B34" s="3"/>
      <c r="C34" s="4"/>
      <c r="D34" s="4"/>
      <c r="E34" s="4"/>
      <c r="F34" s="4"/>
      <c r="G34" s="4">
        <f>SUM(G30:G33)</f>
        <v>4</v>
      </c>
      <c r="H34" s="4">
        <f>SUM(H30:H33)</f>
        <v>1</v>
      </c>
      <c r="I34" s="14">
        <f>SUM(I30:I33)</f>
        <v>4.1945553657815804</v>
      </c>
    </row>
    <row r="35" spans="2:11" x14ac:dyDescent="0.3">
      <c r="E35" s="4"/>
      <c r="F35" s="4"/>
      <c r="G35" s="4"/>
      <c r="H35" s="4"/>
      <c r="I35" s="4"/>
      <c r="J35" s="3"/>
      <c r="K35" s="3"/>
    </row>
    <row r="36" spans="2:11" x14ac:dyDescent="0.3">
      <c r="B36" s="22" t="s">
        <v>19</v>
      </c>
      <c r="C36" s="19">
        <f>(I34-4)/(4-1)</f>
        <v>6.4851788593860135E-2</v>
      </c>
      <c r="E36" s="4"/>
      <c r="F36" s="4"/>
      <c r="G36" s="4"/>
      <c r="H36" s="4"/>
      <c r="I36" s="4"/>
      <c r="J36" s="4"/>
      <c r="K36" s="4"/>
    </row>
    <row r="37" spans="2:11" x14ac:dyDescent="0.3">
      <c r="B37" s="22" t="s">
        <v>20</v>
      </c>
      <c r="C37" s="19">
        <v>0.9</v>
      </c>
      <c r="E37" s="4"/>
      <c r="F37" s="4"/>
      <c r="G37" s="4"/>
      <c r="H37" s="4"/>
      <c r="I37" s="4"/>
      <c r="J37" s="4"/>
      <c r="K37" s="4"/>
    </row>
    <row r="38" spans="2:11" ht="20.399999999999999" thickBot="1" x14ac:dyDescent="0.45">
      <c r="B38" s="23" t="s">
        <v>21</v>
      </c>
      <c r="C38" s="24">
        <f>C36/C37</f>
        <v>7.2057542882066811E-2</v>
      </c>
      <c r="D38" s="7" t="str">
        <f>IF(C38&lt;=0.1, "KONSISTEN", "TIDAK KONSISTEN")</f>
        <v>KONSISTEN</v>
      </c>
      <c r="E38" s="4"/>
      <c r="F38" s="4"/>
      <c r="G38" s="4"/>
      <c r="H38" s="4"/>
      <c r="I38" s="4"/>
      <c r="J38" s="4"/>
      <c r="K38" s="4"/>
    </row>
    <row r="39" spans="2:11" ht="15" thickTop="1" x14ac:dyDescent="0.3">
      <c r="E39" s="4"/>
      <c r="F39" s="4"/>
      <c r="G39" s="4"/>
      <c r="H39" s="4"/>
      <c r="I39" s="4"/>
      <c r="J39" s="4"/>
      <c r="K39" s="4"/>
    </row>
    <row r="40" spans="2:11" x14ac:dyDescent="0.3">
      <c r="E40" s="4"/>
      <c r="F40" s="4"/>
      <c r="I40" s="4"/>
      <c r="J40" s="4"/>
      <c r="K40" s="4"/>
    </row>
    <row r="41" spans="2:11" x14ac:dyDescent="0.3">
      <c r="G41" s="4"/>
      <c r="H41" s="4"/>
      <c r="J41" s="4"/>
      <c r="K41" s="4"/>
    </row>
    <row r="42" spans="2:11" x14ac:dyDescent="0.3">
      <c r="G42" s="4"/>
      <c r="H42" s="4"/>
      <c r="J42" s="4"/>
      <c r="K42" s="4"/>
    </row>
    <row r="43" spans="2:11" x14ac:dyDescent="0.3">
      <c r="G43" s="4"/>
      <c r="H43" s="4"/>
      <c r="J43" s="4"/>
      <c r="K43" s="4"/>
    </row>
    <row r="44" spans="2:11" x14ac:dyDescent="0.3">
      <c r="G44" s="4"/>
      <c r="H44" s="4"/>
      <c r="J44" s="4"/>
      <c r="K44" s="4"/>
    </row>
    <row r="45" spans="2:11" x14ac:dyDescent="0.3">
      <c r="G45" s="4"/>
      <c r="H45" s="4"/>
      <c r="J45" s="4"/>
      <c r="K45" s="4"/>
    </row>
    <row r="46" spans="2:11" x14ac:dyDescent="0.3">
      <c r="G46" s="4"/>
      <c r="H46" s="4"/>
      <c r="J46" s="4"/>
      <c r="K46" s="4"/>
    </row>
    <row r="51" spans="2:4" x14ac:dyDescent="0.3">
      <c r="B51" s="3" t="s">
        <v>15</v>
      </c>
      <c r="C51" t="s">
        <v>16</v>
      </c>
      <c r="D51" t="s">
        <v>17</v>
      </c>
    </row>
    <row r="52" spans="2:4" x14ac:dyDescent="0.3">
      <c r="B52" s="12" t="s">
        <v>25</v>
      </c>
      <c r="C52">
        <v>2.2449085693952275</v>
      </c>
      <c r="D52">
        <v>0.56122714234880688</v>
      </c>
    </row>
    <row r="53" spans="2:4" x14ac:dyDescent="0.3">
      <c r="B53" s="15" t="s">
        <v>26</v>
      </c>
      <c r="C53">
        <v>1.1320040449200843</v>
      </c>
      <c r="D53">
        <v>0.28300101123002108</v>
      </c>
    </row>
    <row r="54" spans="2:4" x14ac:dyDescent="0.3">
      <c r="B54" s="12" t="s">
        <v>27</v>
      </c>
      <c r="C54">
        <v>0.43289432559701962</v>
      </c>
      <c r="D54">
        <v>0.10822358139925491</v>
      </c>
    </row>
    <row r="55" spans="2:4" x14ac:dyDescent="0.3">
      <c r="B55" s="15" t="s">
        <v>28</v>
      </c>
      <c r="C55">
        <v>0.19019306008766879</v>
      </c>
      <c r="D55">
        <v>4.7548265021917197E-2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0"/>
  <sheetViews>
    <sheetView topLeftCell="A30" workbookViewId="0">
      <selection activeCell="C73" sqref="C73"/>
    </sheetView>
  </sheetViews>
  <sheetFormatPr defaultRowHeight="14.4" x14ac:dyDescent="0.3"/>
  <cols>
    <col min="2" max="2" width="25.6640625" customWidth="1"/>
    <col min="3" max="3" width="24.5546875" customWidth="1"/>
    <col min="4" max="4" width="28.21875" customWidth="1"/>
    <col min="5" max="5" width="28.88671875" customWidth="1"/>
    <col min="6" max="6" width="23.44140625" customWidth="1"/>
    <col min="7" max="7" width="20.6640625" customWidth="1"/>
    <col min="8" max="8" width="17" customWidth="1"/>
    <col min="9" max="9" width="8.88671875" customWidth="1"/>
  </cols>
  <sheetData>
    <row r="4" spans="1:2" x14ac:dyDescent="0.3">
      <c r="A4" s="8" t="s">
        <v>33</v>
      </c>
      <c r="B4" s="8" t="s">
        <v>2</v>
      </c>
    </row>
    <row r="17" spans="1:9" x14ac:dyDescent="0.3">
      <c r="B17" s="8" t="s">
        <v>3</v>
      </c>
    </row>
    <row r="18" spans="1:9" x14ac:dyDescent="0.3">
      <c r="B18" s="3" t="s">
        <v>15</v>
      </c>
      <c r="C18" s="3" t="s">
        <v>29</v>
      </c>
      <c r="D18" s="3" t="s">
        <v>30</v>
      </c>
      <c r="E18" s="3" t="s">
        <v>31</v>
      </c>
      <c r="F18" s="3" t="s">
        <v>32</v>
      </c>
      <c r="G18" s="3"/>
    </row>
    <row r="19" spans="1:9" x14ac:dyDescent="0.3">
      <c r="B19" s="3" t="s">
        <v>29</v>
      </c>
      <c r="C19" s="4">
        <v>1</v>
      </c>
      <c r="D19" s="4">
        <v>3</v>
      </c>
      <c r="E19" s="4">
        <v>5</v>
      </c>
      <c r="F19" s="4">
        <v>7</v>
      </c>
      <c r="G19" s="4"/>
    </row>
    <row r="20" spans="1:9" x14ac:dyDescent="0.3">
      <c r="B20" s="3" t="s">
        <v>30</v>
      </c>
      <c r="C20" s="4">
        <f>1/3</f>
        <v>0.33333333333333331</v>
      </c>
      <c r="D20" s="4">
        <v>1</v>
      </c>
      <c r="E20" s="4">
        <v>3</v>
      </c>
      <c r="F20" s="4">
        <v>5</v>
      </c>
      <c r="G20" s="4"/>
    </row>
    <row r="21" spans="1:9" x14ac:dyDescent="0.3">
      <c r="B21" s="3" t="s">
        <v>31</v>
      </c>
      <c r="C21" s="4">
        <f>1/5</f>
        <v>0.2</v>
      </c>
      <c r="D21" s="4">
        <f>1/3</f>
        <v>0.33333333333333331</v>
      </c>
      <c r="E21" s="4">
        <v>1</v>
      </c>
      <c r="F21" s="4">
        <v>3</v>
      </c>
      <c r="G21" s="4"/>
    </row>
    <row r="22" spans="1:9" x14ac:dyDescent="0.3">
      <c r="B22" s="3" t="s">
        <v>32</v>
      </c>
      <c r="C22" s="4">
        <f>1/7</f>
        <v>0.14285714285714285</v>
      </c>
      <c r="D22" s="4">
        <f>1/5</f>
        <v>0.2</v>
      </c>
      <c r="E22" s="4">
        <f>1/3</f>
        <v>0.33333333333333331</v>
      </c>
      <c r="F22" s="4">
        <v>1</v>
      </c>
      <c r="G22" s="4"/>
    </row>
    <row r="23" spans="1:9" x14ac:dyDescent="0.3">
      <c r="B23" s="5" t="s">
        <v>14</v>
      </c>
      <c r="C23" s="6">
        <f>SUM(C19:C22)</f>
        <v>1.676190476190476</v>
      </c>
      <c r="D23" s="6">
        <f>SUM(D19:D22)</f>
        <v>4.5333333333333332</v>
      </c>
      <c r="E23" s="6">
        <f>SUM(E19:E22)</f>
        <v>9.3333333333333339</v>
      </c>
      <c r="F23" s="6">
        <f>SUM(F19:F22)</f>
        <v>16</v>
      </c>
      <c r="G23" s="4"/>
    </row>
    <row r="24" spans="1:9" x14ac:dyDescent="0.3">
      <c r="G24" s="4"/>
    </row>
    <row r="25" spans="1:9" x14ac:dyDescent="0.3">
      <c r="G25" s="4"/>
    </row>
    <row r="26" spans="1:9" x14ac:dyDescent="0.3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3">
      <c r="B27" s="9"/>
      <c r="C27" s="6"/>
      <c r="D27" s="6"/>
      <c r="E27" s="6"/>
      <c r="F27" s="6"/>
      <c r="G27" s="4"/>
    </row>
    <row r="28" spans="1:9" x14ac:dyDescent="0.3">
      <c r="B28" s="5" t="s">
        <v>22</v>
      </c>
      <c r="C28" s="4"/>
      <c r="D28" s="4"/>
      <c r="E28" s="4"/>
      <c r="F28" s="4"/>
      <c r="G28" s="4"/>
    </row>
    <row r="29" spans="1:9" x14ac:dyDescent="0.3">
      <c r="B29" s="3" t="s">
        <v>15</v>
      </c>
      <c r="C29" s="12" t="s">
        <v>29</v>
      </c>
      <c r="D29" s="15" t="s">
        <v>30</v>
      </c>
      <c r="E29" s="12" t="s">
        <v>31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3">
      <c r="B30" s="12" t="s">
        <v>29</v>
      </c>
      <c r="C30" s="13">
        <f>C19/$C$23</f>
        <v>0.59659090909090917</v>
      </c>
      <c r="D30" s="13">
        <f>D19/$D$23</f>
        <v>0.66176470588235292</v>
      </c>
      <c r="E30" s="13">
        <f>E19/$E$23</f>
        <v>0.5357142857142857</v>
      </c>
      <c r="F30" s="13">
        <f>F19/$F$23</f>
        <v>0.4375</v>
      </c>
      <c r="G30" s="4">
        <f>SUM(C30:F30)</f>
        <v>2.2315699006875476</v>
      </c>
      <c r="H30" s="4">
        <f>Table1114[[#This Row],[JUMLAH]]/4</f>
        <v>0.55789247517188689</v>
      </c>
      <c r="I30" s="14">
        <f>Table1114[[#This Row],[PRIORITAS]]*C23</f>
        <v>0.93513405362144841</v>
      </c>
    </row>
    <row r="31" spans="1:9" x14ac:dyDescent="0.3">
      <c r="B31" s="15" t="s">
        <v>30</v>
      </c>
      <c r="C31" s="13">
        <f>C20/$C$23</f>
        <v>0.19886363636363638</v>
      </c>
      <c r="D31" s="13">
        <f>D20/$D$23</f>
        <v>0.22058823529411764</v>
      </c>
      <c r="E31" s="13">
        <f t="shared" ref="E31:E32" si="0">E20/$E$23</f>
        <v>0.3214285714285714</v>
      </c>
      <c r="F31" s="13">
        <f>F20/$F$23</f>
        <v>0.3125</v>
      </c>
      <c r="G31" s="4">
        <f>SUM(C31:F31)</f>
        <v>1.0533804430863254</v>
      </c>
      <c r="H31" s="4">
        <f>Table1114[[#This Row],[JUMLAH]]/4</f>
        <v>0.26334511077158135</v>
      </c>
      <c r="I31" s="17">
        <f>Table1114[[#This Row],[PRIORITAS]]*D23</f>
        <v>1.1938311688311687</v>
      </c>
    </row>
    <row r="32" spans="1:9" x14ac:dyDescent="0.3">
      <c r="B32" s="12" t="s">
        <v>31</v>
      </c>
      <c r="C32" s="13">
        <f>C21/$C$23</f>
        <v>0.11931818181818184</v>
      </c>
      <c r="D32" s="13">
        <f t="shared" ref="D32:D33" si="1">D21/$D$23</f>
        <v>7.3529411764705885E-2</v>
      </c>
      <c r="E32" s="13">
        <f t="shared" si="0"/>
        <v>0.10714285714285714</v>
      </c>
      <c r="F32" s="13">
        <f>F21/$F$23</f>
        <v>0.1875</v>
      </c>
      <c r="G32" s="4">
        <f>SUM(C32:F32)</f>
        <v>0.48749045072574487</v>
      </c>
      <c r="H32" s="4">
        <f>Table1114[[#This Row],[JUMLAH]]/4</f>
        <v>0.12187261268143622</v>
      </c>
      <c r="I32" s="14">
        <f>Table1114[[#This Row],[PRIORITAS]]*E23</f>
        <v>1.1374777183600715</v>
      </c>
    </row>
    <row r="33" spans="2:9" x14ac:dyDescent="0.3">
      <c r="B33" s="15" t="s">
        <v>32</v>
      </c>
      <c r="C33" s="13">
        <f>C22/$C$23</f>
        <v>8.5227272727272735E-2</v>
      </c>
      <c r="D33" s="13">
        <f t="shared" si="1"/>
        <v>4.4117647058823532E-2</v>
      </c>
      <c r="E33" s="13">
        <f>E22/$E$23</f>
        <v>3.5714285714285712E-2</v>
      </c>
      <c r="F33" s="13">
        <f>F22/$F$23</f>
        <v>6.25E-2</v>
      </c>
      <c r="G33" s="4">
        <f>SUM(C33:F33)</f>
        <v>0.227559205500382</v>
      </c>
      <c r="H33" s="4">
        <f>Table1114[[#This Row],[JUMLAH]]/4</f>
        <v>5.68898013750955E-2</v>
      </c>
      <c r="I33" s="17">
        <f>Table1114[[#This Row],[PRIORITAS]]*F23</f>
        <v>0.910236822001528</v>
      </c>
    </row>
    <row r="34" spans="2:9" x14ac:dyDescent="0.3">
      <c r="B34" s="3"/>
      <c r="C34" s="4"/>
      <c r="D34" s="4"/>
      <c r="E34" s="4"/>
      <c r="F34" s="4"/>
      <c r="G34" s="4">
        <f>SUM(G30:G33)</f>
        <v>3.9999999999999996</v>
      </c>
      <c r="H34" s="4">
        <f>SUM(H30:H33)</f>
        <v>0.99999999999999989</v>
      </c>
      <c r="I34" s="14">
        <f>SUM(I30:I33)</f>
        <v>4.1766797628142172</v>
      </c>
    </row>
    <row r="35" spans="2:9" x14ac:dyDescent="0.3">
      <c r="E35" s="4"/>
      <c r="F35" s="4"/>
      <c r="G35" s="4"/>
    </row>
    <row r="36" spans="2:9" x14ac:dyDescent="0.3">
      <c r="B36" s="22" t="s">
        <v>19</v>
      </c>
      <c r="C36" s="19">
        <f>(I34-4)/(4-1)</f>
        <v>5.8893254271405716E-2</v>
      </c>
      <c r="E36" s="4"/>
      <c r="F36" s="4"/>
      <c r="G36" s="4"/>
    </row>
    <row r="37" spans="2:9" x14ac:dyDescent="0.3">
      <c r="B37" s="22" t="s">
        <v>20</v>
      </c>
      <c r="C37" s="19">
        <v>0.9</v>
      </c>
      <c r="E37" s="4"/>
      <c r="F37" s="4"/>
      <c r="G37" s="4"/>
    </row>
    <row r="38" spans="2:9" ht="20.399999999999999" thickBot="1" x14ac:dyDescent="0.45">
      <c r="B38" s="23" t="s">
        <v>21</v>
      </c>
      <c r="C38" s="24">
        <f>C36/C37</f>
        <v>6.5436949190450788E-2</v>
      </c>
      <c r="D38" s="7" t="str">
        <f>IF(C38&lt;=0.1, "KONSISTEN", "TIDAK KONSISTEN")</f>
        <v>KONSISTEN</v>
      </c>
      <c r="E38" s="4"/>
      <c r="F38" s="4"/>
      <c r="G38" s="4"/>
    </row>
    <row r="39" spans="2:9" ht="15" thickTop="1" x14ac:dyDescent="0.3">
      <c r="E39" s="4"/>
      <c r="F39" s="4"/>
      <c r="G39" s="4"/>
    </row>
    <row r="40" spans="2:9" x14ac:dyDescent="0.3">
      <c r="E40" s="4"/>
      <c r="F40" s="4"/>
    </row>
    <row r="41" spans="2:9" x14ac:dyDescent="0.3">
      <c r="G41" s="4"/>
    </row>
    <row r="42" spans="2:9" x14ac:dyDescent="0.3">
      <c r="G42" s="4"/>
    </row>
    <row r="43" spans="2:9" x14ac:dyDescent="0.3">
      <c r="G43" s="4"/>
    </row>
    <row r="44" spans="2:9" x14ac:dyDescent="0.3">
      <c r="G44" s="4"/>
    </row>
    <row r="45" spans="2:9" x14ac:dyDescent="0.3">
      <c r="G45" s="4"/>
    </row>
    <row r="46" spans="2:9" x14ac:dyDescent="0.3">
      <c r="G46" s="4"/>
    </row>
    <row r="66" spans="2:4" x14ac:dyDescent="0.3">
      <c r="B66" s="3" t="s">
        <v>15</v>
      </c>
      <c r="C66" t="s">
        <v>16</v>
      </c>
      <c r="D66" t="s">
        <v>17</v>
      </c>
    </row>
    <row r="67" spans="2:4" x14ac:dyDescent="0.3">
      <c r="B67" s="12" t="s">
        <v>29</v>
      </c>
      <c r="C67">
        <v>2.2315699006875476</v>
      </c>
      <c r="D67">
        <v>0.55789247517188689</v>
      </c>
    </row>
    <row r="68" spans="2:4" x14ac:dyDescent="0.3">
      <c r="B68" s="15" t="s">
        <v>30</v>
      </c>
      <c r="C68">
        <v>1.0533804430863254</v>
      </c>
      <c r="D68">
        <v>0.26334511077158135</v>
      </c>
    </row>
    <row r="69" spans="2:4" x14ac:dyDescent="0.3">
      <c r="B69" s="12" t="s">
        <v>31</v>
      </c>
      <c r="C69">
        <v>0.48749045072574487</v>
      </c>
      <c r="D69">
        <v>0.12187261268143622</v>
      </c>
    </row>
    <row r="70" spans="2:4" x14ac:dyDescent="0.3">
      <c r="B70" s="15" t="s">
        <v>32</v>
      </c>
      <c r="C70">
        <v>0.227559205500382</v>
      </c>
      <c r="D70">
        <v>5.68898013750955E-2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4"/>
  <sheetViews>
    <sheetView topLeftCell="A27" zoomScale="90" zoomScaleNormal="90" workbookViewId="0">
      <selection activeCell="C34" sqref="C34"/>
    </sheetView>
  </sheetViews>
  <sheetFormatPr defaultRowHeight="14.4" x14ac:dyDescent="0.3"/>
  <cols>
    <col min="2" max="2" width="25.6640625" customWidth="1"/>
    <col min="3" max="3" width="32.6640625" customWidth="1"/>
    <col min="4" max="4" width="23.77734375" customWidth="1"/>
    <col min="5" max="5" width="22.33203125" customWidth="1"/>
    <col min="6" max="6" width="22.88671875" customWidth="1"/>
    <col min="7" max="7" width="16.33203125" customWidth="1"/>
    <col min="8" max="8" width="14.21875" customWidth="1"/>
    <col min="9" max="9" width="14.88671875" customWidth="1"/>
  </cols>
  <sheetData>
    <row r="4" spans="1:2" x14ac:dyDescent="0.3">
      <c r="A4" s="8" t="s">
        <v>37</v>
      </c>
      <c r="B4" s="8" t="s">
        <v>2</v>
      </c>
    </row>
    <row r="17" spans="1:8" x14ac:dyDescent="0.3">
      <c r="B17" s="8" t="s">
        <v>3</v>
      </c>
    </row>
    <row r="18" spans="1:8" x14ac:dyDescent="0.3">
      <c r="B18" s="3" t="s">
        <v>15</v>
      </c>
      <c r="C18" s="3" t="s">
        <v>44</v>
      </c>
      <c r="D18" s="3" t="s">
        <v>45</v>
      </c>
      <c r="E18" s="3" t="s">
        <v>46</v>
      </c>
      <c r="F18" s="3"/>
    </row>
    <row r="19" spans="1:8" x14ac:dyDescent="0.3">
      <c r="B19" s="3" t="s">
        <v>44</v>
      </c>
      <c r="C19" s="4">
        <v>1</v>
      </c>
      <c r="D19" s="4">
        <v>5</v>
      </c>
      <c r="E19" s="4">
        <v>8</v>
      </c>
      <c r="F19" s="4"/>
    </row>
    <row r="20" spans="1:8" x14ac:dyDescent="0.3">
      <c r="B20" s="3" t="s">
        <v>45</v>
      </c>
      <c r="C20" s="4">
        <f>1/5</f>
        <v>0.2</v>
      </c>
      <c r="D20" s="4">
        <v>1</v>
      </c>
      <c r="E20" s="4">
        <v>3</v>
      </c>
      <c r="F20" s="4"/>
    </row>
    <row r="21" spans="1:8" x14ac:dyDescent="0.3">
      <c r="B21" s="3" t="s">
        <v>46</v>
      </c>
      <c r="C21" s="4">
        <f>1/8</f>
        <v>0.125</v>
      </c>
      <c r="D21" s="4">
        <f>1/3</f>
        <v>0.33333333333333331</v>
      </c>
      <c r="E21" s="4">
        <v>1</v>
      </c>
      <c r="F21" s="4"/>
    </row>
    <row r="22" spans="1:8" x14ac:dyDescent="0.3">
      <c r="B22" s="5" t="s">
        <v>14</v>
      </c>
      <c r="C22" s="6">
        <f>SUM(C19:C21)</f>
        <v>1.325</v>
      </c>
      <c r="D22" s="6">
        <f>SUM(D19:D21)</f>
        <v>6.333333333333333</v>
      </c>
      <c r="E22" s="6">
        <f>SUM(E19:E21)</f>
        <v>12</v>
      </c>
      <c r="F22" s="4"/>
    </row>
    <row r="23" spans="1:8" x14ac:dyDescent="0.3">
      <c r="F23" s="4"/>
    </row>
    <row r="24" spans="1:8" x14ac:dyDescent="0.3">
      <c r="F24" s="4"/>
    </row>
    <row r="25" spans="1:8" x14ac:dyDescent="0.3">
      <c r="B25" s="5" t="s">
        <v>24</v>
      </c>
      <c r="C25" s="6"/>
      <c r="D25" s="6"/>
      <c r="E25" s="6"/>
      <c r="F25" s="4"/>
    </row>
    <row r="26" spans="1:8" x14ac:dyDescent="0.3">
      <c r="A26" s="8" t="s">
        <v>23</v>
      </c>
      <c r="B26" s="9"/>
      <c r="C26" s="6"/>
      <c r="D26" s="6"/>
      <c r="E26" s="6"/>
      <c r="F26" s="4"/>
    </row>
    <row r="27" spans="1:8" x14ac:dyDescent="0.3">
      <c r="B27" s="5" t="s">
        <v>22</v>
      </c>
      <c r="C27" s="4"/>
      <c r="D27" s="4"/>
      <c r="E27" s="4"/>
      <c r="F27" s="4"/>
    </row>
    <row r="28" spans="1:8" x14ac:dyDescent="0.3">
      <c r="B28" s="3" t="s">
        <v>15</v>
      </c>
      <c r="C28" s="12" t="s">
        <v>44</v>
      </c>
      <c r="D28" s="15" t="s">
        <v>45</v>
      </c>
      <c r="E28" s="12" t="s">
        <v>46</v>
      </c>
      <c r="F28" s="3" t="s">
        <v>16</v>
      </c>
      <c r="G28" s="3" t="s">
        <v>17</v>
      </c>
      <c r="H28" s="11" t="s">
        <v>18</v>
      </c>
    </row>
    <row r="29" spans="1:8" x14ac:dyDescent="0.3">
      <c r="B29" s="12" t="s">
        <v>44</v>
      </c>
      <c r="C29" s="13">
        <f>C19/$C$22</f>
        <v>0.75471698113207553</v>
      </c>
      <c r="D29" s="13">
        <f>D19/$D$22</f>
        <v>0.78947368421052633</v>
      </c>
      <c r="E29" s="13">
        <f>E19/$E$22</f>
        <v>0.66666666666666663</v>
      </c>
      <c r="F29" s="4">
        <f>SUM(C29:E29)</f>
        <v>2.2108573320092684</v>
      </c>
      <c r="G29" s="4">
        <f>Table1114161822[[#This Row],[JUMLAH]]/3</f>
        <v>0.73695244400308946</v>
      </c>
      <c r="H29" s="14">
        <f>Table1114161822[[#This Row],[PRIORITAS]]*C22</f>
        <v>0.97646198830409348</v>
      </c>
    </row>
    <row r="30" spans="1:8" x14ac:dyDescent="0.3">
      <c r="B30" s="15" t="s">
        <v>45</v>
      </c>
      <c r="C30" s="13">
        <f>C20/$C$22</f>
        <v>0.15094339622641512</v>
      </c>
      <c r="D30" s="13">
        <f>D20/$D$22</f>
        <v>0.15789473684210528</v>
      </c>
      <c r="E30" s="13">
        <f>E20/$E$22</f>
        <v>0.25</v>
      </c>
      <c r="F30" s="4">
        <f>SUM(C30:E30)</f>
        <v>0.55883813306852037</v>
      </c>
      <c r="G30" s="4">
        <f>Table1114161822[[#This Row],[JUMLAH]]/3</f>
        <v>0.18627937768950678</v>
      </c>
      <c r="H30" s="17">
        <f>Table1114161822[[#This Row],[PRIORITAS]]*D22</f>
        <v>1.1797693920335428</v>
      </c>
    </row>
    <row r="31" spans="1:8" x14ac:dyDescent="0.3">
      <c r="B31" s="12" t="s">
        <v>46</v>
      </c>
      <c r="C31" s="13">
        <f>C21/$C$22</f>
        <v>9.4339622641509441E-2</v>
      </c>
      <c r="D31" s="13">
        <f>D21/$D$22</f>
        <v>5.2631578947368418E-2</v>
      </c>
      <c r="E31" s="13">
        <f>E21/$E$22</f>
        <v>8.3333333333333329E-2</v>
      </c>
      <c r="F31" s="4">
        <f t="shared" ref="F31" si="0">SUM(C31:E31)</f>
        <v>0.2303045349222112</v>
      </c>
      <c r="G31" s="4">
        <f>Table1114161822[[#This Row],[JUMLAH]]/3</f>
        <v>7.6768178307403734E-2</v>
      </c>
      <c r="H31" s="14">
        <f>Table1114161822[[#This Row],[PRIORITAS]]*E22</f>
        <v>0.92121813968884481</v>
      </c>
    </row>
    <row r="32" spans="1:8" x14ac:dyDescent="0.3">
      <c r="B32" s="3"/>
      <c r="C32" s="4"/>
      <c r="D32" s="4"/>
      <c r="E32" s="4"/>
      <c r="F32" s="4">
        <f>SUM(F29:F31)</f>
        <v>3</v>
      </c>
      <c r="G32" s="4">
        <f>SUM(G29:G31)</f>
        <v>1</v>
      </c>
      <c r="H32" s="14">
        <f>SUM(H29:H31)</f>
        <v>3.0774495200264811</v>
      </c>
    </row>
    <row r="33" spans="2:7" x14ac:dyDescent="0.3">
      <c r="E33" s="4"/>
      <c r="F33" s="4"/>
    </row>
    <row r="34" spans="2:7" x14ac:dyDescent="0.3">
      <c r="B34" s="22" t="s">
        <v>19</v>
      </c>
      <c r="C34" s="19">
        <f>(H32-3)/(3-1)</f>
        <v>3.8724760013240545E-2</v>
      </c>
      <c r="E34" s="4"/>
      <c r="F34" s="4"/>
      <c r="G34" s="4"/>
    </row>
    <row r="35" spans="2:7" x14ac:dyDescent="0.3">
      <c r="B35" s="22" t="s">
        <v>20</v>
      </c>
      <c r="C35" s="19">
        <v>0.57999999999999996</v>
      </c>
      <c r="E35" s="4"/>
      <c r="G35" s="4"/>
    </row>
    <row r="36" spans="2:7" ht="20.399999999999999" thickBot="1" x14ac:dyDescent="0.45">
      <c r="B36" s="23" t="s">
        <v>21</v>
      </c>
      <c r="C36" s="24">
        <f>C34/C35</f>
        <v>6.676682760903542E-2</v>
      </c>
      <c r="D36" s="7" t="str">
        <f>IF(C36&lt;=0.1, "KONSISTEN", "TIDAK KONSISTEN")</f>
        <v>KONSISTEN</v>
      </c>
      <c r="E36" s="4"/>
      <c r="G36" s="4"/>
    </row>
    <row r="37" spans="2:7" ht="15" thickTop="1" x14ac:dyDescent="0.3">
      <c r="E37" s="4"/>
      <c r="G37" s="4"/>
    </row>
    <row r="38" spans="2:7" x14ac:dyDescent="0.3">
      <c r="E38" s="4"/>
      <c r="G38" s="4"/>
    </row>
    <row r="40" spans="2:7" x14ac:dyDescent="0.3">
      <c r="G40" s="4"/>
    </row>
    <row r="41" spans="2:7" x14ac:dyDescent="0.3">
      <c r="G41" s="4"/>
    </row>
    <row r="42" spans="2:7" x14ac:dyDescent="0.3">
      <c r="G42" s="4"/>
    </row>
    <row r="43" spans="2:7" x14ac:dyDescent="0.3">
      <c r="G43" s="4"/>
    </row>
    <row r="44" spans="2:7" x14ac:dyDescent="0.3">
      <c r="G44" s="4"/>
    </row>
    <row r="45" spans="2:7" x14ac:dyDescent="0.3">
      <c r="G45" s="4"/>
    </row>
    <row r="51" spans="2:4" x14ac:dyDescent="0.3">
      <c r="B51" s="3" t="s">
        <v>15</v>
      </c>
      <c r="C51" t="s">
        <v>16</v>
      </c>
      <c r="D51" t="s">
        <v>17</v>
      </c>
    </row>
    <row r="52" spans="2:4" x14ac:dyDescent="0.3">
      <c r="B52" s="12" t="s">
        <v>44</v>
      </c>
      <c r="C52">
        <v>2.170101596516691</v>
      </c>
      <c r="D52">
        <v>0.723367198838897</v>
      </c>
    </row>
    <row r="53" spans="2:4" x14ac:dyDescent="0.3">
      <c r="B53" s="15" t="s">
        <v>45</v>
      </c>
      <c r="C53">
        <v>0.6186357039187228</v>
      </c>
      <c r="D53">
        <v>0.20621190130624092</v>
      </c>
    </row>
    <row r="54" spans="2:4" x14ac:dyDescent="0.3">
      <c r="B54" s="12" t="s">
        <v>46</v>
      </c>
      <c r="C54">
        <v>0.21126269956458638</v>
      </c>
      <c r="D54">
        <v>7.0420899854862121E-2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3"/>
  <sheetViews>
    <sheetView topLeftCell="A24" workbookViewId="0">
      <selection activeCell="C36" sqref="C36"/>
    </sheetView>
  </sheetViews>
  <sheetFormatPr defaultRowHeight="14.4" x14ac:dyDescent="0.3"/>
  <cols>
    <col min="2" max="2" width="29.88671875" customWidth="1"/>
    <col min="3" max="3" width="27.109375" customWidth="1"/>
    <col min="4" max="4" width="21.77734375" customWidth="1"/>
    <col min="5" max="5" width="31.44140625" customWidth="1"/>
    <col min="6" max="6" width="23.5546875" customWidth="1"/>
    <col min="7" max="7" width="16.109375" customWidth="1"/>
    <col min="8" max="8" width="14" customWidth="1"/>
    <col min="9" max="9" width="21.44140625" customWidth="1"/>
  </cols>
  <sheetData>
    <row r="4" spans="1:2" x14ac:dyDescent="0.3">
      <c r="A4" s="8" t="s">
        <v>37</v>
      </c>
      <c r="B4" s="8" t="s">
        <v>2</v>
      </c>
    </row>
    <row r="17" spans="1:9" x14ac:dyDescent="0.3">
      <c r="B17" s="8" t="s">
        <v>3</v>
      </c>
    </row>
    <row r="18" spans="1:9" x14ac:dyDescent="0.3">
      <c r="B18" s="3" t="s">
        <v>15</v>
      </c>
      <c r="C18" s="3" t="s">
        <v>34</v>
      </c>
      <c r="D18" s="3" t="s">
        <v>35</v>
      </c>
      <c r="E18" s="3" t="s">
        <v>36</v>
      </c>
      <c r="F18" s="3" t="s">
        <v>32</v>
      </c>
      <c r="G18" s="3"/>
    </row>
    <row r="19" spans="1:9" x14ac:dyDescent="0.3">
      <c r="B19" s="3" t="s">
        <v>34</v>
      </c>
      <c r="C19" s="4">
        <v>1</v>
      </c>
      <c r="D19" s="4">
        <v>2</v>
      </c>
      <c r="E19" s="4">
        <v>5</v>
      </c>
      <c r="F19" s="4">
        <v>7</v>
      </c>
      <c r="G19" s="4"/>
    </row>
    <row r="20" spans="1:9" x14ac:dyDescent="0.3">
      <c r="B20" s="3" t="s">
        <v>35</v>
      </c>
      <c r="C20" s="4">
        <f>1/2</f>
        <v>0.5</v>
      </c>
      <c r="D20" s="4">
        <v>1</v>
      </c>
      <c r="E20" s="4">
        <v>4</v>
      </c>
      <c r="F20" s="4">
        <v>6</v>
      </c>
      <c r="G20" s="4"/>
    </row>
    <row r="21" spans="1:9" x14ac:dyDescent="0.3">
      <c r="B21" s="3" t="s">
        <v>36</v>
      </c>
      <c r="C21" s="4">
        <f>1/5</f>
        <v>0.2</v>
      </c>
      <c r="D21" s="4">
        <f>1/4</f>
        <v>0.25</v>
      </c>
      <c r="E21" s="4">
        <v>1</v>
      </c>
      <c r="F21" s="4">
        <v>4</v>
      </c>
      <c r="G21" s="4"/>
    </row>
    <row r="22" spans="1:9" x14ac:dyDescent="0.3">
      <c r="B22" s="3" t="s">
        <v>32</v>
      </c>
      <c r="C22" s="4">
        <f>1/7</f>
        <v>0.14285714285714285</v>
      </c>
      <c r="D22" s="4">
        <f>1/6</f>
        <v>0.16666666666666666</v>
      </c>
      <c r="E22" s="4">
        <f>1/4</f>
        <v>0.25</v>
      </c>
      <c r="F22" s="4">
        <v>1</v>
      </c>
      <c r="G22" s="4"/>
    </row>
    <row r="23" spans="1:9" x14ac:dyDescent="0.3">
      <c r="B23" s="5" t="s">
        <v>14</v>
      </c>
      <c r="C23" s="6">
        <f>SUM(C19:C22)</f>
        <v>1.8428571428571427</v>
      </c>
      <c r="D23" s="6">
        <f>SUM(D19:D22)</f>
        <v>3.4166666666666665</v>
      </c>
      <c r="E23" s="6">
        <f>SUM(E19:E22)</f>
        <v>10.25</v>
      </c>
      <c r="F23" s="6">
        <f>SUM(F19:F22)</f>
        <v>18</v>
      </c>
      <c r="G23" s="4"/>
    </row>
    <row r="24" spans="1:9" x14ac:dyDescent="0.3">
      <c r="G24" s="4"/>
    </row>
    <row r="25" spans="1:9" x14ac:dyDescent="0.3">
      <c r="G25" s="4"/>
    </row>
    <row r="26" spans="1:9" x14ac:dyDescent="0.3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3">
      <c r="B27" s="9"/>
      <c r="C27" s="6"/>
      <c r="D27" s="6"/>
      <c r="E27" s="6"/>
      <c r="F27" s="6"/>
      <c r="G27" s="4"/>
    </row>
    <row r="28" spans="1:9" x14ac:dyDescent="0.3">
      <c r="B28" s="5" t="s">
        <v>22</v>
      </c>
      <c r="C28" s="4"/>
      <c r="D28" s="4"/>
      <c r="E28" s="4"/>
      <c r="F28" s="4"/>
      <c r="G28" s="4"/>
    </row>
    <row r="29" spans="1:9" x14ac:dyDescent="0.3">
      <c r="B29" s="3" t="s">
        <v>15</v>
      </c>
      <c r="C29" s="12" t="s">
        <v>34</v>
      </c>
      <c r="D29" s="15" t="s">
        <v>35</v>
      </c>
      <c r="E29" s="12" t="s">
        <v>36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3">
      <c r="B30" s="12" t="s">
        <v>34</v>
      </c>
      <c r="C30" s="13">
        <f>C19/$C$23</f>
        <v>0.54263565891472876</v>
      </c>
      <c r="D30" s="13">
        <f>D19/$D$23</f>
        <v>0.58536585365853666</v>
      </c>
      <c r="E30" s="13">
        <f>E19/$E$23</f>
        <v>0.48780487804878048</v>
      </c>
      <c r="F30" s="13">
        <f>F19/$F$23</f>
        <v>0.3888888888888889</v>
      </c>
      <c r="G30" s="4">
        <f>SUM(C30:F30)</f>
        <v>2.0046952795109347</v>
      </c>
      <c r="H30" s="4">
        <f>Table111416[[#This Row],[JUMLAH]]/4</f>
        <v>0.50117381987773368</v>
      </c>
      <c r="I30" s="14">
        <f>Table111416[[#This Row],[PRIORITAS]]*C23</f>
        <v>0.92359175377468061</v>
      </c>
    </row>
    <row r="31" spans="1:9" x14ac:dyDescent="0.3">
      <c r="B31" s="15" t="s">
        <v>35</v>
      </c>
      <c r="C31" s="13">
        <f>C20/$C$23</f>
        <v>0.27131782945736438</v>
      </c>
      <c r="D31" s="13">
        <f>D20/$D$23</f>
        <v>0.29268292682926833</v>
      </c>
      <c r="E31" s="13">
        <f t="shared" ref="E31:E32" si="0">E20/$E$23</f>
        <v>0.3902439024390244</v>
      </c>
      <c r="F31" s="13">
        <f>F20/$F$23</f>
        <v>0.33333333333333331</v>
      </c>
      <c r="G31" s="4">
        <f>SUM(C31:F31)</f>
        <v>1.2875779920589905</v>
      </c>
      <c r="H31" s="4">
        <f>Table111416[[#This Row],[JUMLAH]]/4</f>
        <v>0.32189449801474762</v>
      </c>
      <c r="I31" s="17">
        <f>Table111416[[#This Row],[PRIORITAS]]*D23</f>
        <v>1.0998062015503876</v>
      </c>
    </row>
    <row r="32" spans="1:9" x14ac:dyDescent="0.3">
      <c r="B32" s="12" t="s">
        <v>36</v>
      </c>
      <c r="C32" s="13">
        <f>C21/$C$23</f>
        <v>0.10852713178294575</v>
      </c>
      <c r="D32" s="13">
        <f t="shared" ref="D32:D33" si="1">D21/$D$23</f>
        <v>7.3170731707317083E-2</v>
      </c>
      <c r="E32" s="13">
        <f t="shared" si="0"/>
        <v>9.7560975609756101E-2</v>
      </c>
      <c r="F32" s="13">
        <f>F21/$F$23</f>
        <v>0.22222222222222221</v>
      </c>
      <c r="G32" s="4">
        <f>SUM(C32:F32)</f>
        <v>0.50148106132224113</v>
      </c>
      <c r="H32" s="4">
        <f>Table111416[[#This Row],[JUMLAH]]/4</f>
        <v>0.12537026533056028</v>
      </c>
      <c r="I32" s="14">
        <f>Table111416[[#This Row],[PRIORITAS]]*E23</f>
        <v>1.2850452196382429</v>
      </c>
    </row>
    <row r="33" spans="2:9" x14ac:dyDescent="0.3">
      <c r="B33" s="15" t="s">
        <v>32</v>
      </c>
      <c r="C33" s="13">
        <f>C22/$C$23</f>
        <v>7.7519379844961239E-2</v>
      </c>
      <c r="D33" s="13">
        <f t="shared" si="1"/>
        <v>4.878048780487805E-2</v>
      </c>
      <c r="E33" s="13">
        <f>E22/$E$23</f>
        <v>2.4390243902439025E-2</v>
      </c>
      <c r="F33" s="13">
        <f>F22/$F$23</f>
        <v>5.5555555555555552E-2</v>
      </c>
      <c r="G33" s="4">
        <f>SUM(C33:F33)</f>
        <v>0.20624566710783387</v>
      </c>
      <c r="H33" s="4">
        <f>Table111416[[#This Row],[JUMLAH]]/4</f>
        <v>5.1561416776958469E-2</v>
      </c>
      <c r="I33" s="17">
        <f>Table111416[[#This Row],[PRIORITAS]]*F23</f>
        <v>0.92810550198525243</v>
      </c>
    </row>
    <row r="34" spans="2:9" x14ac:dyDescent="0.3">
      <c r="B34" s="3"/>
      <c r="C34" s="4"/>
      <c r="D34" s="4"/>
      <c r="E34" s="4"/>
      <c r="F34" s="4"/>
      <c r="G34" s="4">
        <f>SUM(G30:G33)</f>
        <v>4</v>
      </c>
      <c r="H34" s="4">
        <f>SUM(H30:H33)</f>
        <v>1</v>
      </c>
      <c r="I34" s="14">
        <f>SUM(I30:I33)</f>
        <v>4.2365486769485639</v>
      </c>
    </row>
    <row r="35" spans="2:9" x14ac:dyDescent="0.3">
      <c r="E35" s="4"/>
      <c r="F35" s="4"/>
      <c r="G35" s="4"/>
    </row>
    <row r="36" spans="2:9" x14ac:dyDescent="0.3">
      <c r="B36" s="22" t="s">
        <v>19</v>
      </c>
      <c r="C36" s="19">
        <f>(I34-4)/(4-1)</f>
        <v>7.8849558982854617E-2</v>
      </c>
      <c r="E36" s="4"/>
      <c r="F36" s="4"/>
      <c r="G36" s="4"/>
    </row>
    <row r="37" spans="2:9" x14ac:dyDescent="0.3">
      <c r="B37" s="22" t="s">
        <v>20</v>
      </c>
      <c r="C37" s="19">
        <v>0.9</v>
      </c>
      <c r="E37" s="4"/>
      <c r="F37" s="4"/>
      <c r="G37" s="4"/>
    </row>
    <row r="38" spans="2:9" ht="20.399999999999999" thickBot="1" x14ac:dyDescent="0.45">
      <c r="B38" s="23" t="s">
        <v>21</v>
      </c>
      <c r="C38" s="24">
        <f>C36/C37</f>
        <v>8.7610621092060678E-2</v>
      </c>
      <c r="D38" s="7" t="str">
        <f>IF(C38&lt;=0.1, "KONSISTEN", "TIDAK KONSISTEN")</f>
        <v>KONSISTEN</v>
      </c>
      <c r="E38" s="4"/>
      <c r="F38" s="4"/>
      <c r="G38" s="4"/>
    </row>
    <row r="39" spans="2:9" ht="15" thickTop="1" x14ac:dyDescent="0.3">
      <c r="E39" s="4"/>
      <c r="F39" s="4"/>
      <c r="G39" s="4"/>
    </row>
    <row r="40" spans="2:9" x14ac:dyDescent="0.3">
      <c r="E40" s="4"/>
      <c r="F40" s="4"/>
    </row>
    <row r="41" spans="2:9" x14ac:dyDescent="0.3">
      <c r="G41" s="4"/>
    </row>
    <row r="42" spans="2:9" x14ac:dyDescent="0.3">
      <c r="G42" s="4"/>
    </row>
    <row r="43" spans="2:9" x14ac:dyDescent="0.3">
      <c r="G43" s="4"/>
    </row>
    <row r="44" spans="2:9" x14ac:dyDescent="0.3">
      <c r="G44" s="4"/>
    </row>
    <row r="45" spans="2:9" x14ac:dyDescent="0.3">
      <c r="G45" s="4"/>
    </row>
    <row r="46" spans="2:9" x14ac:dyDescent="0.3">
      <c r="G46" s="4"/>
    </row>
    <row r="59" spans="2:4" x14ac:dyDescent="0.3">
      <c r="B59" s="3" t="s">
        <v>15</v>
      </c>
      <c r="C59" t="s">
        <v>16</v>
      </c>
      <c r="D59" t="s">
        <v>17</v>
      </c>
    </row>
    <row r="60" spans="2:4" x14ac:dyDescent="0.3">
      <c r="B60" s="12" t="s">
        <v>34</v>
      </c>
      <c r="C60">
        <v>2.0046952795109347</v>
      </c>
      <c r="D60">
        <v>0.50117381987773368</v>
      </c>
    </row>
    <row r="61" spans="2:4" x14ac:dyDescent="0.3">
      <c r="B61" s="15" t="s">
        <v>35</v>
      </c>
      <c r="C61">
        <v>1.2875779920589905</v>
      </c>
      <c r="D61">
        <v>0.32189449801474762</v>
      </c>
    </row>
    <row r="62" spans="2:4" x14ac:dyDescent="0.3">
      <c r="B62" s="12" t="s">
        <v>36</v>
      </c>
      <c r="C62">
        <v>0.50148106132224113</v>
      </c>
      <c r="D62">
        <v>0.12537026533056028</v>
      </c>
    </row>
    <row r="63" spans="2:4" x14ac:dyDescent="0.3">
      <c r="B63" s="15" t="s">
        <v>32</v>
      </c>
      <c r="C63">
        <v>0.20624566710783387</v>
      </c>
      <c r="D63">
        <v>5.1561416776958469E-2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9"/>
  <sheetViews>
    <sheetView topLeftCell="A28" workbookViewId="0">
      <selection activeCell="F21" sqref="F21"/>
    </sheetView>
  </sheetViews>
  <sheetFormatPr defaultRowHeight="14.4" x14ac:dyDescent="0.3"/>
  <cols>
    <col min="2" max="2" width="36" customWidth="1"/>
    <col min="3" max="3" width="31.21875" customWidth="1"/>
    <col min="4" max="4" width="27.21875" customWidth="1"/>
    <col min="5" max="5" width="35.33203125" customWidth="1"/>
    <col min="6" max="6" width="17.44140625" customWidth="1"/>
    <col min="7" max="7" width="14.77734375" customWidth="1"/>
    <col min="8" max="8" width="15.109375" customWidth="1"/>
  </cols>
  <sheetData>
    <row r="4" spans="1:2" x14ac:dyDescent="0.3">
      <c r="A4" s="8" t="s">
        <v>37</v>
      </c>
      <c r="B4" s="8" t="s">
        <v>2</v>
      </c>
    </row>
    <row r="17" spans="1:8" x14ac:dyDescent="0.3">
      <c r="B17" s="8" t="s">
        <v>3</v>
      </c>
    </row>
    <row r="18" spans="1:8" x14ac:dyDescent="0.3">
      <c r="B18" s="3" t="s">
        <v>15</v>
      </c>
      <c r="C18" s="3" t="s">
        <v>47</v>
      </c>
      <c r="D18" s="3" t="s">
        <v>48</v>
      </c>
      <c r="E18" s="3" t="s">
        <v>49</v>
      </c>
      <c r="F18" s="3"/>
    </row>
    <row r="19" spans="1:8" x14ac:dyDescent="0.3">
      <c r="B19" s="3" t="s">
        <v>47</v>
      </c>
      <c r="C19" s="4">
        <v>1</v>
      </c>
      <c r="D19" s="4">
        <v>5</v>
      </c>
      <c r="E19" s="4">
        <v>8</v>
      </c>
      <c r="F19" s="4"/>
    </row>
    <row r="20" spans="1:8" x14ac:dyDescent="0.3">
      <c r="B20" s="3" t="s">
        <v>48</v>
      </c>
      <c r="C20" s="4">
        <f>1/5</f>
        <v>0.2</v>
      </c>
      <c r="D20" s="4">
        <v>1</v>
      </c>
      <c r="E20" s="4">
        <v>3</v>
      </c>
      <c r="F20" s="4"/>
    </row>
    <row r="21" spans="1:8" x14ac:dyDescent="0.3">
      <c r="B21" s="3" t="s">
        <v>49</v>
      </c>
      <c r="C21" s="4">
        <f>1/8</f>
        <v>0.125</v>
      </c>
      <c r="D21" s="4">
        <f>1/3</f>
        <v>0.33333333333333331</v>
      </c>
      <c r="E21" s="4">
        <v>1</v>
      </c>
      <c r="F21" s="4"/>
    </row>
    <row r="22" spans="1:8" x14ac:dyDescent="0.3">
      <c r="B22" s="5" t="s">
        <v>14</v>
      </c>
      <c r="C22" s="6">
        <f>SUM(C19:C21)</f>
        <v>1.325</v>
      </c>
      <c r="D22" s="6">
        <f>SUM(D19:D21)</f>
        <v>6.333333333333333</v>
      </c>
      <c r="E22" s="6">
        <f>SUM(E19:E21)</f>
        <v>12</v>
      </c>
      <c r="F22" s="4"/>
    </row>
    <row r="23" spans="1:8" x14ac:dyDescent="0.3">
      <c r="F23" s="4"/>
    </row>
    <row r="24" spans="1:8" x14ac:dyDescent="0.3">
      <c r="F24" s="4"/>
    </row>
    <row r="25" spans="1:8" x14ac:dyDescent="0.3">
      <c r="B25" s="5" t="s">
        <v>24</v>
      </c>
      <c r="C25" s="6"/>
      <c r="D25" s="6"/>
      <c r="E25" s="6"/>
      <c r="F25" s="4"/>
    </row>
    <row r="26" spans="1:8" x14ac:dyDescent="0.3">
      <c r="A26" s="8" t="s">
        <v>23</v>
      </c>
      <c r="B26" s="9"/>
      <c r="C26" s="6"/>
      <c r="D26" s="6"/>
      <c r="E26" s="6"/>
      <c r="F26" s="4"/>
    </row>
    <row r="27" spans="1:8" x14ac:dyDescent="0.3">
      <c r="B27" s="5" t="s">
        <v>22</v>
      </c>
      <c r="C27" s="4"/>
      <c r="D27" s="4"/>
      <c r="E27" s="4"/>
      <c r="F27" s="4"/>
    </row>
    <row r="28" spans="1:8" x14ac:dyDescent="0.3">
      <c r="B28" s="3" t="s">
        <v>15</v>
      </c>
      <c r="C28" s="12" t="s">
        <v>47</v>
      </c>
      <c r="D28" s="15" t="s">
        <v>48</v>
      </c>
      <c r="E28" s="12" t="s">
        <v>49</v>
      </c>
      <c r="F28" s="3" t="s">
        <v>16</v>
      </c>
      <c r="G28" s="3" t="s">
        <v>17</v>
      </c>
      <c r="H28" s="11" t="s">
        <v>18</v>
      </c>
    </row>
    <row r="29" spans="1:8" x14ac:dyDescent="0.3">
      <c r="B29" s="12" t="s">
        <v>47</v>
      </c>
      <c r="C29" s="13">
        <f>C19/$C$22</f>
        <v>0.75471698113207553</v>
      </c>
      <c r="D29" s="13">
        <f>D19/$D$22</f>
        <v>0.78947368421052633</v>
      </c>
      <c r="E29" s="13">
        <f>E19/$E$22</f>
        <v>0.66666666666666663</v>
      </c>
      <c r="F29" s="4">
        <f>SUM(C29:E29)</f>
        <v>2.2108573320092684</v>
      </c>
      <c r="G29" s="4">
        <f>Table111416182224[[#This Row],[JUMLAH]]/3</f>
        <v>0.73695244400308946</v>
      </c>
      <c r="H29" s="14">
        <f>Table111416182224[[#This Row],[PRIORITAS]]*C22</f>
        <v>0.97646198830409348</v>
      </c>
    </row>
    <row r="30" spans="1:8" x14ac:dyDescent="0.3">
      <c r="B30" s="15" t="s">
        <v>48</v>
      </c>
      <c r="C30" s="13">
        <f>C20/$C$22</f>
        <v>0.15094339622641512</v>
      </c>
      <c r="D30" s="13">
        <f>D20/$D$22</f>
        <v>0.15789473684210528</v>
      </c>
      <c r="E30" s="13">
        <f>E20/$E$22</f>
        <v>0.25</v>
      </c>
      <c r="F30" s="4">
        <f>SUM(C30:E30)</f>
        <v>0.55883813306852037</v>
      </c>
      <c r="G30" s="4">
        <f>Table111416182224[[#This Row],[JUMLAH]]/3</f>
        <v>0.18627937768950678</v>
      </c>
      <c r="H30" s="17">
        <f>Table111416182224[[#This Row],[PRIORITAS]]*D22</f>
        <v>1.1797693920335428</v>
      </c>
    </row>
    <row r="31" spans="1:8" x14ac:dyDescent="0.3">
      <c r="B31" s="12" t="s">
        <v>49</v>
      </c>
      <c r="C31" s="13">
        <f>C21/$C$22</f>
        <v>9.4339622641509441E-2</v>
      </c>
      <c r="D31" s="13">
        <f>D21/$D$22</f>
        <v>5.2631578947368418E-2</v>
      </c>
      <c r="E31" s="13">
        <f>E21/$E$22</f>
        <v>8.3333333333333329E-2</v>
      </c>
      <c r="F31" s="4">
        <f t="shared" ref="F31" si="0">SUM(C31:E31)</f>
        <v>0.2303045349222112</v>
      </c>
      <c r="G31" s="4">
        <f>Table111416182224[[#This Row],[JUMLAH]]/3</f>
        <v>7.6768178307403734E-2</v>
      </c>
      <c r="H31" s="14">
        <f>Table111416182224[[#This Row],[PRIORITAS]]*E22</f>
        <v>0.92121813968884481</v>
      </c>
    </row>
    <row r="32" spans="1:8" x14ac:dyDescent="0.3">
      <c r="B32" s="3"/>
      <c r="C32" s="4"/>
      <c r="D32" s="4"/>
      <c r="E32" s="4"/>
      <c r="F32" s="4">
        <f>SUM(F29:F31)</f>
        <v>3</v>
      </c>
      <c r="G32" s="4">
        <f>SUM(G29:G31)</f>
        <v>1</v>
      </c>
      <c r="H32" s="14">
        <f>SUM(H29:H31)</f>
        <v>3.0774495200264811</v>
      </c>
    </row>
    <row r="33" spans="2:7" x14ac:dyDescent="0.3">
      <c r="E33" s="4"/>
      <c r="F33" s="4"/>
    </row>
    <row r="34" spans="2:7" x14ac:dyDescent="0.3">
      <c r="B34" s="22" t="s">
        <v>19</v>
      </c>
      <c r="C34" s="19">
        <f>(H32-3)/(3-1)</f>
        <v>3.8724760013240545E-2</v>
      </c>
      <c r="E34" s="4"/>
      <c r="F34" s="4"/>
      <c r="G34" s="4"/>
    </row>
    <row r="35" spans="2:7" x14ac:dyDescent="0.3">
      <c r="B35" s="22" t="s">
        <v>20</v>
      </c>
      <c r="C35" s="19">
        <v>0.57999999999999996</v>
      </c>
      <c r="E35" s="4"/>
      <c r="G35" s="4"/>
    </row>
    <row r="36" spans="2:7" ht="20.399999999999999" thickBot="1" x14ac:dyDescent="0.45">
      <c r="B36" s="23" t="s">
        <v>21</v>
      </c>
      <c r="C36" s="24">
        <f>C34/C35</f>
        <v>6.676682760903542E-2</v>
      </c>
      <c r="D36" s="7" t="str">
        <f>IF(C36&lt;=0.1, "KONSISTEN", "TIDAK KONSISTEN")</f>
        <v>KONSISTEN</v>
      </c>
      <c r="E36" s="4"/>
      <c r="G36" s="4"/>
    </row>
    <row r="37" spans="2:7" ht="15" thickTop="1" x14ac:dyDescent="0.3">
      <c r="E37" s="4"/>
      <c r="G37" s="4"/>
    </row>
    <row r="38" spans="2:7" x14ac:dyDescent="0.3">
      <c r="E38" s="4"/>
      <c r="G38" s="4"/>
    </row>
    <row r="40" spans="2:7" x14ac:dyDescent="0.3">
      <c r="G40" s="4"/>
    </row>
    <row r="41" spans="2:7" x14ac:dyDescent="0.3">
      <c r="G41" s="4"/>
    </row>
    <row r="42" spans="2:7" x14ac:dyDescent="0.3">
      <c r="G42" s="4"/>
    </row>
    <row r="43" spans="2:7" x14ac:dyDescent="0.3">
      <c r="G43" s="4"/>
    </row>
    <row r="44" spans="2:7" x14ac:dyDescent="0.3">
      <c r="G44" s="4"/>
    </row>
    <row r="45" spans="2:7" x14ac:dyDescent="0.3">
      <c r="G45" s="4"/>
    </row>
    <row r="56" spans="2:4" x14ac:dyDescent="0.3">
      <c r="B56" s="3" t="s">
        <v>15</v>
      </c>
      <c r="C56" t="s">
        <v>16</v>
      </c>
      <c r="D56" t="s">
        <v>17</v>
      </c>
    </row>
    <row r="57" spans="2:4" x14ac:dyDescent="0.3">
      <c r="B57" s="12" t="s">
        <v>47</v>
      </c>
      <c r="C57">
        <v>2.170101596516691</v>
      </c>
      <c r="D57">
        <v>0.723367198838897</v>
      </c>
    </row>
    <row r="58" spans="2:4" x14ac:dyDescent="0.3">
      <c r="B58" s="15" t="s">
        <v>48</v>
      </c>
      <c r="C58">
        <v>0.6186357039187228</v>
      </c>
      <c r="D58">
        <v>0.20621190130624092</v>
      </c>
    </row>
    <row r="59" spans="2:4" x14ac:dyDescent="0.3">
      <c r="B59" s="12" t="s">
        <v>49</v>
      </c>
      <c r="C59">
        <v>0.21126269956458638</v>
      </c>
      <c r="D59">
        <v>7.0420899854862121E-2</v>
      </c>
    </row>
  </sheetData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1"/>
  <sheetViews>
    <sheetView topLeftCell="A22" workbookViewId="0">
      <selection activeCell="E63" sqref="E63"/>
    </sheetView>
  </sheetViews>
  <sheetFormatPr defaultRowHeight="14.4" x14ac:dyDescent="0.3"/>
  <cols>
    <col min="2" max="2" width="19.44140625" customWidth="1"/>
    <col min="3" max="3" width="32.33203125" customWidth="1"/>
    <col min="4" max="4" width="22" customWidth="1"/>
    <col min="5" max="5" width="36.5546875" customWidth="1"/>
    <col min="6" max="6" width="21.33203125" customWidth="1"/>
    <col min="7" max="7" width="21" customWidth="1"/>
    <col min="8" max="8" width="17.109375" customWidth="1"/>
    <col min="9" max="9" width="17.44140625" customWidth="1"/>
  </cols>
  <sheetData>
    <row r="4" spans="1:2" x14ac:dyDescent="0.3">
      <c r="A4" s="8" t="s">
        <v>37</v>
      </c>
      <c r="B4" s="8" t="s">
        <v>2</v>
      </c>
    </row>
    <row r="17" spans="1:9" x14ac:dyDescent="0.3">
      <c r="B17" s="8" t="s">
        <v>3</v>
      </c>
    </row>
    <row r="18" spans="1:9" x14ac:dyDescent="0.3">
      <c r="B18" s="3" t="s">
        <v>15</v>
      </c>
      <c r="C18" s="3" t="s">
        <v>38</v>
      </c>
      <c r="D18" s="3" t="s">
        <v>39</v>
      </c>
      <c r="E18" s="3" t="s">
        <v>40</v>
      </c>
      <c r="F18" s="3" t="s">
        <v>32</v>
      </c>
      <c r="G18" s="3"/>
    </row>
    <row r="19" spans="1:9" x14ac:dyDescent="0.3">
      <c r="B19" s="3" t="s">
        <v>38</v>
      </c>
      <c r="C19" s="4">
        <v>1</v>
      </c>
      <c r="D19" s="4">
        <v>4</v>
      </c>
      <c r="E19" s="4">
        <v>6</v>
      </c>
      <c r="F19" s="4">
        <v>8</v>
      </c>
      <c r="G19" s="4"/>
    </row>
    <row r="20" spans="1:9" x14ac:dyDescent="0.3">
      <c r="B20" s="3" t="s">
        <v>39</v>
      </c>
      <c r="C20" s="4">
        <f>1/4</f>
        <v>0.25</v>
      </c>
      <c r="D20" s="4">
        <v>1</v>
      </c>
      <c r="E20" s="4">
        <v>3</v>
      </c>
      <c r="F20" s="4">
        <v>5</v>
      </c>
      <c r="G20" s="4"/>
    </row>
    <row r="21" spans="1:9" x14ac:dyDescent="0.3">
      <c r="B21" s="3" t="s">
        <v>40</v>
      </c>
      <c r="C21" s="4">
        <f>1/6</f>
        <v>0.16666666666666666</v>
      </c>
      <c r="D21" s="4">
        <f>1/3</f>
        <v>0.33333333333333331</v>
      </c>
      <c r="E21" s="4">
        <v>1</v>
      </c>
      <c r="F21" s="4">
        <v>3</v>
      </c>
      <c r="G21" s="4"/>
    </row>
    <row r="22" spans="1:9" x14ac:dyDescent="0.3">
      <c r="B22" s="3" t="s">
        <v>32</v>
      </c>
      <c r="C22" s="4">
        <f>1/8</f>
        <v>0.125</v>
      </c>
      <c r="D22" s="4">
        <f>1/5</f>
        <v>0.2</v>
      </c>
      <c r="E22" s="4">
        <f>1/3</f>
        <v>0.33333333333333331</v>
      </c>
      <c r="F22" s="4">
        <v>1</v>
      </c>
      <c r="G22" s="4"/>
    </row>
    <row r="23" spans="1:9" x14ac:dyDescent="0.3">
      <c r="B23" s="5" t="s">
        <v>14</v>
      </c>
      <c r="C23" s="6">
        <f>SUM(C19:C22)</f>
        <v>1.5416666666666667</v>
      </c>
      <c r="D23" s="6">
        <f>SUM(D19:D22)</f>
        <v>5.5333333333333332</v>
      </c>
      <c r="E23" s="6">
        <f>SUM(E19:E22)</f>
        <v>10.333333333333334</v>
      </c>
      <c r="F23" s="6">
        <f>SUM(F19:F22)</f>
        <v>17</v>
      </c>
      <c r="G23" s="4"/>
    </row>
    <row r="24" spans="1:9" x14ac:dyDescent="0.3">
      <c r="G24" s="4"/>
    </row>
    <row r="25" spans="1:9" x14ac:dyDescent="0.3">
      <c r="G25" s="4"/>
    </row>
    <row r="26" spans="1:9" x14ac:dyDescent="0.3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3">
      <c r="B27" s="9"/>
      <c r="C27" s="6"/>
      <c r="D27" s="6"/>
      <c r="E27" s="6"/>
      <c r="F27" s="6"/>
      <c r="G27" s="4"/>
    </row>
    <row r="28" spans="1:9" x14ac:dyDescent="0.3">
      <c r="B28" s="5" t="s">
        <v>22</v>
      </c>
      <c r="C28" s="4"/>
      <c r="D28" s="4"/>
      <c r="E28" s="4"/>
      <c r="F28" s="4"/>
      <c r="G28" s="4"/>
    </row>
    <row r="29" spans="1:9" x14ac:dyDescent="0.3">
      <c r="B29" s="3" t="s">
        <v>15</v>
      </c>
      <c r="C29" s="12" t="s">
        <v>38</v>
      </c>
      <c r="D29" s="15" t="s">
        <v>39</v>
      </c>
      <c r="E29" s="12" t="s">
        <v>40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3">
      <c r="B30" s="12" t="s">
        <v>38</v>
      </c>
      <c r="C30" s="13">
        <f>C19/$C$23</f>
        <v>0.64864864864864857</v>
      </c>
      <c r="D30" s="13">
        <f>D19/$D$23</f>
        <v>0.72289156626506024</v>
      </c>
      <c r="E30" s="13">
        <f>E19/$E$23</f>
        <v>0.58064516129032251</v>
      </c>
      <c r="F30" s="13">
        <f>F19/$F$23</f>
        <v>0.47058823529411764</v>
      </c>
      <c r="G30" s="4">
        <f>SUM(C30:F30)</f>
        <v>2.4227736114981488</v>
      </c>
      <c r="H30" s="4">
        <f>Table11141618[[#This Row],[JUMLAH]]/4</f>
        <v>0.60569340287453721</v>
      </c>
      <c r="I30" s="14">
        <f>Table11141618[[#This Row],[PRIORITAS]]*C23</f>
        <v>0.93377732943157821</v>
      </c>
    </row>
    <row r="31" spans="1:9" x14ac:dyDescent="0.3">
      <c r="B31" s="15" t="s">
        <v>39</v>
      </c>
      <c r="C31" s="13">
        <f>C20/$C$23</f>
        <v>0.16216216216216214</v>
      </c>
      <c r="D31" s="13">
        <f>D20/$D$23</f>
        <v>0.18072289156626506</v>
      </c>
      <c r="E31" s="13">
        <f t="shared" ref="E31:E32" si="0">E20/$E$23</f>
        <v>0.29032258064516125</v>
      </c>
      <c r="F31" s="13">
        <f>F20/$F$23</f>
        <v>0.29411764705882354</v>
      </c>
      <c r="G31" s="4">
        <f>SUM(C31:F31)</f>
        <v>0.927325281432412</v>
      </c>
      <c r="H31" s="4">
        <f>Table11141618[[#This Row],[JUMLAH]]/4</f>
        <v>0.231831320358103</v>
      </c>
      <c r="I31" s="17">
        <f>Table11141618[[#This Row],[PRIORITAS]]*D23</f>
        <v>1.2827999726481698</v>
      </c>
    </row>
    <row r="32" spans="1:9" x14ac:dyDescent="0.3">
      <c r="B32" s="12" t="s">
        <v>40</v>
      </c>
      <c r="C32" s="13">
        <f>C21/$C$23</f>
        <v>0.1081081081081081</v>
      </c>
      <c r="D32" s="13">
        <f t="shared" ref="D32:D33" si="1">D21/$D$23</f>
        <v>6.0240963855421686E-2</v>
      </c>
      <c r="E32" s="13">
        <f t="shared" si="0"/>
        <v>9.6774193548387094E-2</v>
      </c>
      <c r="F32" s="13">
        <f>F21/$F$23</f>
        <v>0.17647058823529413</v>
      </c>
      <c r="G32" s="4">
        <f>SUM(C32:F32)</f>
        <v>0.44159385374721105</v>
      </c>
      <c r="H32" s="4">
        <f>Table11141618[[#This Row],[JUMLAH]]/4</f>
        <v>0.11039846343680276</v>
      </c>
      <c r="I32" s="14">
        <f>Table11141618[[#This Row],[PRIORITAS]]*E23</f>
        <v>1.1407841221802952</v>
      </c>
    </row>
    <row r="33" spans="2:9" x14ac:dyDescent="0.3">
      <c r="B33" s="15" t="s">
        <v>32</v>
      </c>
      <c r="C33" s="13">
        <f>C22/$C$23</f>
        <v>8.1081081081081072E-2</v>
      </c>
      <c r="D33" s="13">
        <f t="shared" si="1"/>
        <v>3.6144578313253017E-2</v>
      </c>
      <c r="E33" s="13">
        <f>E22/$E$23</f>
        <v>3.2258064516129031E-2</v>
      </c>
      <c r="F33" s="13">
        <f>F22/$F$23</f>
        <v>5.8823529411764705E-2</v>
      </c>
      <c r="G33" s="4">
        <f>SUM(C33:F33)</f>
        <v>0.20830725332222783</v>
      </c>
      <c r="H33" s="4">
        <f>Table11141618[[#This Row],[JUMLAH]]/4</f>
        <v>5.2076813330556956E-2</v>
      </c>
      <c r="I33" s="17">
        <f>Table11141618[[#This Row],[PRIORITAS]]*F23</f>
        <v>0.88530582661946822</v>
      </c>
    </row>
    <row r="34" spans="2:9" x14ac:dyDescent="0.3">
      <c r="B34" s="3"/>
      <c r="C34" s="4"/>
      <c r="D34" s="4"/>
      <c r="E34" s="4"/>
      <c r="F34" s="4"/>
      <c r="G34" s="4">
        <f>SUM(G30:G33)</f>
        <v>3.9999999999999991</v>
      </c>
      <c r="H34" s="4">
        <f>SUM(H30:H33)</f>
        <v>0.99999999999999978</v>
      </c>
      <c r="I34" s="14">
        <f>SUM(I30:I33)</f>
        <v>4.2426672508795118</v>
      </c>
    </row>
    <row r="35" spans="2:9" x14ac:dyDescent="0.3">
      <c r="E35" s="4"/>
      <c r="F35" s="4"/>
      <c r="G35" s="4"/>
    </row>
    <row r="36" spans="2:9" x14ac:dyDescent="0.3">
      <c r="B36" s="22" t="s">
        <v>19</v>
      </c>
      <c r="C36" s="19">
        <f>(I34-4)/(4-1)</f>
        <v>8.0889083626503933E-2</v>
      </c>
      <c r="E36" s="4"/>
      <c r="F36" s="4"/>
      <c r="G36" s="4"/>
    </row>
    <row r="37" spans="2:9" x14ac:dyDescent="0.3">
      <c r="B37" s="22" t="s">
        <v>20</v>
      </c>
      <c r="C37" s="19">
        <v>0.9</v>
      </c>
      <c r="E37" s="4"/>
      <c r="F37" s="4"/>
      <c r="G37" s="4"/>
    </row>
    <row r="38" spans="2:9" ht="20.399999999999999" thickBot="1" x14ac:dyDescent="0.45">
      <c r="B38" s="23" t="s">
        <v>21</v>
      </c>
      <c r="C38" s="24">
        <f>C36/C37</f>
        <v>8.9876759585004365E-2</v>
      </c>
      <c r="D38" s="7" t="str">
        <f>IF(C38&lt;=0.1, "KONSISTEN", "TIDAK KONSISTEN")</f>
        <v>KONSISTEN</v>
      </c>
      <c r="E38" s="4"/>
      <c r="F38" s="4"/>
      <c r="G38" s="4"/>
    </row>
    <row r="39" spans="2:9" ht="15" thickTop="1" x14ac:dyDescent="0.3">
      <c r="E39" s="4"/>
      <c r="F39" s="4"/>
      <c r="G39" s="4"/>
    </row>
    <row r="40" spans="2:9" x14ac:dyDescent="0.3">
      <c r="E40" s="4"/>
      <c r="F40" s="4"/>
    </row>
    <row r="41" spans="2:9" x14ac:dyDescent="0.3">
      <c r="G41" s="4"/>
    </row>
    <row r="42" spans="2:9" x14ac:dyDescent="0.3">
      <c r="G42" s="4"/>
    </row>
    <row r="43" spans="2:9" x14ac:dyDescent="0.3">
      <c r="G43" s="4"/>
    </row>
    <row r="44" spans="2:9" x14ac:dyDescent="0.3">
      <c r="G44" s="4"/>
    </row>
    <row r="45" spans="2:9" x14ac:dyDescent="0.3">
      <c r="G45" s="4"/>
    </row>
    <row r="46" spans="2:9" x14ac:dyDescent="0.3">
      <c r="G46" s="4"/>
    </row>
    <row r="57" spans="2:4" x14ac:dyDescent="0.3">
      <c r="B57" s="3" t="s">
        <v>15</v>
      </c>
      <c r="C57" t="s">
        <v>16</v>
      </c>
      <c r="D57" t="s">
        <v>17</v>
      </c>
    </row>
    <row r="58" spans="2:4" x14ac:dyDescent="0.3">
      <c r="B58" s="12" t="s">
        <v>38</v>
      </c>
      <c r="C58">
        <v>2.4227736114981488</v>
      </c>
      <c r="D58">
        <v>0.60569340287453721</v>
      </c>
    </row>
    <row r="59" spans="2:4" x14ac:dyDescent="0.3">
      <c r="B59" s="15" t="s">
        <v>39</v>
      </c>
      <c r="C59">
        <v>0.927325281432412</v>
      </c>
      <c r="D59">
        <v>0.231831320358103</v>
      </c>
    </row>
    <row r="60" spans="2:4" x14ac:dyDescent="0.3">
      <c r="B60" s="12" t="s">
        <v>40</v>
      </c>
      <c r="C60">
        <v>0.44159385374721105</v>
      </c>
      <c r="D60">
        <v>0.11039846343680276</v>
      </c>
    </row>
    <row r="61" spans="2:4" x14ac:dyDescent="0.3">
      <c r="B61" s="15" t="s">
        <v>32</v>
      </c>
      <c r="C61">
        <v>0.20830725332222783</v>
      </c>
      <c r="D61">
        <v>5.2076813330556956E-2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5"/>
  <sheetViews>
    <sheetView topLeftCell="A22" workbookViewId="0">
      <selection activeCell="G23" sqref="G23"/>
    </sheetView>
  </sheetViews>
  <sheetFormatPr defaultRowHeight="14.4" x14ac:dyDescent="0.3"/>
  <cols>
    <col min="2" max="2" width="36" customWidth="1"/>
    <col min="3" max="3" width="36.5546875" customWidth="1"/>
    <col min="4" max="4" width="28.77734375" customWidth="1"/>
    <col min="5" max="5" width="23.44140625" customWidth="1"/>
    <col min="6" max="6" width="14.6640625" customWidth="1"/>
    <col min="7" max="7" width="15.109375" customWidth="1"/>
  </cols>
  <sheetData>
    <row r="4" spans="1:2" x14ac:dyDescent="0.3">
      <c r="A4" s="8" t="s">
        <v>37</v>
      </c>
      <c r="B4" s="8" t="s">
        <v>2</v>
      </c>
    </row>
    <row r="17" spans="1:8" x14ac:dyDescent="0.3">
      <c r="B17" s="8" t="s">
        <v>3</v>
      </c>
    </row>
    <row r="18" spans="1:8" x14ac:dyDescent="0.3">
      <c r="B18" s="3" t="s">
        <v>15</v>
      </c>
      <c r="C18" s="3" t="s">
        <v>50</v>
      </c>
      <c r="D18" s="3" t="s">
        <v>53</v>
      </c>
      <c r="E18" s="3" t="s">
        <v>52</v>
      </c>
      <c r="F18" s="3"/>
    </row>
    <row r="19" spans="1:8" x14ac:dyDescent="0.3">
      <c r="B19" s="3" t="s">
        <v>50</v>
      </c>
      <c r="C19" s="4">
        <v>1</v>
      </c>
      <c r="D19" s="4">
        <v>5</v>
      </c>
      <c r="E19" s="4">
        <v>7</v>
      </c>
      <c r="F19" s="4"/>
    </row>
    <row r="20" spans="1:8" x14ac:dyDescent="0.3">
      <c r="B20" s="3" t="s">
        <v>51</v>
      </c>
      <c r="C20" s="4">
        <f>1/5</f>
        <v>0.2</v>
      </c>
      <c r="D20" s="4">
        <v>1</v>
      </c>
      <c r="E20" s="4">
        <v>4</v>
      </c>
      <c r="F20" s="4"/>
    </row>
    <row r="21" spans="1:8" x14ac:dyDescent="0.3">
      <c r="B21" s="3" t="s">
        <v>52</v>
      </c>
      <c r="C21" s="4">
        <f>1/7</f>
        <v>0.14285714285714285</v>
      </c>
      <c r="D21" s="4">
        <f>1/4</f>
        <v>0.25</v>
      </c>
      <c r="E21" s="4">
        <v>1</v>
      </c>
      <c r="F21" s="4"/>
    </row>
    <row r="22" spans="1:8" x14ac:dyDescent="0.3">
      <c r="B22" s="5" t="s">
        <v>14</v>
      </c>
      <c r="C22" s="6">
        <f>SUM(C19:C21)</f>
        <v>1.3428571428571427</v>
      </c>
      <c r="D22" s="6">
        <f>SUM(D19:D21)</f>
        <v>6.25</v>
      </c>
      <c r="E22" s="6">
        <f>SUM(E19:E21)</f>
        <v>12</v>
      </c>
      <c r="F22" s="4"/>
    </row>
    <row r="23" spans="1:8" x14ac:dyDescent="0.3">
      <c r="F23" s="4"/>
    </row>
    <row r="24" spans="1:8" x14ac:dyDescent="0.3">
      <c r="F24" s="4"/>
    </row>
    <row r="25" spans="1:8" x14ac:dyDescent="0.3">
      <c r="B25" s="5" t="s">
        <v>24</v>
      </c>
      <c r="C25" s="6"/>
      <c r="D25" s="6"/>
      <c r="E25" s="6"/>
      <c r="F25" s="4"/>
    </row>
    <row r="26" spans="1:8" x14ac:dyDescent="0.3">
      <c r="A26" s="8" t="s">
        <v>23</v>
      </c>
      <c r="B26" s="9"/>
      <c r="C26" s="6"/>
      <c r="D26" s="6"/>
      <c r="E26" s="6"/>
      <c r="F26" s="4"/>
    </row>
    <row r="27" spans="1:8" x14ac:dyDescent="0.3">
      <c r="B27" s="5" t="s">
        <v>22</v>
      </c>
      <c r="C27" s="4"/>
      <c r="D27" s="4"/>
      <c r="E27" s="4"/>
      <c r="F27" s="4"/>
    </row>
    <row r="28" spans="1:8" x14ac:dyDescent="0.3">
      <c r="B28" s="3" t="s">
        <v>15</v>
      </c>
      <c r="C28" s="12" t="s">
        <v>50</v>
      </c>
      <c r="D28" s="15" t="s">
        <v>51</v>
      </c>
      <c r="E28" s="12" t="s">
        <v>52</v>
      </c>
      <c r="F28" s="3" t="s">
        <v>16</v>
      </c>
      <c r="G28" s="3" t="s">
        <v>17</v>
      </c>
      <c r="H28" s="11" t="s">
        <v>18</v>
      </c>
    </row>
    <row r="29" spans="1:8" x14ac:dyDescent="0.3">
      <c r="B29" s="12" t="s">
        <v>50</v>
      </c>
      <c r="C29" s="13">
        <f>C19/$C$22</f>
        <v>0.74468085106382986</v>
      </c>
      <c r="D29" s="13">
        <f>D19/$D$22</f>
        <v>0.8</v>
      </c>
      <c r="E29" s="13">
        <f>E19/$E$22</f>
        <v>0.58333333333333337</v>
      </c>
      <c r="F29" s="4">
        <f>SUM(C29:E29)</f>
        <v>2.1280141843971632</v>
      </c>
      <c r="G29" s="4">
        <f>Table11141618222428[[#This Row],[JUMLAH]]/3</f>
        <v>0.70933806146572109</v>
      </c>
      <c r="H29" s="14">
        <f>Table111416182224[[#This Row],[PRIORITAS]]*C22</f>
        <v>0.98962185337557718</v>
      </c>
    </row>
    <row r="30" spans="1:8" x14ac:dyDescent="0.3">
      <c r="B30" s="15" t="s">
        <v>51</v>
      </c>
      <c r="C30" s="13">
        <f>C20/$C$22</f>
        <v>0.14893617021276598</v>
      </c>
      <c r="D30" s="13">
        <f>D20/$D$22</f>
        <v>0.16</v>
      </c>
      <c r="E30" s="13">
        <f>E20/$E$22</f>
        <v>0.33333333333333331</v>
      </c>
      <c r="F30" s="4">
        <f>SUM(C30:E30)</f>
        <v>0.64226950354609924</v>
      </c>
      <c r="G30" s="4">
        <f>Table11141618222428[[#This Row],[JUMLAH]]/3</f>
        <v>0.21408983451536642</v>
      </c>
      <c r="H30" s="17">
        <f>Table111416182224[[#This Row],[PRIORITAS]]*D22</f>
        <v>1.1642461105594173</v>
      </c>
    </row>
    <row r="31" spans="1:8" x14ac:dyDescent="0.3">
      <c r="B31" s="12" t="s">
        <v>52</v>
      </c>
      <c r="C31" s="13">
        <f>C21/$C$22</f>
        <v>0.10638297872340426</v>
      </c>
      <c r="D31" s="13">
        <f>D21/$D$22</f>
        <v>0.04</v>
      </c>
      <c r="E31" s="13">
        <f>E21/$E$22</f>
        <v>8.3333333333333329E-2</v>
      </c>
      <c r="F31" s="4">
        <f t="shared" ref="F31" si="0">SUM(C31:E31)</f>
        <v>0.22971631205673759</v>
      </c>
      <c r="G31" s="4">
        <f>Table11141618222428[[#This Row],[JUMLAH]]/3</f>
        <v>7.6572104018912526E-2</v>
      </c>
      <c r="H31" s="14">
        <f>Table111416182224[[#This Row],[PRIORITAS]]*E22</f>
        <v>0.92121813968884481</v>
      </c>
    </row>
    <row r="32" spans="1:8" x14ac:dyDescent="0.3">
      <c r="B32" s="3"/>
      <c r="C32" s="4"/>
      <c r="D32" s="4"/>
      <c r="E32" s="4"/>
      <c r="F32" s="4">
        <f>SUM(F29:F31)</f>
        <v>3</v>
      </c>
      <c r="G32" s="4">
        <f>SUM(G29:G31)</f>
        <v>1</v>
      </c>
      <c r="H32" s="14">
        <f>SUM(H29:H31)</f>
        <v>3.0750861036238391</v>
      </c>
    </row>
    <row r="33" spans="2:7" x14ac:dyDescent="0.3">
      <c r="E33" s="4"/>
      <c r="F33" s="4"/>
    </row>
    <row r="34" spans="2:7" x14ac:dyDescent="0.3">
      <c r="B34" s="22" t="s">
        <v>19</v>
      </c>
      <c r="C34" s="19">
        <f>(H32-3)/(3-1)</f>
        <v>3.7543051811919526E-2</v>
      </c>
      <c r="E34" s="4"/>
      <c r="F34" s="4"/>
      <c r="G34" s="4"/>
    </row>
    <row r="35" spans="2:7" x14ac:dyDescent="0.3">
      <c r="B35" s="22" t="s">
        <v>20</v>
      </c>
      <c r="C35" s="19">
        <v>0.57999999999999996</v>
      </c>
      <c r="E35" s="4"/>
      <c r="G35" s="4"/>
    </row>
    <row r="36" spans="2:7" ht="20.399999999999999" thickBot="1" x14ac:dyDescent="0.45">
      <c r="B36" s="23" t="s">
        <v>21</v>
      </c>
      <c r="C36" s="24">
        <f>C34/C35</f>
        <v>6.4729399675723318E-2</v>
      </c>
      <c r="D36" s="7" t="str">
        <f>IF(C36&lt;=0.1, "KONSISTEN", "TIDAK KONSISTEN")</f>
        <v>KONSISTEN</v>
      </c>
      <c r="E36" s="4"/>
      <c r="G36" s="4"/>
    </row>
    <row r="37" spans="2:7" ht="15" thickTop="1" x14ac:dyDescent="0.3">
      <c r="E37" s="4"/>
      <c r="G37" s="4"/>
    </row>
    <row r="38" spans="2:7" x14ac:dyDescent="0.3">
      <c r="E38" s="4"/>
      <c r="G38" s="4"/>
    </row>
    <row r="40" spans="2:7" x14ac:dyDescent="0.3">
      <c r="G40" s="4"/>
    </row>
    <row r="41" spans="2:7" x14ac:dyDescent="0.3">
      <c r="G41" s="4"/>
    </row>
    <row r="42" spans="2:7" x14ac:dyDescent="0.3">
      <c r="G42" s="4"/>
    </row>
    <row r="43" spans="2:7" x14ac:dyDescent="0.3">
      <c r="G43" s="4"/>
    </row>
    <row r="44" spans="2:7" x14ac:dyDescent="0.3">
      <c r="G44" s="4"/>
    </row>
    <row r="45" spans="2:7" x14ac:dyDescent="0.3">
      <c r="G45" s="4"/>
    </row>
    <row r="62" spans="2:4" x14ac:dyDescent="0.3">
      <c r="B62" s="3" t="s">
        <v>15</v>
      </c>
      <c r="C62" t="s">
        <v>16</v>
      </c>
      <c r="D62" t="s">
        <v>17</v>
      </c>
    </row>
    <row r="63" spans="2:4" x14ac:dyDescent="0.3">
      <c r="B63" s="12" t="s">
        <v>50</v>
      </c>
      <c r="C63">
        <v>2.2444932409249985</v>
      </c>
      <c r="D63">
        <v>0.74816441364166619</v>
      </c>
    </row>
    <row r="64" spans="2:4" x14ac:dyDescent="0.3">
      <c r="B64" s="15" t="s">
        <v>51</v>
      </c>
      <c r="C64">
        <v>0.54120634049269201</v>
      </c>
      <c r="D64">
        <v>0.18040211349756399</v>
      </c>
    </row>
    <row r="65" spans="2:4" x14ac:dyDescent="0.3">
      <c r="B65" s="12" t="s">
        <v>52</v>
      </c>
      <c r="C65">
        <v>0.21430041858230975</v>
      </c>
      <c r="D65">
        <v>7.1433472860769912E-2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71"/>
  <sheetViews>
    <sheetView topLeftCell="A44" zoomScale="70" zoomScaleNormal="70" workbookViewId="0">
      <selection activeCell="F65" sqref="F65"/>
    </sheetView>
  </sheetViews>
  <sheetFormatPr defaultRowHeight="14.4" x14ac:dyDescent="0.3"/>
  <cols>
    <col min="2" max="2" width="32.109375" customWidth="1"/>
    <col min="3" max="3" width="20.33203125" customWidth="1"/>
    <col min="4" max="4" width="27.109375" customWidth="1"/>
    <col min="5" max="5" width="18.44140625" customWidth="1"/>
    <col min="6" max="6" width="26.6640625" customWidth="1"/>
    <col min="7" max="7" width="13.88671875" customWidth="1"/>
    <col min="8" max="8" width="31.33203125" customWidth="1"/>
    <col min="9" max="9" width="26.88671875" customWidth="1"/>
    <col min="10" max="10" width="24.5546875" customWidth="1"/>
    <col min="11" max="11" width="20.33203125" customWidth="1"/>
    <col min="12" max="13" width="17.6640625" customWidth="1"/>
  </cols>
  <sheetData>
    <row r="5" spans="1:2" x14ac:dyDescent="0.3">
      <c r="A5" s="8" t="s">
        <v>1</v>
      </c>
      <c r="B5" s="8" t="s">
        <v>2</v>
      </c>
    </row>
    <row r="18" spans="2:12" x14ac:dyDescent="0.3">
      <c r="B18" s="8" t="s">
        <v>3</v>
      </c>
    </row>
    <row r="19" spans="2:12" x14ac:dyDescent="0.3">
      <c r="B19" s="3" t="s">
        <v>15</v>
      </c>
      <c r="C19" s="3" t="s">
        <v>54</v>
      </c>
      <c r="D19" s="3" t="s">
        <v>55</v>
      </c>
      <c r="E19" s="3" t="s">
        <v>59</v>
      </c>
      <c r="F19" s="3" t="s">
        <v>60</v>
      </c>
      <c r="G19" s="3" t="s">
        <v>58</v>
      </c>
      <c r="H19" s="3" t="s">
        <v>61</v>
      </c>
      <c r="I19" s="3" t="s">
        <v>56</v>
      </c>
      <c r="J19" s="3" t="s">
        <v>57</v>
      </c>
      <c r="K19" s="3"/>
    </row>
    <row r="20" spans="2:12" x14ac:dyDescent="0.3">
      <c r="B20" s="3" t="s">
        <v>54</v>
      </c>
      <c r="C20" s="4">
        <v>1</v>
      </c>
      <c r="D20" s="4">
        <v>2</v>
      </c>
      <c r="E20" s="4">
        <v>4</v>
      </c>
      <c r="F20" s="4">
        <v>5</v>
      </c>
      <c r="G20" s="4">
        <v>5</v>
      </c>
      <c r="H20" s="4">
        <v>6</v>
      </c>
      <c r="I20" s="4">
        <v>7</v>
      </c>
      <c r="J20" s="4">
        <v>9</v>
      </c>
      <c r="K20" s="4"/>
      <c r="L20" s="2"/>
    </row>
    <row r="21" spans="2:12" x14ac:dyDescent="0.3">
      <c r="B21" s="3" t="s">
        <v>55</v>
      </c>
      <c r="C21" s="4">
        <f>1/2</f>
        <v>0.5</v>
      </c>
      <c r="D21" s="4">
        <v>1</v>
      </c>
      <c r="E21" s="4">
        <v>2</v>
      </c>
      <c r="F21" s="4">
        <v>4</v>
      </c>
      <c r="G21" s="4">
        <v>5</v>
      </c>
      <c r="H21" s="4">
        <v>6</v>
      </c>
      <c r="I21" s="4">
        <v>7</v>
      </c>
      <c r="J21" s="4">
        <v>9</v>
      </c>
      <c r="K21" s="4"/>
      <c r="L21" s="2"/>
    </row>
    <row r="22" spans="2:12" x14ac:dyDescent="0.3">
      <c r="B22" s="3" t="s">
        <v>62</v>
      </c>
      <c r="C22" s="4">
        <f>1/4</f>
        <v>0.25</v>
      </c>
      <c r="D22" s="4">
        <f>1/2</f>
        <v>0.5</v>
      </c>
      <c r="E22" s="4">
        <v>1</v>
      </c>
      <c r="F22" s="4">
        <v>2</v>
      </c>
      <c r="G22" s="4">
        <v>4</v>
      </c>
      <c r="H22" s="4">
        <v>5</v>
      </c>
      <c r="I22" s="4">
        <v>6</v>
      </c>
      <c r="J22" s="4">
        <v>8</v>
      </c>
      <c r="K22" s="4"/>
      <c r="L22" s="2"/>
    </row>
    <row r="23" spans="2:12" x14ac:dyDescent="0.3">
      <c r="B23" s="3" t="s">
        <v>63</v>
      </c>
      <c r="C23" s="4">
        <f>1/5</f>
        <v>0.2</v>
      </c>
      <c r="D23" s="4">
        <f>1/4</f>
        <v>0.25</v>
      </c>
      <c r="E23" s="4">
        <f>1/2</f>
        <v>0.5</v>
      </c>
      <c r="F23" s="4">
        <v>1</v>
      </c>
      <c r="G23" s="4">
        <v>2</v>
      </c>
      <c r="H23" s="4">
        <v>5</v>
      </c>
      <c r="I23" s="4">
        <v>7</v>
      </c>
      <c r="J23" s="4">
        <v>8</v>
      </c>
      <c r="K23" s="4"/>
      <c r="L23" s="2"/>
    </row>
    <row r="24" spans="2:12" x14ac:dyDescent="0.3">
      <c r="B24" s="3" t="s">
        <v>58</v>
      </c>
      <c r="C24" s="4">
        <f>1/5</f>
        <v>0.2</v>
      </c>
      <c r="D24" s="4">
        <f>1/5</f>
        <v>0.2</v>
      </c>
      <c r="E24" s="4">
        <f>1/4</f>
        <v>0.25</v>
      </c>
      <c r="F24" s="4">
        <f>1/2</f>
        <v>0.5</v>
      </c>
      <c r="G24" s="4">
        <v>1</v>
      </c>
      <c r="H24" s="4">
        <v>2</v>
      </c>
      <c r="I24" s="4">
        <v>5</v>
      </c>
      <c r="J24" s="4">
        <v>6</v>
      </c>
      <c r="K24" s="4"/>
      <c r="L24" s="2"/>
    </row>
    <row r="25" spans="2:12" x14ac:dyDescent="0.3">
      <c r="B25" s="3" t="s">
        <v>61</v>
      </c>
      <c r="C25" s="4">
        <f>1/6</f>
        <v>0.16666666666666666</v>
      </c>
      <c r="D25" s="4">
        <f>1/6</f>
        <v>0.16666666666666666</v>
      </c>
      <c r="E25" s="4">
        <f>1/5</f>
        <v>0.2</v>
      </c>
      <c r="F25" s="4">
        <f>1/5</f>
        <v>0.2</v>
      </c>
      <c r="G25" s="4">
        <f>1/2</f>
        <v>0.5</v>
      </c>
      <c r="H25" s="4">
        <v>1</v>
      </c>
      <c r="I25" s="4">
        <v>2</v>
      </c>
      <c r="J25" s="4">
        <v>3</v>
      </c>
      <c r="K25" s="4"/>
      <c r="L25" s="2"/>
    </row>
    <row r="26" spans="2:12" x14ac:dyDescent="0.3">
      <c r="B26" s="3" t="s">
        <v>56</v>
      </c>
      <c r="C26" s="4">
        <f>1/7</f>
        <v>0.14285714285714285</v>
      </c>
      <c r="D26" s="4">
        <f>1/7</f>
        <v>0.14285714285714285</v>
      </c>
      <c r="E26" s="4">
        <f>1/6</f>
        <v>0.16666666666666666</v>
      </c>
      <c r="F26" s="4">
        <f>1/7</f>
        <v>0.14285714285714285</v>
      </c>
      <c r="G26" s="4">
        <f>1/5</f>
        <v>0.2</v>
      </c>
      <c r="H26" s="4">
        <f>1/2</f>
        <v>0.5</v>
      </c>
      <c r="I26" s="4">
        <v>1</v>
      </c>
      <c r="J26" s="4">
        <v>2</v>
      </c>
      <c r="K26" s="4"/>
      <c r="L26" s="2"/>
    </row>
    <row r="27" spans="2:12" x14ac:dyDescent="0.3">
      <c r="B27" s="3" t="s">
        <v>57</v>
      </c>
      <c r="C27" s="4">
        <f>1/9</f>
        <v>0.1111111111111111</v>
      </c>
      <c r="D27" s="4">
        <f>1/9</f>
        <v>0.1111111111111111</v>
      </c>
      <c r="E27" s="4">
        <f>1/8</f>
        <v>0.125</v>
      </c>
      <c r="F27" s="4">
        <f>1/8</f>
        <v>0.125</v>
      </c>
      <c r="G27" s="4">
        <f>1/6</f>
        <v>0.16666666666666666</v>
      </c>
      <c r="H27" s="4">
        <f>1/3</f>
        <v>0.33333333333333331</v>
      </c>
      <c r="I27" s="4">
        <f>1/2</f>
        <v>0.5</v>
      </c>
      <c r="J27" s="4">
        <v>1</v>
      </c>
      <c r="K27" s="4"/>
      <c r="L27" s="2"/>
    </row>
    <row r="28" spans="2:12" x14ac:dyDescent="0.3">
      <c r="B28" s="5" t="s">
        <v>14</v>
      </c>
      <c r="C28" s="6">
        <f>SUM(C20:C27)</f>
        <v>2.5706349206349204</v>
      </c>
      <c r="D28" s="6">
        <f t="shared" ref="D28:H28" si="0">SUM(D20:D27)</f>
        <v>4.3706349206349211</v>
      </c>
      <c r="E28" s="6">
        <f t="shared" si="0"/>
        <v>8.2416666666666671</v>
      </c>
      <c r="F28" s="6">
        <f t="shared" si="0"/>
        <v>12.967857142857142</v>
      </c>
      <c r="G28" s="6">
        <f t="shared" si="0"/>
        <v>17.866666666666667</v>
      </c>
      <c r="H28" s="6">
        <f t="shared" si="0"/>
        <v>25.833333333333332</v>
      </c>
      <c r="I28" s="6">
        <f>SUM(I20:I27)</f>
        <v>35.5</v>
      </c>
      <c r="J28" s="26">
        <f>SUM(J20:J27)</f>
        <v>46</v>
      </c>
      <c r="K28" s="4"/>
      <c r="L28" s="2"/>
    </row>
    <row r="29" spans="2:12" x14ac:dyDescent="0.3">
      <c r="B29" s="3"/>
      <c r="C29" s="4"/>
      <c r="D29" s="4"/>
      <c r="E29" s="4"/>
      <c r="F29" s="4"/>
      <c r="G29" s="4"/>
      <c r="H29" s="4"/>
      <c r="I29" s="25"/>
      <c r="J29" s="25"/>
      <c r="K29" s="4"/>
      <c r="L29" s="2"/>
    </row>
    <row r="30" spans="2:12" x14ac:dyDescent="0.3">
      <c r="B30" s="3"/>
      <c r="C30" s="4"/>
      <c r="D30" s="4"/>
      <c r="E30" s="4"/>
      <c r="F30" s="4"/>
      <c r="G30" s="4"/>
      <c r="H30" s="4"/>
      <c r="I30" s="25"/>
      <c r="J30" s="25"/>
      <c r="K30" s="6"/>
      <c r="L30" s="2"/>
    </row>
    <row r="31" spans="2:12" x14ac:dyDescent="0.3">
      <c r="I31" s="26"/>
      <c r="J31" s="26"/>
      <c r="K31" s="6"/>
      <c r="L31" s="2"/>
    </row>
    <row r="32" spans="2:12" x14ac:dyDescent="0.3">
      <c r="I32" s="26"/>
      <c r="J32" s="26"/>
      <c r="K32" s="6"/>
      <c r="L32" s="2"/>
    </row>
    <row r="33" spans="1:13" x14ac:dyDescent="0.3">
      <c r="A33" s="8" t="s">
        <v>23</v>
      </c>
      <c r="B33" s="5" t="s">
        <v>24</v>
      </c>
      <c r="C33" s="6"/>
      <c r="D33" s="6"/>
      <c r="E33" s="6"/>
      <c r="F33" s="6"/>
      <c r="G33" s="6"/>
      <c r="H33" s="6"/>
      <c r="I33" s="26"/>
      <c r="J33" s="26"/>
      <c r="K33" s="6"/>
      <c r="L33" s="2"/>
    </row>
    <row r="34" spans="1:13" x14ac:dyDescent="0.3">
      <c r="B34" s="9"/>
      <c r="C34" s="6"/>
      <c r="D34" s="6"/>
      <c r="E34" s="6"/>
      <c r="F34" s="6"/>
      <c r="G34" s="6"/>
      <c r="H34" s="6"/>
      <c r="I34" s="26"/>
      <c r="J34" s="26"/>
      <c r="K34" s="6"/>
      <c r="L34" s="2"/>
    </row>
    <row r="35" spans="1:13" x14ac:dyDescent="0.3">
      <c r="B35" s="5" t="s">
        <v>22</v>
      </c>
      <c r="C35" s="4"/>
      <c r="D35" s="4"/>
      <c r="E35" s="4"/>
      <c r="F35" s="4"/>
      <c r="G35" s="4"/>
      <c r="H35" s="4"/>
      <c r="I35" s="25"/>
      <c r="J35" s="25"/>
    </row>
    <row r="36" spans="1:13" x14ac:dyDescent="0.3">
      <c r="B36" s="3" t="s">
        <v>15</v>
      </c>
      <c r="C36" s="3" t="s">
        <v>54</v>
      </c>
      <c r="D36" s="3" t="s">
        <v>55</v>
      </c>
      <c r="E36" s="3" t="s">
        <v>59</v>
      </c>
      <c r="F36" s="3" t="s">
        <v>60</v>
      </c>
      <c r="G36" s="3" t="s">
        <v>58</v>
      </c>
      <c r="H36" s="3" t="s">
        <v>61</v>
      </c>
      <c r="I36" s="3" t="s">
        <v>56</v>
      </c>
      <c r="J36" s="3" t="s">
        <v>104</v>
      </c>
      <c r="K36" s="10" t="s">
        <v>16</v>
      </c>
      <c r="L36" s="10" t="s">
        <v>17</v>
      </c>
      <c r="M36" s="11" t="s">
        <v>18</v>
      </c>
    </row>
    <row r="37" spans="1:13" x14ac:dyDescent="0.3">
      <c r="B37" s="3" t="s">
        <v>54</v>
      </c>
      <c r="C37" s="4">
        <f>C20/$C$28</f>
        <v>0.38900895338067309</v>
      </c>
      <c r="D37" s="4">
        <f>D20/$D$28</f>
        <v>0.45759941892137274</v>
      </c>
      <c r="E37" s="4">
        <f>E20/$E$28</f>
        <v>0.48533872598584427</v>
      </c>
      <c r="F37" s="4">
        <f>F20/$F$28</f>
        <v>0.38556871385293312</v>
      </c>
      <c r="G37" s="4">
        <f>G20/$G$28</f>
        <v>0.27985074626865669</v>
      </c>
      <c r="H37" s="4">
        <f>H20/$H$28</f>
        <v>0.23225806451612904</v>
      </c>
      <c r="I37" s="4">
        <f>I20/$I$28</f>
        <v>0.19718309859154928</v>
      </c>
      <c r="J37" s="4">
        <f>J20/$J$28</f>
        <v>0.19565217391304349</v>
      </c>
      <c r="K37" s="13">
        <f>SUM(Table4734[[#This Row],[Hadir 100%]:[Hadir &lt; 80 %Aada terlambat]])</f>
        <v>2.6224598954302021</v>
      </c>
      <c r="L37" s="13">
        <f>Table4734[[#This Row],[JUMLAH]]/8</f>
        <v>0.32780748692877526</v>
      </c>
      <c r="M37" s="14">
        <f>Table4734[[#This Row],[PRIORITAS]]*C28</f>
        <v>0.84267337314468493</v>
      </c>
    </row>
    <row r="38" spans="1:13" x14ac:dyDescent="0.3">
      <c r="B38" s="3" t="s">
        <v>55</v>
      </c>
      <c r="C38" s="4">
        <f>C21/$C$28</f>
        <v>0.19450447669033655</v>
      </c>
      <c r="D38" s="4">
        <f t="shared" ref="D38:D45" si="1">D21/$D$28</f>
        <v>0.22879970946068637</v>
      </c>
      <c r="E38" s="4">
        <f t="shared" ref="E38:E45" si="2">E21/$E$28</f>
        <v>0.24266936299292213</v>
      </c>
      <c r="F38" s="4">
        <f t="shared" ref="F38:F44" si="3">F21/$F$28</f>
        <v>0.30845497108234649</v>
      </c>
      <c r="G38" s="4">
        <f t="shared" ref="G38:G44" si="4">G21/$G$28</f>
        <v>0.27985074626865669</v>
      </c>
      <c r="H38" s="4">
        <f t="shared" ref="H38:H44" si="5">H21/$H$28</f>
        <v>0.23225806451612904</v>
      </c>
      <c r="I38" s="4">
        <f t="shared" ref="I38:I44" si="6">I21/$I$28</f>
        <v>0.19718309859154928</v>
      </c>
      <c r="J38" s="4">
        <f t="shared" ref="J38:J44" si="7">J21/$J$28</f>
        <v>0.19565217391304349</v>
      </c>
      <c r="K38" s="13">
        <f>SUM(Table4734[[#This Row],[Hadir 100%]:[Hadir &lt; 80 %Aada terlambat]])</f>
        <v>1.8793726035156699</v>
      </c>
      <c r="L38" s="13">
        <f>Table4734[[#This Row],[JUMLAH]]/8</f>
        <v>0.23492157543945874</v>
      </c>
      <c r="M38" s="14">
        <f>Table4734[[#This Row],[PRIORITAS]]*D28</f>
        <v>1.0267564412262693</v>
      </c>
    </row>
    <row r="39" spans="1:13" x14ac:dyDescent="0.3">
      <c r="B39" s="3" t="s">
        <v>62</v>
      </c>
      <c r="C39" s="4">
        <f t="shared" ref="C39:C43" si="8">C22/$C$28</f>
        <v>9.7252238345168274E-2</v>
      </c>
      <c r="D39" s="4">
        <f t="shared" si="1"/>
        <v>0.11439985473034318</v>
      </c>
      <c r="E39" s="4">
        <f t="shared" si="2"/>
        <v>0.12133468149646107</v>
      </c>
      <c r="F39" s="4">
        <f t="shared" si="3"/>
        <v>0.15422748554117324</v>
      </c>
      <c r="G39" s="4">
        <f t="shared" si="4"/>
        <v>0.22388059701492538</v>
      </c>
      <c r="H39" s="4">
        <f t="shared" si="5"/>
        <v>0.19354838709677422</v>
      </c>
      <c r="I39" s="4">
        <f t="shared" si="6"/>
        <v>0.16901408450704225</v>
      </c>
      <c r="J39" s="4">
        <f t="shared" si="7"/>
        <v>0.17391304347826086</v>
      </c>
      <c r="K39" s="13">
        <f>SUM(Table4734[[#This Row],[Hadir 100%]:[Hadir &lt; 80 %Aada terlambat]])</f>
        <v>1.2475703722101485</v>
      </c>
      <c r="L39" s="13">
        <f>Table4734[[#This Row],[JUMLAH]]/8</f>
        <v>0.15594629652626857</v>
      </c>
      <c r="M39" s="14">
        <f>Table4734[[#This Row],[PRIORITAS]]*E28</f>
        <v>1.2852573938706635</v>
      </c>
    </row>
    <row r="40" spans="1:13" x14ac:dyDescent="0.3">
      <c r="B40" s="3" t="s">
        <v>107</v>
      </c>
      <c r="C40" s="4">
        <f t="shared" si="8"/>
        <v>7.7801790676134616E-2</v>
      </c>
      <c r="D40" s="4">
        <f t="shared" si="1"/>
        <v>5.7199927365171592E-2</v>
      </c>
      <c r="E40" s="4">
        <f t="shared" si="2"/>
        <v>6.0667340748230533E-2</v>
      </c>
      <c r="F40" s="4">
        <f t="shared" si="3"/>
        <v>7.7113742770586621E-2</v>
      </c>
      <c r="G40" s="4">
        <f t="shared" si="4"/>
        <v>0.11194029850746269</v>
      </c>
      <c r="H40" s="4">
        <f t="shared" si="5"/>
        <v>0.19354838709677422</v>
      </c>
      <c r="I40" s="4">
        <f t="shared" si="6"/>
        <v>0.19718309859154928</v>
      </c>
      <c r="J40" s="4">
        <f t="shared" si="7"/>
        <v>0.17391304347826086</v>
      </c>
      <c r="K40" s="13">
        <f>SUM(Table4734[[#This Row],[Hadir 100%]:[Hadir &lt; 80 %Aada terlambat]])</f>
        <v>0.9493676292341704</v>
      </c>
      <c r="L40" s="13">
        <f>Table4734[[#This Row],[JUMLAH]]/8</f>
        <v>0.1186709536542713</v>
      </c>
      <c r="M40" s="14">
        <f>Table4734[[#This Row],[PRIORITAS]]*F28</f>
        <v>1.538907973995211</v>
      </c>
    </row>
    <row r="41" spans="1:13" x14ac:dyDescent="0.3">
      <c r="B41" s="3" t="s">
        <v>58</v>
      </c>
      <c r="C41" s="4">
        <f t="shared" si="8"/>
        <v>7.7801790676134616E-2</v>
      </c>
      <c r="D41" s="4">
        <f t="shared" si="1"/>
        <v>4.5759941892137279E-2</v>
      </c>
      <c r="E41" s="4">
        <f t="shared" si="2"/>
        <v>3.0333670374115267E-2</v>
      </c>
      <c r="F41" s="4">
        <f t="shared" si="3"/>
        <v>3.8556871385293311E-2</v>
      </c>
      <c r="G41" s="4">
        <f t="shared" si="4"/>
        <v>5.5970149253731345E-2</v>
      </c>
      <c r="H41" s="4">
        <f t="shared" si="5"/>
        <v>7.7419354838709681E-2</v>
      </c>
      <c r="I41" s="4">
        <f t="shared" si="6"/>
        <v>0.14084507042253522</v>
      </c>
      <c r="J41" s="4">
        <f t="shared" si="7"/>
        <v>0.13043478260869565</v>
      </c>
      <c r="K41" s="13">
        <f>SUM(Table4734[[#This Row],[Hadir 100%]:[Hadir &lt; 80 %Aada terlambat]])</f>
        <v>0.59712163145135244</v>
      </c>
      <c r="L41" s="13">
        <f>Table4734[[#This Row],[JUMLAH]]/8</f>
        <v>7.4640203931419055E-2</v>
      </c>
      <c r="M41" s="14">
        <f>Table4734[[#This Row],[PRIORITAS]]*G28</f>
        <v>1.3335716435746872</v>
      </c>
    </row>
    <row r="42" spans="1:13" x14ac:dyDescent="0.3">
      <c r="B42" s="3" t="s">
        <v>61</v>
      </c>
      <c r="C42" s="4">
        <f t="shared" si="8"/>
        <v>6.4834825563445511E-2</v>
      </c>
      <c r="D42" s="4">
        <f t="shared" si="1"/>
        <v>3.8133284910114397E-2</v>
      </c>
      <c r="E42" s="4">
        <f t="shared" si="2"/>
        <v>2.4266936299292215E-2</v>
      </c>
      <c r="F42" s="4">
        <f t="shared" si="3"/>
        <v>1.5422748554117325E-2</v>
      </c>
      <c r="G42" s="4">
        <f t="shared" si="4"/>
        <v>2.7985074626865673E-2</v>
      </c>
      <c r="H42" s="4">
        <f t="shared" si="5"/>
        <v>3.870967741935484E-2</v>
      </c>
      <c r="I42" s="4">
        <f t="shared" si="6"/>
        <v>5.6338028169014086E-2</v>
      </c>
      <c r="J42" s="4">
        <f t="shared" si="7"/>
        <v>6.5217391304347824E-2</v>
      </c>
      <c r="K42" s="13">
        <f>SUM(Table4734[[#This Row],[Hadir 100%]:[Hadir &lt; 80 %Aada terlambat]])</f>
        <v>0.33090796684655188</v>
      </c>
      <c r="L42" s="13">
        <f>Table4734[[#This Row],[JUMLAH]]/8</f>
        <v>4.1363495855818985E-2</v>
      </c>
      <c r="M42" s="14">
        <f>Table4734[[#This Row],[PRIORITAS]]*H28</f>
        <v>1.0685569762753238</v>
      </c>
    </row>
    <row r="43" spans="1:13" x14ac:dyDescent="0.3">
      <c r="B43" s="3" t="s">
        <v>56</v>
      </c>
      <c r="C43" s="4">
        <f t="shared" si="8"/>
        <v>5.5572707625810437E-2</v>
      </c>
      <c r="D43" s="4">
        <f>D26/$D$28</f>
        <v>3.2685672780098055E-2</v>
      </c>
      <c r="E43" s="4">
        <f t="shared" si="2"/>
        <v>2.0222446916076844E-2</v>
      </c>
      <c r="F43" s="4">
        <f t="shared" si="3"/>
        <v>1.1016248967226659E-2</v>
      </c>
      <c r="G43" s="4">
        <f t="shared" si="4"/>
        <v>1.119402985074627E-2</v>
      </c>
      <c r="H43" s="4">
        <f t="shared" si="5"/>
        <v>1.935483870967742E-2</v>
      </c>
      <c r="I43" s="4">
        <f t="shared" si="6"/>
        <v>2.8169014084507043E-2</v>
      </c>
      <c r="J43" s="4">
        <f t="shared" si="7"/>
        <v>4.3478260869565216E-2</v>
      </c>
      <c r="K43" s="13">
        <f>SUM(Table4734[[#This Row],[Hadir 100%]:[Hadir &lt; 80 %Aada terlambat]])</f>
        <v>0.22169321980370793</v>
      </c>
      <c r="L43" s="13">
        <f>Table4734[[#This Row],[JUMLAH]]/8</f>
        <v>2.7711652475463491E-2</v>
      </c>
      <c r="M43" s="14">
        <f>Table4734[[#This Row],[PRIORITAS]]*I28</f>
        <v>0.98376366287895389</v>
      </c>
    </row>
    <row r="44" spans="1:13" x14ac:dyDescent="0.3">
      <c r="B44" s="3" t="s">
        <v>57</v>
      </c>
      <c r="C44" s="4">
        <f>C27/$C$28</f>
        <v>4.3223217042297007E-2</v>
      </c>
      <c r="D44" s="4">
        <f t="shared" si="1"/>
        <v>2.5422189940076261E-2</v>
      </c>
      <c r="E44" s="4">
        <f t="shared" si="2"/>
        <v>1.5166835187057633E-2</v>
      </c>
      <c r="F44" s="4">
        <f t="shared" si="3"/>
        <v>9.6392178463233277E-3</v>
      </c>
      <c r="G44" s="4">
        <f t="shared" si="4"/>
        <v>9.3283582089552231E-3</v>
      </c>
      <c r="H44" s="4">
        <f t="shared" si="5"/>
        <v>1.2903225806451613E-2</v>
      </c>
      <c r="I44" s="4">
        <f t="shared" si="6"/>
        <v>1.4084507042253521E-2</v>
      </c>
      <c r="J44" s="4">
        <f t="shared" si="7"/>
        <v>2.1739130434782608E-2</v>
      </c>
      <c r="K44" s="13">
        <f>SUM(Table4734[[#This Row],[Hadir 100%]:[Hadir &lt; 80 %Aada terlambat]])</f>
        <v>0.15150668150819718</v>
      </c>
      <c r="L44" s="16">
        <f>Table4734[[#This Row],[JUMLAH]]/8</f>
        <v>1.8938335188524648E-2</v>
      </c>
      <c r="M44" s="17">
        <f>Table4734[[#This Row],[PRIORITAS]]*J28</f>
        <v>0.87116341867213376</v>
      </c>
    </row>
    <row r="45" spans="1:13" x14ac:dyDescent="0.3">
      <c r="B45" s="27" t="s">
        <v>14</v>
      </c>
      <c r="C45" s="4">
        <f>SUM(C37:C44)</f>
        <v>1</v>
      </c>
      <c r="D45" s="4">
        <f t="shared" si="1"/>
        <v>1</v>
      </c>
      <c r="E45" s="4">
        <f t="shared" si="2"/>
        <v>1</v>
      </c>
      <c r="F45" s="4">
        <f>SUM(F37:F44)</f>
        <v>1</v>
      </c>
      <c r="G45" s="4">
        <f>SUM(G37:G44)</f>
        <v>1</v>
      </c>
      <c r="H45" s="4">
        <f>SUM(H37:H44)</f>
        <v>1</v>
      </c>
      <c r="I45" s="4"/>
      <c r="J45" s="4"/>
      <c r="K45" s="13">
        <f>SUM(K37:K44)</f>
        <v>7.9999999999999991</v>
      </c>
      <c r="L45" s="13">
        <f>SUM(L37:L44)</f>
        <v>0.99999999999999989</v>
      </c>
      <c r="M45" s="14">
        <f>SUM(M37:M44)</f>
        <v>8.9506508836379268</v>
      </c>
    </row>
    <row r="48" spans="1:13" x14ac:dyDescent="0.3">
      <c r="B48" s="18" t="s">
        <v>19</v>
      </c>
      <c r="C48" s="20">
        <f>(M45-8)/(8-1)</f>
        <v>0.13580726909113242</v>
      </c>
    </row>
    <row r="49" spans="2:4" x14ac:dyDescent="0.3">
      <c r="B49" s="18" t="s">
        <v>20</v>
      </c>
      <c r="C49" s="20">
        <v>1.41</v>
      </c>
    </row>
    <row r="50" spans="2:4" ht="20.399999999999999" thickBot="1" x14ac:dyDescent="0.45">
      <c r="B50" s="18" t="s">
        <v>21</v>
      </c>
      <c r="C50" s="21">
        <f>C48/C49</f>
        <v>9.631721212137051E-2</v>
      </c>
      <c r="D50" s="7" t="str">
        <f>IF(C50&lt;=0.1, "KONSISTEN", "TIDAK KONSISTEN")</f>
        <v>KONSISTEN</v>
      </c>
    </row>
    <row r="51" spans="2:4" ht="15" thickTop="1" x14ac:dyDescent="0.3"/>
    <row r="63" spans="2:4" x14ac:dyDescent="0.3">
      <c r="B63" s="57" t="s">
        <v>15</v>
      </c>
      <c r="C63" t="s">
        <v>16</v>
      </c>
      <c r="D63" t="s">
        <v>17</v>
      </c>
    </row>
    <row r="64" spans="2:4" x14ac:dyDescent="0.3">
      <c r="B64" s="12" t="s">
        <v>54</v>
      </c>
      <c r="C64">
        <v>2.6224598954302021</v>
      </c>
      <c r="D64">
        <v>0.32780748692877526</v>
      </c>
    </row>
    <row r="65" spans="2:4" x14ac:dyDescent="0.3">
      <c r="B65" s="15" t="s">
        <v>55</v>
      </c>
      <c r="C65">
        <v>1.8793726035156699</v>
      </c>
      <c r="D65">
        <v>0.23492157543945874</v>
      </c>
    </row>
    <row r="66" spans="2:4" x14ac:dyDescent="0.3">
      <c r="B66" s="12" t="s">
        <v>62</v>
      </c>
      <c r="C66">
        <v>1.2475703722101485</v>
      </c>
      <c r="D66">
        <v>0.15594629652626857</v>
      </c>
    </row>
    <row r="67" spans="2:4" x14ac:dyDescent="0.3">
      <c r="B67" s="15" t="s">
        <v>107</v>
      </c>
      <c r="C67">
        <v>0.9493676292341704</v>
      </c>
      <c r="D67">
        <v>0.1186709536542713</v>
      </c>
    </row>
    <row r="68" spans="2:4" x14ac:dyDescent="0.3">
      <c r="B68" s="12" t="s">
        <v>58</v>
      </c>
      <c r="C68">
        <v>0.59712163145135244</v>
      </c>
      <c r="D68">
        <v>7.4640203931419055E-2</v>
      </c>
    </row>
    <row r="69" spans="2:4" x14ac:dyDescent="0.3">
      <c r="B69" s="15" t="s">
        <v>61</v>
      </c>
      <c r="C69">
        <v>0.33090796684655188</v>
      </c>
      <c r="D69">
        <v>4.1363495855818985E-2</v>
      </c>
    </row>
    <row r="70" spans="2:4" x14ac:dyDescent="0.3">
      <c r="B70" s="12" t="s">
        <v>56</v>
      </c>
      <c r="C70">
        <v>0.22169321980370793</v>
      </c>
      <c r="D70">
        <v>2.7711652475463491E-2</v>
      </c>
    </row>
    <row r="71" spans="2:4" x14ac:dyDescent="0.3">
      <c r="B71" s="15" t="s">
        <v>57</v>
      </c>
      <c r="C71">
        <v>0.15150668150819718</v>
      </c>
      <c r="D71">
        <v>1.8938335188524648E-2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NILAI KRITERIA</vt:lpstr>
      <vt:lpstr>PRODUCTIVITY</vt:lpstr>
      <vt:lpstr>KOMUNIKASI &amp; KERJASAMA</vt:lpstr>
      <vt:lpstr>Pelaksanaan 5R</vt:lpstr>
      <vt:lpstr>DOKUMENTASI</vt:lpstr>
      <vt:lpstr>Pemahaman &amp; Pelaksanaan K3</vt:lpstr>
      <vt:lpstr>Pemahaman SOP &amp; SPK</vt:lpstr>
      <vt:lpstr>PEMAHAMAN TOOLS</vt:lpstr>
      <vt:lpstr>KEHADIRAN</vt:lpstr>
      <vt:lpstr>KEDISIPILINAN</vt:lpstr>
      <vt:lpstr>INISIATIF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2022-03-24T03:46:46Z</dcterms:created>
  <dcterms:modified xsi:type="dcterms:W3CDTF">2022-05-17T08:17:59Z</dcterms:modified>
</cp:coreProperties>
</file>